
<file path=[Content_Types].xml><?xml version="1.0" encoding="utf-8"?>
<Types xmlns="http://schemas.openxmlformats.org/package/2006/content-types"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omments8.xml" ContentType="application/vnd.openxmlformats-officedocument.spreadsheetml.comment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omments6.xml" ContentType="application/vnd.openxmlformats-officedocument.spreadsheetml.comments+xml"/>
  <Override PartName="/xl/comments7.xml" ContentType="application/vnd.openxmlformats-officedocument.spreadsheetml.comment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comments4.xml" ContentType="application/vnd.openxmlformats-officedocument.spreadsheetml.comments+xml"/>
  <Override PartName="/xl/charts/chart1.xml" ContentType="application/vnd.openxmlformats-officedocument.drawingml.chart+xml"/>
  <Override PartName="/xl/comments5.xml" ContentType="application/vnd.openxmlformats-officedocument.spreadsheetml.comments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5.xml" ContentType="application/vnd.openxmlformats-officedocument.spreadsheetml.pivotCacheRecords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pivotCache/pivotCacheRecords3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docProps/core.xml" ContentType="application/vnd.openxmlformats-package.core-properties+xml"/>
  <Default Extension="bin" ContentType="application/vnd.openxmlformats-officedocument.spreadsheetml.printerSettings"/>
  <Override PartName="/xl/pivotTables/pivotTable5.xml" ContentType="application/vnd.openxmlformats-officedocument.spreadsheetml.pivotTab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codeName="ThisWorkbook" hidePivotFieldList="1" defaultThemeVersion="124226"/>
  <bookViews>
    <workbookView xWindow="6375" yWindow="15" windowWidth="12615" windowHeight="11985" tabRatio="952"/>
  </bookViews>
  <sheets>
    <sheet name="Dataset Caption" sheetId="17" r:id="rId1"/>
    <sheet name="Data for broughton" sheetId="1" r:id="rId2"/>
    <sheet name="BroughtonPivot" sheetId="4" r:id="rId3"/>
    <sheet name="Adjustment accuracy assessment" sheetId="27" r:id="rId4"/>
    <sheet name="Sea Lice Treatments" sheetId="12" r:id="rId5"/>
    <sheet name="Farm fish production" sheetId="10" r:id="rId6"/>
    <sheet name="May L.s. Prev on pink salmon" sheetId="16" r:id="rId7"/>
    <sheet name="Broughton Pink Salmon data" sheetId="18" r:id="rId8"/>
    <sheet name="Reference Pink Salmon data" sheetId="19" r:id="rId9"/>
    <sheet name="Fig. 3A regressions" sheetId="29" r:id="rId10"/>
    <sheet name="Fig. 4 regressions-March" sheetId="22" r:id="rId11"/>
    <sheet name="Fig. 4 regressions-April" sheetId="21" r:id="rId12"/>
    <sheet name="Pdtn vs. Lice regression" sheetId="23" r:id="rId13"/>
  </sheets>
  <definedNames>
    <definedName name="_xlnm._FilterDatabase" localSheetId="1" hidden="1">'Data for broughton'!$B$1:$S$3003</definedName>
    <definedName name="_xlnm.Print_Area" localSheetId="2">BroughtonPivot!$A$153:$N$366</definedName>
  </definedNames>
  <calcPr calcId="125725"/>
  <pivotCaches>
    <pivotCache cacheId="0" r:id="rId14"/>
    <pivotCache cacheId="1" r:id="rId15"/>
    <pivotCache cacheId="2" r:id="rId16"/>
    <pivotCache cacheId="3" r:id="rId17"/>
    <pivotCache cacheId="4" r:id="rId18"/>
  </pivotCaches>
</workbook>
</file>

<file path=xl/calcChain.xml><?xml version="1.0" encoding="utf-8"?>
<calcChain xmlns="http://schemas.openxmlformats.org/spreadsheetml/2006/main">
  <c r="AD3" i="27"/>
  <c r="V89" i="18"/>
  <c r="V88"/>
  <c r="V87"/>
  <c r="V86"/>
  <c r="V85"/>
  <c r="V84"/>
  <c r="V83"/>
  <c r="V82"/>
  <c r="V81"/>
  <c r="V80"/>
  <c r="V79"/>
  <c r="V78"/>
  <c r="V77"/>
  <c r="V76"/>
  <c r="V75"/>
  <c r="V74"/>
  <c r="V73"/>
  <c r="V72"/>
  <c r="V71"/>
  <c r="V70"/>
  <c r="V69"/>
  <c r="V68"/>
  <c r="V67"/>
  <c r="V66"/>
  <c r="V65"/>
  <c r="V64"/>
  <c r="V49"/>
  <c r="V48"/>
  <c r="V47"/>
  <c r="V46"/>
  <c r="V45"/>
  <c r="V44"/>
  <c r="V43"/>
  <c r="V42"/>
  <c r="V41"/>
  <c r="V40"/>
  <c r="V39"/>
  <c r="V38"/>
  <c r="V37"/>
  <c r="V36"/>
  <c r="V35"/>
  <c r="V34"/>
  <c r="V33"/>
  <c r="V32"/>
  <c r="V31"/>
  <c r="V30"/>
  <c r="V29"/>
  <c r="V28"/>
  <c r="V27"/>
  <c r="V26"/>
  <c r="V25"/>
  <c r="V24"/>
  <c r="V23"/>
  <c r="V22"/>
  <c r="Y154" i="12"/>
  <c r="Y152"/>
  <c r="Y153"/>
  <c r="Y107"/>
  <c r="Y117"/>
  <c r="W117"/>
  <c r="Y116"/>
  <c r="W116"/>
  <c r="Y115"/>
  <c r="W115"/>
  <c r="Y114"/>
  <c r="W114"/>
  <c r="Y118"/>
  <c r="W118"/>
  <c r="Y62"/>
  <c r="W62"/>
  <c r="Y61"/>
  <c r="W61"/>
  <c r="Y60"/>
  <c r="W60"/>
  <c r="Y59"/>
  <c r="W59"/>
  <c r="Y63"/>
  <c r="W63"/>
  <c r="AC6" i="27"/>
  <c r="AB6"/>
  <c r="N2524" i="1"/>
  <c r="N2525"/>
  <c r="N2523"/>
  <c r="N2522"/>
  <c r="N2521"/>
  <c r="N2520"/>
  <c r="N2519"/>
  <c r="N2518"/>
  <c r="N2509"/>
  <c r="L2510" s="1"/>
  <c r="J75" i="29"/>
  <c r="T75"/>
  <c r="J72"/>
  <c r="T72"/>
  <c r="D56"/>
  <c r="A56"/>
  <c r="D55"/>
  <c r="A55"/>
  <c r="D54"/>
  <c r="A54"/>
  <c r="D53"/>
  <c r="A53"/>
  <c r="D52"/>
  <c r="A52"/>
  <c r="D33"/>
  <c r="B33"/>
  <c r="A33"/>
  <c r="D32"/>
  <c r="B32"/>
  <c r="A32"/>
  <c r="D31"/>
  <c r="B31"/>
  <c r="A31"/>
  <c r="D30"/>
  <c r="B30"/>
  <c r="A30"/>
  <c r="D29"/>
  <c r="B29"/>
  <c r="A29"/>
  <c r="C56"/>
  <c r="C33"/>
  <c r="C55"/>
  <c r="C32"/>
  <c r="C54"/>
  <c r="C31"/>
  <c r="C53"/>
  <c r="C30"/>
  <c r="C52"/>
  <c r="C29"/>
  <c r="V107" i="12"/>
  <c r="V40"/>
  <c r="Y106"/>
  <c r="Y105"/>
  <c r="Y104"/>
  <c r="Y103"/>
  <c r="Y102"/>
  <c r="Y101"/>
  <c r="Y100"/>
  <c r="Y99"/>
  <c r="Y39"/>
  <c r="Y38"/>
  <c r="Y37"/>
  <c r="Y36"/>
  <c r="Y35"/>
  <c r="Y34"/>
  <c r="Y33"/>
  <c r="Y32"/>
  <c r="Y31"/>
  <c r="Y30"/>
  <c r="Y29"/>
  <c r="Y28"/>
  <c r="Y27"/>
  <c r="Y26"/>
  <c r="Y25"/>
  <c r="Y24"/>
  <c r="Y23"/>
  <c r="Y22"/>
  <c r="Y21"/>
  <c r="Y20"/>
  <c r="Y19"/>
  <c r="Y18"/>
  <c r="Y17"/>
  <c r="Y16"/>
  <c r="Y15"/>
  <c r="Y14"/>
  <c r="Y13"/>
  <c r="Y12"/>
  <c r="Y11"/>
  <c r="Y10"/>
  <c r="Y9"/>
  <c r="Y8"/>
  <c r="Y7"/>
  <c r="Y40" s="1"/>
  <c r="Y98"/>
  <c r="Y97"/>
  <c r="Y96"/>
  <c r="Y95"/>
  <c r="Y94"/>
  <c r="Y93"/>
  <c r="Y92"/>
  <c r="Y91"/>
  <c r="Y90"/>
  <c r="Y89"/>
  <c r="Y88"/>
  <c r="Y87"/>
  <c r="Y86"/>
  <c r="Y85"/>
  <c r="Y84"/>
  <c r="Y83"/>
  <c r="Y82"/>
  <c r="Y81"/>
  <c r="Y80"/>
  <c r="Y79"/>
  <c r="Y78"/>
  <c r="Y77"/>
  <c r="Y76"/>
  <c r="Y75"/>
  <c r="Y74"/>
  <c r="Y73"/>
  <c r="Y72"/>
  <c r="Y71"/>
  <c r="Y70"/>
  <c r="Y69"/>
  <c r="Y68"/>
  <c r="Y67"/>
  <c r="Y66"/>
  <c r="Y65"/>
  <c r="Y64"/>
  <c r="V154"/>
  <c r="Y155"/>
  <c r="Y151"/>
  <c r="Y150"/>
  <c r="Y149"/>
  <c r="Y148"/>
  <c r="Y147"/>
  <c r="Y146"/>
  <c r="Y145"/>
  <c r="Y144"/>
  <c r="Y143"/>
  <c r="Y142"/>
  <c r="Y141"/>
  <c r="Y140"/>
  <c r="Y139"/>
  <c r="Y138"/>
  <c r="Y137"/>
  <c r="Y136"/>
  <c r="Y135"/>
  <c r="Y134"/>
  <c r="Y133"/>
  <c r="Y132"/>
  <c r="Y131"/>
  <c r="Y130"/>
  <c r="Y129"/>
  <c r="Y128"/>
  <c r="Y127"/>
  <c r="Y126"/>
  <c r="Y125"/>
  <c r="Y124"/>
  <c r="Y123"/>
  <c r="Y122"/>
  <c r="Y121"/>
  <c r="Y120"/>
  <c r="Y119"/>
  <c r="W10"/>
  <c r="W9"/>
  <c r="W8"/>
  <c r="W7"/>
  <c r="AH71"/>
  <c r="AH73"/>
  <c r="AH69"/>
  <c r="AH65"/>
  <c r="AH74"/>
  <c r="AH70"/>
  <c r="AH66"/>
  <c r="AF74"/>
  <c r="AF72"/>
  <c r="AF70"/>
  <c r="AF68"/>
  <c r="AF66"/>
  <c r="AF64"/>
  <c r="AG71"/>
  <c r="AG63"/>
  <c r="AG68"/>
  <c r="AG73"/>
  <c r="AG65"/>
  <c r="AG70"/>
  <c r="AH67"/>
  <c r="AH63"/>
  <c r="AH72"/>
  <c r="AH68"/>
  <c r="AH64"/>
  <c r="AF73"/>
  <c r="AF71"/>
  <c r="AF69"/>
  <c r="AF67"/>
  <c r="AF65"/>
  <c r="AF63"/>
  <c r="AG67"/>
  <c r="AG72"/>
  <c r="AG64"/>
  <c r="AG69"/>
  <c r="AG74"/>
  <c r="AG66"/>
  <c r="Z4" i="4"/>
  <c r="AJ4"/>
  <c r="N2526" i="1" l="1"/>
  <c r="O2519" s="1"/>
  <c r="T73" i="29"/>
  <c r="J73"/>
  <c r="T74"/>
  <c r="J74"/>
  <c r="J76" s="1"/>
  <c r="J77" s="1"/>
  <c r="J78" s="1"/>
  <c r="Y108" i="12"/>
  <c r="Y41"/>
  <c r="W153"/>
  <c r="W152"/>
  <c r="W151"/>
  <c r="W150"/>
  <c r="W149"/>
  <c r="W148"/>
  <c r="W147"/>
  <c r="W146"/>
  <c r="W145"/>
  <c r="W144"/>
  <c r="W143"/>
  <c r="W142"/>
  <c r="W141"/>
  <c r="W140"/>
  <c r="W139"/>
  <c r="W138"/>
  <c r="W137"/>
  <c r="W136"/>
  <c r="W135"/>
  <c r="W134"/>
  <c r="W133"/>
  <c r="W132"/>
  <c r="W131"/>
  <c r="W130"/>
  <c r="W129"/>
  <c r="W128"/>
  <c r="W127"/>
  <c r="W126"/>
  <c r="W125"/>
  <c r="W124"/>
  <c r="W123"/>
  <c r="W122"/>
  <c r="W121"/>
  <c r="W120"/>
  <c r="W119"/>
  <c r="W106"/>
  <c r="W105"/>
  <c r="W104"/>
  <c r="W103"/>
  <c r="W102"/>
  <c r="W101"/>
  <c r="W100"/>
  <c r="W99"/>
  <c r="W98"/>
  <c r="W97"/>
  <c r="W96"/>
  <c r="W95"/>
  <c r="W94"/>
  <c r="W93"/>
  <c r="W92"/>
  <c r="W91"/>
  <c r="W90"/>
  <c r="W89"/>
  <c r="W88"/>
  <c r="W87"/>
  <c r="W86"/>
  <c r="W85"/>
  <c r="W84"/>
  <c r="W83"/>
  <c r="W82"/>
  <c r="W81"/>
  <c r="W80"/>
  <c r="W79"/>
  <c r="W78"/>
  <c r="W77"/>
  <c r="W76"/>
  <c r="W75"/>
  <c r="W74"/>
  <c r="W73"/>
  <c r="W72"/>
  <c r="W71"/>
  <c r="W70"/>
  <c r="W69"/>
  <c r="W68"/>
  <c r="W67"/>
  <c r="W66"/>
  <c r="W65"/>
  <c r="W64"/>
  <c r="P24" i="21"/>
  <c r="AD8" i="4"/>
  <c r="AD7"/>
  <c r="AD6"/>
  <c r="N155"/>
  <c r="L155"/>
  <c r="J155"/>
  <c r="H155"/>
  <c r="F155"/>
  <c r="D155"/>
  <c r="AD5"/>
  <c r="AD37"/>
  <c r="AC37"/>
  <c r="AD36"/>
  <c r="AC36"/>
  <c r="AD35"/>
  <c r="N299"/>
  <c r="L299"/>
  <c r="J299"/>
  <c r="H299"/>
  <c r="F299"/>
  <c r="D299"/>
  <c r="O2518" i="1" l="1"/>
  <c r="O2524"/>
  <c r="O2522"/>
  <c r="O2521"/>
  <c r="O2525"/>
  <c r="O2520"/>
  <c r="O2523"/>
  <c r="T76" i="29"/>
  <c r="T77" s="1"/>
  <c r="T78" s="1"/>
  <c r="O2526" i="1" l="1"/>
  <c r="AJ15" i="27" l="1"/>
  <c r="AE15"/>
  <c r="AG10"/>
  <c r="AH10"/>
  <c r="AI10" s="1"/>
  <c r="AG11"/>
  <c r="AH11"/>
  <c r="AI11" s="1"/>
  <c r="X12"/>
  <c r="X11"/>
  <c r="X10"/>
  <c r="X9"/>
  <c r="X8"/>
  <c r="X7"/>
  <c r="X6"/>
  <c r="AG12"/>
  <c r="AG9"/>
  <c r="AG8"/>
  <c r="AG7"/>
  <c r="AG6"/>
  <c r="AC12"/>
  <c r="AC11"/>
  <c r="AC10"/>
  <c r="AC9"/>
  <c r="AC8"/>
  <c r="AC7"/>
  <c r="AB12"/>
  <c r="Y12" s="1"/>
  <c r="AB11"/>
  <c r="Y11" s="1"/>
  <c r="AB10"/>
  <c r="Y10" s="1"/>
  <c r="AB9"/>
  <c r="Y9" s="1"/>
  <c r="AB8"/>
  <c r="Y8" s="1"/>
  <c r="AB7"/>
  <c r="Y7" s="1"/>
  <c r="Y6"/>
  <c r="Z12"/>
  <c r="Z11"/>
  <c r="AA11" s="1"/>
  <c r="Z10"/>
  <c r="Z9"/>
  <c r="AA9" s="1"/>
  <c r="Z8"/>
  <c r="Z7"/>
  <c r="Z6"/>
  <c r="F1741" i="1"/>
  <c r="G1741" s="1"/>
  <c r="F1740"/>
  <c r="G1740" s="1"/>
  <c r="F1739"/>
  <c r="G1739" s="1"/>
  <c r="F1738"/>
  <c r="G1738" s="1"/>
  <c r="F1737"/>
  <c r="G1737" s="1"/>
  <c r="F1736"/>
  <c r="G1736" s="1"/>
  <c r="W39" i="12"/>
  <c r="W38"/>
  <c r="W37"/>
  <c r="W36"/>
  <c r="W35"/>
  <c r="W34"/>
  <c r="W33"/>
  <c r="W32"/>
  <c r="W31"/>
  <c r="W30"/>
  <c r="W29"/>
  <c r="W28"/>
  <c r="W27"/>
  <c r="W26"/>
  <c r="W25"/>
  <c r="W24"/>
  <c r="W23"/>
  <c r="W22"/>
  <c r="W21"/>
  <c r="W20"/>
  <c r="W19"/>
  <c r="W18"/>
  <c r="W17"/>
  <c r="W16"/>
  <c r="W15"/>
  <c r="W14"/>
  <c r="W13"/>
  <c r="W12"/>
  <c r="W11"/>
  <c r="AJ11" i="27" l="1"/>
  <c r="AJ10"/>
  <c r="AD7"/>
  <c r="AD9"/>
  <c r="AD11"/>
  <c r="AF11" s="1"/>
  <c r="AD6"/>
  <c r="AE6" s="1"/>
  <c r="AH7"/>
  <c r="AH9"/>
  <c r="AD8"/>
  <c r="AD10"/>
  <c r="AE10" s="1"/>
  <c r="AD12"/>
  <c r="AH6"/>
  <c r="AJ6" s="1"/>
  <c r="AH8"/>
  <c r="AH12"/>
  <c r="AA7"/>
  <c r="AA6"/>
  <c r="AA8"/>
  <c r="AA10"/>
  <c r="AA12"/>
  <c r="M38" i="12"/>
  <c r="M37"/>
  <c r="M36"/>
  <c r="M35"/>
  <c r="BE45"/>
  <c r="BE41"/>
  <c r="BE24"/>
  <c r="BE21"/>
  <c r="BE12"/>
  <c r="AC35" i="4"/>
  <c r="AD34"/>
  <c r="AC34"/>
  <c r="AD33"/>
  <c r="AC33"/>
  <c r="AD32"/>
  <c r="AC32"/>
  <c r="AD31"/>
  <c r="AC31"/>
  <c r="AD30"/>
  <c r="AC30"/>
  <c r="AD29"/>
  <c r="AC29"/>
  <c r="AD28"/>
  <c r="AC28"/>
  <c r="AD27"/>
  <c r="AC27"/>
  <c r="AD26"/>
  <c r="AC26"/>
  <c r="AD25"/>
  <c r="AC25"/>
  <c r="AD24"/>
  <c r="AC24"/>
  <c r="AD23"/>
  <c r="AC23"/>
  <c r="AD22"/>
  <c r="AC22"/>
  <c r="AD21"/>
  <c r="AC21"/>
  <c r="AD20"/>
  <c r="AC20"/>
  <c r="AD19"/>
  <c r="AC19"/>
  <c r="AD18"/>
  <c r="AC18"/>
  <c r="AD17"/>
  <c r="AC17"/>
  <c r="AD16"/>
  <c r="AC16"/>
  <c r="AD9"/>
  <c r="AC9"/>
  <c r="AC8"/>
  <c r="AC7"/>
  <c r="AC6"/>
  <c r="AC5"/>
  <c r="AE37"/>
  <c r="AI6" i="27" l="1"/>
  <c r="AF6"/>
  <c r="AE11"/>
  <c r="AF10"/>
  <c r="AI7"/>
  <c r="AJ7"/>
  <c r="AF7"/>
  <c r="AE7"/>
  <c r="AI12"/>
  <c r="AJ12"/>
  <c r="AI8"/>
  <c r="AJ8"/>
  <c r="AF12"/>
  <c r="AE12"/>
  <c r="AF8"/>
  <c r="AE8"/>
  <c r="AI9"/>
  <c r="AJ9"/>
  <c r="AF9"/>
  <c r="AE9"/>
  <c r="U14" i="22"/>
  <c r="L24"/>
  <c r="L23"/>
  <c r="L22"/>
  <c r="L21"/>
  <c r="L20"/>
  <c r="L19"/>
  <c r="L18"/>
  <c r="L17"/>
  <c r="L25"/>
  <c r="I18"/>
  <c r="I17"/>
  <c r="K25"/>
  <c r="I25"/>
  <c r="H25"/>
  <c r="J25" s="1"/>
  <c r="K24"/>
  <c r="I24"/>
  <c r="N24" s="1"/>
  <c r="H24"/>
  <c r="P24" s="1"/>
  <c r="K23"/>
  <c r="I23"/>
  <c r="H23"/>
  <c r="M23" s="1"/>
  <c r="K22"/>
  <c r="I22"/>
  <c r="N22" s="1"/>
  <c r="H22"/>
  <c r="P22" s="1"/>
  <c r="K21"/>
  <c r="I21"/>
  <c r="H21"/>
  <c r="M21" s="1"/>
  <c r="K20"/>
  <c r="I20"/>
  <c r="H20"/>
  <c r="P20" s="1"/>
  <c r="K19"/>
  <c r="I19"/>
  <c r="H19"/>
  <c r="M19" s="1"/>
  <c r="K18"/>
  <c r="H18"/>
  <c r="P18" s="1"/>
  <c r="K17"/>
  <c r="H17"/>
  <c r="P17" s="1"/>
  <c r="K16"/>
  <c r="J16"/>
  <c r="H16"/>
  <c r="P16" s="1"/>
  <c r="K15"/>
  <c r="H15"/>
  <c r="P15" s="1"/>
  <c r="X14"/>
  <c r="Y14" s="1"/>
  <c r="T14"/>
  <c r="K14"/>
  <c r="J14"/>
  <c r="H14"/>
  <c r="M14" s="1"/>
  <c r="AI13"/>
  <c r="AH13"/>
  <c r="AF13"/>
  <c r="AE13"/>
  <c r="AG13" s="1"/>
  <c r="X13"/>
  <c r="W13"/>
  <c r="U13"/>
  <c r="T13"/>
  <c r="V13" s="1"/>
  <c r="K13"/>
  <c r="H13"/>
  <c r="M13" s="1"/>
  <c r="AI12"/>
  <c r="AH12"/>
  <c r="AF12"/>
  <c r="AE12"/>
  <c r="AG12" s="1"/>
  <c r="X12"/>
  <c r="W12"/>
  <c r="U12"/>
  <c r="T12"/>
  <c r="V12" s="1"/>
  <c r="K12"/>
  <c r="J12"/>
  <c r="H12"/>
  <c r="M12" s="1"/>
  <c r="AI11"/>
  <c r="AH11"/>
  <c r="AF11"/>
  <c r="AE11"/>
  <c r="AG11" s="1"/>
  <c r="X11"/>
  <c r="W11"/>
  <c r="U11"/>
  <c r="T11"/>
  <c r="V11" s="1"/>
  <c r="K11"/>
  <c r="H11"/>
  <c r="M11" s="1"/>
  <c r="AI10"/>
  <c r="AH10"/>
  <c r="AF10"/>
  <c r="AE10"/>
  <c r="AG10" s="1"/>
  <c r="X10"/>
  <c r="W10"/>
  <c r="T10"/>
  <c r="V10" s="1"/>
  <c r="K10"/>
  <c r="J10"/>
  <c r="H10"/>
  <c r="M10" s="1"/>
  <c r="AI9"/>
  <c r="AH9"/>
  <c r="AE9"/>
  <c r="AG9" s="1"/>
  <c r="X9"/>
  <c r="W9"/>
  <c r="T9"/>
  <c r="V9" s="1"/>
  <c r="K9"/>
  <c r="H9"/>
  <c r="M9" s="1"/>
  <c r="AI8"/>
  <c r="AH8"/>
  <c r="AE8"/>
  <c r="AG8" s="1"/>
  <c r="X8"/>
  <c r="W8"/>
  <c r="T8"/>
  <c r="V8" s="1"/>
  <c r="K8"/>
  <c r="H8"/>
  <c r="M8" s="1"/>
  <c r="AI7"/>
  <c r="AH7"/>
  <c r="AE7"/>
  <c r="AG7" s="1"/>
  <c r="X7"/>
  <c r="W7"/>
  <c r="T7"/>
  <c r="V7" s="1"/>
  <c r="K7"/>
  <c r="J7"/>
  <c r="H7"/>
  <c r="M7" s="1"/>
  <c r="AI6"/>
  <c r="AH6"/>
  <c r="AE6"/>
  <c r="AG6" s="1"/>
  <c r="X6"/>
  <c r="W6"/>
  <c r="T6"/>
  <c r="V6" s="1"/>
  <c r="K6"/>
  <c r="H6"/>
  <c r="M6" s="1"/>
  <c r="AI5"/>
  <c r="AH5"/>
  <c r="AE5"/>
  <c r="AG5" s="1"/>
  <c r="X5"/>
  <c r="W5"/>
  <c r="T5"/>
  <c r="V5" s="1"/>
  <c r="H5"/>
  <c r="M5" s="1"/>
  <c r="F25" i="10"/>
  <c r="F24"/>
  <c r="F23"/>
  <c r="F22"/>
  <c r="F21"/>
  <c r="F20"/>
  <c r="F19"/>
  <c r="F18"/>
  <c r="F17"/>
  <c r="F16"/>
  <c r="F15"/>
  <c r="F14"/>
  <c r="F13"/>
  <c r="F12"/>
  <c r="F11"/>
  <c r="F10"/>
  <c r="F9"/>
  <c r="F8"/>
  <c r="F7"/>
  <c r="F6"/>
  <c r="E25"/>
  <c r="AE14" i="27" l="1"/>
  <c r="AE13"/>
  <c r="AJ14"/>
  <c r="AJ13"/>
  <c r="Y7" i="22"/>
  <c r="Y5"/>
  <c r="Y6"/>
  <c r="Y8"/>
  <c r="Y9"/>
  <c r="Y10"/>
  <c r="AJ10"/>
  <c r="Y11"/>
  <c r="AJ11"/>
  <c r="AJ5"/>
  <c r="AJ6"/>
  <c r="AJ7"/>
  <c r="AJ8"/>
  <c r="AJ9"/>
  <c r="Y12"/>
  <c r="AJ12"/>
  <c r="Y13"/>
  <c r="AJ13"/>
  <c r="J5"/>
  <c r="P6"/>
  <c r="Q6" s="1"/>
  <c r="P7"/>
  <c r="Q7" s="1"/>
  <c r="P8"/>
  <c r="Q8" s="1"/>
  <c r="P9"/>
  <c r="Q9" s="1"/>
  <c r="P10"/>
  <c r="Q10" s="1"/>
  <c r="P11"/>
  <c r="Q11" s="1"/>
  <c r="P12"/>
  <c r="Q12" s="1"/>
  <c r="P13"/>
  <c r="Q13" s="1"/>
  <c r="P14"/>
  <c r="Q14" s="1"/>
  <c r="J15"/>
  <c r="M15"/>
  <c r="Q15" s="1"/>
  <c r="M16"/>
  <c r="J17"/>
  <c r="M17"/>
  <c r="J18"/>
  <c r="M18"/>
  <c r="N19"/>
  <c r="O19" s="1"/>
  <c r="P19"/>
  <c r="Q19" s="1"/>
  <c r="J20"/>
  <c r="M20"/>
  <c r="N21"/>
  <c r="O21" s="1"/>
  <c r="P21"/>
  <c r="Q21" s="1"/>
  <c r="J22"/>
  <c r="M22"/>
  <c r="N23"/>
  <c r="O23" s="1"/>
  <c r="P23"/>
  <c r="Q23" s="1"/>
  <c r="J24"/>
  <c r="M24"/>
  <c r="J6"/>
  <c r="J8"/>
  <c r="J9"/>
  <c r="J11"/>
  <c r="J13"/>
  <c r="N17"/>
  <c r="N18"/>
  <c r="J19"/>
  <c r="N20"/>
  <c r="J21"/>
  <c r="J23"/>
  <c r="M100" i="12"/>
  <c r="M109"/>
  <c r="M108"/>
  <c r="M107"/>
  <c r="M106"/>
  <c r="M105"/>
  <c r="M104"/>
  <c r="M103"/>
  <c r="M102"/>
  <c r="M101"/>
  <c r="T1706" i="1"/>
  <c r="M87" i="12"/>
  <c r="P2509" i="1"/>
  <c r="M2515"/>
  <c r="M2514"/>
  <c r="M2513"/>
  <c r="M2509"/>
  <c r="J2509"/>
  <c r="G2509" s="1"/>
  <c r="CH96" i="19"/>
  <c r="CH95"/>
  <c r="CH94"/>
  <c r="AT96"/>
  <c r="AC96"/>
  <c r="V96"/>
  <c r="H96"/>
  <c r="AD95"/>
  <c r="AL94"/>
  <c r="O1706" i="1"/>
  <c r="Q24" i="22" l="1"/>
  <c r="O24"/>
  <c r="Q22"/>
  <c r="O22"/>
  <c r="Q20"/>
  <c r="O20"/>
  <c r="Q18"/>
  <c r="O18"/>
  <c r="Q17"/>
  <c r="O17"/>
  <c r="Q16"/>
  <c r="J2510" i="1"/>
  <c r="J2511" s="1"/>
  <c r="M2516"/>
  <c r="J94" i="18"/>
  <c r="I94"/>
  <c r="H94"/>
  <c r="G94"/>
  <c r="F94"/>
  <c r="E94"/>
  <c r="D94"/>
  <c r="BZ99" i="19"/>
  <c r="BY99"/>
  <c r="BW99"/>
  <c r="BV99"/>
  <c r="BQ29"/>
  <c r="BO98"/>
  <c r="BN98"/>
  <c r="BM98"/>
  <c r="BL98"/>
  <c r="BK98"/>
  <c r="BJ98"/>
  <c r="BI98"/>
  <c r="BH98"/>
  <c r="BG98"/>
  <c r="BF98"/>
  <c r="BE98"/>
  <c r="BD98"/>
  <c r="BC98"/>
  <c r="BB98"/>
  <c r="BA98"/>
  <c r="AZ98"/>
  <c r="AY98"/>
  <c r="AX98"/>
  <c r="AW98"/>
  <c r="AV98"/>
  <c r="AU98"/>
  <c r="AT98"/>
  <c r="AS98"/>
  <c r="AR98"/>
  <c r="AQ98"/>
  <c r="AP98"/>
  <c r="AO98"/>
  <c r="AN98"/>
  <c r="AM98"/>
  <c r="AL98"/>
  <c r="AK98"/>
  <c r="AJ98"/>
  <c r="AI98"/>
  <c r="AH98"/>
  <c r="AG98"/>
  <c r="AF98"/>
  <c r="AE98"/>
  <c r="AD98"/>
  <c r="AC98"/>
  <c r="AB98"/>
  <c r="AA98"/>
  <c r="Z98"/>
  <c r="Y98"/>
  <c r="X98"/>
  <c r="W98"/>
  <c r="V98"/>
  <c r="U98"/>
  <c r="T98"/>
  <c r="S98"/>
  <c r="R98"/>
  <c r="Q98"/>
  <c r="P98"/>
  <c r="O98"/>
  <c r="N98"/>
  <c r="M98"/>
  <c r="L98"/>
  <c r="K98"/>
  <c r="J98"/>
  <c r="I98"/>
  <c r="H98"/>
  <c r="G98"/>
  <c r="F98"/>
  <c r="E98"/>
  <c r="D98"/>
  <c r="BO97"/>
  <c r="BO99" s="1"/>
  <c r="BN97"/>
  <c r="BN99" s="1"/>
  <c r="BM97"/>
  <c r="BM99" s="1"/>
  <c r="BL97"/>
  <c r="BL99" s="1"/>
  <c r="BK97"/>
  <c r="BK99" s="1"/>
  <c r="BJ97"/>
  <c r="BJ99" s="1"/>
  <c r="BI97"/>
  <c r="BI99" s="1"/>
  <c r="BH97"/>
  <c r="BH99" s="1"/>
  <c r="BG97"/>
  <c r="BG99" s="1"/>
  <c r="BF97"/>
  <c r="BF99" s="1"/>
  <c r="BE97"/>
  <c r="BE99" s="1"/>
  <c r="BD97"/>
  <c r="BD99" s="1"/>
  <c r="BC97"/>
  <c r="BC99" s="1"/>
  <c r="BB97"/>
  <c r="BB99" s="1"/>
  <c r="BA97"/>
  <c r="BA99" s="1"/>
  <c r="AZ97"/>
  <c r="AZ99" s="1"/>
  <c r="AY97"/>
  <c r="AY99" s="1"/>
  <c r="AX97"/>
  <c r="AX99" s="1"/>
  <c r="AW97"/>
  <c r="AW99" s="1"/>
  <c r="AV97"/>
  <c r="AV99" s="1"/>
  <c r="AU97"/>
  <c r="AU99" s="1"/>
  <c r="AT97"/>
  <c r="AT99" s="1"/>
  <c r="AS97"/>
  <c r="AS99" s="1"/>
  <c r="AR97"/>
  <c r="AR99" s="1"/>
  <c r="AQ97"/>
  <c r="AQ99" s="1"/>
  <c r="AP97"/>
  <c r="AP99" s="1"/>
  <c r="AO97"/>
  <c r="AO99" s="1"/>
  <c r="AN97"/>
  <c r="AN99" s="1"/>
  <c r="AM97"/>
  <c r="AM99" s="1"/>
  <c r="AL97"/>
  <c r="AL99" s="1"/>
  <c r="AK97"/>
  <c r="AK99" s="1"/>
  <c r="AJ97"/>
  <c r="AJ99" s="1"/>
  <c r="AI97"/>
  <c r="AI99" s="1"/>
  <c r="AH97"/>
  <c r="AH99" s="1"/>
  <c r="AG97"/>
  <c r="AG99" s="1"/>
  <c r="AF97"/>
  <c r="AF99" s="1"/>
  <c r="AE97"/>
  <c r="AE99" s="1"/>
  <c r="AD97"/>
  <c r="AD99" s="1"/>
  <c r="AC97"/>
  <c r="AC99" s="1"/>
  <c r="AB97"/>
  <c r="AB99" s="1"/>
  <c r="AA97"/>
  <c r="AA99" s="1"/>
  <c r="Z97"/>
  <c r="Z99" s="1"/>
  <c r="Y97"/>
  <c r="Y99" s="1"/>
  <c r="X97"/>
  <c r="X99" s="1"/>
  <c r="W97"/>
  <c r="W99" s="1"/>
  <c r="V97"/>
  <c r="V99" s="1"/>
  <c r="U97"/>
  <c r="U99" s="1"/>
  <c r="T97"/>
  <c r="T99" s="1"/>
  <c r="S97"/>
  <c r="S99" s="1"/>
  <c r="R97"/>
  <c r="R99" s="1"/>
  <c r="Q97"/>
  <c r="Q99" s="1"/>
  <c r="P97"/>
  <c r="P99" s="1"/>
  <c r="O97"/>
  <c r="O99" s="1"/>
  <c r="N97"/>
  <c r="N99" s="1"/>
  <c r="M97"/>
  <c r="M99" s="1"/>
  <c r="L97"/>
  <c r="L99" s="1"/>
  <c r="K97"/>
  <c r="K99" s="1"/>
  <c r="J97"/>
  <c r="J99" s="1"/>
  <c r="I97"/>
  <c r="I99" s="1"/>
  <c r="H97"/>
  <c r="H99" s="1"/>
  <c r="G97"/>
  <c r="G99" s="1"/>
  <c r="F97"/>
  <c r="F99" s="1"/>
  <c r="E97"/>
  <c r="E99" s="1"/>
  <c r="D97"/>
  <c r="D99" s="1"/>
  <c r="CC96"/>
  <c r="CB96"/>
  <c r="BW96"/>
  <c r="BV96"/>
  <c r="BQ96"/>
  <c r="BP96"/>
  <c r="B96"/>
  <c r="CC95"/>
  <c r="CB95"/>
  <c r="BW95"/>
  <c r="BV95"/>
  <c r="BQ95"/>
  <c r="BP95"/>
  <c r="B95"/>
  <c r="CC94"/>
  <c r="CB94"/>
  <c r="BW94"/>
  <c r="BV94"/>
  <c r="BQ94"/>
  <c r="BP94"/>
  <c r="B94"/>
  <c r="CC93"/>
  <c r="CB93"/>
  <c r="BW93"/>
  <c r="BV93"/>
  <c r="BQ93"/>
  <c r="BP93"/>
  <c r="B93"/>
  <c r="CC92"/>
  <c r="CB92"/>
  <c r="BW92"/>
  <c r="BV92"/>
  <c r="BQ92"/>
  <c r="BP92"/>
  <c r="B92"/>
  <c r="CC91"/>
  <c r="CB91"/>
  <c r="BW91"/>
  <c r="BV91"/>
  <c r="BQ91"/>
  <c r="BP91"/>
  <c r="B91"/>
  <c r="CC90"/>
  <c r="CB90"/>
  <c r="BW90"/>
  <c r="BV90"/>
  <c r="BQ90"/>
  <c r="BP90"/>
  <c r="B90"/>
  <c r="CC89"/>
  <c r="CB89"/>
  <c r="BW89"/>
  <c r="BV89"/>
  <c r="BQ89"/>
  <c r="BP89"/>
  <c r="B89"/>
  <c r="CC88"/>
  <c r="CB88"/>
  <c r="BW88"/>
  <c r="BV88"/>
  <c r="BQ88"/>
  <c r="BP88"/>
  <c r="B88"/>
  <c r="CC87"/>
  <c r="CB87"/>
  <c r="BW87"/>
  <c r="BV87"/>
  <c r="BQ87"/>
  <c r="BP87"/>
  <c r="B87"/>
  <c r="CC86"/>
  <c r="CB86"/>
  <c r="BW86"/>
  <c r="BV86"/>
  <c r="BQ86"/>
  <c r="BP86"/>
  <c r="B86"/>
  <c r="CC85"/>
  <c r="CB85"/>
  <c r="BW85"/>
  <c r="BV85"/>
  <c r="BQ85"/>
  <c r="BP85"/>
  <c r="B85"/>
  <c r="CC84"/>
  <c r="CB84"/>
  <c r="BW84"/>
  <c r="BV84"/>
  <c r="BQ84"/>
  <c r="BP84"/>
  <c r="B84"/>
  <c r="CC83"/>
  <c r="CB83"/>
  <c r="BW83"/>
  <c r="BV83"/>
  <c r="BQ83"/>
  <c r="BP83"/>
  <c r="B83"/>
  <c r="CC82"/>
  <c r="CB82"/>
  <c r="BW82"/>
  <c r="BV82"/>
  <c r="BQ82"/>
  <c r="BP82"/>
  <c r="B82"/>
  <c r="CC81"/>
  <c r="CB81"/>
  <c r="BW81"/>
  <c r="BV81"/>
  <c r="BQ81"/>
  <c r="BP81"/>
  <c r="B81"/>
  <c r="CC80"/>
  <c r="CB80"/>
  <c r="BW80"/>
  <c r="BV80"/>
  <c r="BQ80"/>
  <c r="BP80"/>
  <c r="B80"/>
  <c r="CC79"/>
  <c r="CB79"/>
  <c r="BW79"/>
  <c r="BV79"/>
  <c r="BQ79"/>
  <c r="BP79"/>
  <c r="B79"/>
  <c r="CC78"/>
  <c r="CB78"/>
  <c r="BW78"/>
  <c r="BV78"/>
  <c r="BQ78"/>
  <c r="BP78"/>
  <c r="B78"/>
  <c r="CC77"/>
  <c r="CB77"/>
  <c r="BW77"/>
  <c r="BV77"/>
  <c r="BQ77"/>
  <c r="BP77"/>
  <c r="B77"/>
  <c r="CC76"/>
  <c r="CB76"/>
  <c r="BW76"/>
  <c r="BV76"/>
  <c r="BQ76"/>
  <c r="BP76"/>
  <c r="B76"/>
  <c r="CC75"/>
  <c r="CB75"/>
  <c r="BW75"/>
  <c r="BV75"/>
  <c r="BQ75"/>
  <c r="BP75"/>
  <c r="B75"/>
  <c r="CC74"/>
  <c r="CB74"/>
  <c r="BW74"/>
  <c r="BV74"/>
  <c r="BQ74"/>
  <c r="BP74"/>
  <c r="B74"/>
  <c r="CC73"/>
  <c r="CB73"/>
  <c r="BW73"/>
  <c r="BV73"/>
  <c r="BQ73"/>
  <c r="BP73"/>
  <c r="B73"/>
  <c r="CC72"/>
  <c r="CB72"/>
  <c r="BW72"/>
  <c r="BV72"/>
  <c r="BQ72"/>
  <c r="BP72"/>
  <c r="B72"/>
  <c r="CC71"/>
  <c r="CB71"/>
  <c r="BW71"/>
  <c r="BV71"/>
  <c r="BQ71"/>
  <c r="BP71"/>
  <c r="B71"/>
  <c r="CC70"/>
  <c r="CF71" s="1"/>
  <c r="CB70"/>
  <c r="BW70"/>
  <c r="BV70"/>
  <c r="BQ70"/>
  <c r="BP70"/>
  <c r="B70"/>
  <c r="CC69"/>
  <c r="CB69"/>
  <c r="BW69"/>
  <c r="BV69"/>
  <c r="BQ69"/>
  <c r="BP69"/>
  <c r="B69"/>
  <c r="CC68"/>
  <c r="CF69" s="1"/>
  <c r="CB68"/>
  <c r="BW68"/>
  <c r="BV68"/>
  <c r="BQ68"/>
  <c r="BP68"/>
  <c r="B68"/>
  <c r="CC67"/>
  <c r="CF68" s="1"/>
  <c r="CB67"/>
  <c r="BW67"/>
  <c r="BV67"/>
  <c r="BV97" s="1"/>
  <c r="BQ67"/>
  <c r="BR67" s="1"/>
  <c r="BR96" s="1"/>
  <c r="BP67"/>
  <c r="B67"/>
  <c r="BO60"/>
  <c r="BN60"/>
  <c r="BM60"/>
  <c r="BL60"/>
  <c r="BK60"/>
  <c r="BJ60"/>
  <c r="BI60"/>
  <c r="BH60"/>
  <c r="BG60"/>
  <c r="BF60"/>
  <c r="BE60"/>
  <c r="BD60"/>
  <c r="BC60"/>
  <c r="BB60"/>
  <c r="BA60"/>
  <c r="AZ60"/>
  <c r="AY60"/>
  <c r="AX60"/>
  <c r="AW60"/>
  <c r="AV60"/>
  <c r="AU60"/>
  <c r="AT60"/>
  <c r="AS60"/>
  <c r="AR60"/>
  <c r="AQ60"/>
  <c r="AP60"/>
  <c r="AO60"/>
  <c r="AN60"/>
  <c r="AM60"/>
  <c r="AL60"/>
  <c r="AK60"/>
  <c r="AJ60"/>
  <c r="AI60"/>
  <c r="AH60"/>
  <c r="AG60"/>
  <c r="AF60"/>
  <c r="AE60"/>
  <c r="AD60"/>
  <c r="AC60"/>
  <c r="AB60"/>
  <c r="AA60"/>
  <c r="Z60"/>
  <c r="Y60"/>
  <c r="X60"/>
  <c r="W60"/>
  <c r="V60"/>
  <c r="U60"/>
  <c r="T60"/>
  <c r="S60"/>
  <c r="R60"/>
  <c r="Q60"/>
  <c r="P60"/>
  <c r="O60"/>
  <c r="N60"/>
  <c r="M60"/>
  <c r="L60"/>
  <c r="K60"/>
  <c r="J60"/>
  <c r="I60"/>
  <c r="H60"/>
  <c r="G60"/>
  <c r="F60"/>
  <c r="E60"/>
  <c r="D60"/>
  <c r="BO59"/>
  <c r="BO61" s="1"/>
  <c r="BN59"/>
  <c r="BN61" s="1"/>
  <c r="BM59"/>
  <c r="BM61" s="1"/>
  <c r="BL59"/>
  <c r="BL61" s="1"/>
  <c r="BK59"/>
  <c r="BK61" s="1"/>
  <c r="BJ59"/>
  <c r="BJ61" s="1"/>
  <c r="BI59"/>
  <c r="BI61" s="1"/>
  <c r="BH59"/>
  <c r="BH61" s="1"/>
  <c r="BG59"/>
  <c r="BG61" s="1"/>
  <c r="BF59"/>
  <c r="BF61" s="1"/>
  <c r="BE59"/>
  <c r="BE61" s="1"/>
  <c r="BD59"/>
  <c r="BD61" s="1"/>
  <c r="BC59"/>
  <c r="BC61" s="1"/>
  <c r="BB59"/>
  <c r="BB61" s="1"/>
  <c r="BA59"/>
  <c r="BA61" s="1"/>
  <c r="AZ59"/>
  <c r="AZ61" s="1"/>
  <c r="AY59"/>
  <c r="AY61" s="1"/>
  <c r="AX59"/>
  <c r="AX61" s="1"/>
  <c r="AW59"/>
  <c r="AW61" s="1"/>
  <c r="AV59"/>
  <c r="AV61" s="1"/>
  <c r="AU59"/>
  <c r="AU61" s="1"/>
  <c r="AT59"/>
  <c r="AT61" s="1"/>
  <c r="AS59"/>
  <c r="AS61" s="1"/>
  <c r="AR59"/>
  <c r="AR61" s="1"/>
  <c r="AQ59"/>
  <c r="AQ61" s="1"/>
  <c r="AP59"/>
  <c r="AP61" s="1"/>
  <c r="AO59"/>
  <c r="AO61" s="1"/>
  <c r="AN59"/>
  <c r="AN61" s="1"/>
  <c r="AM59"/>
  <c r="AM61" s="1"/>
  <c r="AL59"/>
  <c r="AL61" s="1"/>
  <c r="AK59"/>
  <c r="AK61" s="1"/>
  <c r="AJ59"/>
  <c r="AJ61" s="1"/>
  <c r="AI59"/>
  <c r="AI61" s="1"/>
  <c r="AH59"/>
  <c r="AH61" s="1"/>
  <c r="AG59"/>
  <c r="AG61" s="1"/>
  <c r="AF59"/>
  <c r="AF61" s="1"/>
  <c r="AE59"/>
  <c r="AE61" s="1"/>
  <c r="AD59"/>
  <c r="AD61" s="1"/>
  <c r="AC59"/>
  <c r="AC61" s="1"/>
  <c r="AB59"/>
  <c r="AB61" s="1"/>
  <c r="AA59"/>
  <c r="AA61" s="1"/>
  <c r="Z59"/>
  <c r="Z61" s="1"/>
  <c r="Y59"/>
  <c r="Y61" s="1"/>
  <c r="X59"/>
  <c r="X61" s="1"/>
  <c r="W59"/>
  <c r="W61" s="1"/>
  <c r="V59"/>
  <c r="V61" s="1"/>
  <c r="U59"/>
  <c r="U61" s="1"/>
  <c r="T59"/>
  <c r="T61" s="1"/>
  <c r="S59"/>
  <c r="S61" s="1"/>
  <c r="R59"/>
  <c r="R61" s="1"/>
  <c r="Q59"/>
  <c r="Q61" s="1"/>
  <c r="P59"/>
  <c r="P61" s="1"/>
  <c r="O59"/>
  <c r="O61" s="1"/>
  <c r="N59"/>
  <c r="N61" s="1"/>
  <c r="M59"/>
  <c r="M61" s="1"/>
  <c r="L59"/>
  <c r="L61" s="1"/>
  <c r="K59"/>
  <c r="K61" s="1"/>
  <c r="J59"/>
  <c r="J61" s="1"/>
  <c r="I59"/>
  <c r="I61" s="1"/>
  <c r="H59"/>
  <c r="H61" s="1"/>
  <c r="G59"/>
  <c r="G61" s="1"/>
  <c r="F59"/>
  <c r="F61" s="1"/>
  <c r="E59"/>
  <c r="E61" s="1"/>
  <c r="D59"/>
  <c r="D61" s="1"/>
  <c r="CC58"/>
  <c r="CB58"/>
  <c r="CB59" s="1"/>
  <c r="BW58"/>
  <c r="BV58"/>
  <c r="BQ58"/>
  <c r="CC57"/>
  <c r="CB57"/>
  <c r="BW57"/>
  <c r="BV57"/>
  <c r="BQ57"/>
  <c r="BP57"/>
  <c r="B57"/>
  <c r="CC56"/>
  <c r="CB56"/>
  <c r="BW56"/>
  <c r="BV56"/>
  <c r="BQ56"/>
  <c r="BP56"/>
  <c r="B56"/>
  <c r="CC55"/>
  <c r="CB55"/>
  <c r="BW55"/>
  <c r="BV55"/>
  <c r="BQ55"/>
  <c r="BP55"/>
  <c r="B55"/>
  <c r="CC54"/>
  <c r="CB54"/>
  <c r="BW54"/>
  <c r="BV54"/>
  <c r="BQ54"/>
  <c r="BP54"/>
  <c r="B54"/>
  <c r="CC53"/>
  <c r="CB53"/>
  <c r="BW53"/>
  <c r="BV53"/>
  <c r="BQ53"/>
  <c r="BP53"/>
  <c r="B53"/>
  <c r="CC52"/>
  <c r="CB52"/>
  <c r="BW52"/>
  <c r="BV52"/>
  <c r="BQ52"/>
  <c r="BP52"/>
  <c r="B52"/>
  <c r="CC51"/>
  <c r="CB51"/>
  <c r="BW51"/>
  <c r="BV51"/>
  <c r="BQ51"/>
  <c r="BP51"/>
  <c r="B51"/>
  <c r="CC50"/>
  <c r="CB50"/>
  <c r="BW50"/>
  <c r="BV50"/>
  <c r="BQ50"/>
  <c r="BP50"/>
  <c r="B50"/>
  <c r="CC49"/>
  <c r="CB49"/>
  <c r="BW49"/>
  <c r="BV49"/>
  <c r="BQ49"/>
  <c r="BP49"/>
  <c r="B49"/>
  <c r="CC48"/>
  <c r="CB48"/>
  <c r="BW48"/>
  <c r="BV48"/>
  <c r="BQ48"/>
  <c r="BP48"/>
  <c r="B48"/>
  <c r="CC47"/>
  <c r="CB47"/>
  <c r="BW47"/>
  <c r="BV47"/>
  <c r="BQ47"/>
  <c r="BP47"/>
  <c r="B47"/>
  <c r="CC46"/>
  <c r="CB46"/>
  <c r="BW46"/>
  <c r="BV46"/>
  <c r="BQ46"/>
  <c r="BP46"/>
  <c r="B46"/>
  <c r="CC45"/>
  <c r="CB45"/>
  <c r="BW45"/>
  <c r="BV45"/>
  <c r="BQ45"/>
  <c r="BP45"/>
  <c r="B45"/>
  <c r="CC44"/>
  <c r="CB44"/>
  <c r="BW44"/>
  <c r="BV44"/>
  <c r="BQ44"/>
  <c r="BP44"/>
  <c r="B44"/>
  <c r="CC43"/>
  <c r="CB43"/>
  <c r="BW43"/>
  <c r="BV43"/>
  <c r="BQ43"/>
  <c r="BP43"/>
  <c r="B43"/>
  <c r="CC42"/>
  <c r="CB42"/>
  <c r="BW42"/>
  <c r="BV42"/>
  <c r="BQ42"/>
  <c r="BP42"/>
  <c r="B42"/>
  <c r="CC41"/>
  <c r="CB41"/>
  <c r="BW41"/>
  <c r="BV41"/>
  <c r="BQ41"/>
  <c r="BP41"/>
  <c r="B41"/>
  <c r="CC40"/>
  <c r="CB40"/>
  <c r="BW40"/>
  <c r="BV40"/>
  <c r="BQ40"/>
  <c r="BP40"/>
  <c r="B40"/>
  <c r="CC39"/>
  <c r="CB39"/>
  <c r="BW39"/>
  <c r="BV39"/>
  <c r="BQ39"/>
  <c r="BP39"/>
  <c r="B39"/>
  <c r="CC38"/>
  <c r="CB38"/>
  <c r="BW38"/>
  <c r="BV38"/>
  <c r="BQ38"/>
  <c r="BP38"/>
  <c r="B38"/>
  <c r="CC37"/>
  <c r="CB37"/>
  <c r="BW37"/>
  <c r="BV37"/>
  <c r="BQ37"/>
  <c r="BP37"/>
  <c r="B37"/>
  <c r="CC36"/>
  <c r="CB36"/>
  <c r="BW36"/>
  <c r="BV36"/>
  <c r="BQ36"/>
  <c r="BP36"/>
  <c r="B36"/>
  <c r="CC35"/>
  <c r="CB35"/>
  <c r="BW35"/>
  <c r="BV35"/>
  <c r="BQ35"/>
  <c r="BP35"/>
  <c r="B35"/>
  <c r="CC34"/>
  <c r="CB34"/>
  <c r="BW34"/>
  <c r="BV34"/>
  <c r="BQ34"/>
  <c r="BP34"/>
  <c r="B34"/>
  <c r="CC33"/>
  <c r="CB33"/>
  <c r="BW33"/>
  <c r="BV33"/>
  <c r="BQ33"/>
  <c r="BP33"/>
  <c r="B33"/>
  <c r="CC32"/>
  <c r="CB32"/>
  <c r="BW32"/>
  <c r="BV32"/>
  <c r="BQ32"/>
  <c r="BP32"/>
  <c r="B32"/>
  <c r="CC31"/>
  <c r="CB31"/>
  <c r="BW31"/>
  <c r="BV31"/>
  <c r="BQ31"/>
  <c r="BP31"/>
  <c r="B31"/>
  <c r="CC30"/>
  <c r="CB30"/>
  <c r="BW30"/>
  <c r="BV30"/>
  <c r="BQ30"/>
  <c r="BP30"/>
  <c r="B30"/>
  <c r="CC29"/>
  <c r="CB29"/>
  <c r="BW29"/>
  <c r="BV29"/>
  <c r="BP29"/>
  <c r="B29"/>
  <c r="P91" i="18"/>
  <c r="O91"/>
  <c r="J91"/>
  <c r="I91"/>
  <c r="H91"/>
  <c r="G91"/>
  <c r="F91"/>
  <c r="E91"/>
  <c r="D91"/>
  <c r="P90"/>
  <c r="O90"/>
  <c r="J90"/>
  <c r="I90"/>
  <c r="H90"/>
  <c r="G90"/>
  <c r="F90"/>
  <c r="E90"/>
  <c r="D90"/>
  <c r="K89"/>
  <c r="K88"/>
  <c r="Q88" s="1"/>
  <c r="W88" s="1"/>
  <c r="K87"/>
  <c r="K86"/>
  <c r="K85"/>
  <c r="Q85" s="1"/>
  <c r="W85" s="1"/>
  <c r="K84"/>
  <c r="K83"/>
  <c r="Q83" s="1"/>
  <c r="K82"/>
  <c r="K81"/>
  <c r="Q81" s="1"/>
  <c r="W81" s="1"/>
  <c r="K80"/>
  <c r="K79"/>
  <c r="K78"/>
  <c r="K77"/>
  <c r="K76"/>
  <c r="K75"/>
  <c r="K74"/>
  <c r="K73"/>
  <c r="K72"/>
  <c r="K71"/>
  <c r="K70"/>
  <c r="K69"/>
  <c r="K68"/>
  <c r="K67"/>
  <c r="K66"/>
  <c r="K65"/>
  <c r="K64"/>
  <c r="K63"/>
  <c r="K62"/>
  <c r="K61"/>
  <c r="K60"/>
  <c r="P54"/>
  <c r="O54"/>
  <c r="J54"/>
  <c r="I54"/>
  <c r="H54"/>
  <c r="G54"/>
  <c r="F54"/>
  <c r="E54"/>
  <c r="D54"/>
  <c r="P51"/>
  <c r="O51"/>
  <c r="J51"/>
  <c r="I51"/>
  <c r="H51"/>
  <c r="G51"/>
  <c r="F51"/>
  <c r="E51"/>
  <c r="D51"/>
  <c r="P50"/>
  <c r="P52" s="1"/>
  <c r="O50"/>
  <c r="J50"/>
  <c r="I50"/>
  <c r="H50"/>
  <c r="G50"/>
  <c r="F50"/>
  <c r="E50"/>
  <c r="D50"/>
  <c r="K49"/>
  <c r="K48"/>
  <c r="K47"/>
  <c r="K46"/>
  <c r="K45"/>
  <c r="K44"/>
  <c r="Q44" s="1"/>
  <c r="K43"/>
  <c r="Q43" s="1"/>
  <c r="K42"/>
  <c r="Q42" s="1"/>
  <c r="K41"/>
  <c r="K40"/>
  <c r="Q40" s="1"/>
  <c r="K39"/>
  <c r="Q39" s="1"/>
  <c r="K38"/>
  <c r="K37"/>
  <c r="Q37" s="1"/>
  <c r="K36"/>
  <c r="K35"/>
  <c r="Q35" s="1"/>
  <c r="K34"/>
  <c r="K33"/>
  <c r="Q33" s="1"/>
  <c r="K32"/>
  <c r="K31"/>
  <c r="Q31" s="1"/>
  <c r="K30"/>
  <c r="K29"/>
  <c r="Q29" s="1"/>
  <c r="K28"/>
  <c r="K27"/>
  <c r="Q27" s="1"/>
  <c r="K26"/>
  <c r="K25"/>
  <c r="Q25" s="1"/>
  <c r="K24"/>
  <c r="K23"/>
  <c r="Q23" s="1"/>
  <c r="K22"/>
  <c r="K21"/>
  <c r="Q21" s="1"/>
  <c r="K20"/>
  <c r="K25" i="21"/>
  <c r="I25"/>
  <c r="H25"/>
  <c r="J25" s="1"/>
  <c r="K24"/>
  <c r="I24"/>
  <c r="N24" s="1"/>
  <c r="H24"/>
  <c r="K23"/>
  <c r="I23"/>
  <c r="H23"/>
  <c r="M23" s="1"/>
  <c r="K22"/>
  <c r="P22" s="1"/>
  <c r="I22"/>
  <c r="N22" s="1"/>
  <c r="H22"/>
  <c r="M22" s="1"/>
  <c r="K21"/>
  <c r="I21"/>
  <c r="H21"/>
  <c r="M21" s="1"/>
  <c r="K20"/>
  <c r="P20" s="1"/>
  <c r="I20"/>
  <c r="N20" s="1"/>
  <c r="H20"/>
  <c r="M20" s="1"/>
  <c r="K19"/>
  <c r="I19"/>
  <c r="H19"/>
  <c r="M19" s="1"/>
  <c r="K18"/>
  <c r="H18"/>
  <c r="P18" s="1"/>
  <c r="K17"/>
  <c r="H17"/>
  <c r="P17" s="1"/>
  <c r="K16"/>
  <c r="H16"/>
  <c r="P16" s="1"/>
  <c r="K15"/>
  <c r="H15"/>
  <c r="P15" s="1"/>
  <c r="X14"/>
  <c r="Y14" s="1"/>
  <c r="T14"/>
  <c r="K14"/>
  <c r="H14"/>
  <c r="M14" s="1"/>
  <c r="AI13"/>
  <c r="AH13"/>
  <c r="AF13"/>
  <c r="AE13"/>
  <c r="AG13" s="1"/>
  <c r="X13"/>
  <c r="W13"/>
  <c r="U13"/>
  <c r="T13"/>
  <c r="V13" s="1"/>
  <c r="K13"/>
  <c r="J13"/>
  <c r="H13"/>
  <c r="M13" s="1"/>
  <c r="AI12"/>
  <c r="AH12"/>
  <c r="AF12"/>
  <c r="AE12"/>
  <c r="AG12" s="1"/>
  <c r="X12"/>
  <c r="W12"/>
  <c r="U12"/>
  <c r="T12"/>
  <c r="V12" s="1"/>
  <c r="M12"/>
  <c r="Q12" s="1"/>
  <c r="K12"/>
  <c r="J12"/>
  <c r="H12"/>
  <c r="P12" s="1"/>
  <c r="AI11"/>
  <c r="AH11"/>
  <c r="AF11"/>
  <c r="AE11"/>
  <c r="AG11" s="1"/>
  <c r="X11"/>
  <c r="W11"/>
  <c r="U11"/>
  <c r="T11"/>
  <c r="V11" s="1"/>
  <c r="M11"/>
  <c r="K11"/>
  <c r="J11"/>
  <c r="H11"/>
  <c r="P11" s="1"/>
  <c r="AI10"/>
  <c r="AH10"/>
  <c r="AF10"/>
  <c r="AE10"/>
  <c r="AG10" s="1"/>
  <c r="X10"/>
  <c r="W10"/>
  <c r="T10"/>
  <c r="V10" s="1"/>
  <c r="M10"/>
  <c r="K10"/>
  <c r="J10"/>
  <c r="H10"/>
  <c r="P10" s="1"/>
  <c r="AI9"/>
  <c r="AH9"/>
  <c r="AE9"/>
  <c r="AG9" s="1"/>
  <c r="AJ9" s="1"/>
  <c r="X9"/>
  <c r="W9"/>
  <c r="T9"/>
  <c r="V9" s="1"/>
  <c r="M9"/>
  <c r="K9"/>
  <c r="J9"/>
  <c r="H9"/>
  <c r="P9" s="1"/>
  <c r="AI8"/>
  <c r="AH8"/>
  <c r="AE8"/>
  <c r="AG8" s="1"/>
  <c r="X8"/>
  <c r="W8"/>
  <c r="T8"/>
  <c r="V8" s="1"/>
  <c r="M8"/>
  <c r="K8"/>
  <c r="J8"/>
  <c r="H8"/>
  <c r="P8" s="1"/>
  <c r="AI7"/>
  <c r="AH7"/>
  <c r="AE7"/>
  <c r="AG7" s="1"/>
  <c r="AJ7" s="1"/>
  <c r="X7"/>
  <c r="W7"/>
  <c r="T7"/>
  <c r="V7" s="1"/>
  <c r="M7"/>
  <c r="K7"/>
  <c r="J7"/>
  <c r="H7"/>
  <c r="P7" s="1"/>
  <c r="AI6"/>
  <c r="AH6"/>
  <c r="AE6"/>
  <c r="AG6" s="1"/>
  <c r="AJ6" s="1"/>
  <c r="X6"/>
  <c r="W6"/>
  <c r="T6"/>
  <c r="V6" s="1"/>
  <c r="Y6" s="1"/>
  <c r="M6"/>
  <c r="K6"/>
  <c r="J6"/>
  <c r="H6"/>
  <c r="P6" s="1"/>
  <c r="AI5"/>
  <c r="AH5"/>
  <c r="AE5"/>
  <c r="AG5" s="1"/>
  <c r="AJ5" s="1"/>
  <c r="X5"/>
  <c r="W5"/>
  <c r="T5"/>
  <c r="V5" s="1"/>
  <c r="Y5" s="1"/>
  <c r="H5"/>
  <c r="M5" s="1"/>
  <c r="W83" i="18" l="1"/>
  <c r="L20"/>
  <c r="T44"/>
  <c r="Y9" i="21"/>
  <c r="Y8"/>
  <c r="Y7"/>
  <c r="AJ8"/>
  <c r="CF96" i="19"/>
  <c r="CF95"/>
  <c r="CB60"/>
  <c r="CB61" s="1"/>
  <c r="BR69"/>
  <c r="BR71"/>
  <c r="BR73"/>
  <c r="BR75"/>
  <c r="BR77"/>
  <c r="BR79"/>
  <c r="BR81"/>
  <c r="BR83"/>
  <c r="BR85"/>
  <c r="BR87"/>
  <c r="BR89"/>
  <c r="BR91"/>
  <c r="BR93"/>
  <c r="BR95"/>
  <c r="BR68"/>
  <c r="BR70"/>
  <c r="BR72"/>
  <c r="BR74"/>
  <c r="BR76"/>
  <c r="BR78"/>
  <c r="BR80"/>
  <c r="BR82"/>
  <c r="BR84"/>
  <c r="BR86"/>
  <c r="BR88"/>
  <c r="BR90"/>
  <c r="BR92"/>
  <c r="BR94"/>
  <c r="BP60"/>
  <c r="CF32"/>
  <c r="CF34"/>
  <c r="CF36"/>
  <c r="CF39"/>
  <c r="CF41"/>
  <c r="BZ44"/>
  <c r="CF45"/>
  <c r="CF47"/>
  <c r="CF49"/>
  <c r="CF51"/>
  <c r="CF53"/>
  <c r="BV59"/>
  <c r="BR29"/>
  <c r="CF55"/>
  <c r="CF57"/>
  <c r="CF72"/>
  <c r="CF74"/>
  <c r="CF76"/>
  <c r="CF78"/>
  <c r="CF80"/>
  <c r="CF82"/>
  <c r="CF84"/>
  <c r="CF86"/>
  <c r="CF88"/>
  <c r="CF90"/>
  <c r="CF92"/>
  <c r="BR56"/>
  <c r="BR54"/>
  <c r="BS54" s="1"/>
  <c r="BR52"/>
  <c r="BR50"/>
  <c r="BS50" s="1"/>
  <c r="BR48"/>
  <c r="BR46"/>
  <c r="BS46" s="1"/>
  <c r="BR44"/>
  <c r="BR42"/>
  <c r="BS42" s="1"/>
  <c r="BR40"/>
  <c r="BR38"/>
  <c r="BS38" s="1"/>
  <c r="BR36"/>
  <c r="BR34"/>
  <c r="BS34" s="1"/>
  <c r="BR32"/>
  <c r="BR30"/>
  <c r="BS30" s="1"/>
  <c r="BR57"/>
  <c r="BR55"/>
  <c r="BS55" s="1"/>
  <c r="BR53"/>
  <c r="BR51"/>
  <c r="BS51" s="1"/>
  <c r="BR49"/>
  <c r="BR47"/>
  <c r="BS47" s="1"/>
  <c r="BR45"/>
  <c r="BR43"/>
  <c r="BS43" s="1"/>
  <c r="BR41"/>
  <c r="BR39"/>
  <c r="BR37"/>
  <c r="BR35"/>
  <c r="BS35" s="1"/>
  <c r="BR33"/>
  <c r="BR31"/>
  <c r="BS31" s="1"/>
  <c r="CG30"/>
  <c r="CF31"/>
  <c r="BS33"/>
  <c r="BS37"/>
  <c r="CG37"/>
  <c r="BS39"/>
  <c r="BS41"/>
  <c r="BS45"/>
  <c r="BS49"/>
  <c r="BS53"/>
  <c r="BS57"/>
  <c r="BZ68"/>
  <c r="CF70"/>
  <c r="CG71"/>
  <c r="CG73"/>
  <c r="CG75"/>
  <c r="CG77"/>
  <c r="CG79"/>
  <c r="CG81"/>
  <c r="CG83"/>
  <c r="CG85"/>
  <c r="CG87"/>
  <c r="CG89"/>
  <c r="CG91"/>
  <c r="CG93"/>
  <c r="CF94"/>
  <c r="CG96"/>
  <c r="BZ58"/>
  <c r="BQ59"/>
  <c r="BW60"/>
  <c r="CC59"/>
  <c r="BS32"/>
  <c r="CF33"/>
  <c r="CF35"/>
  <c r="BS36"/>
  <c r="CF37"/>
  <c r="CF38"/>
  <c r="BS40"/>
  <c r="CF40"/>
  <c r="CF42"/>
  <c r="BS44"/>
  <c r="CF44"/>
  <c r="CF46"/>
  <c r="BS48"/>
  <c r="CF48"/>
  <c r="CF50"/>
  <c r="BS52"/>
  <c r="CF52"/>
  <c r="CF54"/>
  <c r="CF56"/>
  <c r="CG58"/>
  <c r="BT68"/>
  <c r="CG72"/>
  <c r="CF73"/>
  <c r="CG74"/>
  <c r="CF75"/>
  <c r="CG76"/>
  <c r="CF77"/>
  <c r="CG78"/>
  <c r="CF79"/>
  <c r="CG80"/>
  <c r="CF81"/>
  <c r="CG82"/>
  <c r="CF83"/>
  <c r="CG84"/>
  <c r="CF85"/>
  <c r="CG86"/>
  <c r="CF87"/>
  <c r="CG88"/>
  <c r="CF89"/>
  <c r="CG90"/>
  <c r="CF91"/>
  <c r="CG92"/>
  <c r="CF93"/>
  <c r="BS29"/>
  <c r="BX29"/>
  <c r="BX30" s="1"/>
  <c r="BY30" s="1"/>
  <c r="BX36"/>
  <c r="BY36" s="1"/>
  <c r="BX44"/>
  <c r="BY44" s="1"/>
  <c r="BX52"/>
  <c r="BY52" s="1"/>
  <c r="L48" i="18"/>
  <c r="L46"/>
  <c r="L44"/>
  <c r="L42"/>
  <c r="L40"/>
  <c r="L38"/>
  <c r="L36"/>
  <c r="L34"/>
  <c r="L32"/>
  <c r="L30"/>
  <c r="L28"/>
  <c r="L26"/>
  <c r="L24"/>
  <c r="L22"/>
  <c r="L49"/>
  <c r="L47"/>
  <c r="L45"/>
  <c r="L43"/>
  <c r="L41"/>
  <c r="L39"/>
  <c r="L37"/>
  <c r="L35"/>
  <c r="L33"/>
  <c r="L31"/>
  <c r="L29"/>
  <c r="L27"/>
  <c r="L25"/>
  <c r="L23"/>
  <c r="L21"/>
  <c r="K91"/>
  <c r="CF98" i="19"/>
  <c r="CD96"/>
  <c r="CD95"/>
  <c r="CD94"/>
  <c r="CD93"/>
  <c r="CD92"/>
  <c r="CD91"/>
  <c r="CD90"/>
  <c r="CD89"/>
  <c r="CD88"/>
  <c r="CD87"/>
  <c r="CD86"/>
  <c r="CD85"/>
  <c r="CD84"/>
  <c r="CD83"/>
  <c r="CD82"/>
  <c r="CD81"/>
  <c r="CD80"/>
  <c r="CD79"/>
  <c r="CD78"/>
  <c r="CD77"/>
  <c r="CD76"/>
  <c r="CD75"/>
  <c r="CD74"/>
  <c r="CD73"/>
  <c r="CD72"/>
  <c r="CD71"/>
  <c r="BW98"/>
  <c r="BW97"/>
  <c r="BX67"/>
  <c r="CD29"/>
  <c r="CG29"/>
  <c r="BZ30"/>
  <c r="BZ31"/>
  <c r="CG31"/>
  <c r="BZ32"/>
  <c r="CG32"/>
  <c r="BZ33"/>
  <c r="CG33"/>
  <c r="BZ34"/>
  <c r="CG34"/>
  <c r="BZ35"/>
  <c r="CG35"/>
  <c r="BZ36"/>
  <c r="CG36"/>
  <c r="BZ37"/>
  <c r="BZ38"/>
  <c r="CG38"/>
  <c r="BZ39"/>
  <c r="CG39"/>
  <c r="BZ40"/>
  <c r="CG40"/>
  <c r="BZ41"/>
  <c r="CG41"/>
  <c r="BZ42"/>
  <c r="CG42"/>
  <c r="BZ43"/>
  <c r="CG43"/>
  <c r="CG44"/>
  <c r="BZ45"/>
  <c r="CG45"/>
  <c r="BZ46"/>
  <c r="CG46"/>
  <c r="BZ47"/>
  <c r="CG47"/>
  <c r="BZ48"/>
  <c r="CG48"/>
  <c r="BZ49"/>
  <c r="CG49"/>
  <c r="BZ50"/>
  <c r="CG50"/>
  <c r="BZ51"/>
  <c r="CG51"/>
  <c r="BZ52"/>
  <c r="CG52"/>
  <c r="BZ53"/>
  <c r="CG53"/>
  <c r="BZ54"/>
  <c r="CG54"/>
  <c r="BZ55"/>
  <c r="CG55"/>
  <c r="BZ56"/>
  <c r="CG56"/>
  <c r="BZ57"/>
  <c r="CG57"/>
  <c r="CF58"/>
  <c r="BP59"/>
  <c r="BP61" s="1"/>
  <c r="BW59"/>
  <c r="BW61" s="1"/>
  <c r="BQ60"/>
  <c r="BQ61" s="1"/>
  <c r="BV60"/>
  <c r="CC60"/>
  <c r="BQ98"/>
  <c r="CB97"/>
  <c r="CG68"/>
  <c r="CG69"/>
  <c r="CG70"/>
  <c r="BS94"/>
  <c r="BS92"/>
  <c r="BS90"/>
  <c r="BS88"/>
  <c r="BS86"/>
  <c r="BS84"/>
  <c r="BS82"/>
  <c r="BS80"/>
  <c r="BS78"/>
  <c r="BS76"/>
  <c r="BS74"/>
  <c r="BS72"/>
  <c r="BS71"/>
  <c r="BS70"/>
  <c r="BS69"/>
  <c r="BS68"/>
  <c r="BP97"/>
  <c r="BP98"/>
  <c r="CC98"/>
  <c r="CC97"/>
  <c r="CG67"/>
  <c r="CD67"/>
  <c r="CE67" s="1"/>
  <c r="BY29"/>
  <c r="CE29"/>
  <c r="CF30"/>
  <c r="CF43"/>
  <c r="BS56"/>
  <c r="CD68"/>
  <c r="BT69"/>
  <c r="BZ69"/>
  <c r="CD69"/>
  <c r="BT70"/>
  <c r="BZ70"/>
  <c r="CD70"/>
  <c r="BT71"/>
  <c r="BZ71"/>
  <c r="BS73"/>
  <c r="BS75"/>
  <c r="BS77"/>
  <c r="BS79"/>
  <c r="BS81"/>
  <c r="BS83"/>
  <c r="BS85"/>
  <c r="BS87"/>
  <c r="BS89"/>
  <c r="BS91"/>
  <c r="BS93"/>
  <c r="BS95"/>
  <c r="BS67"/>
  <c r="CE68"/>
  <c r="CE69"/>
  <c r="CE70"/>
  <c r="CE71"/>
  <c r="BT72"/>
  <c r="BZ72"/>
  <c r="CE72"/>
  <c r="BT73"/>
  <c r="BZ73"/>
  <c r="CE73"/>
  <c r="BT74"/>
  <c r="BZ74"/>
  <c r="CE74"/>
  <c r="BT75"/>
  <c r="BZ75"/>
  <c r="CE75"/>
  <c r="BT76"/>
  <c r="BZ76"/>
  <c r="CE76"/>
  <c r="BT77"/>
  <c r="BZ77"/>
  <c r="CE77"/>
  <c r="BT78"/>
  <c r="BZ78"/>
  <c r="CE78"/>
  <c r="BT79"/>
  <c r="BZ79"/>
  <c r="CE79"/>
  <c r="BT80"/>
  <c r="BZ80"/>
  <c r="CE80"/>
  <c r="BT81"/>
  <c r="BZ81"/>
  <c r="CE81"/>
  <c r="BT82"/>
  <c r="BZ82"/>
  <c r="CE82"/>
  <c r="BT83"/>
  <c r="BZ83"/>
  <c r="CE83"/>
  <c r="BT84"/>
  <c r="BZ84"/>
  <c r="CE84"/>
  <c r="BT85"/>
  <c r="BZ85"/>
  <c r="CE85"/>
  <c r="BT86"/>
  <c r="BZ86"/>
  <c r="CE86"/>
  <c r="BT87"/>
  <c r="BZ87"/>
  <c r="CE87"/>
  <c r="BT88"/>
  <c r="BZ88"/>
  <c r="CE88"/>
  <c r="BT89"/>
  <c r="BZ89"/>
  <c r="CE89"/>
  <c r="BT90"/>
  <c r="BZ90"/>
  <c r="CE90"/>
  <c r="BT91"/>
  <c r="BZ91"/>
  <c r="CE91"/>
  <c r="BT92"/>
  <c r="BZ92"/>
  <c r="CE92"/>
  <c r="BT93"/>
  <c r="BZ93"/>
  <c r="CE93"/>
  <c r="BT94"/>
  <c r="BZ94"/>
  <c r="CE94"/>
  <c r="CG94"/>
  <c r="BT95"/>
  <c r="BZ95"/>
  <c r="CE95"/>
  <c r="CG95"/>
  <c r="BT96"/>
  <c r="BZ96"/>
  <c r="CE96"/>
  <c r="BQ97"/>
  <c r="BQ99" s="1"/>
  <c r="BV98"/>
  <c r="CB98"/>
  <c r="BS96"/>
  <c r="Q22" i="18"/>
  <c r="Q24"/>
  <c r="Q26"/>
  <c r="Q28"/>
  <c r="Q30"/>
  <c r="Q32"/>
  <c r="Q34"/>
  <c r="Q36"/>
  <c r="Q38"/>
  <c r="Q45"/>
  <c r="Q86"/>
  <c r="W86" s="1"/>
  <c r="D52"/>
  <c r="F52"/>
  <c r="H52"/>
  <c r="J52"/>
  <c r="D92"/>
  <c r="F92"/>
  <c r="H92"/>
  <c r="J92"/>
  <c r="P92"/>
  <c r="Q41"/>
  <c r="Q47"/>
  <c r="Q49"/>
  <c r="E52"/>
  <c r="G52"/>
  <c r="I52"/>
  <c r="O52"/>
  <c r="Q84"/>
  <c r="W84" s="1"/>
  <c r="Q87"/>
  <c r="W87" s="1"/>
  <c r="Q89"/>
  <c r="W89" s="1"/>
  <c r="E92"/>
  <c r="G92"/>
  <c r="I92"/>
  <c r="O92"/>
  <c r="K51"/>
  <c r="K50"/>
  <c r="T41"/>
  <c r="T85"/>
  <c r="T88"/>
  <c r="T40"/>
  <c r="T43"/>
  <c r="Q20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2"/>
  <c r="T45"/>
  <c r="Q46"/>
  <c r="T47" s="1"/>
  <c r="Q48"/>
  <c r="T49" s="1"/>
  <c r="Q60"/>
  <c r="W60" s="1"/>
  <c r="Q61"/>
  <c r="W61" s="1"/>
  <c r="Q62"/>
  <c r="W62" s="1"/>
  <c r="Q63"/>
  <c r="W63" s="1"/>
  <c r="Q64"/>
  <c r="W64" s="1"/>
  <c r="Q65"/>
  <c r="W65" s="1"/>
  <c r="Q66"/>
  <c r="W66" s="1"/>
  <c r="Q67"/>
  <c r="W67" s="1"/>
  <c r="Q68"/>
  <c r="W68" s="1"/>
  <c r="Q69"/>
  <c r="W69" s="1"/>
  <c r="Q70"/>
  <c r="W70" s="1"/>
  <c r="Q71"/>
  <c r="W71" s="1"/>
  <c r="Q72"/>
  <c r="W72" s="1"/>
  <c r="Q73"/>
  <c r="W73" s="1"/>
  <c r="Q74"/>
  <c r="W74" s="1"/>
  <c r="Q75"/>
  <c r="W75" s="1"/>
  <c r="Q76"/>
  <c r="W76" s="1"/>
  <c r="Q77"/>
  <c r="W77" s="1"/>
  <c r="Q78"/>
  <c r="W78" s="1"/>
  <c r="Q79"/>
  <c r="W79" s="1"/>
  <c r="Q80"/>
  <c r="Q82"/>
  <c r="T84"/>
  <c r="T86"/>
  <c r="T87"/>
  <c r="T89"/>
  <c r="K90"/>
  <c r="Y10" i="21"/>
  <c r="AJ10"/>
  <c r="Y11"/>
  <c r="Y12"/>
  <c r="AJ12"/>
  <c r="AJ11"/>
  <c r="Q6"/>
  <c r="Q7"/>
  <c r="Q8"/>
  <c r="Q9"/>
  <c r="Q10"/>
  <c r="Q11"/>
  <c r="Q20"/>
  <c r="O20"/>
  <c r="Q22"/>
  <c r="O22"/>
  <c r="Y13"/>
  <c r="AJ13"/>
  <c r="J5"/>
  <c r="P13"/>
  <c r="Q13" s="1"/>
  <c r="P14"/>
  <c r="Q14" s="1"/>
  <c r="J15"/>
  <c r="M15"/>
  <c r="Q15" s="1"/>
  <c r="J16"/>
  <c r="M16"/>
  <c r="J17"/>
  <c r="M17"/>
  <c r="J18"/>
  <c r="M18"/>
  <c r="N19"/>
  <c r="O19" s="1"/>
  <c r="P19"/>
  <c r="Q19" s="1"/>
  <c r="J20"/>
  <c r="N21"/>
  <c r="O21" s="1"/>
  <c r="P21"/>
  <c r="Q21" s="1"/>
  <c r="J22"/>
  <c r="N23"/>
  <c r="O23" s="1"/>
  <c r="P23"/>
  <c r="Q23" s="1"/>
  <c r="J24"/>
  <c r="M24"/>
  <c r="J14"/>
  <c r="N17"/>
  <c r="N18"/>
  <c r="J19"/>
  <c r="J21"/>
  <c r="J23"/>
  <c r="T81" i="18" l="1"/>
  <c r="W80"/>
  <c r="T83"/>
  <c r="W82"/>
  <c r="X83"/>
  <c r="CC99" i="19"/>
  <c r="CB99"/>
  <c r="BV61"/>
  <c r="BX56"/>
  <c r="BY56" s="1"/>
  <c r="BX48"/>
  <c r="BY48" s="1"/>
  <c r="BX40"/>
  <c r="BY40" s="1"/>
  <c r="BX32"/>
  <c r="BY32" s="1"/>
  <c r="CC61"/>
  <c r="BY67"/>
  <c r="BX95"/>
  <c r="BY95" s="1"/>
  <c r="BX93"/>
  <c r="BY93" s="1"/>
  <c r="BX91"/>
  <c r="BY91" s="1"/>
  <c r="BX89"/>
  <c r="BY89" s="1"/>
  <c r="BX87"/>
  <c r="BY87" s="1"/>
  <c r="BX85"/>
  <c r="BY85" s="1"/>
  <c r="BX83"/>
  <c r="BY83" s="1"/>
  <c r="BX81"/>
  <c r="BY81" s="1"/>
  <c r="BX79"/>
  <c r="BY79" s="1"/>
  <c r="BX77"/>
  <c r="BY77" s="1"/>
  <c r="BX75"/>
  <c r="BY75" s="1"/>
  <c r="BX73"/>
  <c r="BY73" s="1"/>
  <c r="BX71"/>
  <c r="BY71" s="1"/>
  <c r="BX69"/>
  <c r="BY69" s="1"/>
  <c r="BX96"/>
  <c r="BY96" s="1"/>
  <c r="BX94"/>
  <c r="BY94" s="1"/>
  <c r="BX92"/>
  <c r="BY92" s="1"/>
  <c r="BX90"/>
  <c r="BY90" s="1"/>
  <c r="BX88"/>
  <c r="BY88" s="1"/>
  <c r="BX86"/>
  <c r="BY86" s="1"/>
  <c r="BX84"/>
  <c r="BY84" s="1"/>
  <c r="BX82"/>
  <c r="BY82" s="1"/>
  <c r="BX80"/>
  <c r="BY80" s="1"/>
  <c r="BX78"/>
  <c r="BY78" s="1"/>
  <c r="BX76"/>
  <c r="BY76" s="1"/>
  <c r="BX74"/>
  <c r="BY74" s="1"/>
  <c r="BX72"/>
  <c r="BY72" s="1"/>
  <c r="BX70"/>
  <c r="BY70" s="1"/>
  <c r="BX68"/>
  <c r="BY68" s="1"/>
  <c r="BX54"/>
  <c r="BY54" s="1"/>
  <c r="BX50"/>
  <c r="BY50" s="1"/>
  <c r="BX46"/>
  <c r="BY46" s="1"/>
  <c r="BX42"/>
  <c r="BY42" s="1"/>
  <c r="BX38"/>
  <c r="BY38" s="1"/>
  <c r="BX34"/>
  <c r="BY34" s="1"/>
  <c r="CF97"/>
  <c r="CF99" s="1"/>
  <c r="CD57"/>
  <c r="CE57" s="1"/>
  <c r="CD55"/>
  <c r="CE55" s="1"/>
  <c r="CD53"/>
  <c r="CE53" s="1"/>
  <c r="CD51"/>
  <c r="CE51" s="1"/>
  <c r="CD49"/>
  <c r="CE49" s="1"/>
  <c r="CD47"/>
  <c r="CE47" s="1"/>
  <c r="CD45"/>
  <c r="CE45" s="1"/>
  <c r="CD43"/>
  <c r="CE43" s="1"/>
  <c r="CD41"/>
  <c r="CE41" s="1"/>
  <c r="CD39"/>
  <c r="CE39" s="1"/>
  <c r="CD37"/>
  <c r="CE37" s="1"/>
  <c r="CD35"/>
  <c r="CE35" s="1"/>
  <c r="CD33"/>
  <c r="CE33" s="1"/>
  <c r="CD31"/>
  <c r="CE31" s="1"/>
  <c r="CD58"/>
  <c r="CE58" s="1"/>
  <c r="CD56"/>
  <c r="CE56" s="1"/>
  <c r="CD54"/>
  <c r="CE54" s="1"/>
  <c r="CD52"/>
  <c r="CE52" s="1"/>
  <c r="CD50"/>
  <c r="CE50" s="1"/>
  <c r="CD48"/>
  <c r="CE48" s="1"/>
  <c r="CD46"/>
  <c r="CE46" s="1"/>
  <c r="CD44"/>
  <c r="CE44" s="1"/>
  <c r="CD42"/>
  <c r="CE42" s="1"/>
  <c r="CD40"/>
  <c r="CE40" s="1"/>
  <c r="CD38"/>
  <c r="CE38" s="1"/>
  <c r="CD36"/>
  <c r="CE36" s="1"/>
  <c r="CD34"/>
  <c r="CE34" s="1"/>
  <c r="CD32"/>
  <c r="CE32" s="1"/>
  <c r="CD30"/>
  <c r="CE30" s="1"/>
  <c r="BX58"/>
  <c r="BY58" s="1"/>
  <c r="BX55"/>
  <c r="BY55" s="1"/>
  <c r="BX51"/>
  <c r="BY51" s="1"/>
  <c r="BX47"/>
  <c r="BY47" s="1"/>
  <c r="BX43"/>
  <c r="BY43" s="1"/>
  <c r="BX39"/>
  <c r="BY39" s="1"/>
  <c r="BX35"/>
  <c r="BY35" s="1"/>
  <c r="BX31"/>
  <c r="BY31" s="1"/>
  <c r="BX57"/>
  <c r="BY57" s="1"/>
  <c r="BX53"/>
  <c r="BY53" s="1"/>
  <c r="BX49"/>
  <c r="BY49" s="1"/>
  <c r="BX45"/>
  <c r="BY45" s="1"/>
  <c r="BX41"/>
  <c r="BY41" s="1"/>
  <c r="BX37"/>
  <c r="BY37" s="1"/>
  <c r="BX33"/>
  <c r="BY33" s="1"/>
  <c r="BZ97"/>
  <c r="BT97"/>
  <c r="T21" i="18"/>
  <c r="R48"/>
  <c r="R46"/>
  <c r="R44"/>
  <c r="R42"/>
  <c r="R40"/>
  <c r="R38"/>
  <c r="R36"/>
  <c r="R34"/>
  <c r="R32"/>
  <c r="R30"/>
  <c r="R28"/>
  <c r="R26"/>
  <c r="R24"/>
  <c r="R22"/>
  <c r="R20"/>
  <c r="R49"/>
  <c r="R47"/>
  <c r="R45"/>
  <c r="R43"/>
  <c r="R41"/>
  <c r="R39"/>
  <c r="R37"/>
  <c r="R35"/>
  <c r="R33"/>
  <c r="R31"/>
  <c r="R29"/>
  <c r="R27"/>
  <c r="R25"/>
  <c r="R23"/>
  <c r="R21"/>
  <c r="CE97" i="19"/>
  <c r="CE98"/>
  <c r="BS97"/>
  <c r="BS99" s="1"/>
  <c r="BS98"/>
  <c r="CE60"/>
  <c r="BS60"/>
  <c r="BS59"/>
  <c r="CG97"/>
  <c r="CG98"/>
  <c r="CG60"/>
  <c r="CG59"/>
  <c r="BY97"/>
  <c r="BY98"/>
  <c r="BZ98"/>
  <c r="BT98"/>
  <c r="BP99"/>
  <c r="CF59"/>
  <c r="CF60"/>
  <c r="BY60"/>
  <c r="BZ60"/>
  <c r="BZ59"/>
  <c r="T80" i="18"/>
  <c r="T78"/>
  <c r="T76"/>
  <c r="T74"/>
  <c r="T72"/>
  <c r="T70"/>
  <c r="R92"/>
  <c r="T69"/>
  <c r="T68"/>
  <c r="T67"/>
  <c r="T66"/>
  <c r="T65"/>
  <c r="T64"/>
  <c r="T63"/>
  <c r="T62"/>
  <c r="T61"/>
  <c r="R91"/>
  <c r="Q91"/>
  <c r="Q90"/>
  <c r="K92"/>
  <c r="L69" s="1"/>
  <c r="M69" s="1"/>
  <c r="K52"/>
  <c r="T82"/>
  <c r="T79"/>
  <c r="T77"/>
  <c r="T75"/>
  <c r="T73"/>
  <c r="T71"/>
  <c r="T48"/>
  <c r="T46"/>
  <c r="Q51"/>
  <c r="Q50"/>
  <c r="R51"/>
  <c r="L85"/>
  <c r="M85" s="1"/>
  <c r="L81"/>
  <c r="M81" s="1"/>
  <c r="L89"/>
  <c r="M89" s="1"/>
  <c r="L86"/>
  <c r="M86" s="1"/>
  <c r="L80"/>
  <c r="M80" s="1"/>
  <c r="L78"/>
  <c r="M78" s="1"/>
  <c r="L76"/>
  <c r="M76" s="1"/>
  <c r="L74"/>
  <c r="M74" s="1"/>
  <c r="L72"/>
  <c r="M72" s="1"/>
  <c r="R52"/>
  <c r="M20"/>
  <c r="Q24" i="21"/>
  <c r="O24"/>
  <c r="Q18"/>
  <c r="O18"/>
  <c r="Q17"/>
  <c r="O17"/>
  <c r="Q16"/>
  <c r="CE99" i="19" l="1"/>
  <c r="BT99"/>
  <c r="CG99"/>
  <c r="BY59"/>
  <c r="CE59"/>
  <c r="Q52" i="18"/>
  <c r="L75"/>
  <c r="M75" s="1"/>
  <c r="L84"/>
  <c r="M84" s="1"/>
  <c r="S20"/>
  <c r="L88"/>
  <c r="M88" s="1"/>
  <c r="L71"/>
  <c r="M71" s="1"/>
  <c r="L79"/>
  <c r="M79" s="1"/>
  <c r="Q92"/>
  <c r="R89" s="1"/>
  <c r="S89" s="1"/>
  <c r="L73"/>
  <c r="M73" s="1"/>
  <c r="L77"/>
  <c r="M77" s="1"/>
  <c r="L82"/>
  <c r="M82" s="1"/>
  <c r="L87"/>
  <c r="M87" s="1"/>
  <c r="R81"/>
  <c r="S81" s="1"/>
  <c r="R85"/>
  <c r="S85" s="1"/>
  <c r="R60"/>
  <c r="S60" s="1"/>
  <c r="R62"/>
  <c r="S62" s="1"/>
  <c r="R64"/>
  <c r="S64" s="1"/>
  <c r="R66"/>
  <c r="S66" s="1"/>
  <c r="R68"/>
  <c r="S68" s="1"/>
  <c r="R70"/>
  <c r="S70" s="1"/>
  <c r="R72"/>
  <c r="S72" s="1"/>
  <c r="R74"/>
  <c r="S74" s="1"/>
  <c r="R76"/>
  <c r="S76" s="1"/>
  <c r="R78"/>
  <c r="S78" s="1"/>
  <c r="R80"/>
  <c r="S80" s="1"/>
  <c r="R84"/>
  <c r="S84" s="1"/>
  <c r="R87"/>
  <c r="S87" s="1"/>
  <c r="L60"/>
  <c r="M60" s="1"/>
  <c r="L62"/>
  <c r="M62" s="1"/>
  <c r="L64"/>
  <c r="M64" s="1"/>
  <c r="L66"/>
  <c r="M66" s="1"/>
  <c r="L68"/>
  <c r="M68" s="1"/>
  <c r="L70"/>
  <c r="M70" s="1"/>
  <c r="L83"/>
  <c r="M83" s="1"/>
  <c r="R83"/>
  <c r="S83" s="1"/>
  <c r="R88"/>
  <c r="S88" s="1"/>
  <c r="R61"/>
  <c r="S61" s="1"/>
  <c r="R63"/>
  <c r="S63" s="1"/>
  <c r="R65"/>
  <c r="S65" s="1"/>
  <c r="R67"/>
  <c r="S67" s="1"/>
  <c r="R69"/>
  <c r="S69" s="1"/>
  <c r="R71"/>
  <c r="S71" s="1"/>
  <c r="R73"/>
  <c r="S73" s="1"/>
  <c r="R75"/>
  <c r="S75" s="1"/>
  <c r="R77"/>
  <c r="S77" s="1"/>
  <c r="R79"/>
  <c r="S79" s="1"/>
  <c r="R82"/>
  <c r="S82" s="1"/>
  <c r="R86"/>
  <c r="S86" s="1"/>
  <c r="L61"/>
  <c r="M61" s="1"/>
  <c r="L63"/>
  <c r="M63" s="1"/>
  <c r="L65"/>
  <c r="M65" s="1"/>
  <c r="L67"/>
  <c r="M67" s="1"/>
  <c r="AN109" i="4"/>
  <c r="AN108"/>
  <c r="AN107"/>
  <c r="AN106"/>
  <c r="AN105"/>
  <c r="AN104"/>
  <c r="AN103"/>
  <c r="AN102"/>
  <c r="AN101"/>
  <c r="AN100"/>
  <c r="AN99"/>
  <c r="AN98"/>
  <c r="AN97"/>
  <c r="AN96"/>
  <c r="AN95"/>
  <c r="AN94"/>
  <c r="AN93"/>
  <c r="AN92"/>
  <c r="AN91"/>
  <c r="AN90"/>
  <c r="AN89"/>
  <c r="AN88"/>
  <c r="AN87"/>
  <c r="AN86"/>
  <c r="AN85"/>
  <c r="AN84"/>
  <c r="AN83"/>
  <c r="AN82"/>
  <c r="AN81"/>
  <c r="AN80"/>
  <c r="V1105" i="1"/>
  <c r="W1105" s="1"/>
  <c r="U1105"/>
  <c r="T1105"/>
  <c r="V1104"/>
  <c r="W1104" s="1"/>
  <c r="U1104"/>
  <c r="T1104"/>
  <c r="V1103"/>
  <c r="W1103" s="1"/>
  <c r="U1103"/>
  <c r="T1103"/>
  <c r="V1102"/>
  <c r="W1102" s="1"/>
  <c r="U1102"/>
  <c r="T1102"/>
  <c r="V1101"/>
  <c r="W1101" s="1"/>
  <c r="U1101"/>
  <c r="T1101"/>
  <c r="V1100"/>
  <c r="W1100" s="1"/>
  <c r="U1100"/>
  <c r="T1100"/>
  <c r="F1105"/>
  <c r="G1105" s="1"/>
  <c r="F1104"/>
  <c r="G1104" s="1"/>
  <c r="F1103"/>
  <c r="G1103" s="1"/>
  <c r="F1102"/>
  <c r="G1102" s="1"/>
  <c r="F1101"/>
  <c r="G1101" s="1"/>
  <c r="F1100"/>
  <c r="G1100" s="1"/>
  <c r="V865"/>
  <c r="W865" s="1"/>
  <c r="U865"/>
  <c r="T865"/>
  <c r="V864"/>
  <c r="W864" s="1"/>
  <c r="U864"/>
  <c r="T864"/>
  <c r="V863"/>
  <c r="W863" s="1"/>
  <c r="U863"/>
  <c r="F865"/>
  <c r="G865" s="1"/>
  <c r="F864"/>
  <c r="G864" s="1"/>
  <c r="F863"/>
  <c r="G863" s="1"/>
  <c r="V724"/>
  <c r="W724" s="1"/>
  <c r="U724"/>
  <c r="V723"/>
  <c r="W723" s="1"/>
  <c r="U723"/>
  <c r="V722"/>
  <c r="W722" s="1"/>
  <c r="U722"/>
  <c r="T722"/>
  <c r="V721"/>
  <c r="W721" s="1"/>
  <c r="U721"/>
  <c r="T721"/>
  <c r="V720"/>
  <c r="W720" s="1"/>
  <c r="U720"/>
  <c r="T720"/>
  <c r="F724"/>
  <c r="G724" s="1"/>
  <c r="F723"/>
  <c r="G723" s="1"/>
  <c r="F722"/>
  <c r="G722" s="1"/>
  <c r="F721"/>
  <c r="G721" s="1"/>
  <c r="F720"/>
  <c r="G720" s="1"/>
  <c r="V605"/>
  <c r="W605" s="1"/>
  <c r="U605"/>
  <c r="T605"/>
  <c r="V604"/>
  <c r="W604" s="1"/>
  <c r="U604"/>
  <c r="T604"/>
  <c r="V603"/>
  <c r="W603" s="1"/>
  <c r="U603"/>
  <c r="T603"/>
  <c r="V602"/>
  <c r="W602" s="1"/>
  <c r="U602"/>
  <c r="T602"/>
  <c r="V601"/>
  <c r="W601" s="1"/>
  <c r="U601"/>
  <c r="T601"/>
  <c r="V600"/>
  <c r="W600" s="1"/>
  <c r="U600"/>
  <c r="T600"/>
  <c r="V480"/>
  <c r="W480" s="1"/>
  <c r="U480"/>
  <c r="T480"/>
  <c r="V485"/>
  <c r="W485" s="1"/>
  <c r="U485"/>
  <c r="F485"/>
  <c r="G485" s="1"/>
  <c r="F480"/>
  <c r="G480" s="1"/>
  <c r="V362"/>
  <c r="W362" s="1"/>
  <c r="U362"/>
  <c r="V361"/>
  <c r="W361" s="1"/>
  <c r="U361"/>
  <c r="T361"/>
  <c r="V360"/>
  <c r="W360" s="1"/>
  <c r="U360"/>
  <c r="T360"/>
  <c r="F362"/>
  <c r="G362" s="1"/>
  <c r="F361"/>
  <c r="G361" s="1"/>
  <c r="F360"/>
  <c r="G360" s="1"/>
  <c r="V120"/>
  <c r="W120" s="1"/>
  <c r="U120"/>
  <c r="T120"/>
  <c r="V119"/>
  <c r="W119" s="1"/>
  <c r="U119"/>
  <c r="T119"/>
  <c r="V118"/>
  <c r="W118" s="1"/>
  <c r="U118"/>
  <c r="T118"/>
  <c r="V117"/>
  <c r="W117" s="1"/>
  <c r="U117"/>
  <c r="T117"/>
  <c r="V116"/>
  <c r="W116" s="1"/>
  <c r="U116"/>
  <c r="T116"/>
  <c r="F120"/>
  <c r="G120" s="1"/>
  <c r="F119"/>
  <c r="G119" s="1"/>
  <c r="F118"/>
  <c r="G118" s="1"/>
  <c r="F117"/>
  <c r="G117" s="1"/>
  <c r="F116"/>
  <c r="G116" s="1"/>
  <c r="AL123" i="4"/>
  <c r="AK123"/>
  <c r="AL122"/>
  <c r="AK122"/>
  <c r="Z100"/>
  <c r="AA79"/>
  <c r="AA96"/>
  <c r="AB97"/>
  <c r="AB82"/>
  <c r="AJ113"/>
  <c r="Z107"/>
  <c r="AA93"/>
  <c r="AB99"/>
  <c r="AB100"/>
  <c r="Z111"/>
  <c r="Z104"/>
  <c r="AA87"/>
  <c r="AA115"/>
  <c r="AA116"/>
  <c r="AB90"/>
  <c r="Z81"/>
  <c r="AA89"/>
  <c r="AA90"/>
  <c r="AB107"/>
  <c r="AB108"/>
  <c r="AJ118"/>
  <c r="Z92"/>
  <c r="Z114"/>
  <c r="AA80"/>
  <c r="AB81"/>
  <c r="AJ115"/>
  <c r="Z101"/>
  <c r="AA97"/>
  <c r="AA98"/>
  <c r="AB83"/>
  <c r="AB84"/>
  <c r="AJ120"/>
  <c r="Z96"/>
  <c r="Z118"/>
  <c r="AA120"/>
  <c r="AB121"/>
  <c r="Z83"/>
  <c r="Z105"/>
  <c r="Z119"/>
  <c r="AA117"/>
  <c r="AB91"/>
  <c r="AB92"/>
  <c r="Z115"/>
  <c r="Z116"/>
  <c r="AA111"/>
  <c r="AB85"/>
  <c r="AB86"/>
  <c r="AB114"/>
  <c r="Z93"/>
  <c r="AA81"/>
  <c r="AA82"/>
  <c r="AB88"/>
  <c r="AJ119"/>
  <c r="Z90"/>
  <c r="Z120"/>
  <c r="AA119"/>
  <c r="AA104"/>
  <c r="AB105"/>
  <c r="AJ111"/>
  <c r="Z97"/>
  <c r="AA121"/>
  <c r="AB78"/>
  <c r="AB96"/>
  <c r="AJ121"/>
  <c r="Z94"/>
  <c r="Z108"/>
  <c r="AA95"/>
  <c r="AA112"/>
  <c r="AB113"/>
  <c r="AB103"/>
  <c r="Z95"/>
  <c r="Z117"/>
  <c r="AA86"/>
  <c r="AB87"/>
  <c r="AB115"/>
  <c r="AB116"/>
  <c r="Z82"/>
  <c r="Z112"/>
  <c r="AA103"/>
  <c r="AB109"/>
  <c r="AB110"/>
  <c r="Z99"/>
  <c r="Z121"/>
  <c r="AA105"/>
  <c r="AA106"/>
  <c r="AB80"/>
  <c r="AJ117"/>
  <c r="Z86"/>
  <c r="AA99"/>
  <c r="AA100"/>
  <c r="AB117"/>
  <c r="AB118"/>
  <c r="Z87"/>
  <c r="Z109"/>
  <c r="AA113"/>
  <c r="AA114"/>
  <c r="AB120"/>
  <c r="Z84"/>
  <c r="Z106"/>
  <c r="AA107"/>
  <c r="AA108"/>
  <c r="AB93"/>
  <c r="AB94"/>
  <c r="Z91"/>
  <c r="AJ112"/>
  <c r="AA110"/>
  <c r="AB111"/>
  <c r="AJ116"/>
  <c r="Z88"/>
  <c r="Z110"/>
  <c r="AA83"/>
  <c r="AA84"/>
  <c r="AB101"/>
  <c r="AB102"/>
  <c r="AJ110"/>
  <c r="AA101"/>
  <c r="AA118"/>
  <c r="AB119"/>
  <c r="AB104"/>
  <c r="Z113"/>
  <c r="Z98"/>
  <c r="AA91"/>
  <c r="AA92"/>
  <c r="AB98"/>
  <c r="Z85"/>
  <c r="AJ114"/>
  <c r="AA109"/>
  <c r="AA94"/>
  <c r="AB95"/>
  <c r="AB112"/>
  <c r="Z80"/>
  <c r="Z102"/>
  <c r="AA88"/>
  <c r="AB89"/>
  <c r="AB106"/>
  <c r="Z89"/>
  <c r="Z103"/>
  <c r="AA85"/>
  <c r="AA102"/>
  <c r="AN113" l="1"/>
  <c r="AN112"/>
  <c r="AN117"/>
  <c r="AN119"/>
  <c r="AN121"/>
  <c r="AN111"/>
  <c r="AN115"/>
  <c r="AN110"/>
  <c r="AN114"/>
  <c r="AN116"/>
  <c r="AN118"/>
  <c r="AN120"/>
  <c r="M91" i="18"/>
  <c r="M90"/>
  <c r="AG111" i="4"/>
  <c r="AG113"/>
  <c r="AG115"/>
  <c r="AG80"/>
  <c r="AG81"/>
  <c r="AG82"/>
  <c r="AG83"/>
  <c r="AG84"/>
  <c r="AG85"/>
  <c r="AG86"/>
  <c r="AG87"/>
  <c r="AG88"/>
  <c r="AG89"/>
  <c r="AG90"/>
  <c r="AG91"/>
  <c r="AG92"/>
  <c r="AG93"/>
  <c r="AG94"/>
  <c r="AG95"/>
  <c r="AG96"/>
  <c r="AG97"/>
  <c r="AG98"/>
  <c r="AG99"/>
  <c r="AG100"/>
  <c r="AG101"/>
  <c r="AG102"/>
  <c r="AG103"/>
  <c r="AG104"/>
  <c r="AG105"/>
  <c r="AG106"/>
  <c r="AG107"/>
  <c r="AG108"/>
  <c r="AG109"/>
  <c r="AG110"/>
  <c r="AG112"/>
  <c r="AG114"/>
  <c r="AG116"/>
  <c r="AG117"/>
  <c r="AG118"/>
  <c r="AG119"/>
  <c r="AG120"/>
  <c r="AG121"/>
  <c r="E15" i="29" l="1"/>
  <c r="E56" s="1"/>
  <c r="B15" i="23"/>
  <c r="F14" i="29"/>
  <c r="F33" s="1"/>
  <c r="C14" i="23"/>
  <c r="F13" i="29"/>
  <c r="F55" s="1"/>
  <c r="C13" i="23"/>
  <c r="E14" i="29"/>
  <c r="E33" s="1"/>
  <c r="B14" i="23"/>
  <c r="E13" i="29"/>
  <c r="E55" s="1"/>
  <c r="B13" i="23"/>
  <c r="F15" i="29"/>
  <c r="F56" s="1"/>
  <c r="C15" i="23"/>
  <c r="AN79" i="4"/>
  <c r="AN78"/>
  <c r="AN77"/>
  <c r="AN76"/>
  <c r="AN75"/>
  <c r="AN74"/>
  <c r="AN73"/>
  <c r="AN72"/>
  <c r="AN71"/>
  <c r="AN70"/>
  <c r="AN69"/>
  <c r="AN68"/>
  <c r="AN67"/>
  <c r="AN66"/>
  <c r="AN65"/>
  <c r="AN64"/>
  <c r="AN63"/>
  <c r="AN62"/>
  <c r="AN61"/>
  <c r="AN60"/>
  <c r="AN59"/>
  <c r="AN58"/>
  <c r="AN57"/>
  <c r="AN56"/>
  <c r="AN55"/>
  <c r="AN54"/>
  <c r="AN53"/>
  <c r="AN52"/>
  <c r="AN51"/>
  <c r="AN50"/>
  <c r="AN49"/>
  <c r="AN48"/>
  <c r="AN47"/>
  <c r="AN46"/>
  <c r="AN45"/>
  <c r="AN44"/>
  <c r="AN43"/>
  <c r="AN42"/>
  <c r="AN41"/>
  <c r="AN40"/>
  <c r="AN39"/>
  <c r="AN38"/>
  <c r="AN37"/>
  <c r="AN36"/>
  <c r="AN35"/>
  <c r="AN34"/>
  <c r="AN33"/>
  <c r="AN32"/>
  <c r="AN31"/>
  <c r="AN30"/>
  <c r="AN29"/>
  <c r="AN28"/>
  <c r="AN27"/>
  <c r="AN26"/>
  <c r="AN25"/>
  <c r="AN24"/>
  <c r="AN23"/>
  <c r="AN22"/>
  <c r="AN21"/>
  <c r="AN20"/>
  <c r="AN19"/>
  <c r="AN18"/>
  <c r="AN17"/>
  <c r="AN16"/>
  <c r="AN15"/>
  <c r="AN14"/>
  <c r="AB44"/>
  <c r="AB42"/>
  <c r="Z70"/>
  <c r="AA56"/>
  <c r="Z71"/>
  <c r="AA75"/>
  <c r="Z59"/>
  <c r="Z48"/>
  <c r="AA50"/>
  <c r="Z8"/>
  <c r="AA42"/>
  <c r="Z7"/>
  <c r="Z22"/>
  <c r="AB72"/>
  <c r="AB58"/>
  <c r="AB68"/>
  <c r="AB54"/>
  <c r="AA46"/>
  <c r="AA52"/>
  <c r="AJ7"/>
  <c r="AA48"/>
  <c r="Z51"/>
  <c r="Z76"/>
  <c r="AA78"/>
  <c r="Z12"/>
  <c r="Z54"/>
  <c r="Z6"/>
  <c r="Z46"/>
  <c r="Z17"/>
  <c r="AB70"/>
  <c r="AA74"/>
  <c r="AB50"/>
  <c r="AA66"/>
  <c r="AA64"/>
  <c r="AJ5"/>
  <c r="AA51"/>
  <c r="Z79"/>
  <c r="AA47"/>
  <c r="AB40"/>
  <c r="Z10"/>
  <c r="Z34"/>
  <c r="AA68"/>
  <c r="Z26"/>
  <c r="AA39"/>
  <c r="AB71"/>
  <c r="Z28"/>
  <c r="AB63"/>
  <c r="Z24"/>
  <c r="AA49"/>
  <c r="Z37"/>
  <c r="Z43"/>
  <c r="Z33"/>
  <c r="Z11"/>
  <c r="AB67"/>
  <c r="AB45"/>
  <c r="Z58"/>
  <c r="AB41"/>
  <c r="Z18"/>
  <c r="AA67"/>
  <c r="AB48"/>
  <c r="Z40"/>
  <c r="AA77"/>
  <c r="Z20"/>
  <c r="AA69"/>
  <c r="Z49"/>
  <c r="Z35"/>
  <c r="AB60"/>
  <c r="Z27"/>
  <c r="AB52"/>
  <c r="AB57"/>
  <c r="Z50"/>
  <c r="AA44"/>
  <c r="Z42"/>
  <c r="AA40"/>
  <c r="Z39"/>
  <c r="Z36"/>
  <c r="AA62"/>
  <c r="Z32"/>
  <c r="AA61"/>
  <c r="Z77"/>
  <c r="Z63"/>
  <c r="AJ10"/>
  <c r="AA41"/>
  <c r="Z23"/>
  <c r="Z13"/>
  <c r="Z56"/>
  <c r="AA70"/>
  <c r="Z69"/>
  <c r="Z15"/>
  <c r="Z65"/>
  <c r="Z67"/>
  <c r="AJ12"/>
  <c r="AB77"/>
  <c r="AA38"/>
  <c r="AB73"/>
  <c r="Z78"/>
  <c r="AA60"/>
  <c r="Z47"/>
  <c r="Z72"/>
  <c r="AB55"/>
  <c r="Z52"/>
  <c r="AB47"/>
  <c r="Z5"/>
  <c r="AJ11"/>
  <c r="Z29"/>
  <c r="AJ8"/>
  <c r="Z25"/>
  <c r="AB46"/>
  <c r="AA73"/>
  <c r="AA76"/>
  <c r="AA65"/>
  <c r="AA72"/>
  <c r="AJ9"/>
  <c r="Z68"/>
  <c r="AB79"/>
  <c r="Z64"/>
  <c r="AB39"/>
  <c r="Z14"/>
  <c r="Z30"/>
  <c r="Z41"/>
  <c r="Z19"/>
  <c r="Z21"/>
  <c r="AB74"/>
  <c r="AA54"/>
  <c r="AB49"/>
  <c r="Z9"/>
  <c r="Z38"/>
  <c r="Z45"/>
  <c r="AB66"/>
  <c r="AB59"/>
  <c r="AB62"/>
  <c r="AA58"/>
  <c r="AB53"/>
  <c r="AJ13"/>
  <c r="AA63"/>
  <c r="AB76"/>
  <c r="AA43"/>
  <c r="AB64"/>
  <c r="Z16"/>
  <c r="Z74"/>
  <c r="Z61"/>
  <c r="Z66"/>
  <c r="Z57"/>
  <c r="Z55"/>
  <c r="AB51"/>
  <c r="AB69"/>
  <c r="AB43"/>
  <c r="AB65"/>
  <c r="Z62"/>
  <c r="AA59"/>
  <c r="Z31"/>
  <c r="AA55"/>
  <c r="AB56"/>
  <c r="Z44"/>
  <c r="AA53"/>
  <c r="Z73"/>
  <c r="AJ6"/>
  <c r="Z53"/>
  <c r="Z75"/>
  <c r="AB75"/>
  <c r="AB38"/>
  <c r="AA57"/>
  <c r="AB61"/>
  <c r="AA45"/>
  <c r="AA71"/>
  <c r="Z60"/>
  <c r="AE27"/>
  <c r="AE28"/>
  <c r="AE26"/>
  <c r="AE25"/>
  <c r="AE9"/>
  <c r="AE23"/>
  <c r="AE24"/>
  <c r="AJ122" l="1"/>
  <c r="AJ123"/>
  <c r="Z123"/>
  <c r="Z122"/>
  <c r="AN10"/>
  <c r="AN12"/>
  <c r="AG39"/>
  <c r="AG41"/>
  <c r="AG43"/>
  <c r="AG45"/>
  <c r="AG47"/>
  <c r="AG49"/>
  <c r="AG51"/>
  <c r="AG53"/>
  <c r="AG55"/>
  <c r="AG57"/>
  <c r="AG59"/>
  <c r="AG61"/>
  <c r="AG63"/>
  <c r="AG65"/>
  <c r="AG67"/>
  <c r="AG69"/>
  <c r="AG71"/>
  <c r="AG73"/>
  <c r="AG75"/>
  <c r="AG77"/>
  <c r="AG79"/>
  <c r="AN5"/>
  <c r="AN6"/>
  <c r="AN7"/>
  <c r="AN8"/>
  <c r="AN9"/>
  <c r="AN11"/>
  <c r="AN13"/>
  <c r="AG38"/>
  <c r="AG40"/>
  <c r="AG42"/>
  <c r="AG44"/>
  <c r="AG46"/>
  <c r="AG48"/>
  <c r="AG50"/>
  <c r="AG52"/>
  <c r="AG54"/>
  <c r="AG56"/>
  <c r="AG58"/>
  <c r="AG60"/>
  <c r="AG62"/>
  <c r="AG64"/>
  <c r="AG66"/>
  <c r="AG68"/>
  <c r="AG70"/>
  <c r="AG72"/>
  <c r="AG74"/>
  <c r="AG76"/>
  <c r="AG78"/>
  <c r="AF23"/>
  <c r="AF25"/>
  <c r="AF27"/>
  <c r="AF37"/>
  <c r="AF9"/>
  <c r="AF24"/>
  <c r="AF26"/>
  <c r="AF28"/>
  <c r="E12" i="29" l="1"/>
  <c r="E32" s="1"/>
  <c r="B12" i="23"/>
  <c r="E11" i="29"/>
  <c r="E54" s="1"/>
  <c r="B11" i="23"/>
  <c r="E10" i="29"/>
  <c r="E31" s="1"/>
  <c r="B10" i="23"/>
  <c r="E9" i="29"/>
  <c r="E53" s="1"/>
  <c r="B9" i="23"/>
  <c r="F12" i="29"/>
  <c r="F32" s="1"/>
  <c r="C12" i="23"/>
  <c r="F11" i="29"/>
  <c r="F54" s="1"/>
  <c r="C11" i="23"/>
  <c r="F10" i="29"/>
  <c r="F31" s="1"/>
  <c r="C10" i="23"/>
  <c r="F9" i="29"/>
  <c r="F53" s="1"/>
  <c r="C9" i="23"/>
  <c r="Z124" i="4"/>
  <c r="V1621" i="1"/>
  <c r="W1621" s="1"/>
  <c r="U1621"/>
  <c r="T1621"/>
  <c r="V1620"/>
  <c r="W1620" s="1"/>
  <c r="U1620"/>
  <c r="T1620"/>
  <c r="V1619"/>
  <c r="W1619" s="1"/>
  <c r="U1619"/>
  <c r="T1619"/>
  <c r="V1261"/>
  <c r="W1261" s="1"/>
  <c r="U1261"/>
  <c r="T1261"/>
  <c r="V1260"/>
  <c r="W1260" s="1"/>
  <c r="U1260"/>
  <c r="T1260"/>
  <c r="V1259"/>
  <c r="W1259" s="1"/>
  <c r="U1259"/>
  <c r="T1259"/>
  <c r="V1258"/>
  <c r="W1258" s="1"/>
  <c r="U1258"/>
  <c r="T1258"/>
  <c r="V1257"/>
  <c r="W1257" s="1"/>
  <c r="U1257"/>
  <c r="T1257"/>
  <c r="V1256"/>
  <c r="W1256" s="1"/>
  <c r="U1256"/>
  <c r="T1256"/>
  <c r="F1261"/>
  <c r="G1261" s="1"/>
  <c r="F1260"/>
  <c r="G1260" s="1"/>
  <c r="F1259"/>
  <c r="G1259" s="1"/>
  <c r="F1258"/>
  <c r="G1258" s="1"/>
  <c r="F1257"/>
  <c r="G1257" s="1"/>
  <c r="F1256"/>
  <c r="G1256" s="1"/>
  <c r="V2341"/>
  <c r="W2341" s="1"/>
  <c r="U2341"/>
  <c r="T2341"/>
  <c r="V2340"/>
  <c r="W2340" s="1"/>
  <c r="U2340"/>
  <c r="T2340"/>
  <c r="V2339"/>
  <c r="W2339" s="1"/>
  <c r="U2339"/>
  <c r="T2339"/>
  <c r="V2338"/>
  <c r="W2338" s="1"/>
  <c r="U2338"/>
  <c r="T2338"/>
  <c r="V2337"/>
  <c r="W2337" s="1"/>
  <c r="U2337"/>
  <c r="T2337"/>
  <c r="V2336"/>
  <c r="W2336" s="1"/>
  <c r="U2336"/>
  <c r="T2336"/>
  <c r="F2341"/>
  <c r="G2341" s="1"/>
  <c r="F2340"/>
  <c r="G2340" s="1"/>
  <c r="F2339"/>
  <c r="G2339" s="1"/>
  <c r="F2338"/>
  <c r="G2338" s="1"/>
  <c r="F2337"/>
  <c r="G2337" s="1"/>
  <c r="F2336"/>
  <c r="G2336" s="1"/>
  <c r="V985"/>
  <c r="W985" s="1"/>
  <c r="U985"/>
  <c r="T985"/>
  <c r="V984"/>
  <c r="W984" s="1"/>
  <c r="U984"/>
  <c r="T984"/>
  <c r="V983"/>
  <c r="W983" s="1"/>
  <c r="U983"/>
  <c r="T983"/>
  <c r="V982"/>
  <c r="W982" s="1"/>
  <c r="U982"/>
  <c r="T982"/>
  <c r="V981"/>
  <c r="W981" s="1"/>
  <c r="U981"/>
  <c r="T981"/>
  <c r="V980"/>
  <c r="W980" s="1"/>
  <c r="U980"/>
  <c r="T980"/>
  <c r="F980"/>
  <c r="G980" s="1"/>
  <c r="F985"/>
  <c r="G985" s="1"/>
  <c r="F984"/>
  <c r="G984" s="1"/>
  <c r="F983"/>
  <c r="G983" s="1"/>
  <c r="F982"/>
  <c r="G982" s="1"/>
  <c r="F981"/>
  <c r="G981" s="1"/>
  <c r="V2101"/>
  <c r="W2101" s="1"/>
  <c r="U2101"/>
  <c r="T2101"/>
  <c r="V2100"/>
  <c r="W2100" s="1"/>
  <c r="U2100"/>
  <c r="T2100"/>
  <c r="V2099"/>
  <c r="W2099" s="1"/>
  <c r="U2099"/>
  <c r="T2099"/>
  <c r="V2098"/>
  <c r="W2098" s="1"/>
  <c r="U2098"/>
  <c r="T2098"/>
  <c r="V2097"/>
  <c r="W2097" s="1"/>
  <c r="U2097"/>
  <c r="T2097"/>
  <c r="V2096"/>
  <c r="W2096" s="1"/>
  <c r="U2096"/>
  <c r="T2096"/>
  <c r="F2101"/>
  <c r="G2101" s="1"/>
  <c r="F2100"/>
  <c r="G2100" s="1"/>
  <c r="F2099"/>
  <c r="G2099" s="1"/>
  <c r="F2098"/>
  <c r="G2098" s="1"/>
  <c r="F2097"/>
  <c r="G2097" s="1"/>
  <c r="F2096"/>
  <c r="G2096" s="1"/>
  <c r="V1861"/>
  <c r="W1861" s="1"/>
  <c r="U1861"/>
  <c r="T1861"/>
  <c r="V1860"/>
  <c r="W1860" s="1"/>
  <c r="U1860"/>
  <c r="T1860"/>
  <c r="V1859"/>
  <c r="W1859" s="1"/>
  <c r="U1859"/>
  <c r="T1859"/>
  <c r="V1858"/>
  <c r="W1858" s="1"/>
  <c r="U1858"/>
  <c r="T1858"/>
  <c r="V1857"/>
  <c r="W1857" s="1"/>
  <c r="U1857"/>
  <c r="T1857"/>
  <c r="V1856"/>
  <c r="W1856" s="1"/>
  <c r="U1856"/>
  <c r="T1856"/>
  <c r="F1861"/>
  <c r="G1861" s="1"/>
  <c r="F1860"/>
  <c r="G1860" s="1"/>
  <c r="F1859"/>
  <c r="G1859" s="1"/>
  <c r="F1858"/>
  <c r="G1858" s="1"/>
  <c r="F1857"/>
  <c r="G1857" s="1"/>
  <c r="F1856"/>
  <c r="G1856" s="1"/>
  <c r="V1741"/>
  <c r="W1741" s="1"/>
  <c r="U1741"/>
  <c r="T1741"/>
  <c r="V1740"/>
  <c r="W1740" s="1"/>
  <c r="U1740"/>
  <c r="T1740"/>
  <c r="V1739"/>
  <c r="W1739" s="1"/>
  <c r="U1739"/>
  <c r="T1739"/>
  <c r="V1737"/>
  <c r="W1737" s="1"/>
  <c r="U1737"/>
  <c r="T1737"/>
  <c r="V1736"/>
  <c r="W1736" s="1"/>
  <c r="U1736"/>
  <c r="T1736"/>
  <c r="O1738"/>
  <c r="L1738"/>
  <c r="K1738"/>
  <c r="I1738"/>
  <c r="V2461"/>
  <c r="W2461" s="1"/>
  <c r="U2461"/>
  <c r="T2461"/>
  <c r="V2460"/>
  <c r="W2460" s="1"/>
  <c r="U2460"/>
  <c r="F2461"/>
  <c r="G2461" s="1"/>
  <c r="F2460"/>
  <c r="G2460" s="1"/>
  <c r="V1981"/>
  <c r="W1981" s="1"/>
  <c r="U1981"/>
  <c r="T1981"/>
  <c r="V1980"/>
  <c r="W1980" s="1"/>
  <c r="U1980"/>
  <c r="T1980"/>
  <c r="V1979"/>
  <c r="W1979" s="1"/>
  <c r="U1979"/>
  <c r="T1979"/>
  <c r="V1978"/>
  <c r="W1978" s="1"/>
  <c r="U1978"/>
  <c r="T1978"/>
  <c r="V1977"/>
  <c r="W1977" s="1"/>
  <c r="U1977"/>
  <c r="T1977"/>
  <c r="V1976"/>
  <c r="W1976" s="1"/>
  <c r="U1976"/>
  <c r="T1976"/>
  <c r="F1981"/>
  <c r="G1981" s="1"/>
  <c r="F1980"/>
  <c r="G1980" s="1"/>
  <c r="F1979"/>
  <c r="G1979" s="1"/>
  <c r="F1978"/>
  <c r="G1978" s="1"/>
  <c r="F1977"/>
  <c r="G1977" s="1"/>
  <c r="F1976"/>
  <c r="G1976" s="1"/>
  <c r="V2221"/>
  <c r="W2221" s="1"/>
  <c r="U2221"/>
  <c r="T2221"/>
  <c r="V2220"/>
  <c r="W2220" s="1"/>
  <c r="U2220"/>
  <c r="T2220"/>
  <c r="V2219"/>
  <c r="W2219" s="1"/>
  <c r="U2219"/>
  <c r="T2219"/>
  <c r="V2218"/>
  <c r="W2218" s="1"/>
  <c r="U2218"/>
  <c r="T2218"/>
  <c r="V2217"/>
  <c r="W2217" s="1"/>
  <c r="U2217"/>
  <c r="T2217"/>
  <c r="V2216"/>
  <c r="W2216" s="1"/>
  <c r="U2216"/>
  <c r="T2216"/>
  <c r="F2221"/>
  <c r="G2221" s="1"/>
  <c r="F2220"/>
  <c r="G2220" s="1"/>
  <c r="F2219"/>
  <c r="G2219" s="1"/>
  <c r="F2218"/>
  <c r="G2218" s="1"/>
  <c r="F2217"/>
  <c r="G2217" s="1"/>
  <c r="F2216"/>
  <c r="G2216" s="1"/>
  <c r="F1621"/>
  <c r="G1621" s="1"/>
  <c r="F1620"/>
  <c r="G1620" s="1"/>
  <c r="F1619"/>
  <c r="G1619" s="1"/>
  <c r="F1497"/>
  <c r="G1497" s="1"/>
  <c r="F1496"/>
  <c r="G1496" s="1"/>
  <c r="V2507"/>
  <c r="W2507" s="1"/>
  <c r="U2507"/>
  <c r="T2507"/>
  <c r="V2506"/>
  <c r="W2506" s="1"/>
  <c r="U2506"/>
  <c r="T2506"/>
  <c r="V2505"/>
  <c r="W2505" s="1"/>
  <c r="U2505"/>
  <c r="T2505"/>
  <c r="V2504"/>
  <c r="W2504" s="1"/>
  <c r="U2504"/>
  <c r="T2504"/>
  <c r="V2503"/>
  <c r="W2503" s="1"/>
  <c r="U2503"/>
  <c r="T2503"/>
  <c r="V2502"/>
  <c r="W2502" s="1"/>
  <c r="U2502"/>
  <c r="T2502"/>
  <c r="F2507"/>
  <c r="G2507" s="1"/>
  <c r="F2506"/>
  <c r="G2506" s="1"/>
  <c r="F2505"/>
  <c r="G2505" s="1"/>
  <c r="F2504"/>
  <c r="G2504" s="1"/>
  <c r="F2503"/>
  <c r="G2503" s="1"/>
  <c r="F2502"/>
  <c r="G2502" s="1"/>
  <c r="N378" i="4"/>
  <c r="L378"/>
  <c r="J378"/>
  <c r="H378"/>
  <c r="F378"/>
  <c r="D378"/>
  <c r="N635"/>
  <c r="L635"/>
  <c r="J635"/>
  <c r="H635"/>
  <c r="F635"/>
  <c r="D635"/>
  <c r="N447"/>
  <c r="L447"/>
  <c r="J447"/>
  <c r="H447"/>
  <c r="F447"/>
  <c r="D447"/>
  <c r="N561"/>
  <c r="L561"/>
  <c r="J561"/>
  <c r="H561"/>
  <c r="F561"/>
  <c r="D561"/>
  <c r="N537"/>
  <c r="L537"/>
  <c r="J537"/>
  <c r="H537"/>
  <c r="F537"/>
  <c r="D537"/>
  <c r="N512"/>
  <c r="L512"/>
  <c r="J512"/>
  <c r="H512"/>
  <c r="F512"/>
  <c r="D512"/>
  <c r="N488"/>
  <c r="L488"/>
  <c r="J488"/>
  <c r="H488"/>
  <c r="F488"/>
  <c r="D488"/>
  <c r="N419"/>
  <c r="L419"/>
  <c r="J419"/>
  <c r="H419"/>
  <c r="F419"/>
  <c r="D419"/>
  <c r="N645"/>
  <c r="N636"/>
  <c r="N634"/>
  <c r="N633"/>
  <c r="N632"/>
  <c r="N622"/>
  <c r="N613"/>
  <c r="N611"/>
  <c r="N610"/>
  <c r="N609"/>
  <c r="N599"/>
  <c r="N590"/>
  <c r="N588"/>
  <c r="N587"/>
  <c r="N586"/>
  <c r="N575"/>
  <c r="N565"/>
  <c r="N564"/>
  <c r="N563"/>
  <c r="N562"/>
  <c r="N551"/>
  <c r="N542"/>
  <c r="N541"/>
  <c r="N540"/>
  <c r="N539"/>
  <c r="N538"/>
  <c r="N526"/>
  <c r="N518"/>
  <c r="N516"/>
  <c r="N515"/>
  <c r="N514"/>
  <c r="N513"/>
  <c r="N360"/>
  <c r="N351"/>
  <c r="N350"/>
  <c r="N349"/>
  <c r="N348"/>
  <c r="N347"/>
  <c r="N337"/>
  <c r="N328"/>
  <c r="N326"/>
  <c r="N325"/>
  <c r="N324"/>
  <c r="N313"/>
  <c r="N314" s="1"/>
  <c r="N304"/>
  <c r="N302"/>
  <c r="N301"/>
  <c r="N300"/>
  <c r="N289"/>
  <c r="N280"/>
  <c r="N279"/>
  <c r="N278"/>
  <c r="N277"/>
  <c r="N276"/>
  <c r="N275"/>
  <c r="N265"/>
  <c r="N256"/>
  <c r="N255"/>
  <c r="N254"/>
  <c r="N253"/>
  <c r="N252"/>
  <c r="N251"/>
  <c r="N240"/>
  <c r="N232"/>
  <c r="N230"/>
  <c r="N229"/>
  <c r="N228"/>
  <c r="N227"/>
  <c r="N226"/>
  <c r="L275"/>
  <c r="J275"/>
  <c r="H275"/>
  <c r="F275"/>
  <c r="D275"/>
  <c r="L251"/>
  <c r="J251"/>
  <c r="H251"/>
  <c r="F251"/>
  <c r="D251"/>
  <c r="L226"/>
  <c r="J226"/>
  <c r="H226"/>
  <c r="F226"/>
  <c r="D226"/>
  <c r="L350"/>
  <c r="J350"/>
  <c r="H350"/>
  <c r="F350"/>
  <c r="D350"/>
  <c r="N202"/>
  <c r="L202"/>
  <c r="J202"/>
  <c r="H202"/>
  <c r="F202"/>
  <c r="D202"/>
  <c r="AB8" i="12"/>
  <c r="AB24"/>
  <c r="AB14"/>
  <c r="AB29"/>
  <c r="AB18"/>
  <c r="AB15"/>
  <c r="AB30"/>
  <c r="AB23"/>
  <c r="AB11"/>
  <c r="AB27"/>
  <c r="AB12"/>
  <c r="AB28"/>
  <c r="AB17"/>
  <c r="AB9"/>
  <c r="AB25"/>
  <c r="AB22"/>
  <c r="AB10"/>
  <c r="AB26"/>
  <c r="AB16"/>
  <c r="AB31"/>
  <c r="V1738" i="1" l="1"/>
  <c r="W1738" s="1"/>
  <c r="T1738"/>
  <c r="U1738"/>
  <c r="N649" i="4"/>
  <c r="N527"/>
  <c r="N552"/>
  <c r="N576"/>
  <c r="N531"/>
  <c r="N555"/>
  <c r="N579"/>
  <c r="N602"/>
  <c r="N625"/>
  <c r="N648"/>
  <c r="N647"/>
  <c r="N646"/>
  <c r="N624"/>
  <c r="N626"/>
  <c r="N623"/>
  <c r="N601"/>
  <c r="N603"/>
  <c r="N600"/>
  <c r="N578"/>
  <c r="N580"/>
  <c r="N577"/>
  <c r="N554"/>
  <c r="N556"/>
  <c r="N553"/>
  <c r="N528"/>
  <c r="N530"/>
  <c r="N532"/>
  <c r="N529"/>
  <c r="N364"/>
  <c r="N361"/>
  <c r="N363"/>
  <c r="N365"/>
  <c r="N362"/>
  <c r="N340"/>
  <c r="N339"/>
  <c r="N341"/>
  <c r="N338"/>
  <c r="N245"/>
  <c r="N269"/>
  <c r="N294"/>
  <c r="N317"/>
  <c r="N316"/>
  <c r="N318"/>
  <c r="N315"/>
  <c r="N291"/>
  <c r="N293"/>
  <c r="N295"/>
  <c r="N290"/>
  <c r="N292"/>
  <c r="N266"/>
  <c r="N268"/>
  <c r="N270"/>
  <c r="N267"/>
  <c r="N242"/>
  <c r="N244"/>
  <c r="N246"/>
  <c r="N241"/>
  <c r="N243"/>
  <c r="N89"/>
  <c r="L89"/>
  <c r="J89"/>
  <c r="H89"/>
  <c r="F89"/>
  <c r="D89"/>
  <c r="V1370" i="1"/>
  <c r="W1370" s="1"/>
  <c r="U1370"/>
  <c r="N159" i="4"/>
  <c r="L159"/>
  <c r="J159"/>
  <c r="H159"/>
  <c r="F159"/>
  <c r="D159"/>
  <c r="N131"/>
  <c r="L131"/>
  <c r="J131"/>
  <c r="H131"/>
  <c r="F131"/>
  <c r="D131"/>
  <c r="V1765" i="1"/>
  <c r="W1765" s="1"/>
  <c r="U1765"/>
  <c r="L280" i="4"/>
  <c r="J280"/>
  <c r="H280"/>
  <c r="F280"/>
  <c r="D280"/>
  <c r="V1006" i="1"/>
  <c r="W1006" s="1"/>
  <c r="V1005"/>
  <c r="W1005" s="1"/>
  <c r="U1006"/>
  <c r="U1005"/>
  <c r="B15" i="16"/>
  <c r="B14"/>
  <c r="B13"/>
  <c r="B12"/>
  <c r="B16"/>
  <c r="AA31" i="12"/>
  <c r="AA18"/>
  <c r="T1730" i="1"/>
  <c r="F716"/>
  <c r="G716" s="1"/>
  <c r="F717"/>
  <c r="G717" s="1"/>
  <c r="F718"/>
  <c r="G718" s="1"/>
  <c r="F719"/>
  <c r="G719" s="1"/>
  <c r="F715"/>
  <c r="G715" s="1"/>
  <c r="V1255"/>
  <c r="W1255" s="1"/>
  <c r="U1255"/>
  <c r="T1255"/>
  <c r="V1254"/>
  <c r="W1254" s="1"/>
  <c r="U1254"/>
  <c r="T1254"/>
  <c r="V1253"/>
  <c r="W1253" s="1"/>
  <c r="U1253"/>
  <c r="T1253"/>
  <c r="V1252"/>
  <c r="W1252" s="1"/>
  <c r="U1252"/>
  <c r="T1252"/>
  <c r="V1251"/>
  <c r="W1251" s="1"/>
  <c r="U1251"/>
  <c r="T1251"/>
  <c r="V1250"/>
  <c r="W1250" s="1"/>
  <c r="U1250"/>
  <c r="T1250"/>
  <c r="V857"/>
  <c r="W857" s="1"/>
  <c r="U857"/>
  <c r="T857"/>
  <c r="V856"/>
  <c r="W856" s="1"/>
  <c r="U856"/>
  <c r="T856"/>
  <c r="V855"/>
  <c r="W855" s="1"/>
  <c r="U855"/>
  <c r="T855"/>
  <c r="V854"/>
  <c r="W854" s="1"/>
  <c r="U854"/>
  <c r="T854"/>
  <c r="V235"/>
  <c r="W235" s="1"/>
  <c r="U235"/>
  <c r="T235"/>
  <c r="V234"/>
  <c r="W234" s="1"/>
  <c r="U234"/>
  <c r="T234"/>
  <c r="I236"/>
  <c r="U236" s="1"/>
  <c r="V719"/>
  <c r="W719" s="1"/>
  <c r="U719"/>
  <c r="T719"/>
  <c r="V718"/>
  <c r="W718" s="1"/>
  <c r="U718"/>
  <c r="T718"/>
  <c r="V717"/>
  <c r="W717" s="1"/>
  <c r="U717"/>
  <c r="T717"/>
  <c r="V716"/>
  <c r="W716" s="1"/>
  <c r="U716"/>
  <c r="T716"/>
  <c r="V715"/>
  <c r="W715" s="1"/>
  <c r="U715"/>
  <c r="V115"/>
  <c r="W115" s="1"/>
  <c r="U115"/>
  <c r="T115"/>
  <c r="V114"/>
  <c r="W114" s="1"/>
  <c r="U114"/>
  <c r="T114"/>
  <c r="V113"/>
  <c r="W113" s="1"/>
  <c r="U113"/>
  <c r="T113"/>
  <c r="V112"/>
  <c r="W112" s="1"/>
  <c r="U112"/>
  <c r="F115"/>
  <c r="G115" s="1"/>
  <c r="F114"/>
  <c r="G114" s="1"/>
  <c r="F113"/>
  <c r="G113" s="1"/>
  <c r="F112"/>
  <c r="G112" s="1"/>
  <c r="F2095"/>
  <c r="G2095" s="1"/>
  <c r="V2095"/>
  <c r="W2095" s="1"/>
  <c r="U2095"/>
  <c r="T2095"/>
  <c r="V1611"/>
  <c r="W1611" s="1"/>
  <c r="U1611"/>
  <c r="T1611"/>
  <c r="V1610"/>
  <c r="W1610" s="1"/>
  <c r="U1610"/>
  <c r="T1610"/>
  <c r="V359"/>
  <c r="W359" s="1"/>
  <c r="U359"/>
  <c r="T359"/>
  <c r="V358"/>
  <c r="W358" s="1"/>
  <c r="U358"/>
  <c r="T358"/>
  <c r="V357"/>
  <c r="W357" s="1"/>
  <c r="U357"/>
  <c r="T357"/>
  <c r="V356"/>
  <c r="W356" s="1"/>
  <c r="U356"/>
  <c r="T356"/>
  <c r="V355"/>
  <c r="W355" s="1"/>
  <c r="U355"/>
  <c r="T355"/>
  <c r="V354"/>
  <c r="W354" s="1"/>
  <c r="U354"/>
  <c r="T354"/>
  <c r="F359"/>
  <c r="G359" s="1"/>
  <c r="F358"/>
  <c r="G358" s="1"/>
  <c r="F357"/>
  <c r="G357" s="1"/>
  <c r="F1971"/>
  <c r="G1971" s="1"/>
  <c r="V1970"/>
  <c r="W1970" s="1"/>
  <c r="U1970"/>
  <c r="T1970"/>
  <c r="V599"/>
  <c r="W599" s="1"/>
  <c r="U599"/>
  <c r="T599"/>
  <c r="V598"/>
  <c r="W598" s="1"/>
  <c r="U598"/>
  <c r="T598"/>
  <c r="V597"/>
  <c r="W597" s="1"/>
  <c r="U597"/>
  <c r="T597"/>
  <c r="V596"/>
  <c r="W596" s="1"/>
  <c r="U596"/>
  <c r="T596"/>
  <c r="V595"/>
  <c r="W595" s="1"/>
  <c r="U595"/>
  <c r="T595"/>
  <c r="V594"/>
  <c r="W594" s="1"/>
  <c r="U594"/>
  <c r="T594"/>
  <c r="V479"/>
  <c r="W479" s="1"/>
  <c r="U479"/>
  <c r="T479"/>
  <c r="V478"/>
  <c r="W478" s="1"/>
  <c r="U478"/>
  <c r="T478"/>
  <c r="V477"/>
  <c r="W477" s="1"/>
  <c r="U477"/>
  <c r="T477"/>
  <c r="V476"/>
  <c r="W476" s="1"/>
  <c r="U476"/>
  <c r="T476"/>
  <c r="V475"/>
  <c r="W475" s="1"/>
  <c r="U475"/>
  <c r="T475"/>
  <c r="V474"/>
  <c r="W474" s="1"/>
  <c r="U474"/>
  <c r="T474"/>
  <c r="V1099"/>
  <c r="W1099" s="1"/>
  <c r="U1099"/>
  <c r="T1099"/>
  <c r="V1098"/>
  <c r="W1098" s="1"/>
  <c r="U1098"/>
  <c r="T1098"/>
  <c r="V2501"/>
  <c r="W2501" s="1"/>
  <c r="U2501"/>
  <c r="T2501"/>
  <c r="V2500"/>
  <c r="W2500" s="1"/>
  <c r="U2500"/>
  <c r="T2500"/>
  <c r="V2499"/>
  <c r="W2499" s="1"/>
  <c r="U2499"/>
  <c r="T2499"/>
  <c r="V2498"/>
  <c r="W2498" s="1"/>
  <c r="U2498"/>
  <c r="T2498"/>
  <c r="V2497"/>
  <c r="W2497" s="1"/>
  <c r="U2497"/>
  <c r="T2497"/>
  <c r="V2496"/>
  <c r="W2496" s="1"/>
  <c r="U2496"/>
  <c r="T2496"/>
  <c r="F2335"/>
  <c r="G2335" s="1"/>
  <c r="T2335"/>
  <c r="U2335"/>
  <c r="V2335"/>
  <c r="W2335" s="1"/>
  <c r="V2091"/>
  <c r="W2091" s="1"/>
  <c r="U2091"/>
  <c r="F2091"/>
  <c r="G2091" s="1"/>
  <c r="T2090"/>
  <c r="U2090"/>
  <c r="V2090"/>
  <c r="W2090" s="1"/>
  <c r="V1730"/>
  <c r="W1730" s="1"/>
  <c r="U1730"/>
  <c r="V1612"/>
  <c r="W1612" s="1"/>
  <c r="U1612"/>
  <c r="V2334"/>
  <c r="W2334" s="1"/>
  <c r="U2334"/>
  <c r="T2334"/>
  <c r="V2333"/>
  <c r="W2333" s="1"/>
  <c r="U2333"/>
  <c r="T2333"/>
  <c r="V2332"/>
  <c r="W2332" s="1"/>
  <c r="U2332"/>
  <c r="T2332"/>
  <c r="V2331"/>
  <c r="W2331" s="1"/>
  <c r="U2331"/>
  <c r="T2331"/>
  <c r="V2330"/>
  <c r="W2330" s="1"/>
  <c r="U2330"/>
  <c r="T2330"/>
  <c r="V1855"/>
  <c r="W1855" s="1"/>
  <c r="U1855"/>
  <c r="T1855"/>
  <c r="V1854"/>
  <c r="W1854" s="1"/>
  <c r="U1854"/>
  <c r="T1854"/>
  <c r="V1853"/>
  <c r="W1853" s="1"/>
  <c r="U1853"/>
  <c r="T1853"/>
  <c r="V1852"/>
  <c r="W1852" s="1"/>
  <c r="U1852"/>
  <c r="T1852"/>
  <c r="V1851"/>
  <c r="W1851" s="1"/>
  <c r="U1851"/>
  <c r="T1851"/>
  <c r="V1850"/>
  <c r="W1850" s="1"/>
  <c r="U1850"/>
  <c r="T1850"/>
  <c r="V1735"/>
  <c r="W1735" s="1"/>
  <c r="U1735"/>
  <c r="T1735"/>
  <c r="V1734"/>
  <c r="W1734" s="1"/>
  <c r="U1734"/>
  <c r="T1734"/>
  <c r="V1733"/>
  <c r="W1733" s="1"/>
  <c r="U1733"/>
  <c r="T1733"/>
  <c r="V1732"/>
  <c r="W1732" s="1"/>
  <c r="U1732"/>
  <c r="T1732"/>
  <c r="V1731"/>
  <c r="W1731" s="1"/>
  <c r="U1731"/>
  <c r="T1731"/>
  <c r="V2455"/>
  <c r="W2455" s="1"/>
  <c r="U2455"/>
  <c r="T2455"/>
  <c r="V2454"/>
  <c r="W2454" s="1"/>
  <c r="U2454"/>
  <c r="T2454"/>
  <c r="V2453"/>
  <c r="W2453" s="1"/>
  <c r="U2453"/>
  <c r="T2453"/>
  <c r="V2452"/>
  <c r="W2452" s="1"/>
  <c r="U2452"/>
  <c r="T2452"/>
  <c r="V2451"/>
  <c r="W2451" s="1"/>
  <c r="U2451"/>
  <c r="T2451"/>
  <c r="V2450"/>
  <c r="W2450" s="1"/>
  <c r="U2450"/>
  <c r="T2450"/>
  <c r="V1971"/>
  <c r="W1971" s="1"/>
  <c r="U1971"/>
  <c r="V2215"/>
  <c r="W2215" s="1"/>
  <c r="U2215"/>
  <c r="T2215"/>
  <c r="V2214"/>
  <c r="W2214" s="1"/>
  <c r="U2214"/>
  <c r="T2214"/>
  <c r="V2213"/>
  <c r="W2213" s="1"/>
  <c r="U2213"/>
  <c r="T2213"/>
  <c r="V2212"/>
  <c r="W2212" s="1"/>
  <c r="U2212"/>
  <c r="T2212"/>
  <c r="V2211"/>
  <c r="W2211" s="1"/>
  <c r="U2211"/>
  <c r="T2211"/>
  <c r="V2210"/>
  <c r="W2210" s="1"/>
  <c r="U2210"/>
  <c r="T2210"/>
  <c r="V1495"/>
  <c r="W1495" s="1"/>
  <c r="U1495"/>
  <c r="T1495"/>
  <c r="V1494"/>
  <c r="W1494" s="1"/>
  <c r="U1494"/>
  <c r="T1494"/>
  <c r="V1493"/>
  <c r="W1493" s="1"/>
  <c r="U1493"/>
  <c r="T1493"/>
  <c r="V1492"/>
  <c r="W1492" s="1"/>
  <c r="U1492"/>
  <c r="T1492"/>
  <c r="V1491"/>
  <c r="W1491" s="1"/>
  <c r="U1491"/>
  <c r="T1491"/>
  <c r="V1490"/>
  <c r="W1490" s="1"/>
  <c r="U1490"/>
  <c r="T1490"/>
  <c r="V1489"/>
  <c r="W1489" s="1"/>
  <c r="U1489"/>
  <c r="V1488"/>
  <c r="W1488" s="1"/>
  <c r="U1488"/>
  <c r="V1487"/>
  <c r="W1487" s="1"/>
  <c r="U1487"/>
  <c r="F1255"/>
  <c r="G1255" s="1"/>
  <c r="F1254"/>
  <c r="G1254" s="1"/>
  <c r="F1253"/>
  <c r="G1253" s="1"/>
  <c r="F1252"/>
  <c r="G1252" s="1"/>
  <c r="F1251"/>
  <c r="G1251" s="1"/>
  <c r="F1250"/>
  <c r="G1250" s="1"/>
  <c r="F236"/>
  <c r="G236" s="1"/>
  <c r="F235"/>
  <c r="G235" s="1"/>
  <c r="F234"/>
  <c r="G234" s="1"/>
  <c r="F2334"/>
  <c r="G2334" s="1"/>
  <c r="F2333"/>
  <c r="G2333" s="1"/>
  <c r="F2332"/>
  <c r="G2332" s="1"/>
  <c r="F2331"/>
  <c r="G2331" s="1"/>
  <c r="F2330"/>
  <c r="G2330" s="1"/>
  <c r="F2090"/>
  <c r="G2090" s="1"/>
  <c r="F1855"/>
  <c r="G1855" s="1"/>
  <c r="F1854"/>
  <c r="G1854" s="1"/>
  <c r="F1853"/>
  <c r="G1853" s="1"/>
  <c r="F1852"/>
  <c r="G1852" s="1"/>
  <c r="F1851"/>
  <c r="G1851" s="1"/>
  <c r="F1850"/>
  <c r="G1850" s="1"/>
  <c r="F1611"/>
  <c r="G1611" s="1"/>
  <c r="F1610"/>
  <c r="G1610" s="1"/>
  <c r="F1609"/>
  <c r="G1609" s="1"/>
  <c r="F356"/>
  <c r="G356" s="1"/>
  <c r="F355"/>
  <c r="G355" s="1"/>
  <c r="F354"/>
  <c r="G354" s="1"/>
  <c r="F2455"/>
  <c r="G2455" s="1"/>
  <c r="F2454"/>
  <c r="G2454" s="1"/>
  <c r="F2453"/>
  <c r="G2453" s="1"/>
  <c r="F2452"/>
  <c r="G2452" s="1"/>
  <c r="F2451"/>
  <c r="G2451" s="1"/>
  <c r="F2450"/>
  <c r="G2450" s="1"/>
  <c r="F1970"/>
  <c r="G1970" s="1"/>
  <c r="F2215"/>
  <c r="G2215" s="1"/>
  <c r="F2214"/>
  <c r="G2214" s="1"/>
  <c r="F2213"/>
  <c r="G2213" s="1"/>
  <c r="F2212"/>
  <c r="G2212" s="1"/>
  <c r="F2211"/>
  <c r="G2211" s="1"/>
  <c r="F2210"/>
  <c r="G2210" s="1"/>
  <c r="F857"/>
  <c r="G857" s="1"/>
  <c r="F856"/>
  <c r="G856" s="1"/>
  <c r="F855"/>
  <c r="G855" s="1"/>
  <c r="F854"/>
  <c r="G854" s="1"/>
  <c r="F479"/>
  <c r="G479" s="1"/>
  <c r="F478"/>
  <c r="G478" s="1"/>
  <c r="F477"/>
  <c r="G477" s="1"/>
  <c r="F476"/>
  <c r="G476" s="1"/>
  <c r="F475"/>
  <c r="G475" s="1"/>
  <c r="F474"/>
  <c r="G474" s="1"/>
  <c r="F1099"/>
  <c r="G1099" s="1"/>
  <c r="F1098"/>
  <c r="G1098" s="1"/>
  <c r="F2501"/>
  <c r="G2501" s="1"/>
  <c r="F2500"/>
  <c r="G2500" s="1"/>
  <c r="F2499"/>
  <c r="G2499" s="1"/>
  <c r="F2498"/>
  <c r="G2498" s="1"/>
  <c r="F2497"/>
  <c r="G2497" s="1"/>
  <c r="F2496"/>
  <c r="G2496" s="1"/>
  <c r="F1495"/>
  <c r="G1495" s="1"/>
  <c r="F1494"/>
  <c r="G1494" s="1"/>
  <c r="F1493"/>
  <c r="G1493" s="1"/>
  <c r="F1492"/>
  <c r="G1492" s="1"/>
  <c r="F1491"/>
  <c r="G1491" s="1"/>
  <c r="F1490"/>
  <c r="G1490" s="1"/>
  <c r="F1489"/>
  <c r="G1489" s="1"/>
  <c r="F1488"/>
  <c r="G1488" s="1"/>
  <c r="F1487"/>
  <c r="G1487" s="1"/>
  <c r="M7" i="12"/>
  <c r="T124" i="1"/>
  <c r="M99" i="12"/>
  <c r="M98"/>
  <c r="O8" i="4"/>
  <c r="O14"/>
  <c r="O20"/>
  <c r="O26"/>
  <c r="O32"/>
  <c r="O38"/>
  <c r="O44"/>
  <c r="O50"/>
  <c r="O56"/>
  <c r="V2325" i="1"/>
  <c r="W2325" s="1"/>
  <c r="U2325"/>
  <c r="T2325"/>
  <c r="F2325"/>
  <c r="G2325" s="1"/>
  <c r="V2205"/>
  <c r="W2205" s="1"/>
  <c r="U2205"/>
  <c r="T2205"/>
  <c r="V2444"/>
  <c r="W2444" s="1"/>
  <c r="U2444"/>
  <c r="T2444"/>
  <c r="T1969"/>
  <c r="U1969"/>
  <c r="V1969"/>
  <c r="W1969" s="1"/>
  <c r="F1969"/>
  <c r="G1969" s="1"/>
  <c r="F2205"/>
  <c r="G2205" s="1"/>
  <c r="F2444"/>
  <c r="G2444" s="1"/>
  <c r="V2449"/>
  <c r="W2449" s="1"/>
  <c r="U2449"/>
  <c r="T2449"/>
  <c r="V2448"/>
  <c r="W2448" s="1"/>
  <c r="U2448"/>
  <c r="T2448"/>
  <c r="F1249"/>
  <c r="G1249" s="1"/>
  <c r="F1248"/>
  <c r="G1248" s="1"/>
  <c r="F1247"/>
  <c r="G1247" s="1"/>
  <c r="F1246"/>
  <c r="G1246" s="1"/>
  <c r="F1245"/>
  <c r="G1245" s="1"/>
  <c r="F2329"/>
  <c r="G2329" s="1"/>
  <c r="F2328"/>
  <c r="G2328" s="1"/>
  <c r="F2327"/>
  <c r="G2327" s="1"/>
  <c r="F2326"/>
  <c r="G2326" s="1"/>
  <c r="F1849"/>
  <c r="G1849" s="1"/>
  <c r="F1848"/>
  <c r="G1848" s="1"/>
  <c r="F1847"/>
  <c r="G1847" s="1"/>
  <c r="V1729"/>
  <c r="W1729" s="1"/>
  <c r="U1729"/>
  <c r="T1729"/>
  <c r="V1728"/>
  <c r="W1728" s="1"/>
  <c r="U1728"/>
  <c r="T1728"/>
  <c r="V1727"/>
  <c r="W1727" s="1"/>
  <c r="U1727"/>
  <c r="T1727"/>
  <c r="V1726"/>
  <c r="W1726" s="1"/>
  <c r="U1726"/>
  <c r="T1726"/>
  <c r="V1725"/>
  <c r="W1725" s="1"/>
  <c r="U1725"/>
  <c r="T1725"/>
  <c r="V1724"/>
  <c r="W1724" s="1"/>
  <c r="U1724"/>
  <c r="T1724"/>
  <c r="F353"/>
  <c r="G353" s="1"/>
  <c r="F352"/>
  <c r="G352" s="1"/>
  <c r="F2449"/>
  <c r="G2449" s="1"/>
  <c r="F2448"/>
  <c r="G2448" s="1"/>
  <c r="F1846"/>
  <c r="G1846" s="1"/>
  <c r="F1845"/>
  <c r="G1845" s="1"/>
  <c r="F2209"/>
  <c r="G2209" s="1"/>
  <c r="F2208"/>
  <c r="G2208" s="1"/>
  <c r="F2207"/>
  <c r="G2207" s="1"/>
  <c r="F2206"/>
  <c r="G2206" s="1"/>
  <c r="V1249"/>
  <c r="W1249" s="1"/>
  <c r="U1249"/>
  <c r="T1249"/>
  <c r="V1248"/>
  <c r="W1248" s="1"/>
  <c r="U1248"/>
  <c r="T1248"/>
  <c r="V1247"/>
  <c r="W1247" s="1"/>
  <c r="U1247"/>
  <c r="T1247"/>
  <c r="V1246"/>
  <c r="W1246" s="1"/>
  <c r="U1246"/>
  <c r="T1246"/>
  <c r="V1245"/>
  <c r="W1245" s="1"/>
  <c r="U1245"/>
  <c r="T1245"/>
  <c r="V233"/>
  <c r="W233" s="1"/>
  <c r="U233"/>
  <c r="T233"/>
  <c r="V232"/>
  <c r="W232" s="1"/>
  <c r="U232"/>
  <c r="T232"/>
  <c r="V231"/>
  <c r="W231" s="1"/>
  <c r="U231"/>
  <c r="T231"/>
  <c r="V230"/>
  <c r="W230" s="1"/>
  <c r="U230"/>
  <c r="T230"/>
  <c r="V229"/>
  <c r="W229" s="1"/>
  <c r="U229"/>
  <c r="T229"/>
  <c r="V228"/>
  <c r="W228" s="1"/>
  <c r="U228"/>
  <c r="T228"/>
  <c r="F233"/>
  <c r="G233" s="1"/>
  <c r="F232"/>
  <c r="G232" s="1"/>
  <c r="F231"/>
  <c r="G231" s="1"/>
  <c r="F230"/>
  <c r="G230" s="1"/>
  <c r="F229"/>
  <c r="G229" s="1"/>
  <c r="F228"/>
  <c r="G228" s="1"/>
  <c r="V2329"/>
  <c r="W2329" s="1"/>
  <c r="U2329"/>
  <c r="T2329"/>
  <c r="V2328"/>
  <c r="W2328" s="1"/>
  <c r="U2328"/>
  <c r="T2328"/>
  <c r="V2327"/>
  <c r="W2327" s="1"/>
  <c r="U2327"/>
  <c r="T2327"/>
  <c r="V2326"/>
  <c r="W2326" s="1"/>
  <c r="U2326"/>
  <c r="T2326"/>
  <c r="V972"/>
  <c r="W972" s="1"/>
  <c r="U972"/>
  <c r="T972"/>
  <c r="V971"/>
  <c r="W971" s="1"/>
  <c r="U971"/>
  <c r="T971"/>
  <c r="V970"/>
  <c r="W970" s="1"/>
  <c r="U970"/>
  <c r="T970"/>
  <c r="V969"/>
  <c r="W969" s="1"/>
  <c r="U969"/>
  <c r="T969"/>
  <c r="V968"/>
  <c r="W968" s="1"/>
  <c r="U968"/>
  <c r="T968"/>
  <c r="F972"/>
  <c r="G972" s="1"/>
  <c r="F971"/>
  <c r="G971" s="1"/>
  <c r="F970"/>
  <c r="G970" s="1"/>
  <c r="F969"/>
  <c r="G969" s="1"/>
  <c r="F968"/>
  <c r="G968" s="1"/>
  <c r="V711"/>
  <c r="W711" s="1"/>
  <c r="U711"/>
  <c r="T711"/>
  <c r="V710"/>
  <c r="W710" s="1"/>
  <c r="U710"/>
  <c r="T710"/>
  <c r="V709"/>
  <c r="W709" s="1"/>
  <c r="U709"/>
  <c r="T709"/>
  <c r="V708"/>
  <c r="W708" s="1"/>
  <c r="U708"/>
  <c r="T708"/>
  <c r="F711"/>
  <c r="G711" s="1"/>
  <c r="F710"/>
  <c r="G710" s="1"/>
  <c r="F709"/>
  <c r="G709" s="1"/>
  <c r="F708"/>
  <c r="G708" s="1"/>
  <c r="V109"/>
  <c r="W109" s="1"/>
  <c r="U109"/>
  <c r="T109"/>
  <c r="V108"/>
  <c r="W108" s="1"/>
  <c r="U108"/>
  <c r="T108"/>
  <c r="V107"/>
  <c r="W107" s="1"/>
  <c r="U107"/>
  <c r="T107"/>
  <c r="V106"/>
  <c r="W106" s="1"/>
  <c r="U106"/>
  <c r="T106"/>
  <c r="V105"/>
  <c r="W105" s="1"/>
  <c r="U105"/>
  <c r="T105"/>
  <c r="V104"/>
  <c r="W104" s="1"/>
  <c r="U104"/>
  <c r="T104"/>
  <c r="F109"/>
  <c r="G109" s="1"/>
  <c r="F108"/>
  <c r="G108" s="1"/>
  <c r="F107"/>
  <c r="G107" s="1"/>
  <c r="F106"/>
  <c r="G106" s="1"/>
  <c r="F105"/>
  <c r="G105" s="1"/>
  <c r="F104"/>
  <c r="G104" s="1"/>
  <c r="V2089"/>
  <c r="W2089" s="1"/>
  <c r="U2089"/>
  <c r="T2089"/>
  <c r="V2088"/>
  <c r="W2088" s="1"/>
  <c r="U2088"/>
  <c r="T2088"/>
  <c r="V2087"/>
  <c r="W2087" s="1"/>
  <c r="U2087"/>
  <c r="T2087"/>
  <c r="V2086"/>
  <c r="W2086" s="1"/>
  <c r="U2086"/>
  <c r="T2086"/>
  <c r="V2085"/>
  <c r="W2085" s="1"/>
  <c r="U2085"/>
  <c r="T2085"/>
  <c r="V2084"/>
  <c r="W2084" s="1"/>
  <c r="U2084"/>
  <c r="T2084"/>
  <c r="F2089"/>
  <c r="G2089" s="1"/>
  <c r="F2088"/>
  <c r="G2088" s="1"/>
  <c r="F2087"/>
  <c r="G2087" s="1"/>
  <c r="F2086"/>
  <c r="G2086" s="1"/>
  <c r="F2085"/>
  <c r="G2085" s="1"/>
  <c r="F2084"/>
  <c r="G2084" s="1"/>
  <c r="V1849"/>
  <c r="W1849" s="1"/>
  <c r="U1849"/>
  <c r="T1849"/>
  <c r="V1848"/>
  <c r="W1848" s="1"/>
  <c r="U1848"/>
  <c r="T1848"/>
  <c r="V1847"/>
  <c r="W1847" s="1"/>
  <c r="U1847"/>
  <c r="T1847"/>
  <c r="V1846"/>
  <c r="W1846" s="1"/>
  <c r="U1846"/>
  <c r="T1846"/>
  <c r="V1845"/>
  <c r="W1845" s="1"/>
  <c r="U1845"/>
  <c r="T1845"/>
  <c r="F1608"/>
  <c r="G1608" s="1"/>
  <c r="F1607"/>
  <c r="G1607" s="1"/>
  <c r="F1606"/>
  <c r="G1606" s="1"/>
  <c r="F1605"/>
  <c r="G1605" s="1"/>
  <c r="F1604"/>
  <c r="G1604" s="1"/>
  <c r="V1609"/>
  <c r="W1609" s="1"/>
  <c r="U1609"/>
  <c r="T1609"/>
  <c r="V1608"/>
  <c r="W1608" s="1"/>
  <c r="U1608"/>
  <c r="T1608"/>
  <c r="V1607"/>
  <c r="W1607" s="1"/>
  <c r="U1607"/>
  <c r="T1607"/>
  <c r="V1606"/>
  <c r="W1606" s="1"/>
  <c r="U1606"/>
  <c r="T1606"/>
  <c r="V1605"/>
  <c r="W1605" s="1"/>
  <c r="U1605"/>
  <c r="T1605"/>
  <c r="V1604"/>
  <c r="W1604" s="1"/>
  <c r="U1604"/>
  <c r="T1604"/>
  <c r="V352"/>
  <c r="W352" s="1"/>
  <c r="U352"/>
  <c r="T352"/>
  <c r="V353"/>
  <c r="W353" s="1"/>
  <c r="U353"/>
  <c r="T353"/>
  <c r="V1968"/>
  <c r="W1968" s="1"/>
  <c r="U1968"/>
  <c r="T1968"/>
  <c r="V1967"/>
  <c r="W1967" s="1"/>
  <c r="U1967"/>
  <c r="T1967"/>
  <c r="V1966"/>
  <c r="W1966" s="1"/>
  <c r="U1966"/>
  <c r="T1966"/>
  <c r="V1965"/>
  <c r="W1965" s="1"/>
  <c r="U1965"/>
  <c r="T1965"/>
  <c r="V1964"/>
  <c r="W1964" s="1"/>
  <c r="U1964"/>
  <c r="T1964"/>
  <c r="F1968"/>
  <c r="G1968" s="1"/>
  <c r="F1967"/>
  <c r="G1967" s="1"/>
  <c r="F1966"/>
  <c r="G1966" s="1"/>
  <c r="F1965"/>
  <c r="G1965" s="1"/>
  <c r="F1964"/>
  <c r="G1964" s="1"/>
  <c r="V2209"/>
  <c r="W2209" s="1"/>
  <c r="U2209"/>
  <c r="T2209"/>
  <c r="V2208"/>
  <c r="W2208" s="1"/>
  <c r="U2208"/>
  <c r="T2208"/>
  <c r="V2207"/>
  <c r="W2207" s="1"/>
  <c r="U2207"/>
  <c r="T2207"/>
  <c r="V2206"/>
  <c r="W2206" s="1"/>
  <c r="U2206"/>
  <c r="T2206"/>
  <c r="V593"/>
  <c r="W593" s="1"/>
  <c r="U593"/>
  <c r="T593"/>
  <c r="V592"/>
  <c r="W592" s="1"/>
  <c r="U592"/>
  <c r="T592"/>
  <c r="V591"/>
  <c r="W591" s="1"/>
  <c r="U591"/>
  <c r="T591"/>
  <c r="V590"/>
  <c r="W590" s="1"/>
  <c r="U590"/>
  <c r="T590"/>
  <c r="V589"/>
  <c r="W589" s="1"/>
  <c r="U589"/>
  <c r="T589"/>
  <c r="V588"/>
  <c r="W588" s="1"/>
  <c r="U588"/>
  <c r="T588"/>
  <c r="V853"/>
  <c r="W853" s="1"/>
  <c r="U853"/>
  <c r="T853"/>
  <c r="V852"/>
  <c r="W852" s="1"/>
  <c r="U852"/>
  <c r="T852"/>
  <c r="V851"/>
  <c r="W851" s="1"/>
  <c r="U851"/>
  <c r="F853"/>
  <c r="G853" s="1"/>
  <c r="F852"/>
  <c r="G852" s="1"/>
  <c r="F851"/>
  <c r="G851" s="1"/>
  <c r="V473"/>
  <c r="W473" s="1"/>
  <c r="U473"/>
  <c r="F473"/>
  <c r="G473" s="1"/>
  <c r="V1093"/>
  <c r="W1093" s="1"/>
  <c r="U1093"/>
  <c r="T1093"/>
  <c r="V1092"/>
  <c r="W1092" s="1"/>
  <c r="U1092"/>
  <c r="T1092"/>
  <c r="V1091"/>
  <c r="W1091" s="1"/>
  <c r="U1091"/>
  <c r="T1091"/>
  <c r="V1090"/>
  <c r="W1090" s="1"/>
  <c r="U1090"/>
  <c r="T1090"/>
  <c r="V1089"/>
  <c r="W1089" s="1"/>
  <c r="U1089"/>
  <c r="T1089"/>
  <c r="V1088"/>
  <c r="W1088" s="1"/>
  <c r="U1088"/>
  <c r="T1088"/>
  <c r="F1093"/>
  <c r="G1093" s="1"/>
  <c r="F1092"/>
  <c r="G1092" s="1"/>
  <c r="F1091"/>
  <c r="G1091" s="1"/>
  <c r="F1090"/>
  <c r="G1090" s="1"/>
  <c r="F1089"/>
  <c r="G1089" s="1"/>
  <c r="F1088"/>
  <c r="G1088" s="1"/>
  <c r="V2495"/>
  <c r="W2495" s="1"/>
  <c r="U2495"/>
  <c r="T2495"/>
  <c r="V2494"/>
  <c r="W2494" s="1"/>
  <c r="U2494"/>
  <c r="T2494"/>
  <c r="V2493"/>
  <c r="W2493" s="1"/>
  <c r="U2493"/>
  <c r="T2493"/>
  <c r="V2492"/>
  <c r="W2492" s="1"/>
  <c r="U2492"/>
  <c r="T2492"/>
  <c r="V2491"/>
  <c r="W2491" s="1"/>
  <c r="U2491"/>
  <c r="T2491"/>
  <c r="V2490"/>
  <c r="W2490" s="1"/>
  <c r="U2490"/>
  <c r="T2490"/>
  <c r="F2495"/>
  <c r="G2495" s="1"/>
  <c r="F2494"/>
  <c r="G2494" s="1"/>
  <c r="F2493"/>
  <c r="G2493" s="1"/>
  <c r="F2492"/>
  <c r="G2492" s="1"/>
  <c r="F2491"/>
  <c r="G2491" s="1"/>
  <c r="F2490"/>
  <c r="G2490" s="1"/>
  <c r="V1484"/>
  <c r="W1484" s="1"/>
  <c r="U1484"/>
  <c r="T1484"/>
  <c r="F1484"/>
  <c r="G1484" s="1"/>
  <c r="N209" i="4"/>
  <c r="L209"/>
  <c r="J209"/>
  <c r="H209"/>
  <c r="F209"/>
  <c r="D209"/>
  <c r="N160"/>
  <c r="N183"/>
  <c r="L183"/>
  <c r="J183"/>
  <c r="H183"/>
  <c r="F183"/>
  <c r="D183"/>
  <c r="L160"/>
  <c r="J160"/>
  <c r="H160"/>
  <c r="F160"/>
  <c r="D160"/>
  <c r="M17" i="12"/>
  <c r="M12"/>
  <c r="M13"/>
  <c r="M11"/>
  <c r="U743" i="1"/>
  <c r="T743"/>
  <c r="U741"/>
  <c r="T741"/>
  <c r="U763"/>
  <c r="T763"/>
  <c r="U761"/>
  <c r="T761"/>
  <c r="U760"/>
  <c r="T760"/>
  <c r="U759"/>
  <c r="T759"/>
  <c r="U758"/>
  <c r="T758"/>
  <c r="L762"/>
  <c r="U762" s="1"/>
  <c r="K762"/>
  <c r="T762" s="1"/>
  <c r="M9" i="12"/>
  <c r="T371" i="1"/>
  <c r="U371"/>
  <c r="D85" i="4"/>
  <c r="F85"/>
  <c r="H85"/>
  <c r="J85"/>
  <c r="L85"/>
  <c r="N85"/>
  <c r="D86"/>
  <c r="F86"/>
  <c r="H86"/>
  <c r="J86"/>
  <c r="L86"/>
  <c r="N86"/>
  <c r="D87"/>
  <c r="F87"/>
  <c r="H87"/>
  <c r="J87"/>
  <c r="L87"/>
  <c r="N87"/>
  <c r="D88"/>
  <c r="F88"/>
  <c r="H88"/>
  <c r="J88"/>
  <c r="L88"/>
  <c r="N88"/>
  <c r="D98"/>
  <c r="D100" s="1"/>
  <c r="F98"/>
  <c r="H98"/>
  <c r="H102" s="1"/>
  <c r="J98"/>
  <c r="L98"/>
  <c r="L102" s="1"/>
  <c r="N98"/>
  <c r="H99"/>
  <c r="J99"/>
  <c r="L99"/>
  <c r="N99"/>
  <c r="H100"/>
  <c r="J100"/>
  <c r="L100"/>
  <c r="N100"/>
  <c r="D101"/>
  <c r="J101"/>
  <c r="N101"/>
  <c r="J102"/>
  <c r="D109"/>
  <c r="F109"/>
  <c r="H109"/>
  <c r="J109"/>
  <c r="L109"/>
  <c r="N109"/>
  <c r="D110"/>
  <c r="F110"/>
  <c r="H110"/>
  <c r="J110"/>
  <c r="L110"/>
  <c r="N110"/>
  <c r="D111"/>
  <c r="F111"/>
  <c r="H111"/>
  <c r="J111"/>
  <c r="L111"/>
  <c r="N111"/>
  <c r="D122"/>
  <c r="D124" s="1"/>
  <c r="F122"/>
  <c r="H122"/>
  <c r="H123" s="1"/>
  <c r="J122"/>
  <c r="L122"/>
  <c r="L124" s="1"/>
  <c r="N122"/>
  <c r="D123"/>
  <c r="D125"/>
  <c r="D132"/>
  <c r="F132"/>
  <c r="H132"/>
  <c r="J132"/>
  <c r="L132"/>
  <c r="N132"/>
  <c r="D133"/>
  <c r="F133"/>
  <c r="H133"/>
  <c r="J133"/>
  <c r="L133"/>
  <c r="N133"/>
  <c r="D134"/>
  <c r="F134"/>
  <c r="H134"/>
  <c r="J134"/>
  <c r="L134"/>
  <c r="N134"/>
  <c r="D145"/>
  <c r="F145"/>
  <c r="F149" s="1"/>
  <c r="H145"/>
  <c r="H148" s="1"/>
  <c r="J145"/>
  <c r="L145"/>
  <c r="N145"/>
  <c r="H147"/>
  <c r="J147"/>
  <c r="L147"/>
  <c r="N147"/>
  <c r="D148"/>
  <c r="J148"/>
  <c r="L148"/>
  <c r="N148"/>
  <c r="J149"/>
  <c r="L149"/>
  <c r="N149"/>
  <c r="D156"/>
  <c r="F156"/>
  <c r="H156"/>
  <c r="J156"/>
  <c r="L156"/>
  <c r="N156"/>
  <c r="D157"/>
  <c r="F157"/>
  <c r="H157"/>
  <c r="J157"/>
  <c r="L157"/>
  <c r="N157"/>
  <c r="D158"/>
  <c r="F158"/>
  <c r="H158"/>
  <c r="J158"/>
  <c r="L158"/>
  <c r="N158"/>
  <c r="D169"/>
  <c r="D170" s="1"/>
  <c r="F169"/>
  <c r="F170" s="1"/>
  <c r="H169"/>
  <c r="H170" s="1"/>
  <c r="J169"/>
  <c r="J170" s="1"/>
  <c r="L169"/>
  <c r="L170" s="1"/>
  <c r="N169"/>
  <c r="N170" s="1"/>
  <c r="D171"/>
  <c r="F171"/>
  <c r="H171"/>
  <c r="J171"/>
  <c r="L171"/>
  <c r="N171"/>
  <c r="D172"/>
  <c r="F172"/>
  <c r="H172"/>
  <c r="J172"/>
  <c r="L172"/>
  <c r="N172"/>
  <c r="D173"/>
  <c r="F173"/>
  <c r="H173"/>
  <c r="J173"/>
  <c r="L173"/>
  <c r="N173"/>
  <c r="D180"/>
  <c r="F180"/>
  <c r="H180"/>
  <c r="J180"/>
  <c r="L180"/>
  <c r="N180"/>
  <c r="D181"/>
  <c r="F181"/>
  <c r="H181"/>
  <c r="J181"/>
  <c r="L181"/>
  <c r="N181"/>
  <c r="D182"/>
  <c r="F182"/>
  <c r="H182"/>
  <c r="J182"/>
  <c r="L182"/>
  <c r="N182"/>
  <c r="D193"/>
  <c r="D197" s="1"/>
  <c r="F193"/>
  <c r="H193"/>
  <c r="J193"/>
  <c r="L193"/>
  <c r="L195" s="1"/>
  <c r="N193"/>
  <c r="D194"/>
  <c r="F194"/>
  <c r="H194"/>
  <c r="J194"/>
  <c r="L194"/>
  <c r="N195"/>
  <c r="D203"/>
  <c r="F203"/>
  <c r="H203"/>
  <c r="J203"/>
  <c r="L203"/>
  <c r="N203"/>
  <c r="D204"/>
  <c r="F204"/>
  <c r="H204"/>
  <c r="J204"/>
  <c r="L204"/>
  <c r="N204"/>
  <c r="D205"/>
  <c r="F205"/>
  <c r="H205"/>
  <c r="J205"/>
  <c r="L205"/>
  <c r="N205"/>
  <c r="D207"/>
  <c r="F207"/>
  <c r="H207"/>
  <c r="J207"/>
  <c r="L207"/>
  <c r="N207"/>
  <c r="D216"/>
  <c r="D217" s="1"/>
  <c r="F216"/>
  <c r="F217" s="1"/>
  <c r="H216"/>
  <c r="H219" s="1"/>
  <c r="J216"/>
  <c r="J217" s="1"/>
  <c r="L216"/>
  <c r="L217" s="1"/>
  <c r="N216"/>
  <c r="N217" s="1"/>
  <c r="H218"/>
  <c r="J218"/>
  <c r="L218"/>
  <c r="N218"/>
  <c r="D219"/>
  <c r="J219"/>
  <c r="L219"/>
  <c r="N219"/>
  <c r="F220"/>
  <c r="J220"/>
  <c r="L220"/>
  <c r="N220"/>
  <c r="D221"/>
  <c r="F221"/>
  <c r="L221"/>
  <c r="D227"/>
  <c r="F227"/>
  <c r="H227"/>
  <c r="J227"/>
  <c r="L227"/>
  <c r="D228"/>
  <c r="F228"/>
  <c r="H228"/>
  <c r="J228"/>
  <c r="L228"/>
  <c r="D229"/>
  <c r="F229"/>
  <c r="H229"/>
  <c r="J229"/>
  <c r="L229"/>
  <c r="D230"/>
  <c r="F230"/>
  <c r="H230"/>
  <c r="J230"/>
  <c r="L230"/>
  <c r="D232"/>
  <c r="F232"/>
  <c r="H232"/>
  <c r="J232"/>
  <c r="L232"/>
  <c r="D240"/>
  <c r="D242" s="1"/>
  <c r="F240"/>
  <c r="F241" s="1"/>
  <c r="H240"/>
  <c r="H241" s="1"/>
  <c r="J240"/>
  <c r="J241" s="1"/>
  <c r="L240"/>
  <c r="L241" s="1"/>
  <c r="J242"/>
  <c r="F243"/>
  <c r="J243"/>
  <c r="F244"/>
  <c r="J244"/>
  <c r="D245"/>
  <c r="F245"/>
  <c r="H245"/>
  <c r="J245"/>
  <c r="L245"/>
  <c r="F246"/>
  <c r="J246"/>
  <c r="D252"/>
  <c r="F252"/>
  <c r="H252"/>
  <c r="J252"/>
  <c r="L252"/>
  <c r="D253"/>
  <c r="F253"/>
  <c r="H253"/>
  <c r="J253"/>
  <c r="L253"/>
  <c r="D254"/>
  <c r="F254"/>
  <c r="H254"/>
  <c r="J254"/>
  <c r="L254"/>
  <c r="D255"/>
  <c r="F255"/>
  <c r="H255"/>
  <c r="J255"/>
  <c r="L255"/>
  <c r="D256"/>
  <c r="F256"/>
  <c r="H256"/>
  <c r="J256"/>
  <c r="L256"/>
  <c r="D265"/>
  <c r="F265"/>
  <c r="F266" s="1"/>
  <c r="H265"/>
  <c r="J265"/>
  <c r="J266" s="1"/>
  <c r="L265"/>
  <c r="F267"/>
  <c r="F268"/>
  <c r="F269"/>
  <c r="D276"/>
  <c r="F276"/>
  <c r="H276"/>
  <c r="J276"/>
  <c r="L276"/>
  <c r="D277"/>
  <c r="F277"/>
  <c r="H277"/>
  <c r="J277"/>
  <c r="L277"/>
  <c r="D278"/>
  <c r="F278"/>
  <c r="H278"/>
  <c r="J278"/>
  <c r="L278"/>
  <c r="D279"/>
  <c r="F279"/>
  <c r="H279"/>
  <c r="J279"/>
  <c r="L279"/>
  <c r="D289"/>
  <c r="D292" s="1"/>
  <c r="F289"/>
  <c r="H289"/>
  <c r="H290" s="1"/>
  <c r="J289"/>
  <c r="L289"/>
  <c r="L291" s="1"/>
  <c r="F293"/>
  <c r="J293"/>
  <c r="D300"/>
  <c r="F300"/>
  <c r="H300"/>
  <c r="J300"/>
  <c r="L300"/>
  <c r="D301"/>
  <c r="F301"/>
  <c r="H301"/>
  <c r="J301"/>
  <c r="L301"/>
  <c r="D302"/>
  <c r="F302"/>
  <c r="H302"/>
  <c r="J302"/>
  <c r="L302"/>
  <c r="D304"/>
  <c r="F304"/>
  <c r="H304"/>
  <c r="J304"/>
  <c r="L304"/>
  <c r="D313"/>
  <c r="F313"/>
  <c r="H313"/>
  <c r="H314" s="1"/>
  <c r="J313"/>
  <c r="L313"/>
  <c r="H315"/>
  <c r="H316"/>
  <c r="D317"/>
  <c r="H317"/>
  <c r="L317"/>
  <c r="D318"/>
  <c r="H318"/>
  <c r="D324"/>
  <c r="F324"/>
  <c r="H324"/>
  <c r="J324"/>
  <c r="L324"/>
  <c r="D325"/>
  <c r="F325"/>
  <c r="H325"/>
  <c r="J325"/>
  <c r="L325"/>
  <c r="D326"/>
  <c r="F326"/>
  <c r="H326"/>
  <c r="J326"/>
  <c r="L326"/>
  <c r="D328"/>
  <c r="F328"/>
  <c r="H328"/>
  <c r="J328"/>
  <c r="L328"/>
  <c r="D337"/>
  <c r="D338" s="1"/>
  <c r="F337"/>
  <c r="F339" s="1"/>
  <c r="H337"/>
  <c r="J337"/>
  <c r="J339" s="1"/>
  <c r="L337"/>
  <c r="L338" s="1"/>
  <c r="H338"/>
  <c r="D340"/>
  <c r="H340"/>
  <c r="D347"/>
  <c r="F347"/>
  <c r="H347"/>
  <c r="J347"/>
  <c r="L347"/>
  <c r="D348"/>
  <c r="F348"/>
  <c r="H348"/>
  <c r="J348"/>
  <c r="L348"/>
  <c r="D349"/>
  <c r="F349"/>
  <c r="H349"/>
  <c r="J349"/>
  <c r="L349"/>
  <c r="D351"/>
  <c r="F351"/>
  <c r="H351"/>
  <c r="J351"/>
  <c r="L351"/>
  <c r="D360"/>
  <c r="F360"/>
  <c r="F364" s="1"/>
  <c r="H360"/>
  <c r="H364" s="1"/>
  <c r="J360"/>
  <c r="J364" s="1"/>
  <c r="L360"/>
  <c r="L364" s="1"/>
  <c r="F361"/>
  <c r="F362"/>
  <c r="J362"/>
  <c r="F363"/>
  <c r="J363"/>
  <c r="J365"/>
  <c r="D374"/>
  <c r="F374"/>
  <c r="H374"/>
  <c r="J374"/>
  <c r="L374"/>
  <c r="N374"/>
  <c r="D375"/>
  <c r="F375"/>
  <c r="H375"/>
  <c r="J375"/>
  <c r="L375"/>
  <c r="N375"/>
  <c r="D376"/>
  <c r="F376"/>
  <c r="H376"/>
  <c r="J376"/>
  <c r="L376"/>
  <c r="N376"/>
  <c r="D377"/>
  <c r="F377"/>
  <c r="H377"/>
  <c r="J377"/>
  <c r="L377"/>
  <c r="N377"/>
  <c r="D387"/>
  <c r="D390" s="1"/>
  <c r="F387"/>
  <c r="F392" s="1"/>
  <c r="H387"/>
  <c r="H390" s="1"/>
  <c r="J387"/>
  <c r="J388" s="1"/>
  <c r="L387"/>
  <c r="L388" s="1"/>
  <c r="N387"/>
  <c r="N388" s="1"/>
  <c r="D388"/>
  <c r="H389"/>
  <c r="F390"/>
  <c r="J390"/>
  <c r="D391"/>
  <c r="L391"/>
  <c r="D397"/>
  <c r="F397"/>
  <c r="H397"/>
  <c r="J397"/>
  <c r="L397"/>
  <c r="N397"/>
  <c r="D398"/>
  <c r="F398"/>
  <c r="H398"/>
  <c r="J398"/>
  <c r="L398"/>
  <c r="N398"/>
  <c r="D399"/>
  <c r="F399"/>
  <c r="H399"/>
  <c r="J399"/>
  <c r="L399"/>
  <c r="N399"/>
  <c r="D410"/>
  <c r="F410"/>
  <c r="H410"/>
  <c r="J410"/>
  <c r="J411" s="1"/>
  <c r="L410"/>
  <c r="N410"/>
  <c r="N411" s="1"/>
  <c r="D411"/>
  <c r="H411"/>
  <c r="L411"/>
  <c r="D412"/>
  <c r="H412"/>
  <c r="L412"/>
  <c r="D413"/>
  <c r="H413"/>
  <c r="L413"/>
  <c r="D420"/>
  <c r="F420"/>
  <c r="H420"/>
  <c r="J420"/>
  <c r="L420"/>
  <c r="N420"/>
  <c r="D421"/>
  <c r="F421"/>
  <c r="H421"/>
  <c r="J421"/>
  <c r="L421"/>
  <c r="N421"/>
  <c r="D422"/>
  <c r="F422"/>
  <c r="H422"/>
  <c r="J422"/>
  <c r="L422"/>
  <c r="N422"/>
  <c r="D433"/>
  <c r="D434" s="1"/>
  <c r="F433"/>
  <c r="F434" s="1"/>
  <c r="H433"/>
  <c r="H434" s="1"/>
  <c r="J433"/>
  <c r="J435" s="1"/>
  <c r="L433"/>
  <c r="L435" s="1"/>
  <c r="N433"/>
  <c r="N435" s="1"/>
  <c r="D435"/>
  <c r="D437"/>
  <c r="D444"/>
  <c r="F444"/>
  <c r="H444"/>
  <c r="J444"/>
  <c r="L444"/>
  <c r="N444"/>
  <c r="D445"/>
  <c r="F445"/>
  <c r="H445"/>
  <c r="J445"/>
  <c r="L445"/>
  <c r="N445"/>
  <c r="D446"/>
  <c r="F446"/>
  <c r="H446"/>
  <c r="J446"/>
  <c r="L446"/>
  <c r="N446"/>
  <c r="D457"/>
  <c r="D461" s="1"/>
  <c r="F457"/>
  <c r="F461" s="1"/>
  <c r="H457"/>
  <c r="H458" s="1"/>
  <c r="J457"/>
  <c r="J458" s="1"/>
  <c r="L457"/>
  <c r="L458" s="1"/>
  <c r="N457"/>
  <c r="N458" s="1"/>
  <c r="D458"/>
  <c r="D459"/>
  <c r="H459"/>
  <c r="L459"/>
  <c r="D460"/>
  <c r="L460"/>
  <c r="D467"/>
  <c r="F467"/>
  <c r="H467"/>
  <c r="J467"/>
  <c r="L467"/>
  <c r="N467"/>
  <c r="D468"/>
  <c r="F468"/>
  <c r="H468"/>
  <c r="J468"/>
  <c r="L468"/>
  <c r="N468"/>
  <c r="D469"/>
  <c r="F469"/>
  <c r="H469"/>
  <c r="J469"/>
  <c r="L469"/>
  <c r="N469"/>
  <c r="D480"/>
  <c r="F480"/>
  <c r="H480"/>
  <c r="J480"/>
  <c r="J481" s="1"/>
  <c r="L480"/>
  <c r="L481" s="1"/>
  <c r="N480"/>
  <c r="N481" s="1"/>
  <c r="D481"/>
  <c r="H482"/>
  <c r="D483"/>
  <c r="L483"/>
  <c r="D489"/>
  <c r="F489"/>
  <c r="H489"/>
  <c r="J489"/>
  <c r="L489"/>
  <c r="N489"/>
  <c r="D490"/>
  <c r="F490"/>
  <c r="H490"/>
  <c r="J490"/>
  <c r="L490"/>
  <c r="N490"/>
  <c r="D491"/>
  <c r="F491"/>
  <c r="H491"/>
  <c r="J491"/>
  <c r="L491"/>
  <c r="N491"/>
  <c r="D493"/>
  <c r="F493"/>
  <c r="H493"/>
  <c r="J493"/>
  <c r="L493"/>
  <c r="N493"/>
  <c r="D502"/>
  <c r="D503" s="1"/>
  <c r="F502"/>
  <c r="F503" s="1"/>
  <c r="H502"/>
  <c r="H503" s="1"/>
  <c r="J502"/>
  <c r="J504" s="1"/>
  <c r="L502"/>
  <c r="L503" s="1"/>
  <c r="N502"/>
  <c r="N504" s="1"/>
  <c r="D504"/>
  <c r="H504"/>
  <c r="L504"/>
  <c r="D505"/>
  <c r="H505"/>
  <c r="L505"/>
  <c r="D506"/>
  <c r="H506"/>
  <c r="L506"/>
  <c r="D507"/>
  <c r="H507"/>
  <c r="L507"/>
  <c r="D513"/>
  <c r="F513"/>
  <c r="H513"/>
  <c r="J513"/>
  <c r="L513"/>
  <c r="D514"/>
  <c r="F514"/>
  <c r="H514"/>
  <c r="J514"/>
  <c r="L514"/>
  <c r="D515"/>
  <c r="F515"/>
  <c r="H515"/>
  <c r="J515"/>
  <c r="L515"/>
  <c r="D516"/>
  <c r="F516"/>
  <c r="H516"/>
  <c r="J516"/>
  <c r="L516"/>
  <c r="D518"/>
  <c r="F518"/>
  <c r="H518"/>
  <c r="J518"/>
  <c r="L518"/>
  <c r="D526"/>
  <c r="D527" s="1"/>
  <c r="F526"/>
  <c r="F532" s="1"/>
  <c r="H526"/>
  <c r="H529" s="1"/>
  <c r="J526"/>
  <c r="J528" s="1"/>
  <c r="L526"/>
  <c r="L527" s="1"/>
  <c r="F528"/>
  <c r="D529"/>
  <c r="F530"/>
  <c r="D531"/>
  <c r="H531"/>
  <c r="L531"/>
  <c r="J532"/>
  <c r="D538"/>
  <c r="F538"/>
  <c r="H538"/>
  <c r="J538"/>
  <c r="L538"/>
  <c r="D539"/>
  <c r="F539"/>
  <c r="H539"/>
  <c r="J539"/>
  <c r="L539"/>
  <c r="D540"/>
  <c r="F540"/>
  <c r="H540"/>
  <c r="J540"/>
  <c r="L540"/>
  <c r="D541"/>
  <c r="F541"/>
  <c r="H541"/>
  <c r="J541"/>
  <c r="L541"/>
  <c r="D542"/>
  <c r="F542"/>
  <c r="H542"/>
  <c r="J542"/>
  <c r="L542"/>
  <c r="D551"/>
  <c r="D552" s="1"/>
  <c r="F551"/>
  <c r="F552" s="1"/>
  <c r="H551"/>
  <c r="H552" s="1"/>
  <c r="J551"/>
  <c r="J552" s="1"/>
  <c r="L551"/>
  <c r="L552" s="1"/>
  <c r="J553"/>
  <c r="F554"/>
  <c r="J554"/>
  <c r="F555"/>
  <c r="F556"/>
  <c r="D562"/>
  <c r="F562"/>
  <c r="H562"/>
  <c r="J562"/>
  <c r="L562"/>
  <c r="D563"/>
  <c r="F563"/>
  <c r="H563"/>
  <c r="J563"/>
  <c r="L563"/>
  <c r="D564"/>
  <c r="F564"/>
  <c r="H564"/>
  <c r="J564"/>
  <c r="L564"/>
  <c r="D565"/>
  <c r="F565"/>
  <c r="H565"/>
  <c r="J565"/>
  <c r="L565"/>
  <c r="D575"/>
  <c r="D576" s="1"/>
  <c r="F575"/>
  <c r="F576" s="1"/>
  <c r="H575"/>
  <c r="H577" s="1"/>
  <c r="J575"/>
  <c r="J576" s="1"/>
  <c r="L575"/>
  <c r="L577" s="1"/>
  <c r="F577"/>
  <c r="J577"/>
  <c r="J578"/>
  <c r="F579"/>
  <c r="J579"/>
  <c r="J580"/>
  <c r="D586"/>
  <c r="F586"/>
  <c r="H586"/>
  <c r="J586"/>
  <c r="L586"/>
  <c r="D587"/>
  <c r="F587"/>
  <c r="H587"/>
  <c r="J587"/>
  <c r="L587"/>
  <c r="D588"/>
  <c r="F588"/>
  <c r="H588"/>
  <c r="J588"/>
  <c r="L588"/>
  <c r="D590"/>
  <c r="F590"/>
  <c r="H590"/>
  <c r="J590"/>
  <c r="L590"/>
  <c r="D599"/>
  <c r="F599"/>
  <c r="F601" s="1"/>
  <c r="H599"/>
  <c r="J599"/>
  <c r="J601" s="1"/>
  <c r="L599"/>
  <c r="D600"/>
  <c r="H600"/>
  <c r="L600"/>
  <c r="D602"/>
  <c r="H602"/>
  <c r="L602"/>
  <c r="D609"/>
  <c r="F609"/>
  <c r="H609"/>
  <c r="J609"/>
  <c r="L609"/>
  <c r="D610"/>
  <c r="F610"/>
  <c r="H610"/>
  <c r="J610"/>
  <c r="L610"/>
  <c r="D611"/>
  <c r="F611"/>
  <c r="H611"/>
  <c r="J611"/>
  <c r="L611"/>
  <c r="D613"/>
  <c r="F613"/>
  <c r="H613"/>
  <c r="J613"/>
  <c r="L613"/>
  <c r="D622"/>
  <c r="D623" s="1"/>
  <c r="F622"/>
  <c r="H622"/>
  <c r="H623" s="1"/>
  <c r="J622"/>
  <c r="L622"/>
  <c r="L623" s="1"/>
  <c r="F623"/>
  <c r="J623"/>
  <c r="J626"/>
  <c r="D632"/>
  <c r="F632"/>
  <c r="H632"/>
  <c r="J632"/>
  <c r="L632"/>
  <c r="D633"/>
  <c r="F633"/>
  <c r="H633"/>
  <c r="J633"/>
  <c r="L633"/>
  <c r="D634"/>
  <c r="F634"/>
  <c r="H634"/>
  <c r="J634"/>
  <c r="L634"/>
  <c r="D636"/>
  <c r="F636"/>
  <c r="H636"/>
  <c r="J636"/>
  <c r="L636"/>
  <c r="D645"/>
  <c r="D649" s="1"/>
  <c r="F645"/>
  <c r="F647" s="1"/>
  <c r="H645"/>
  <c r="H649" s="1"/>
  <c r="J645"/>
  <c r="J647" s="1"/>
  <c r="L645"/>
  <c r="L646" s="1"/>
  <c r="D648"/>
  <c r="H648"/>
  <c r="M8" i="12"/>
  <c r="M10"/>
  <c r="AA9"/>
  <c r="AA10"/>
  <c r="AA11"/>
  <c r="M14"/>
  <c r="AA12"/>
  <c r="M15"/>
  <c r="M16"/>
  <c r="AA14"/>
  <c r="M18"/>
  <c r="AA15"/>
  <c r="M19"/>
  <c r="AA16"/>
  <c r="M20"/>
  <c r="AA17"/>
  <c r="M21"/>
  <c r="M22"/>
  <c r="M23"/>
  <c r="M24"/>
  <c r="M25"/>
  <c r="AA22"/>
  <c r="M26"/>
  <c r="AA23"/>
  <c r="M27"/>
  <c r="AA24"/>
  <c r="M28"/>
  <c r="AA25"/>
  <c r="M29"/>
  <c r="AA26"/>
  <c r="M30"/>
  <c r="AA27"/>
  <c r="M31"/>
  <c r="AA28"/>
  <c r="M32"/>
  <c r="AA29"/>
  <c r="M33"/>
  <c r="AA30"/>
  <c r="M34"/>
  <c r="M39"/>
  <c r="M40"/>
  <c r="M41"/>
  <c r="M42"/>
  <c r="M43"/>
  <c r="M44"/>
  <c r="M45"/>
  <c r="M46"/>
  <c r="M47"/>
  <c r="M48"/>
  <c r="M49"/>
  <c r="M50"/>
  <c r="M51"/>
  <c r="M52"/>
  <c r="M53"/>
  <c r="M54"/>
  <c r="M55"/>
  <c r="M56"/>
  <c r="M57"/>
  <c r="M58"/>
  <c r="M59"/>
  <c r="M60"/>
  <c r="M61"/>
  <c r="M62"/>
  <c r="M63"/>
  <c r="M64"/>
  <c r="M65"/>
  <c r="M66"/>
  <c r="M67"/>
  <c r="M68"/>
  <c r="M69"/>
  <c r="M70"/>
  <c r="M71"/>
  <c r="M72"/>
  <c r="M73"/>
  <c r="M74"/>
  <c r="M75"/>
  <c r="M76"/>
  <c r="M77"/>
  <c r="M78"/>
  <c r="M79"/>
  <c r="M80"/>
  <c r="M81"/>
  <c r="M82"/>
  <c r="M83"/>
  <c r="M84"/>
  <c r="M85"/>
  <c r="M86"/>
  <c r="M88"/>
  <c r="M89"/>
  <c r="M90"/>
  <c r="M91"/>
  <c r="M92"/>
  <c r="M93"/>
  <c r="M94"/>
  <c r="M95"/>
  <c r="M96"/>
  <c r="M97"/>
  <c r="F1382" i="1"/>
  <c r="F1383"/>
  <c r="G1382" s="1"/>
  <c r="F1384"/>
  <c r="G1383" s="1"/>
  <c r="F1385"/>
  <c r="F1386"/>
  <c r="G1385" s="1"/>
  <c r="F1387"/>
  <c r="G1386" s="1"/>
  <c r="F1388"/>
  <c r="G1387" s="1"/>
  <c r="F1389"/>
  <c r="G1388" s="1"/>
  <c r="F1390"/>
  <c r="G1389" s="1"/>
  <c r="F1391"/>
  <c r="G1390" s="1"/>
  <c r="F1392"/>
  <c r="G1391" s="1"/>
  <c r="F1393"/>
  <c r="G1392" s="1"/>
  <c r="F1394"/>
  <c r="G1393" s="1"/>
  <c r="F1395"/>
  <c r="G1394" s="1"/>
  <c r="F1396"/>
  <c r="G1395" s="1"/>
  <c r="F1397"/>
  <c r="G1396" s="1"/>
  <c r="F1405"/>
  <c r="G1405" s="1"/>
  <c r="F1406"/>
  <c r="G1406" s="1"/>
  <c r="F1407"/>
  <c r="G1407" s="1"/>
  <c r="F1408"/>
  <c r="G1408" s="1"/>
  <c r="F1409"/>
  <c r="G1409" s="1"/>
  <c r="F1410"/>
  <c r="G1410" s="1"/>
  <c r="F1411"/>
  <c r="G1411" s="1"/>
  <c r="F1412"/>
  <c r="G1412" s="1"/>
  <c r="T1412"/>
  <c r="U1412"/>
  <c r="V1412"/>
  <c r="W1412" s="1"/>
  <c r="F1413"/>
  <c r="G1413" s="1"/>
  <c r="T1413"/>
  <c r="U1413"/>
  <c r="V1413"/>
  <c r="W1413" s="1"/>
  <c r="F1414"/>
  <c r="G1414" s="1"/>
  <c r="U1414"/>
  <c r="V1414"/>
  <c r="W1414" s="1"/>
  <c r="F1415"/>
  <c r="G1415" s="1"/>
  <c r="U1415"/>
  <c r="V1415"/>
  <c r="W1415" s="1"/>
  <c r="F1416"/>
  <c r="G1416" s="1"/>
  <c r="T1416"/>
  <c r="U1416"/>
  <c r="V1416"/>
  <c r="W1416" s="1"/>
  <c r="F1417"/>
  <c r="G1417" s="1"/>
  <c r="K1417"/>
  <c r="T1417" s="1"/>
  <c r="L1417"/>
  <c r="U1417" s="1"/>
  <c r="O1417"/>
  <c r="V1417" s="1"/>
  <c r="W1417" s="1"/>
  <c r="F1418"/>
  <c r="G1418" s="1"/>
  <c r="T1418"/>
  <c r="U1418"/>
  <c r="V1418"/>
  <c r="W1418" s="1"/>
  <c r="F1419"/>
  <c r="G1419" s="1"/>
  <c r="T1419"/>
  <c r="U1419"/>
  <c r="V1419"/>
  <c r="W1419" s="1"/>
  <c r="F1420"/>
  <c r="G1420" s="1"/>
  <c r="T1420"/>
  <c r="U1420"/>
  <c r="V1420"/>
  <c r="W1420" s="1"/>
  <c r="F1421"/>
  <c r="G1421" s="1"/>
  <c r="T1421"/>
  <c r="U1421"/>
  <c r="V1421"/>
  <c r="W1421" s="1"/>
  <c r="F1422"/>
  <c r="G1422" s="1"/>
  <c r="T1422"/>
  <c r="U1422"/>
  <c r="V1422"/>
  <c r="W1422" s="1"/>
  <c r="F1423"/>
  <c r="G1423" s="1"/>
  <c r="T1423"/>
  <c r="U1423"/>
  <c r="V1423"/>
  <c r="W1423" s="1"/>
  <c r="F1424"/>
  <c r="G1424" s="1"/>
  <c r="U1424"/>
  <c r="V1424"/>
  <c r="W1424" s="1"/>
  <c r="F1441"/>
  <c r="G1441" s="1"/>
  <c r="U1441"/>
  <c r="V1441"/>
  <c r="W1441" s="1"/>
  <c r="F1442"/>
  <c r="G1442" s="1"/>
  <c r="T1442"/>
  <c r="U1442"/>
  <c r="V1442"/>
  <c r="W1442" s="1"/>
  <c r="F1443"/>
  <c r="G1443" s="1"/>
  <c r="T1443"/>
  <c r="U1443"/>
  <c r="V1443"/>
  <c r="W1443" s="1"/>
  <c r="F1444"/>
  <c r="G1444" s="1"/>
  <c r="T1444"/>
  <c r="U1444"/>
  <c r="V1444"/>
  <c r="W1444" s="1"/>
  <c r="F1445"/>
  <c r="G1445" s="1"/>
  <c r="T1445"/>
  <c r="U1445"/>
  <c r="V1445"/>
  <c r="W1445" s="1"/>
  <c r="F1446"/>
  <c r="G1446" s="1"/>
  <c r="T1446"/>
  <c r="U1446"/>
  <c r="V1446"/>
  <c r="W1446" s="1"/>
  <c r="F1447"/>
  <c r="G1447" s="1"/>
  <c r="T1447"/>
  <c r="U1447"/>
  <c r="V1447"/>
  <c r="W1447" s="1"/>
  <c r="F1448"/>
  <c r="G1448" s="1"/>
  <c r="T1448"/>
  <c r="U1448"/>
  <c r="V1448"/>
  <c r="W1448" s="1"/>
  <c r="F1449"/>
  <c r="G1449" s="1"/>
  <c r="T1449"/>
  <c r="U1449"/>
  <c r="V1449"/>
  <c r="W1449" s="1"/>
  <c r="F1450"/>
  <c r="G1450" s="1"/>
  <c r="T1450"/>
  <c r="U1450"/>
  <c r="V1450"/>
  <c r="W1450" s="1"/>
  <c r="F1452"/>
  <c r="G1452" s="1"/>
  <c r="U1452"/>
  <c r="V1452"/>
  <c r="W1452" s="1"/>
  <c r="F1453"/>
  <c r="G1453" s="1"/>
  <c r="U1453"/>
  <c r="V1453"/>
  <c r="W1453" s="1"/>
  <c r="F1454"/>
  <c r="G1454" s="1"/>
  <c r="T1454"/>
  <c r="U1454"/>
  <c r="V1454"/>
  <c r="W1454" s="1"/>
  <c r="F1455"/>
  <c r="G1455" s="1"/>
  <c r="T1455"/>
  <c r="U1455"/>
  <c r="V1455"/>
  <c r="W1455" s="1"/>
  <c r="F1456"/>
  <c r="G1456" s="1"/>
  <c r="T1456"/>
  <c r="U1456"/>
  <c r="V1456"/>
  <c r="W1456" s="1"/>
  <c r="F1457"/>
  <c r="G1457" s="1"/>
  <c r="T1457"/>
  <c r="U1457"/>
  <c r="V1457"/>
  <c r="W1457" s="1"/>
  <c r="F1458"/>
  <c r="G1458" s="1"/>
  <c r="T1458"/>
  <c r="U1458"/>
  <c r="V1458"/>
  <c r="W1458" s="1"/>
  <c r="F1459"/>
  <c r="G1459" s="1"/>
  <c r="T1459"/>
  <c r="U1459"/>
  <c r="V1459"/>
  <c r="W1459" s="1"/>
  <c r="F1460"/>
  <c r="G1460" s="1"/>
  <c r="T1460"/>
  <c r="U1460"/>
  <c r="V1460"/>
  <c r="W1460" s="1"/>
  <c r="F1464"/>
  <c r="G1464" s="1"/>
  <c r="U1464"/>
  <c r="V1464"/>
  <c r="W1464" s="1"/>
  <c r="F1465"/>
  <c r="G1465" s="1"/>
  <c r="U1465"/>
  <c r="V1465"/>
  <c r="W1465" s="1"/>
  <c r="F1466"/>
  <c r="G1466" s="1"/>
  <c r="T1466"/>
  <c r="U1466"/>
  <c r="V1466"/>
  <c r="W1466" s="1"/>
  <c r="F1467"/>
  <c r="G1467" s="1"/>
  <c r="K1467"/>
  <c r="T1467" s="1"/>
  <c r="L1467"/>
  <c r="U1467" s="1"/>
  <c r="O1467"/>
  <c r="V1467" s="1"/>
  <c r="W1467" s="1"/>
  <c r="F1468"/>
  <c r="G1468" s="1"/>
  <c r="T1468"/>
  <c r="U1468"/>
  <c r="V1468"/>
  <c r="W1468" s="1"/>
  <c r="F1469"/>
  <c r="G1469" s="1"/>
  <c r="T1469"/>
  <c r="U1469"/>
  <c r="V1469"/>
  <c r="W1469" s="1"/>
  <c r="F1470"/>
  <c r="G1470" s="1"/>
  <c r="T1470"/>
  <c r="U1470"/>
  <c r="V1470"/>
  <c r="W1470" s="1"/>
  <c r="F1471"/>
  <c r="G1471" s="1"/>
  <c r="T1471"/>
  <c r="U1471"/>
  <c r="V1471"/>
  <c r="W1471" s="1"/>
  <c r="F1472"/>
  <c r="G1472" s="1"/>
  <c r="T1472"/>
  <c r="U1472"/>
  <c r="V1472"/>
  <c r="W1472" s="1"/>
  <c r="F1473"/>
  <c r="G1473" s="1"/>
  <c r="T1473"/>
  <c r="U1473"/>
  <c r="V1473"/>
  <c r="W1473" s="1"/>
  <c r="F1476"/>
  <c r="G1476" s="1"/>
  <c r="U1476"/>
  <c r="V1476"/>
  <c r="W1476" s="1"/>
  <c r="F1477"/>
  <c r="G1477" s="1"/>
  <c r="U1477"/>
  <c r="V1477"/>
  <c r="W1477" s="1"/>
  <c r="F1478"/>
  <c r="G1478" s="1"/>
  <c r="T1478"/>
  <c r="U1478"/>
  <c r="V1478"/>
  <c r="W1478" s="1"/>
  <c r="F1479"/>
  <c r="G1479" s="1"/>
  <c r="T1479"/>
  <c r="U1479"/>
  <c r="V1479"/>
  <c r="W1479" s="1"/>
  <c r="F1480"/>
  <c r="G1480" s="1"/>
  <c r="T1480"/>
  <c r="U1480"/>
  <c r="V1480"/>
  <c r="W1480" s="1"/>
  <c r="F1481"/>
  <c r="G1481" s="1"/>
  <c r="T1481"/>
  <c r="U1481"/>
  <c r="V1481"/>
  <c r="W1481" s="1"/>
  <c r="F1482"/>
  <c r="G1482" s="1"/>
  <c r="T1482"/>
  <c r="U1482"/>
  <c r="V1482"/>
  <c r="W1482" s="1"/>
  <c r="F1483"/>
  <c r="G1483" s="1"/>
  <c r="T1483"/>
  <c r="U1483"/>
  <c r="V1483"/>
  <c r="W1483" s="1"/>
  <c r="F2463"/>
  <c r="G2463" s="1"/>
  <c r="U2463"/>
  <c r="V2463"/>
  <c r="W2463" s="1"/>
  <c r="F2464"/>
  <c r="G2464" s="1"/>
  <c r="U2464"/>
  <c r="V2464"/>
  <c r="W2464" s="1"/>
  <c r="F2465"/>
  <c r="G2465" s="1"/>
  <c r="T2465"/>
  <c r="U2465"/>
  <c r="V2465"/>
  <c r="W2465" s="1"/>
  <c r="F2466"/>
  <c r="G2466" s="1"/>
  <c r="T2466"/>
  <c r="U2466"/>
  <c r="V2466"/>
  <c r="W2466" s="1"/>
  <c r="F2467"/>
  <c r="G2467" s="1"/>
  <c r="T2467"/>
  <c r="U2467"/>
  <c r="V2467"/>
  <c r="W2467" s="1"/>
  <c r="F2468"/>
  <c r="G2468" s="1"/>
  <c r="T2468"/>
  <c r="U2468"/>
  <c r="V2468"/>
  <c r="W2468" s="1"/>
  <c r="F2469"/>
  <c r="G2469" s="1"/>
  <c r="T2469"/>
  <c r="U2469"/>
  <c r="V2469"/>
  <c r="W2469" s="1"/>
  <c r="F2470"/>
  <c r="G2470" s="1"/>
  <c r="T2470"/>
  <c r="U2470"/>
  <c r="V2470"/>
  <c r="W2470" s="1"/>
  <c r="F2471"/>
  <c r="G2471" s="1"/>
  <c r="T2471"/>
  <c r="U2471"/>
  <c r="V2471"/>
  <c r="W2471" s="1"/>
  <c r="F2472"/>
  <c r="G2472" s="1"/>
  <c r="T2472"/>
  <c r="U2472"/>
  <c r="V2472"/>
  <c r="W2472" s="1"/>
  <c r="F2473"/>
  <c r="G2473" s="1"/>
  <c r="T2473"/>
  <c r="U2473"/>
  <c r="V2473"/>
  <c r="W2473" s="1"/>
  <c r="F2474"/>
  <c r="G2474" s="1"/>
  <c r="T2474"/>
  <c r="U2474"/>
  <c r="V2474"/>
  <c r="W2474" s="1"/>
  <c r="F2475"/>
  <c r="G2475" s="1"/>
  <c r="K2475"/>
  <c r="T2475" s="1"/>
  <c r="L2475"/>
  <c r="U2475" s="1"/>
  <c r="O2475"/>
  <c r="V2475" s="1"/>
  <c r="W2475" s="1"/>
  <c r="F2476"/>
  <c r="G2476" s="1"/>
  <c r="T2476"/>
  <c r="U2476"/>
  <c r="V2476"/>
  <c r="W2476" s="1"/>
  <c r="F2477"/>
  <c r="G2477" s="1"/>
  <c r="T2477"/>
  <c r="U2477"/>
  <c r="V2477"/>
  <c r="W2477" s="1"/>
  <c r="F2478"/>
  <c r="G2478" s="1"/>
  <c r="T2478"/>
  <c r="U2478"/>
  <c r="V2478"/>
  <c r="W2478" s="1"/>
  <c r="F2479"/>
  <c r="G2479" s="1"/>
  <c r="T2479"/>
  <c r="U2479"/>
  <c r="V2479"/>
  <c r="W2479" s="1"/>
  <c r="F2480"/>
  <c r="G2480" s="1"/>
  <c r="T2480"/>
  <c r="U2480"/>
  <c r="V2480"/>
  <c r="W2480" s="1"/>
  <c r="F2481"/>
  <c r="G2481" s="1"/>
  <c r="T2481"/>
  <c r="U2481"/>
  <c r="V2481"/>
  <c r="W2481" s="1"/>
  <c r="F2482"/>
  <c r="G2482" s="1"/>
  <c r="T2482"/>
  <c r="U2482"/>
  <c r="V2482"/>
  <c r="W2482" s="1"/>
  <c r="F2483"/>
  <c r="G2483" s="1"/>
  <c r="T2483"/>
  <c r="U2483"/>
  <c r="V2483"/>
  <c r="W2483" s="1"/>
  <c r="F2484"/>
  <c r="G2484" s="1"/>
  <c r="T2484"/>
  <c r="U2484"/>
  <c r="V2484"/>
  <c r="W2484" s="1"/>
  <c r="F2485"/>
  <c r="G2485" s="1"/>
  <c r="T2485"/>
  <c r="U2485"/>
  <c r="V2485"/>
  <c r="W2485" s="1"/>
  <c r="F2486"/>
  <c r="G2486" s="1"/>
  <c r="T2486"/>
  <c r="U2486"/>
  <c r="V2486"/>
  <c r="W2486" s="1"/>
  <c r="F2488"/>
  <c r="G2488" s="1"/>
  <c r="T2488"/>
  <c r="U2488"/>
  <c r="V2488"/>
  <c r="W2488" s="1"/>
  <c r="F2489"/>
  <c r="G2489" s="1"/>
  <c r="T2489"/>
  <c r="U2489"/>
  <c r="V2489"/>
  <c r="W2489" s="1"/>
  <c r="F1301"/>
  <c r="G1301" s="1"/>
  <c r="F1302"/>
  <c r="G1302" s="1"/>
  <c r="F1303"/>
  <c r="G1303" s="1"/>
  <c r="F1304"/>
  <c r="G1304" s="1"/>
  <c r="F1305"/>
  <c r="G1305" s="1"/>
  <c r="F1306"/>
  <c r="G1306" s="1"/>
  <c r="F1312"/>
  <c r="G1312" s="1"/>
  <c r="F1313"/>
  <c r="G1313" s="1"/>
  <c r="F1314"/>
  <c r="G1314" s="1"/>
  <c r="F1315"/>
  <c r="G1315" s="1"/>
  <c r="T1315"/>
  <c r="U1315"/>
  <c r="V1315"/>
  <c r="W1315" s="1"/>
  <c r="F1316"/>
  <c r="G1316" s="1"/>
  <c r="T1316"/>
  <c r="U1316"/>
  <c r="V1316"/>
  <c r="W1316" s="1"/>
  <c r="F1317"/>
  <c r="G1317" s="1"/>
  <c r="T1317"/>
  <c r="U1317"/>
  <c r="V1317"/>
  <c r="W1317" s="1"/>
  <c r="F1318"/>
  <c r="G1318" s="1"/>
  <c r="K1318"/>
  <c r="T1318" s="1"/>
  <c r="L1318"/>
  <c r="U1318" s="1"/>
  <c r="O1318"/>
  <c r="V1318" s="1"/>
  <c r="W1318" s="1"/>
  <c r="F1319"/>
  <c r="G1319" s="1"/>
  <c r="F1332"/>
  <c r="G1332" s="1"/>
  <c r="F1333"/>
  <c r="G1333" s="1"/>
  <c r="F1334"/>
  <c r="G1334" s="1"/>
  <c r="T1334"/>
  <c r="U1334"/>
  <c r="V1334"/>
  <c r="W1334" s="1"/>
  <c r="F1335"/>
  <c r="G1335" s="1"/>
  <c r="T1335"/>
  <c r="U1335"/>
  <c r="V1335"/>
  <c r="W1335" s="1"/>
  <c r="F1336"/>
  <c r="G1336" s="1"/>
  <c r="T1336"/>
  <c r="U1336"/>
  <c r="V1336"/>
  <c r="W1336" s="1"/>
  <c r="F1337"/>
  <c r="G1337" s="1"/>
  <c r="T1337"/>
  <c r="U1337"/>
  <c r="V1337"/>
  <c r="W1337" s="1"/>
  <c r="F1338"/>
  <c r="G1338" s="1"/>
  <c r="T1338"/>
  <c r="U1338"/>
  <c r="V1338"/>
  <c r="W1338" s="1"/>
  <c r="F1339"/>
  <c r="G1339" s="1"/>
  <c r="T1339"/>
  <c r="U1339"/>
  <c r="V1339"/>
  <c r="W1339" s="1"/>
  <c r="F1340"/>
  <c r="G1340" s="1"/>
  <c r="T1340"/>
  <c r="U1340"/>
  <c r="V1340"/>
  <c r="W1340" s="1"/>
  <c r="F994"/>
  <c r="G994" s="1"/>
  <c r="T994"/>
  <c r="U994"/>
  <c r="V994"/>
  <c r="W994" s="1"/>
  <c r="F995"/>
  <c r="G995" s="1"/>
  <c r="T995"/>
  <c r="U995"/>
  <c r="V995"/>
  <c r="W995" s="1"/>
  <c r="F996"/>
  <c r="G996" s="1"/>
  <c r="T996"/>
  <c r="U996"/>
  <c r="V996"/>
  <c r="W996" s="1"/>
  <c r="F997"/>
  <c r="G997" s="1"/>
  <c r="T997"/>
  <c r="U997"/>
  <c r="V997"/>
  <c r="W997" s="1"/>
  <c r="F998"/>
  <c r="G998" s="1"/>
  <c r="T998"/>
  <c r="U998"/>
  <c r="V998"/>
  <c r="W998" s="1"/>
  <c r="F999"/>
  <c r="G999" s="1"/>
  <c r="T999"/>
  <c r="U999"/>
  <c r="V999"/>
  <c r="W999" s="1"/>
  <c r="F1000"/>
  <c r="G1000" s="1"/>
  <c r="T1000"/>
  <c r="U1000"/>
  <c r="V1000"/>
  <c r="W1000" s="1"/>
  <c r="F1001"/>
  <c r="G1001" s="1"/>
  <c r="K1001"/>
  <c r="T1001" s="1"/>
  <c r="L1001"/>
  <c r="U1001" s="1"/>
  <c r="O1001"/>
  <c r="V1001" s="1"/>
  <c r="W1001" s="1"/>
  <c r="F1002"/>
  <c r="G1002" s="1"/>
  <c r="T1002"/>
  <c r="U1002"/>
  <c r="V1002"/>
  <c r="W1002" s="1"/>
  <c r="F1003"/>
  <c r="G1003" s="1"/>
  <c r="K1003"/>
  <c r="T1003" s="1"/>
  <c r="L1003"/>
  <c r="U1003" s="1"/>
  <c r="O1003"/>
  <c r="V1003" s="1"/>
  <c r="W1003" s="1"/>
  <c r="F1004"/>
  <c r="G1004" s="1"/>
  <c r="T1004"/>
  <c r="U1004"/>
  <c r="V1004"/>
  <c r="W1004" s="1"/>
  <c r="F1005"/>
  <c r="G1005" s="1"/>
  <c r="F1006"/>
  <c r="G1006" s="1"/>
  <c r="G1011"/>
  <c r="F1012"/>
  <c r="G1012" s="1"/>
  <c r="F1013"/>
  <c r="G1013" s="1"/>
  <c r="F1014"/>
  <c r="G1014" s="1"/>
  <c r="F1015"/>
  <c r="G1015" s="1"/>
  <c r="T1015"/>
  <c r="U1015"/>
  <c r="V1015"/>
  <c r="W1015" s="1"/>
  <c r="F1016"/>
  <c r="G1016" s="1"/>
  <c r="K1016"/>
  <c r="T1016" s="1"/>
  <c r="L1016"/>
  <c r="U1016" s="1"/>
  <c r="O1016"/>
  <c r="V1016" s="1"/>
  <c r="W1016" s="1"/>
  <c r="F1017"/>
  <c r="G1017" s="1"/>
  <c r="T1017"/>
  <c r="U1017"/>
  <c r="V1017"/>
  <c r="W1017" s="1"/>
  <c r="F1018"/>
  <c r="G1018" s="1"/>
  <c r="U1018"/>
  <c r="V1018"/>
  <c r="W1018" s="1"/>
  <c r="F1030"/>
  <c r="G1030" s="1"/>
  <c r="F1031"/>
  <c r="G1031" s="1"/>
  <c r="T1031"/>
  <c r="U1031"/>
  <c r="V1031"/>
  <c r="W1031" s="1"/>
  <c r="F1032"/>
  <c r="G1032" s="1"/>
  <c r="T1032"/>
  <c r="U1032"/>
  <c r="V1032"/>
  <c r="W1032" s="1"/>
  <c r="F1033"/>
  <c r="G1033" s="1"/>
  <c r="T1033"/>
  <c r="U1033"/>
  <c r="V1033"/>
  <c r="W1033" s="1"/>
  <c r="F1034"/>
  <c r="G1034" s="1"/>
  <c r="T1034"/>
  <c r="U1034"/>
  <c r="V1034"/>
  <c r="W1034" s="1"/>
  <c r="F1035"/>
  <c r="G1035" s="1"/>
  <c r="T1035"/>
  <c r="U1035"/>
  <c r="V1035"/>
  <c r="W1035" s="1"/>
  <c r="F1036"/>
  <c r="G1036" s="1"/>
  <c r="T1036"/>
  <c r="U1036"/>
  <c r="V1036"/>
  <c r="W1036" s="1"/>
  <c r="F1037"/>
  <c r="G1037" s="1"/>
  <c r="T1037"/>
  <c r="U1037"/>
  <c r="V1037"/>
  <c r="W1037" s="1"/>
  <c r="F1038"/>
  <c r="G1038" s="1"/>
  <c r="T1038"/>
  <c r="U1038"/>
  <c r="V1038"/>
  <c r="W1038" s="1"/>
  <c r="F1039"/>
  <c r="G1039" s="1"/>
  <c r="T1039"/>
  <c r="U1039"/>
  <c r="V1039"/>
  <c r="W1039" s="1"/>
  <c r="F1040"/>
  <c r="G1040" s="1"/>
  <c r="T1040"/>
  <c r="U1040"/>
  <c r="V1040"/>
  <c r="W1040" s="1"/>
  <c r="F1041"/>
  <c r="G1041" s="1"/>
  <c r="T1041"/>
  <c r="U1041"/>
  <c r="V1041"/>
  <c r="W1041" s="1"/>
  <c r="F1042"/>
  <c r="G1042" s="1"/>
  <c r="K1042"/>
  <c r="T1042" s="1"/>
  <c r="L1042"/>
  <c r="U1042" s="1"/>
  <c r="O1042"/>
  <c r="V1042" s="1"/>
  <c r="W1042" s="1"/>
  <c r="F1043"/>
  <c r="G1043" s="1"/>
  <c r="T1043"/>
  <c r="U1043"/>
  <c r="V1043"/>
  <c r="W1043" s="1"/>
  <c r="F1044"/>
  <c r="G1044" s="1"/>
  <c r="T1044"/>
  <c r="U1044"/>
  <c r="V1044"/>
  <c r="W1044" s="1"/>
  <c r="F1045"/>
  <c r="G1045" s="1"/>
  <c r="T1045"/>
  <c r="U1045"/>
  <c r="V1045"/>
  <c r="W1045" s="1"/>
  <c r="F1046"/>
  <c r="G1046" s="1"/>
  <c r="T1046"/>
  <c r="U1046"/>
  <c r="V1046"/>
  <c r="W1046" s="1"/>
  <c r="F1047"/>
  <c r="G1047" s="1"/>
  <c r="T1047"/>
  <c r="U1047"/>
  <c r="V1047"/>
  <c r="W1047" s="1"/>
  <c r="F1048"/>
  <c r="G1048" s="1"/>
  <c r="T1048"/>
  <c r="U1048"/>
  <c r="V1048"/>
  <c r="W1048" s="1"/>
  <c r="F1049"/>
  <c r="G1049" s="1"/>
  <c r="T1049"/>
  <c r="U1049"/>
  <c r="V1049"/>
  <c r="W1049" s="1"/>
  <c r="F1050"/>
  <c r="G1050" s="1"/>
  <c r="U1050"/>
  <c r="V1050"/>
  <c r="W1050" s="1"/>
  <c r="F1051"/>
  <c r="G1051" s="1"/>
  <c r="F1052"/>
  <c r="G1052" s="1"/>
  <c r="T1052"/>
  <c r="U1052"/>
  <c r="V1052"/>
  <c r="W1052" s="1"/>
  <c r="F1053"/>
  <c r="G1053" s="1"/>
  <c r="T1053"/>
  <c r="U1053"/>
  <c r="V1053"/>
  <c r="W1053" s="1"/>
  <c r="F1054"/>
  <c r="G1054" s="1"/>
  <c r="T1054"/>
  <c r="U1054"/>
  <c r="V1054"/>
  <c r="W1054" s="1"/>
  <c r="F1055"/>
  <c r="G1055" s="1"/>
  <c r="T1055"/>
  <c r="U1055"/>
  <c r="V1055"/>
  <c r="W1055" s="1"/>
  <c r="F1056"/>
  <c r="G1056" s="1"/>
  <c r="T1056"/>
  <c r="U1056"/>
  <c r="V1056"/>
  <c r="W1056" s="1"/>
  <c r="F1057"/>
  <c r="G1057" s="1"/>
  <c r="T1057"/>
  <c r="U1057"/>
  <c r="V1057"/>
  <c r="W1057" s="1"/>
  <c r="F1058"/>
  <c r="G1058" s="1"/>
  <c r="T1058"/>
  <c r="U1058"/>
  <c r="V1058"/>
  <c r="W1058" s="1"/>
  <c r="F1059"/>
  <c r="G1059" s="1"/>
  <c r="T1059"/>
  <c r="U1059"/>
  <c r="V1059"/>
  <c r="W1059" s="1"/>
  <c r="F1060"/>
  <c r="G1060" s="1"/>
  <c r="T1060"/>
  <c r="U1060"/>
  <c r="V1060"/>
  <c r="W1060" s="1"/>
  <c r="F1061"/>
  <c r="G1061" s="1"/>
  <c r="T1061"/>
  <c r="U1061"/>
  <c r="V1061"/>
  <c r="W1061" s="1"/>
  <c r="F1062"/>
  <c r="G1062" s="1"/>
  <c r="T1062"/>
  <c r="U1062"/>
  <c r="V1062"/>
  <c r="W1062" s="1"/>
  <c r="F1063"/>
  <c r="G1063" s="1"/>
  <c r="T1063"/>
  <c r="U1063"/>
  <c r="V1063"/>
  <c r="W1063" s="1"/>
  <c r="F1064"/>
  <c r="G1064" s="1"/>
  <c r="T1064"/>
  <c r="U1064"/>
  <c r="V1064"/>
  <c r="W1064" s="1"/>
  <c r="F1065"/>
  <c r="G1065" s="1"/>
  <c r="U1065"/>
  <c r="V1065"/>
  <c r="W1065" s="1"/>
  <c r="F1066"/>
  <c r="G1066" s="1"/>
  <c r="U1066"/>
  <c r="V1066"/>
  <c r="W1066" s="1"/>
  <c r="G1071"/>
  <c r="U1071"/>
  <c r="V1071"/>
  <c r="W1071" s="1"/>
  <c r="F1072"/>
  <c r="G1072" s="1"/>
  <c r="T1072"/>
  <c r="U1072"/>
  <c r="V1072"/>
  <c r="W1072" s="1"/>
  <c r="F1073"/>
  <c r="G1073" s="1"/>
  <c r="T1073"/>
  <c r="U1073"/>
  <c r="V1073"/>
  <c r="W1073" s="1"/>
  <c r="F1074"/>
  <c r="G1074" s="1"/>
  <c r="T1074"/>
  <c r="U1074"/>
  <c r="V1074"/>
  <c r="W1074" s="1"/>
  <c r="F1075"/>
  <c r="G1075" s="1"/>
  <c r="T1075"/>
  <c r="U1075"/>
  <c r="V1075"/>
  <c r="W1075" s="1"/>
  <c r="F1076"/>
  <c r="G1076" s="1"/>
  <c r="T1076"/>
  <c r="U1076"/>
  <c r="V1076"/>
  <c r="W1076" s="1"/>
  <c r="F1077"/>
  <c r="G1077" s="1"/>
  <c r="T1077"/>
  <c r="U1077"/>
  <c r="V1077"/>
  <c r="W1077" s="1"/>
  <c r="F1078"/>
  <c r="G1078" s="1"/>
  <c r="T1078"/>
  <c r="U1078"/>
  <c r="V1078"/>
  <c r="W1078" s="1"/>
  <c r="F1079"/>
  <c r="G1079" s="1"/>
  <c r="T1079"/>
  <c r="U1079"/>
  <c r="V1079"/>
  <c r="W1079" s="1"/>
  <c r="F1080"/>
  <c r="G1080" s="1"/>
  <c r="T1080"/>
  <c r="U1080"/>
  <c r="V1080"/>
  <c r="W1080" s="1"/>
  <c r="F1081"/>
  <c r="G1081" s="1"/>
  <c r="T1081"/>
  <c r="U1081"/>
  <c r="V1081"/>
  <c r="W1081" s="1"/>
  <c r="F1082"/>
  <c r="G1082" s="1"/>
  <c r="T1082"/>
  <c r="U1082"/>
  <c r="V1082"/>
  <c r="W1082" s="1"/>
  <c r="F1083"/>
  <c r="G1083" s="1"/>
  <c r="T1083"/>
  <c r="U1083"/>
  <c r="V1083"/>
  <c r="W1083" s="1"/>
  <c r="F1084"/>
  <c r="G1084" s="1"/>
  <c r="T1084"/>
  <c r="U1084"/>
  <c r="V1084"/>
  <c r="W1084" s="1"/>
  <c r="F1085"/>
  <c r="G1085" s="1"/>
  <c r="T1085"/>
  <c r="U1085"/>
  <c r="V1085"/>
  <c r="W1085" s="1"/>
  <c r="F1086"/>
  <c r="G1086" s="1"/>
  <c r="T1086"/>
  <c r="U1086"/>
  <c r="V1086"/>
  <c r="W1086" s="1"/>
  <c r="F1087"/>
  <c r="G1087" s="1"/>
  <c r="T1087"/>
  <c r="U1087"/>
  <c r="V1087"/>
  <c r="W1087" s="1"/>
  <c r="F366"/>
  <c r="G366" s="1"/>
  <c r="F367"/>
  <c r="G367" s="1"/>
  <c r="F368"/>
  <c r="G368" s="1"/>
  <c r="F369"/>
  <c r="G369" s="1"/>
  <c r="T369"/>
  <c r="U369"/>
  <c r="V369"/>
  <c r="W369" s="1"/>
  <c r="F370"/>
  <c r="G370" s="1"/>
  <c r="T370"/>
  <c r="U370"/>
  <c r="V370"/>
  <c r="W370" s="1"/>
  <c r="F371"/>
  <c r="G371" s="1"/>
  <c r="V371"/>
  <c r="W371" s="1"/>
  <c r="F372"/>
  <c r="G372" s="1"/>
  <c r="T372"/>
  <c r="U372"/>
  <c r="V372"/>
  <c r="W372" s="1"/>
  <c r="F373"/>
  <c r="G373" s="1"/>
  <c r="T373"/>
  <c r="U373"/>
  <c r="V373"/>
  <c r="W373" s="1"/>
  <c r="F374"/>
  <c r="G374" s="1"/>
  <c r="F375"/>
  <c r="G375" s="1"/>
  <c r="F376"/>
  <c r="G376" s="1"/>
  <c r="F377"/>
  <c r="G377" s="1"/>
  <c r="F384"/>
  <c r="G384" s="1"/>
  <c r="F385"/>
  <c r="G385" s="1"/>
  <c r="T385"/>
  <c r="U385"/>
  <c r="V385"/>
  <c r="W385" s="1"/>
  <c r="F386"/>
  <c r="G386" s="1"/>
  <c r="T386"/>
  <c r="U386"/>
  <c r="V386"/>
  <c r="W386" s="1"/>
  <c r="F387"/>
  <c r="G387" s="1"/>
  <c r="T387"/>
  <c r="U387"/>
  <c r="V387"/>
  <c r="W387" s="1"/>
  <c r="F388"/>
  <c r="G388" s="1"/>
  <c r="T388"/>
  <c r="U388"/>
  <c r="V388"/>
  <c r="W388" s="1"/>
  <c r="F389"/>
  <c r="G389" s="1"/>
  <c r="K389"/>
  <c r="T389" s="1"/>
  <c r="L389"/>
  <c r="U389" s="1"/>
  <c r="O389"/>
  <c r="V389" s="1"/>
  <c r="W389" s="1"/>
  <c r="F390"/>
  <c r="G390" s="1"/>
  <c r="T390"/>
  <c r="U390"/>
  <c r="V390"/>
  <c r="W390" s="1"/>
  <c r="F391"/>
  <c r="G391" s="1"/>
  <c r="T391"/>
  <c r="U391"/>
  <c r="V391"/>
  <c r="W391" s="1"/>
  <c r="F392"/>
  <c r="G392" s="1"/>
  <c r="T392"/>
  <c r="U392"/>
  <c r="V392"/>
  <c r="W392" s="1"/>
  <c r="F393"/>
  <c r="G393" s="1"/>
  <c r="T393"/>
  <c r="U393"/>
  <c r="V393"/>
  <c r="W393" s="1"/>
  <c r="F394"/>
  <c r="G394" s="1"/>
  <c r="F395"/>
  <c r="G395" s="1"/>
  <c r="F396"/>
  <c r="G396" s="1"/>
  <c r="F397"/>
  <c r="G397" s="1"/>
  <c r="F398"/>
  <c r="G398" s="1"/>
  <c r="F399"/>
  <c r="G399" s="1"/>
  <c r="F400"/>
  <c r="G400" s="1"/>
  <c r="F401"/>
  <c r="G401" s="1"/>
  <c r="T401"/>
  <c r="U401"/>
  <c r="V401"/>
  <c r="W401" s="1"/>
  <c r="F402"/>
  <c r="G402" s="1"/>
  <c r="T402"/>
  <c r="U402"/>
  <c r="V402"/>
  <c r="W402" s="1"/>
  <c r="F403"/>
  <c r="G403" s="1"/>
  <c r="T403"/>
  <c r="U403"/>
  <c r="V403"/>
  <c r="W403" s="1"/>
  <c r="F404"/>
  <c r="G404" s="1"/>
  <c r="T404"/>
  <c r="U404"/>
  <c r="V404"/>
  <c r="W404" s="1"/>
  <c r="F405"/>
  <c r="G405" s="1"/>
  <c r="T405"/>
  <c r="U405"/>
  <c r="V405"/>
  <c r="W405" s="1"/>
  <c r="F406"/>
  <c r="G406" s="1"/>
  <c r="T406"/>
  <c r="U406"/>
  <c r="V406"/>
  <c r="W406" s="1"/>
  <c r="F407"/>
  <c r="G407" s="1"/>
  <c r="T407"/>
  <c r="U407"/>
  <c r="V407"/>
  <c r="W407" s="1"/>
  <c r="F408"/>
  <c r="G408" s="1"/>
  <c r="T408"/>
  <c r="U408"/>
  <c r="V408"/>
  <c r="W408" s="1"/>
  <c r="F409"/>
  <c r="G409" s="1"/>
  <c r="T409"/>
  <c r="U409"/>
  <c r="V409"/>
  <c r="W409" s="1"/>
  <c r="F410"/>
  <c r="G410" s="1"/>
  <c r="K410"/>
  <c r="T410" s="1"/>
  <c r="L410"/>
  <c r="U410" s="1"/>
  <c r="O410"/>
  <c r="V410" s="1"/>
  <c r="W410" s="1"/>
  <c r="F411"/>
  <c r="G411" s="1"/>
  <c r="T411"/>
  <c r="U411"/>
  <c r="V411"/>
  <c r="W411" s="1"/>
  <c r="F412"/>
  <c r="G412" s="1"/>
  <c r="T412"/>
  <c r="U412"/>
  <c r="V412"/>
  <c r="W412" s="1"/>
  <c r="F413"/>
  <c r="G413" s="1"/>
  <c r="T413"/>
  <c r="U413"/>
  <c r="V413"/>
  <c r="W413" s="1"/>
  <c r="F414"/>
  <c r="G414" s="1"/>
  <c r="T414"/>
  <c r="U414"/>
  <c r="V414"/>
  <c r="W414" s="1"/>
  <c r="F415"/>
  <c r="G415" s="1"/>
  <c r="T415"/>
  <c r="U415"/>
  <c r="V415"/>
  <c r="W415" s="1"/>
  <c r="F416"/>
  <c r="G416" s="1"/>
  <c r="T416"/>
  <c r="U416"/>
  <c r="V416"/>
  <c r="W416" s="1"/>
  <c r="F417"/>
  <c r="G417" s="1"/>
  <c r="T417"/>
  <c r="U417"/>
  <c r="V417"/>
  <c r="W417" s="1"/>
  <c r="F418"/>
  <c r="G418" s="1"/>
  <c r="T418"/>
  <c r="U418"/>
  <c r="V418"/>
  <c r="W418" s="1"/>
  <c r="F419"/>
  <c r="G419" s="1"/>
  <c r="T419"/>
  <c r="U419"/>
  <c r="V419"/>
  <c r="W419" s="1"/>
  <c r="F420"/>
  <c r="G420" s="1"/>
  <c r="T420"/>
  <c r="U420"/>
  <c r="V420"/>
  <c r="W420" s="1"/>
  <c r="F421"/>
  <c r="G421" s="1"/>
  <c r="T421"/>
  <c r="U421"/>
  <c r="V421"/>
  <c r="W421" s="1"/>
  <c r="F423"/>
  <c r="G423" s="1"/>
  <c r="U423"/>
  <c r="V423"/>
  <c r="W423" s="1"/>
  <c r="F424"/>
  <c r="G424" s="1"/>
  <c r="U424"/>
  <c r="V424"/>
  <c r="W424" s="1"/>
  <c r="F425"/>
  <c r="G425" s="1"/>
  <c r="U425"/>
  <c r="V425"/>
  <c r="W425" s="1"/>
  <c r="F426"/>
  <c r="G426" s="1"/>
  <c r="T426"/>
  <c r="U426"/>
  <c r="V426"/>
  <c r="W426" s="1"/>
  <c r="F427"/>
  <c r="G427" s="1"/>
  <c r="T427"/>
  <c r="U427"/>
  <c r="V427"/>
  <c r="W427" s="1"/>
  <c r="F428"/>
  <c r="G428" s="1"/>
  <c r="T428"/>
  <c r="U428"/>
  <c r="V428"/>
  <c r="W428" s="1"/>
  <c r="F429"/>
  <c r="G429" s="1"/>
  <c r="T429"/>
  <c r="U429"/>
  <c r="V429"/>
  <c r="W429" s="1"/>
  <c r="F430"/>
  <c r="G430" s="1"/>
  <c r="T430"/>
  <c r="U430"/>
  <c r="V430"/>
  <c r="W430" s="1"/>
  <c r="F431"/>
  <c r="G431" s="1"/>
  <c r="T431"/>
  <c r="U431"/>
  <c r="V431"/>
  <c r="W431" s="1"/>
  <c r="F432"/>
  <c r="G432" s="1"/>
  <c r="T432"/>
  <c r="U432"/>
  <c r="V432"/>
  <c r="W432" s="1"/>
  <c r="F433"/>
  <c r="G433" s="1"/>
  <c r="K433"/>
  <c r="T433" s="1"/>
  <c r="L433"/>
  <c r="U433" s="1"/>
  <c r="O433"/>
  <c r="V433" s="1"/>
  <c r="W433" s="1"/>
  <c r="F434"/>
  <c r="G434" s="1"/>
  <c r="T434"/>
  <c r="U434"/>
  <c r="V434"/>
  <c r="W434" s="1"/>
  <c r="F435"/>
  <c r="G435" s="1"/>
  <c r="T435"/>
  <c r="U435"/>
  <c r="V435"/>
  <c r="W435" s="1"/>
  <c r="F436"/>
  <c r="G436" s="1"/>
  <c r="T436"/>
  <c r="U436"/>
  <c r="V436"/>
  <c r="W436" s="1"/>
  <c r="F437"/>
  <c r="G437" s="1"/>
  <c r="T437"/>
  <c r="U437"/>
  <c r="V437"/>
  <c r="W437" s="1"/>
  <c r="F438"/>
  <c r="G438" s="1"/>
  <c r="T438"/>
  <c r="U438"/>
  <c r="V438"/>
  <c r="W438" s="1"/>
  <c r="F439"/>
  <c r="G439" s="1"/>
  <c r="T439"/>
  <c r="U439"/>
  <c r="V439"/>
  <c r="W439" s="1"/>
  <c r="F440"/>
  <c r="G440" s="1"/>
  <c r="T440"/>
  <c r="U440"/>
  <c r="V440"/>
  <c r="W440" s="1"/>
  <c r="F441"/>
  <c r="G441" s="1"/>
  <c r="T441"/>
  <c r="U441"/>
  <c r="V441"/>
  <c r="W441" s="1"/>
  <c r="F442"/>
  <c r="G442" s="1"/>
  <c r="U442"/>
  <c r="V442"/>
  <c r="W442" s="1"/>
  <c r="F443"/>
  <c r="G443" s="1"/>
  <c r="U443"/>
  <c r="V443"/>
  <c r="W443" s="1"/>
  <c r="F446"/>
  <c r="G446" s="1"/>
  <c r="U446"/>
  <c r="V446"/>
  <c r="W446" s="1"/>
  <c r="F447"/>
  <c r="G447" s="1"/>
  <c r="U447"/>
  <c r="V447"/>
  <c r="W447" s="1"/>
  <c r="F448"/>
  <c r="G448" s="1"/>
  <c r="T448"/>
  <c r="U448"/>
  <c r="V448"/>
  <c r="W448" s="1"/>
  <c r="F449"/>
  <c r="G449" s="1"/>
  <c r="T449"/>
  <c r="U449"/>
  <c r="V449"/>
  <c r="W449" s="1"/>
  <c r="F450"/>
  <c r="G450" s="1"/>
  <c r="T450"/>
  <c r="U450"/>
  <c r="V450"/>
  <c r="W450" s="1"/>
  <c r="F451"/>
  <c r="G451" s="1"/>
  <c r="T451"/>
  <c r="U451"/>
  <c r="V451"/>
  <c r="W451" s="1"/>
  <c r="F452"/>
  <c r="G452" s="1"/>
  <c r="T452"/>
  <c r="U452"/>
  <c r="V452"/>
  <c r="W452" s="1"/>
  <c r="F453"/>
  <c r="G453" s="1"/>
  <c r="T453"/>
  <c r="U453"/>
  <c r="V453"/>
  <c r="W453" s="1"/>
  <c r="F454"/>
  <c r="G454" s="1"/>
  <c r="T454"/>
  <c r="U454"/>
  <c r="V454"/>
  <c r="W454" s="1"/>
  <c r="F455"/>
  <c r="G455" s="1"/>
  <c r="T455"/>
  <c r="U455"/>
  <c r="V455"/>
  <c r="W455" s="1"/>
  <c r="F456"/>
  <c r="G456" s="1"/>
  <c r="T456"/>
  <c r="U456"/>
  <c r="V456"/>
  <c r="W456" s="1"/>
  <c r="F457"/>
  <c r="G457" s="1"/>
  <c r="T457"/>
  <c r="U457"/>
  <c r="V457"/>
  <c r="W457" s="1"/>
  <c r="F458"/>
  <c r="G458" s="1"/>
  <c r="T458"/>
  <c r="U458"/>
  <c r="V458"/>
  <c r="W458" s="1"/>
  <c r="F459"/>
  <c r="G459" s="1"/>
  <c r="T459"/>
  <c r="U459"/>
  <c r="V459"/>
  <c r="W459" s="1"/>
  <c r="F460"/>
  <c r="G460" s="1"/>
  <c r="T460"/>
  <c r="U460"/>
  <c r="V460"/>
  <c r="W460" s="1"/>
  <c r="F461"/>
  <c r="G461" s="1"/>
  <c r="T461"/>
  <c r="U461"/>
  <c r="V461"/>
  <c r="W461" s="1"/>
  <c r="F462"/>
  <c r="G462" s="1"/>
  <c r="T462"/>
  <c r="U462"/>
  <c r="V462"/>
  <c r="W462" s="1"/>
  <c r="F463"/>
  <c r="G463" s="1"/>
  <c r="T463"/>
  <c r="U463"/>
  <c r="V463"/>
  <c r="W463" s="1"/>
  <c r="F464"/>
  <c r="G464" s="1"/>
  <c r="T464"/>
  <c r="U464"/>
  <c r="V464"/>
  <c r="W464" s="1"/>
  <c r="F465"/>
  <c r="G465" s="1"/>
  <c r="T465"/>
  <c r="U465"/>
  <c r="V465"/>
  <c r="W465" s="1"/>
  <c r="F466"/>
  <c r="G466" s="1"/>
  <c r="U466"/>
  <c r="V466"/>
  <c r="W466" s="1"/>
  <c r="F746"/>
  <c r="G746" s="1"/>
  <c r="F747"/>
  <c r="G747" s="1"/>
  <c r="F748"/>
  <c r="G748" s="1"/>
  <c r="F749"/>
  <c r="G749" s="1"/>
  <c r="T749"/>
  <c r="U749"/>
  <c r="V749"/>
  <c r="W749" s="1"/>
  <c r="F750"/>
  <c r="G750" s="1"/>
  <c r="T750"/>
  <c r="U750"/>
  <c r="V750"/>
  <c r="W750" s="1"/>
  <c r="F751"/>
  <c r="G751" s="1"/>
  <c r="K751"/>
  <c r="T751" s="1"/>
  <c r="L751"/>
  <c r="U751" s="1"/>
  <c r="O751"/>
  <c r="V751" s="1"/>
  <c r="W751" s="1"/>
  <c r="F752"/>
  <c r="G752" s="1"/>
  <c r="T752"/>
  <c r="U752"/>
  <c r="V752"/>
  <c r="W752" s="1"/>
  <c r="F753"/>
  <c r="G753" s="1"/>
  <c r="T753"/>
  <c r="U753"/>
  <c r="V753"/>
  <c r="W753" s="1"/>
  <c r="F755"/>
  <c r="G755" s="1"/>
  <c r="F756"/>
  <c r="G756" s="1"/>
  <c r="F757"/>
  <c r="G757" s="1"/>
  <c r="F758"/>
  <c r="G758" s="1"/>
  <c r="F759"/>
  <c r="G759" s="1"/>
  <c r="F760"/>
  <c r="G760" s="1"/>
  <c r="F761"/>
  <c r="G761" s="1"/>
  <c r="F762"/>
  <c r="G762" s="1"/>
  <c r="F763"/>
  <c r="G763" s="1"/>
  <c r="F767"/>
  <c r="G767" s="1"/>
  <c r="F768"/>
  <c r="G768" s="1"/>
  <c r="F769"/>
  <c r="G769" s="1"/>
  <c r="F770"/>
  <c r="G770" s="1"/>
  <c r="F771"/>
  <c r="G771" s="1"/>
  <c r="F783"/>
  <c r="G783" s="1"/>
  <c r="U783"/>
  <c r="V783"/>
  <c r="W783" s="1"/>
  <c r="F784"/>
  <c r="G784" s="1"/>
  <c r="T784"/>
  <c r="U784"/>
  <c r="V784"/>
  <c r="W784" s="1"/>
  <c r="F785"/>
  <c r="G785" s="1"/>
  <c r="K785"/>
  <c r="T785" s="1"/>
  <c r="L785"/>
  <c r="U785" s="1"/>
  <c r="O785"/>
  <c r="V785" s="1"/>
  <c r="W785" s="1"/>
  <c r="F786"/>
  <c r="G786" s="1"/>
  <c r="T786"/>
  <c r="U786"/>
  <c r="V786"/>
  <c r="W786" s="1"/>
  <c r="F787"/>
  <c r="G787" s="1"/>
  <c r="T787"/>
  <c r="U787"/>
  <c r="V787"/>
  <c r="W787" s="1"/>
  <c r="F788"/>
  <c r="G788" s="1"/>
  <c r="T788"/>
  <c r="U788"/>
  <c r="V788"/>
  <c r="W788" s="1"/>
  <c r="F789"/>
  <c r="G789" s="1"/>
  <c r="T789"/>
  <c r="U789"/>
  <c r="V789"/>
  <c r="W789" s="1"/>
  <c r="F790"/>
  <c r="G790" s="1"/>
  <c r="T790"/>
  <c r="U790"/>
  <c r="V790"/>
  <c r="W790" s="1"/>
  <c r="F792"/>
  <c r="G792" s="1"/>
  <c r="T792"/>
  <c r="U792"/>
  <c r="V792"/>
  <c r="W792" s="1"/>
  <c r="F793"/>
  <c r="G793" s="1"/>
  <c r="T793"/>
  <c r="U793"/>
  <c r="V793"/>
  <c r="W793" s="1"/>
  <c r="F794"/>
  <c r="G794" s="1"/>
  <c r="T794"/>
  <c r="U794"/>
  <c r="V794"/>
  <c r="W794" s="1"/>
  <c r="F795"/>
  <c r="G795" s="1"/>
  <c r="T795"/>
  <c r="U795"/>
  <c r="V795"/>
  <c r="W795" s="1"/>
  <c r="F796"/>
  <c r="G796" s="1"/>
  <c r="T796"/>
  <c r="U796"/>
  <c r="V796"/>
  <c r="W796" s="1"/>
  <c r="F797"/>
  <c r="G797" s="1"/>
  <c r="T797"/>
  <c r="U797"/>
  <c r="V797"/>
  <c r="W797" s="1"/>
  <c r="F798"/>
  <c r="G798" s="1"/>
  <c r="T798"/>
  <c r="U798"/>
  <c r="V798"/>
  <c r="W798" s="1"/>
  <c r="F799"/>
  <c r="G799" s="1"/>
  <c r="T799"/>
  <c r="U799"/>
  <c r="V799"/>
  <c r="W799" s="1"/>
  <c r="F800"/>
  <c r="G800" s="1"/>
  <c r="T800"/>
  <c r="U800"/>
  <c r="V800"/>
  <c r="W800" s="1"/>
  <c r="F804"/>
  <c r="G804" s="1"/>
  <c r="U804"/>
  <c r="V804"/>
  <c r="W804" s="1"/>
  <c r="F805"/>
  <c r="G805" s="1"/>
  <c r="U805"/>
  <c r="V805"/>
  <c r="W805" s="1"/>
  <c r="F806"/>
  <c r="G806" s="1"/>
  <c r="T806"/>
  <c r="U806"/>
  <c r="V806"/>
  <c r="W806" s="1"/>
  <c r="F807"/>
  <c r="G807" s="1"/>
  <c r="T807"/>
  <c r="U807"/>
  <c r="V807"/>
  <c r="W807" s="1"/>
  <c r="F808"/>
  <c r="G808" s="1"/>
  <c r="T808"/>
  <c r="U808"/>
  <c r="V808"/>
  <c r="W808" s="1"/>
  <c r="F809"/>
  <c r="G809" s="1"/>
  <c r="T809"/>
  <c r="U809"/>
  <c r="V809"/>
  <c r="W809" s="1"/>
  <c r="F810"/>
  <c r="G810" s="1"/>
  <c r="T810"/>
  <c r="U810"/>
  <c r="V810"/>
  <c r="W810" s="1"/>
  <c r="F811"/>
  <c r="G811" s="1"/>
  <c r="T811"/>
  <c r="U811"/>
  <c r="V811"/>
  <c r="W811" s="1"/>
  <c r="F817"/>
  <c r="G817" s="1"/>
  <c r="T817"/>
  <c r="U817"/>
  <c r="V817"/>
  <c r="W817" s="1"/>
  <c r="F818"/>
  <c r="G818" s="1"/>
  <c r="T818"/>
  <c r="U818"/>
  <c r="V818"/>
  <c r="W818" s="1"/>
  <c r="F819"/>
  <c r="G819" s="1"/>
  <c r="T819"/>
  <c r="U819"/>
  <c r="V819"/>
  <c r="W819" s="1"/>
  <c r="F820"/>
  <c r="G820" s="1"/>
  <c r="T820"/>
  <c r="U820"/>
  <c r="V820"/>
  <c r="W820" s="1"/>
  <c r="F821"/>
  <c r="G821" s="1"/>
  <c r="T821"/>
  <c r="U821"/>
  <c r="V821"/>
  <c r="W821" s="1"/>
  <c r="F822"/>
  <c r="G822" s="1"/>
  <c r="T822"/>
  <c r="U822"/>
  <c r="V822"/>
  <c r="W822" s="1"/>
  <c r="F832"/>
  <c r="G832" s="1"/>
  <c r="U832"/>
  <c r="V832"/>
  <c r="W832" s="1"/>
  <c r="F833"/>
  <c r="G833" s="1"/>
  <c r="U833"/>
  <c r="V833"/>
  <c r="W833" s="1"/>
  <c r="F834"/>
  <c r="G834" s="1"/>
  <c r="U834"/>
  <c r="V834"/>
  <c r="W834" s="1"/>
  <c r="F835"/>
  <c r="G835" s="1"/>
  <c r="T835"/>
  <c r="U835"/>
  <c r="V835"/>
  <c r="W835" s="1"/>
  <c r="F836"/>
  <c r="G836" s="1"/>
  <c r="T836"/>
  <c r="U836"/>
  <c r="V836"/>
  <c r="W836" s="1"/>
  <c r="F837"/>
  <c r="G837" s="1"/>
  <c r="T837"/>
  <c r="U837"/>
  <c r="V837"/>
  <c r="W837" s="1"/>
  <c r="F838"/>
  <c r="G838" s="1"/>
  <c r="T838"/>
  <c r="U838"/>
  <c r="V838"/>
  <c r="W838" s="1"/>
  <c r="F839"/>
  <c r="G839" s="1"/>
  <c r="T839"/>
  <c r="U839"/>
  <c r="V839"/>
  <c r="W839" s="1"/>
  <c r="F842"/>
  <c r="G842" s="1"/>
  <c r="T842"/>
  <c r="U842"/>
  <c r="V842"/>
  <c r="W842" s="1"/>
  <c r="F843"/>
  <c r="G843" s="1"/>
  <c r="K843"/>
  <c r="T843" s="1"/>
  <c r="L843"/>
  <c r="U843" s="1"/>
  <c r="O843"/>
  <c r="V843" s="1"/>
  <c r="W843" s="1"/>
  <c r="F844"/>
  <c r="G844" s="1"/>
  <c r="T844"/>
  <c r="U844"/>
  <c r="V844"/>
  <c r="W844" s="1"/>
  <c r="F845"/>
  <c r="G845" s="1"/>
  <c r="T845"/>
  <c r="U845"/>
  <c r="V845"/>
  <c r="W845" s="1"/>
  <c r="T514"/>
  <c r="U514"/>
  <c r="V514"/>
  <c r="W514" s="1"/>
  <c r="T517"/>
  <c r="U517"/>
  <c r="V517"/>
  <c r="W517" s="1"/>
  <c r="T532"/>
  <c r="U532"/>
  <c r="V532"/>
  <c r="W532" s="1"/>
  <c r="T533"/>
  <c r="U533"/>
  <c r="V533"/>
  <c r="W533" s="1"/>
  <c r="T534"/>
  <c r="U534"/>
  <c r="V534"/>
  <c r="W534" s="1"/>
  <c r="T535"/>
  <c r="U535"/>
  <c r="V535"/>
  <c r="W535" s="1"/>
  <c r="T536"/>
  <c r="U536"/>
  <c r="V536"/>
  <c r="W536" s="1"/>
  <c r="T537"/>
  <c r="U537"/>
  <c r="V537"/>
  <c r="W537" s="1"/>
  <c r="T538"/>
  <c r="U538"/>
  <c r="V538"/>
  <c r="W538" s="1"/>
  <c r="T539"/>
  <c r="U539"/>
  <c r="V539"/>
  <c r="W539" s="1"/>
  <c r="T540"/>
  <c r="U540"/>
  <c r="V540"/>
  <c r="W540" s="1"/>
  <c r="T541"/>
  <c r="U541"/>
  <c r="V541"/>
  <c r="W541" s="1"/>
  <c r="T542"/>
  <c r="U542"/>
  <c r="V542"/>
  <c r="W542" s="1"/>
  <c r="T543"/>
  <c r="U543"/>
  <c r="V543"/>
  <c r="W543" s="1"/>
  <c r="T544"/>
  <c r="U544"/>
  <c r="V544"/>
  <c r="W544" s="1"/>
  <c r="T545"/>
  <c r="U545"/>
  <c r="V545"/>
  <c r="W545" s="1"/>
  <c r="T546"/>
  <c r="U546"/>
  <c r="V546"/>
  <c r="W546" s="1"/>
  <c r="T547"/>
  <c r="U547"/>
  <c r="V547"/>
  <c r="W547" s="1"/>
  <c r="T548"/>
  <c r="U548"/>
  <c r="V548"/>
  <c r="W548" s="1"/>
  <c r="T549"/>
  <c r="U549"/>
  <c r="V549"/>
  <c r="W549" s="1"/>
  <c r="T550"/>
  <c r="U550"/>
  <c r="V550"/>
  <c r="W550" s="1"/>
  <c r="T551"/>
  <c r="U551"/>
  <c r="V551"/>
  <c r="W551" s="1"/>
  <c r="T552"/>
  <c r="U552"/>
  <c r="V552"/>
  <c r="W552" s="1"/>
  <c r="T553"/>
  <c r="U553"/>
  <c r="V553"/>
  <c r="W553" s="1"/>
  <c r="T554"/>
  <c r="U554"/>
  <c r="V554"/>
  <c r="W554" s="1"/>
  <c r="K555"/>
  <c r="T555" s="1"/>
  <c r="L555"/>
  <c r="U555" s="1"/>
  <c r="O555"/>
  <c r="V555" s="1"/>
  <c r="W555" s="1"/>
  <c r="T556"/>
  <c r="U556"/>
  <c r="V556"/>
  <c r="W556" s="1"/>
  <c r="T557"/>
  <c r="U557"/>
  <c r="V557"/>
  <c r="W557" s="1"/>
  <c r="T558"/>
  <c r="U558"/>
  <c r="V558"/>
  <c r="W558" s="1"/>
  <c r="T559"/>
  <c r="U559"/>
  <c r="V559"/>
  <c r="W559" s="1"/>
  <c r="T560"/>
  <c r="U560"/>
  <c r="V560"/>
  <c r="W560" s="1"/>
  <c r="T561"/>
  <c r="U561"/>
  <c r="V561"/>
  <c r="W561" s="1"/>
  <c r="T562"/>
  <c r="U562"/>
  <c r="V562"/>
  <c r="W562" s="1"/>
  <c r="T563"/>
  <c r="U563"/>
  <c r="V563"/>
  <c r="W563" s="1"/>
  <c r="T564"/>
  <c r="U564"/>
  <c r="V564"/>
  <c r="W564" s="1"/>
  <c r="T565"/>
  <c r="U565"/>
  <c r="V565"/>
  <c r="W565" s="1"/>
  <c r="T566"/>
  <c r="U566"/>
  <c r="V566"/>
  <c r="W566" s="1"/>
  <c r="K567"/>
  <c r="T567" s="1"/>
  <c r="L567"/>
  <c r="U567" s="1"/>
  <c r="O567"/>
  <c r="V567" s="1"/>
  <c r="W567" s="1"/>
  <c r="T568"/>
  <c r="U568"/>
  <c r="V568"/>
  <c r="W568" s="1"/>
  <c r="T569"/>
  <c r="U569"/>
  <c r="V569"/>
  <c r="W569" s="1"/>
  <c r="T570"/>
  <c r="U570"/>
  <c r="V570"/>
  <c r="W570" s="1"/>
  <c r="T571"/>
  <c r="U571"/>
  <c r="V571"/>
  <c r="W571" s="1"/>
  <c r="T572"/>
  <c r="U572"/>
  <c r="V572"/>
  <c r="W572" s="1"/>
  <c r="T573"/>
  <c r="U573"/>
  <c r="V573"/>
  <c r="W573" s="1"/>
  <c r="T574"/>
  <c r="U574"/>
  <c r="V574"/>
  <c r="W574" s="1"/>
  <c r="T575"/>
  <c r="U575"/>
  <c r="V575"/>
  <c r="W575" s="1"/>
  <c r="T576"/>
  <c r="U576"/>
  <c r="V576"/>
  <c r="W576" s="1"/>
  <c r="T577"/>
  <c r="U577"/>
  <c r="V577"/>
  <c r="W577" s="1"/>
  <c r="T578"/>
  <c r="U578"/>
  <c r="V578"/>
  <c r="W578" s="1"/>
  <c r="T579"/>
  <c r="U579"/>
  <c r="V579"/>
  <c r="W579" s="1"/>
  <c r="K580"/>
  <c r="T580" s="1"/>
  <c r="L580"/>
  <c r="U580" s="1"/>
  <c r="O580"/>
  <c r="V580" s="1"/>
  <c r="W580" s="1"/>
  <c r="T581"/>
  <c r="U581"/>
  <c r="V581"/>
  <c r="W581" s="1"/>
  <c r="T582"/>
  <c r="U582"/>
  <c r="V582"/>
  <c r="W582" s="1"/>
  <c r="T583"/>
  <c r="U583"/>
  <c r="V583"/>
  <c r="W583" s="1"/>
  <c r="T584"/>
  <c r="U584"/>
  <c r="V584"/>
  <c r="W584" s="1"/>
  <c r="T585"/>
  <c r="U585"/>
  <c r="V585"/>
  <c r="W585" s="1"/>
  <c r="T586"/>
  <c r="U586"/>
  <c r="V586"/>
  <c r="W586" s="1"/>
  <c r="T587"/>
  <c r="U587"/>
  <c r="V587"/>
  <c r="W587" s="1"/>
  <c r="F1110"/>
  <c r="G1110" s="1"/>
  <c r="F1111"/>
  <c r="G1111" s="1"/>
  <c r="F1112"/>
  <c r="G1112" s="1"/>
  <c r="F1113"/>
  <c r="G1113" s="1"/>
  <c r="F1114"/>
  <c r="G1114" s="1"/>
  <c r="F1115"/>
  <c r="G1115" s="1"/>
  <c r="F1116"/>
  <c r="G1116" s="1"/>
  <c r="F1117"/>
  <c r="G1117" s="1"/>
  <c r="F1118"/>
  <c r="G1118" s="1"/>
  <c r="F2123"/>
  <c r="G2123" s="1"/>
  <c r="F2124"/>
  <c r="G2124" s="1"/>
  <c r="F2125"/>
  <c r="G2125" s="1"/>
  <c r="F2126"/>
  <c r="G2126" s="1"/>
  <c r="T2126"/>
  <c r="U2126"/>
  <c r="V2126"/>
  <c r="W2126" s="1"/>
  <c r="F2127"/>
  <c r="G2127" s="1"/>
  <c r="F2128"/>
  <c r="G2128" s="1"/>
  <c r="F2129"/>
  <c r="G2129" s="1"/>
  <c r="F2130"/>
  <c r="G2130" s="1"/>
  <c r="T2130"/>
  <c r="U2130"/>
  <c r="V2130"/>
  <c r="W2130" s="1"/>
  <c r="F2131"/>
  <c r="G2131" s="1"/>
  <c r="F2132"/>
  <c r="G2132" s="1"/>
  <c r="F2133"/>
  <c r="G2133" s="1"/>
  <c r="F2134"/>
  <c r="G2134" s="1"/>
  <c r="F2135"/>
  <c r="G2135" s="1"/>
  <c r="F2136"/>
  <c r="G2136" s="1"/>
  <c r="F2137"/>
  <c r="G2137" s="1"/>
  <c r="F2138"/>
  <c r="G2138" s="1"/>
  <c r="T2138"/>
  <c r="U2138"/>
  <c r="V2138"/>
  <c r="W2138" s="1"/>
  <c r="F2139"/>
  <c r="G2139" s="1"/>
  <c r="T2139"/>
  <c r="U2139"/>
  <c r="V2139"/>
  <c r="W2139" s="1"/>
  <c r="F2140"/>
  <c r="G2140" s="1"/>
  <c r="T2140"/>
  <c r="U2140"/>
  <c r="V2140"/>
  <c r="W2140" s="1"/>
  <c r="F2141"/>
  <c r="G2141" s="1"/>
  <c r="T2141"/>
  <c r="U2141"/>
  <c r="V2141"/>
  <c r="W2141" s="1"/>
  <c r="F2142"/>
  <c r="G2142" s="1"/>
  <c r="U2142"/>
  <c r="V2142"/>
  <c r="W2142" s="1"/>
  <c r="F2153"/>
  <c r="G2153" s="1"/>
  <c r="U2153"/>
  <c r="V2153"/>
  <c r="W2153" s="1"/>
  <c r="F2154"/>
  <c r="G2154" s="1"/>
  <c r="T2154"/>
  <c r="U2154"/>
  <c r="V2154"/>
  <c r="W2154" s="1"/>
  <c r="F2155"/>
  <c r="G2155" s="1"/>
  <c r="T2155"/>
  <c r="U2155"/>
  <c r="V2155"/>
  <c r="W2155" s="1"/>
  <c r="F2156"/>
  <c r="G2156" s="1"/>
  <c r="T2156"/>
  <c r="U2156"/>
  <c r="V2156"/>
  <c r="W2156" s="1"/>
  <c r="F2157"/>
  <c r="G2157" s="1"/>
  <c r="T2157"/>
  <c r="U2157"/>
  <c r="V2157"/>
  <c r="W2157" s="1"/>
  <c r="F2158"/>
  <c r="G2158" s="1"/>
  <c r="T2158"/>
  <c r="U2158"/>
  <c r="V2158"/>
  <c r="W2158" s="1"/>
  <c r="F2159"/>
  <c r="G2159" s="1"/>
  <c r="T2159"/>
  <c r="U2159"/>
  <c r="V2159"/>
  <c r="W2159" s="1"/>
  <c r="F2160"/>
  <c r="G2160" s="1"/>
  <c r="T2160"/>
  <c r="U2160"/>
  <c r="V2160"/>
  <c r="W2160" s="1"/>
  <c r="F2161"/>
  <c r="G2161" s="1"/>
  <c r="T2161"/>
  <c r="U2161"/>
  <c r="V2161"/>
  <c r="W2161" s="1"/>
  <c r="F2162"/>
  <c r="G2162" s="1"/>
  <c r="T2162"/>
  <c r="U2162"/>
  <c r="V2162"/>
  <c r="W2162" s="1"/>
  <c r="F2163"/>
  <c r="G2163" s="1"/>
  <c r="T2163"/>
  <c r="U2163"/>
  <c r="V2163"/>
  <c r="W2163" s="1"/>
  <c r="F2164"/>
  <c r="G2164" s="1"/>
  <c r="K2164"/>
  <c r="T2164" s="1"/>
  <c r="L2164"/>
  <c r="U2164" s="1"/>
  <c r="O2164"/>
  <c r="V2164" s="1"/>
  <c r="W2164" s="1"/>
  <c r="F2165"/>
  <c r="G2165" s="1"/>
  <c r="T2165"/>
  <c r="U2165"/>
  <c r="V2165"/>
  <c r="W2165" s="1"/>
  <c r="F2166"/>
  <c r="G2166" s="1"/>
  <c r="T2166"/>
  <c r="U2166"/>
  <c r="V2166"/>
  <c r="W2166" s="1"/>
  <c r="F2167"/>
  <c r="G2167" s="1"/>
  <c r="T2167"/>
  <c r="U2167"/>
  <c r="V2167"/>
  <c r="W2167" s="1"/>
  <c r="F2168"/>
  <c r="G2168" s="1"/>
  <c r="T2168"/>
  <c r="U2168"/>
  <c r="V2168"/>
  <c r="W2168" s="1"/>
  <c r="F2169"/>
  <c r="G2169" s="1"/>
  <c r="T2169"/>
  <c r="U2169"/>
  <c r="V2169"/>
  <c r="W2169" s="1"/>
  <c r="F2170"/>
  <c r="G2170" s="1"/>
  <c r="T2170"/>
  <c r="U2170"/>
  <c r="V2170"/>
  <c r="W2170" s="1"/>
  <c r="F2171"/>
  <c r="G2171" s="1"/>
  <c r="T2171"/>
  <c r="U2171"/>
  <c r="V2171"/>
  <c r="W2171" s="1"/>
  <c r="F2172"/>
  <c r="G2172" s="1"/>
  <c r="T2172"/>
  <c r="U2172"/>
  <c r="V2172"/>
  <c r="W2172" s="1"/>
  <c r="F2173"/>
  <c r="G2173" s="1"/>
  <c r="K2173"/>
  <c r="T2173" s="1"/>
  <c r="L2173"/>
  <c r="U2173" s="1"/>
  <c r="O2173"/>
  <c r="V2173" s="1"/>
  <c r="W2173" s="1"/>
  <c r="F2174"/>
  <c r="G2174" s="1"/>
  <c r="T2174"/>
  <c r="U2174"/>
  <c r="V2174"/>
  <c r="W2174" s="1"/>
  <c r="F2181"/>
  <c r="G2181" s="1"/>
  <c r="U2181"/>
  <c r="V2181"/>
  <c r="W2181" s="1"/>
  <c r="F2182"/>
  <c r="G2182" s="1"/>
  <c r="T2182"/>
  <c r="U2182"/>
  <c r="V2182"/>
  <c r="W2182" s="1"/>
  <c r="F2183"/>
  <c r="G2183" s="1"/>
  <c r="T2183"/>
  <c r="U2183"/>
  <c r="V2183"/>
  <c r="W2183" s="1"/>
  <c r="F2184"/>
  <c r="G2184" s="1"/>
  <c r="T2184"/>
  <c r="U2184"/>
  <c r="V2184"/>
  <c r="W2184" s="1"/>
  <c r="F2185"/>
  <c r="G2185" s="1"/>
  <c r="T2185"/>
  <c r="U2185"/>
  <c r="V2185"/>
  <c r="W2185" s="1"/>
  <c r="F2186"/>
  <c r="G2186" s="1"/>
  <c r="T2186"/>
  <c r="U2186"/>
  <c r="V2186"/>
  <c r="W2186" s="1"/>
  <c r="F2187"/>
  <c r="G2187" s="1"/>
  <c r="T2187"/>
  <c r="U2187"/>
  <c r="V2187"/>
  <c r="W2187" s="1"/>
  <c r="F2188"/>
  <c r="G2188" s="1"/>
  <c r="T2188"/>
  <c r="U2188"/>
  <c r="V2188"/>
  <c r="W2188" s="1"/>
  <c r="F2189"/>
  <c r="G2189" s="1"/>
  <c r="T2189"/>
  <c r="U2189"/>
  <c r="V2189"/>
  <c r="W2189" s="1"/>
  <c r="F2190"/>
  <c r="G2190" s="1"/>
  <c r="T2190"/>
  <c r="U2190"/>
  <c r="V2190"/>
  <c r="W2190" s="1"/>
  <c r="F2191"/>
  <c r="G2191" s="1"/>
  <c r="T2191"/>
  <c r="U2191"/>
  <c r="V2191"/>
  <c r="W2191" s="1"/>
  <c r="F2192"/>
  <c r="G2192" s="1"/>
  <c r="T2192"/>
  <c r="U2192"/>
  <c r="V2192"/>
  <c r="W2192" s="1"/>
  <c r="F2193"/>
  <c r="G2193" s="1"/>
  <c r="T2193"/>
  <c r="U2193"/>
  <c r="V2193"/>
  <c r="W2193" s="1"/>
  <c r="F2194"/>
  <c r="G2194" s="1"/>
  <c r="T2194"/>
  <c r="U2194"/>
  <c r="V2194"/>
  <c r="W2194" s="1"/>
  <c r="F2195"/>
  <c r="G2195" s="1"/>
  <c r="T2195"/>
  <c r="U2195"/>
  <c r="V2195"/>
  <c r="W2195" s="1"/>
  <c r="F2196"/>
  <c r="G2196" s="1"/>
  <c r="T2196"/>
  <c r="U2196"/>
  <c r="V2196"/>
  <c r="W2196" s="1"/>
  <c r="F2197"/>
  <c r="G2197" s="1"/>
  <c r="T2197"/>
  <c r="U2197"/>
  <c r="V2197"/>
  <c r="W2197" s="1"/>
  <c r="F1265"/>
  <c r="G1265" s="1"/>
  <c r="F1266"/>
  <c r="G1266" s="1"/>
  <c r="F1267"/>
  <c r="G1267" s="1"/>
  <c r="F1268"/>
  <c r="G1268" s="1"/>
  <c r="F1269"/>
  <c r="G1269" s="1"/>
  <c r="F1277"/>
  <c r="G1277" s="1"/>
  <c r="F1278"/>
  <c r="G1278" s="1"/>
  <c r="F1279"/>
  <c r="G1279" s="1"/>
  <c r="T1279"/>
  <c r="U1279"/>
  <c r="V1279"/>
  <c r="W1279" s="1"/>
  <c r="F1280"/>
  <c r="G1280" s="1"/>
  <c r="T1280"/>
  <c r="U1280"/>
  <c r="V1280"/>
  <c r="W1280" s="1"/>
  <c r="F1281"/>
  <c r="G1281" s="1"/>
  <c r="T1281"/>
  <c r="U1281"/>
  <c r="V1281"/>
  <c r="W1281" s="1"/>
  <c r="F1901"/>
  <c r="G1901" s="1"/>
  <c r="U1901"/>
  <c r="V1901"/>
  <c r="W1901" s="1"/>
  <c r="F1902"/>
  <c r="G1902" s="1"/>
  <c r="T1902"/>
  <c r="U1902"/>
  <c r="V1902"/>
  <c r="W1902" s="1"/>
  <c r="F1903"/>
  <c r="G1903" s="1"/>
  <c r="T1903"/>
  <c r="U1903"/>
  <c r="V1903"/>
  <c r="W1903" s="1"/>
  <c r="F1904"/>
  <c r="G1904" s="1"/>
  <c r="T1904"/>
  <c r="U1904"/>
  <c r="V1904"/>
  <c r="W1904" s="1"/>
  <c r="F1905"/>
  <c r="G1905" s="1"/>
  <c r="T1905"/>
  <c r="U1905"/>
  <c r="V1905"/>
  <c r="W1905" s="1"/>
  <c r="F1906"/>
  <c r="G1906" s="1"/>
  <c r="T1906"/>
  <c r="U1906"/>
  <c r="V1906"/>
  <c r="W1906" s="1"/>
  <c r="F1907"/>
  <c r="G1907" s="1"/>
  <c r="T1907"/>
  <c r="U1907"/>
  <c r="V1907"/>
  <c r="W1907" s="1"/>
  <c r="F1908"/>
  <c r="G1908" s="1"/>
  <c r="T1908"/>
  <c r="U1908"/>
  <c r="V1908"/>
  <c r="W1908" s="1"/>
  <c r="F1909"/>
  <c r="G1909" s="1"/>
  <c r="K1909"/>
  <c r="T1909" s="1"/>
  <c r="L1909"/>
  <c r="U1909" s="1"/>
  <c r="O1909"/>
  <c r="V1909" s="1"/>
  <c r="W1909" s="1"/>
  <c r="F1910"/>
  <c r="G1910" s="1"/>
  <c r="T1910"/>
  <c r="U1910"/>
  <c r="V1910"/>
  <c r="W1910" s="1"/>
  <c r="F1911"/>
  <c r="G1911" s="1"/>
  <c r="T1911"/>
  <c r="U1911"/>
  <c r="V1911"/>
  <c r="W1911" s="1"/>
  <c r="F1912"/>
  <c r="G1912" s="1"/>
  <c r="T1912"/>
  <c r="U1912"/>
  <c r="V1912"/>
  <c r="W1912" s="1"/>
  <c r="F1913"/>
  <c r="G1913" s="1"/>
  <c r="T1913"/>
  <c r="U1913"/>
  <c r="V1913"/>
  <c r="W1913" s="1"/>
  <c r="F1914"/>
  <c r="G1914" s="1"/>
  <c r="T1914"/>
  <c r="U1914"/>
  <c r="V1914"/>
  <c r="W1914" s="1"/>
  <c r="F1915"/>
  <c r="G1915" s="1"/>
  <c r="T1915"/>
  <c r="U1915"/>
  <c r="V1915"/>
  <c r="W1915" s="1"/>
  <c r="F1916"/>
  <c r="G1916" s="1"/>
  <c r="T1916"/>
  <c r="U1916"/>
  <c r="V1916"/>
  <c r="W1916" s="1"/>
  <c r="F1917"/>
  <c r="G1917" s="1"/>
  <c r="T1917"/>
  <c r="U1917"/>
  <c r="V1917"/>
  <c r="W1917" s="1"/>
  <c r="F1918"/>
  <c r="G1918" s="1"/>
  <c r="T1918"/>
  <c r="U1918"/>
  <c r="V1918"/>
  <c r="W1918" s="1"/>
  <c r="F1919"/>
  <c r="G1919" s="1"/>
  <c r="T1919"/>
  <c r="U1919"/>
  <c r="V1919"/>
  <c r="W1919" s="1"/>
  <c r="F1920"/>
  <c r="G1920" s="1"/>
  <c r="T1920"/>
  <c r="U1920"/>
  <c r="V1920"/>
  <c r="W1920" s="1"/>
  <c r="F1921"/>
  <c r="G1921" s="1"/>
  <c r="T1921"/>
  <c r="U1921"/>
  <c r="V1921"/>
  <c r="W1921" s="1"/>
  <c r="F1922"/>
  <c r="G1922" s="1"/>
  <c r="T1922"/>
  <c r="U1922"/>
  <c r="V1922"/>
  <c r="W1922" s="1"/>
  <c r="F1923"/>
  <c r="G1923" s="1"/>
  <c r="T1923"/>
  <c r="U1923"/>
  <c r="V1923"/>
  <c r="W1923" s="1"/>
  <c r="F1924"/>
  <c r="G1924" s="1"/>
  <c r="T1924"/>
  <c r="U1924"/>
  <c r="V1924"/>
  <c r="W1924" s="1"/>
  <c r="F1925"/>
  <c r="U1925"/>
  <c r="V1925"/>
  <c r="W1925" s="1"/>
  <c r="F1930"/>
  <c r="G1930" s="1"/>
  <c r="U1930"/>
  <c r="V1930"/>
  <c r="W1930" s="1"/>
  <c r="F1931"/>
  <c r="G1931" s="1"/>
  <c r="T1931"/>
  <c r="U1931"/>
  <c r="V1931"/>
  <c r="W1931" s="1"/>
  <c r="F1932"/>
  <c r="G1932" s="1"/>
  <c r="T1932"/>
  <c r="U1932"/>
  <c r="V1932"/>
  <c r="W1932" s="1"/>
  <c r="F1933"/>
  <c r="G1933" s="1"/>
  <c r="T1933"/>
  <c r="U1933"/>
  <c r="V1933"/>
  <c r="W1933" s="1"/>
  <c r="F1934"/>
  <c r="G1934" s="1"/>
  <c r="T1934"/>
  <c r="U1934"/>
  <c r="V1934"/>
  <c r="W1934" s="1"/>
  <c r="F1935"/>
  <c r="G1935" s="1"/>
  <c r="T1935"/>
  <c r="U1935"/>
  <c r="V1935"/>
  <c r="W1935" s="1"/>
  <c r="F1936"/>
  <c r="G1936" s="1"/>
  <c r="T1936"/>
  <c r="U1936"/>
  <c r="V1936"/>
  <c r="W1936" s="1"/>
  <c r="F1937"/>
  <c r="G1937" s="1"/>
  <c r="T1937"/>
  <c r="U1937"/>
  <c r="V1937"/>
  <c r="W1937" s="1"/>
  <c r="F1938"/>
  <c r="G1938" s="1"/>
  <c r="T1938"/>
  <c r="U1938"/>
  <c r="V1938"/>
  <c r="W1938" s="1"/>
  <c r="F1939"/>
  <c r="G1939" s="1"/>
  <c r="T1939"/>
  <c r="U1939"/>
  <c r="V1939"/>
  <c r="W1939" s="1"/>
  <c r="F1940"/>
  <c r="G1940" s="1"/>
  <c r="T1940"/>
  <c r="U1940"/>
  <c r="V1940"/>
  <c r="W1940" s="1"/>
  <c r="F1941"/>
  <c r="G1941" s="1"/>
  <c r="T1941"/>
  <c r="U1941"/>
  <c r="V1941"/>
  <c r="W1941" s="1"/>
  <c r="F1942"/>
  <c r="G1942" s="1"/>
  <c r="K1942"/>
  <c r="T1942" s="1"/>
  <c r="L1942"/>
  <c r="U1942" s="1"/>
  <c r="O1942"/>
  <c r="V1942" s="1"/>
  <c r="W1942" s="1"/>
  <c r="F1943"/>
  <c r="G1943" s="1"/>
  <c r="T1943"/>
  <c r="U1943"/>
  <c r="V1943"/>
  <c r="W1943" s="1"/>
  <c r="F1944"/>
  <c r="G1944" s="1"/>
  <c r="T1944"/>
  <c r="U1944"/>
  <c r="V1944"/>
  <c r="W1944" s="1"/>
  <c r="F1945"/>
  <c r="G1945" s="1"/>
  <c r="T1945"/>
  <c r="U1945"/>
  <c r="V1945"/>
  <c r="W1945" s="1"/>
  <c r="F1946"/>
  <c r="G1946" s="1"/>
  <c r="T1946"/>
  <c r="U1946"/>
  <c r="V1946"/>
  <c r="W1946" s="1"/>
  <c r="F1947"/>
  <c r="G1947" s="1"/>
  <c r="T1947"/>
  <c r="U1947"/>
  <c r="V1947"/>
  <c r="W1947" s="1"/>
  <c r="F1948"/>
  <c r="G1948" s="1"/>
  <c r="U1948"/>
  <c r="V1948"/>
  <c r="W1948" s="1"/>
  <c r="F1949"/>
  <c r="G1949" s="1"/>
  <c r="U1949"/>
  <c r="V1949"/>
  <c r="W1949" s="1"/>
  <c r="F1950"/>
  <c r="G1950" s="1"/>
  <c r="U1950"/>
  <c r="V1950"/>
  <c r="W1950" s="1"/>
  <c r="F1954"/>
  <c r="G1954" s="1"/>
  <c r="T1954"/>
  <c r="U1954"/>
  <c r="V1954"/>
  <c r="W1954" s="1"/>
  <c r="F1955"/>
  <c r="G1955" s="1"/>
  <c r="T1955"/>
  <c r="U1955"/>
  <c r="V1955"/>
  <c r="W1955" s="1"/>
  <c r="F1956"/>
  <c r="G1956" s="1"/>
  <c r="T1956"/>
  <c r="U1956"/>
  <c r="V1956"/>
  <c r="W1956" s="1"/>
  <c r="F1957"/>
  <c r="G1957" s="1"/>
  <c r="T1957"/>
  <c r="U1957"/>
  <c r="V1957"/>
  <c r="W1957" s="1"/>
  <c r="F1958"/>
  <c r="G1958" s="1"/>
  <c r="T1958"/>
  <c r="U1958"/>
  <c r="V1958"/>
  <c r="W1958" s="1"/>
  <c r="F1959"/>
  <c r="G1959" s="1"/>
  <c r="T1959"/>
  <c r="U1959"/>
  <c r="V1959"/>
  <c r="W1959" s="1"/>
  <c r="F1960"/>
  <c r="G1960" s="1"/>
  <c r="T1960"/>
  <c r="U1960"/>
  <c r="V1960"/>
  <c r="W1960" s="1"/>
  <c r="F1961"/>
  <c r="G1961" s="1"/>
  <c r="T1961"/>
  <c r="U1961"/>
  <c r="V1961"/>
  <c r="W1961" s="1"/>
  <c r="F1962"/>
  <c r="G1962" s="1"/>
  <c r="T1962"/>
  <c r="U1962"/>
  <c r="V1962"/>
  <c r="W1962" s="1"/>
  <c r="F1963"/>
  <c r="G1963" s="1"/>
  <c r="T1963"/>
  <c r="U1963"/>
  <c r="V1963"/>
  <c r="W1963" s="1"/>
  <c r="F2342"/>
  <c r="G2342" s="1"/>
  <c r="F2343"/>
  <c r="G2343" s="1"/>
  <c r="F2344"/>
  <c r="G2344" s="1"/>
  <c r="F2345"/>
  <c r="G2345" s="1"/>
  <c r="F2355"/>
  <c r="G2355" s="1"/>
  <c r="F2356"/>
  <c r="G2356" s="1"/>
  <c r="F2357"/>
  <c r="G2357" s="1"/>
  <c r="F2358"/>
  <c r="G2358" s="1"/>
  <c r="F2359"/>
  <c r="G2359" s="1"/>
  <c r="F2360"/>
  <c r="G2360" s="1"/>
  <c r="F2361"/>
  <c r="G2361" s="1"/>
  <c r="T2361"/>
  <c r="U2361"/>
  <c r="V2361"/>
  <c r="W2361" s="1"/>
  <c r="F2362"/>
  <c r="G2362" s="1"/>
  <c r="F2368"/>
  <c r="G2368" s="1"/>
  <c r="F2369"/>
  <c r="G2369" s="1"/>
  <c r="F2370"/>
  <c r="G2370" s="1"/>
  <c r="F2371"/>
  <c r="G2371" s="1"/>
  <c r="F2372"/>
  <c r="G2372" s="1"/>
  <c r="T2372"/>
  <c r="U2372"/>
  <c r="V2372"/>
  <c r="W2372" s="1"/>
  <c r="F2373"/>
  <c r="G2373" s="1"/>
  <c r="F2379"/>
  <c r="G2379" s="1"/>
  <c r="U2379"/>
  <c r="V2379"/>
  <c r="W2379" s="1"/>
  <c r="F2380"/>
  <c r="G2380" s="1"/>
  <c r="T2380"/>
  <c r="U2380"/>
  <c r="V2380"/>
  <c r="W2380" s="1"/>
  <c r="F2381"/>
  <c r="G2381" s="1"/>
  <c r="T2381"/>
  <c r="U2381"/>
  <c r="V2381"/>
  <c r="W2381" s="1"/>
  <c r="F2382"/>
  <c r="G2382" s="1"/>
  <c r="T2382"/>
  <c r="U2382"/>
  <c r="V2382"/>
  <c r="W2382" s="1"/>
  <c r="F2383"/>
  <c r="G2383" s="1"/>
  <c r="T2383"/>
  <c r="U2383"/>
  <c r="V2383"/>
  <c r="W2383" s="1"/>
  <c r="F2384"/>
  <c r="G2384" s="1"/>
  <c r="T2384"/>
  <c r="U2384"/>
  <c r="V2384"/>
  <c r="W2384" s="1"/>
  <c r="F2385"/>
  <c r="G2385" s="1"/>
  <c r="T2385"/>
  <c r="U2385"/>
  <c r="V2385"/>
  <c r="W2385" s="1"/>
  <c r="F2386"/>
  <c r="G2386" s="1"/>
  <c r="T2386"/>
  <c r="U2386"/>
  <c r="V2386"/>
  <c r="W2386" s="1"/>
  <c r="F2387"/>
  <c r="G2387" s="1"/>
  <c r="T2387"/>
  <c r="U2387"/>
  <c r="V2387"/>
  <c r="W2387" s="1"/>
  <c r="F2388"/>
  <c r="G2388" s="1"/>
  <c r="T2388"/>
  <c r="U2388"/>
  <c r="V2388"/>
  <c r="W2388" s="1"/>
  <c r="F2389"/>
  <c r="G2389" s="1"/>
  <c r="U2389"/>
  <c r="V2389"/>
  <c r="W2389" s="1"/>
  <c r="F2391"/>
  <c r="G2391" s="1"/>
  <c r="U2391"/>
  <c r="V2391"/>
  <c r="W2391" s="1"/>
  <c r="F2392"/>
  <c r="G2392" s="1"/>
  <c r="U2392"/>
  <c r="V2392"/>
  <c r="W2392" s="1"/>
  <c r="F2393"/>
  <c r="G2393" s="1"/>
  <c r="U2393"/>
  <c r="V2393"/>
  <c r="W2393" s="1"/>
  <c r="F2394"/>
  <c r="G2394" s="1"/>
  <c r="T2394"/>
  <c r="U2394"/>
  <c r="V2394"/>
  <c r="W2394" s="1"/>
  <c r="F2395"/>
  <c r="G2395" s="1"/>
  <c r="T2395"/>
  <c r="U2395"/>
  <c r="V2395"/>
  <c r="W2395" s="1"/>
  <c r="F2396"/>
  <c r="G2396" s="1"/>
  <c r="T2396"/>
  <c r="U2396"/>
  <c r="V2396"/>
  <c r="W2396" s="1"/>
  <c r="F2397"/>
  <c r="G2397" s="1"/>
  <c r="T2397"/>
  <c r="U2397"/>
  <c r="V2397"/>
  <c r="W2397" s="1"/>
  <c r="F2398"/>
  <c r="G2398" s="1"/>
  <c r="T2398"/>
  <c r="U2398"/>
  <c r="V2398"/>
  <c r="W2398" s="1"/>
  <c r="F2399"/>
  <c r="G2399" s="1"/>
  <c r="T2399"/>
  <c r="U2399"/>
  <c r="V2399"/>
  <c r="W2399" s="1"/>
  <c r="F2400"/>
  <c r="G2400" s="1"/>
  <c r="U2400"/>
  <c r="V2400"/>
  <c r="W2400" s="1"/>
  <c r="F2403"/>
  <c r="G2403" s="1"/>
  <c r="U2403"/>
  <c r="V2403"/>
  <c r="W2403" s="1"/>
  <c r="F2404"/>
  <c r="G2404" s="1"/>
  <c r="U2404"/>
  <c r="V2404"/>
  <c r="W2404" s="1"/>
  <c r="F2405"/>
  <c r="G2405" s="1"/>
  <c r="T2405"/>
  <c r="U2405"/>
  <c r="V2405"/>
  <c r="W2405" s="1"/>
  <c r="F2406"/>
  <c r="G2406" s="1"/>
  <c r="T2406"/>
  <c r="U2406"/>
  <c r="V2406"/>
  <c r="W2406" s="1"/>
  <c r="F2407"/>
  <c r="G2407" s="1"/>
  <c r="T2407"/>
  <c r="U2407"/>
  <c r="V2407"/>
  <c r="W2407" s="1"/>
  <c r="F2408"/>
  <c r="G2408" s="1"/>
  <c r="T2408"/>
  <c r="U2408"/>
  <c r="V2408"/>
  <c r="W2408" s="1"/>
  <c r="F2409"/>
  <c r="G2409" s="1"/>
  <c r="T2409"/>
  <c r="U2409"/>
  <c r="V2409"/>
  <c r="W2409" s="1"/>
  <c r="F2410"/>
  <c r="G2410" s="1"/>
  <c r="T2410"/>
  <c r="U2410"/>
  <c r="V2410"/>
  <c r="W2410" s="1"/>
  <c r="F2411"/>
  <c r="G2411" s="1"/>
  <c r="K2411"/>
  <c r="T2411" s="1"/>
  <c r="L2411"/>
  <c r="U2411" s="1"/>
  <c r="O2411"/>
  <c r="V2411" s="1"/>
  <c r="W2411" s="1"/>
  <c r="F2412"/>
  <c r="G2412" s="1"/>
  <c r="T2412"/>
  <c r="U2412"/>
  <c r="V2412"/>
  <c r="W2412" s="1"/>
  <c r="F2413"/>
  <c r="G2413" s="1"/>
  <c r="T2413"/>
  <c r="U2413"/>
  <c r="V2413"/>
  <c r="W2413" s="1"/>
  <c r="F2414"/>
  <c r="G2414" s="1"/>
  <c r="U2414"/>
  <c r="V2414"/>
  <c r="W2414" s="1"/>
  <c r="F2415"/>
  <c r="G2415" s="1"/>
  <c r="U2415"/>
  <c r="V2415"/>
  <c r="W2415" s="1"/>
  <c r="F2416"/>
  <c r="G2416" s="1"/>
  <c r="T2416"/>
  <c r="U2416"/>
  <c r="V2416"/>
  <c r="W2416" s="1"/>
  <c r="F2417"/>
  <c r="G2417" s="1"/>
  <c r="T2417"/>
  <c r="U2417"/>
  <c r="V2417"/>
  <c r="W2417" s="1"/>
  <c r="F2418"/>
  <c r="G2418" s="1"/>
  <c r="T2418"/>
  <c r="U2418"/>
  <c r="V2418"/>
  <c r="W2418" s="1"/>
  <c r="F2419"/>
  <c r="G2419" s="1"/>
  <c r="K2419"/>
  <c r="T2419" s="1"/>
  <c r="L2419"/>
  <c r="U2419" s="1"/>
  <c r="O2419"/>
  <c r="V2419" s="1"/>
  <c r="W2419" s="1"/>
  <c r="F2420"/>
  <c r="G2420" s="1"/>
  <c r="T2420"/>
  <c r="U2420"/>
  <c r="V2420"/>
  <c r="W2420" s="1"/>
  <c r="F2421"/>
  <c r="G2421" s="1"/>
  <c r="T2421"/>
  <c r="U2421"/>
  <c r="V2421"/>
  <c r="W2421" s="1"/>
  <c r="F2422"/>
  <c r="G2422" s="1"/>
  <c r="T2422"/>
  <c r="U2422"/>
  <c r="V2422"/>
  <c r="W2422" s="1"/>
  <c r="F2425"/>
  <c r="G2425" s="1"/>
  <c r="U2425"/>
  <c r="V2425"/>
  <c r="W2425" s="1"/>
  <c r="F2426"/>
  <c r="G2426" s="1"/>
  <c r="T2426"/>
  <c r="U2426"/>
  <c r="V2426"/>
  <c r="W2426" s="1"/>
  <c r="F2427"/>
  <c r="G2427" s="1"/>
  <c r="T2427"/>
  <c r="U2427"/>
  <c r="V2427"/>
  <c r="W2427" s="1"/>
  <c r="F2428"/>
  <c r="G2428" s="1"/>
  <c r="T2428"/>
  <c r="U2428"/>
  <c r="V2428"/>
  <c r="W2428" s="1"/>
  <c r="F2429"/>
  <c r="G2429" s="1"/>
  <c r="T2429"/>
  <c r="U2429"/>
  <c r="V2429"/>
  <c r="W2429" s="1"/>
  <c r="F2430"/>
  <c r="G2430" s="1"/>
  <c r="T2430"/>
  <c r="U2430"/>
  <c r="V2430"/>
  <c r="W2430" s="1"/>
  <c r="F2431"/>
  <c r="G2431" s="1"/>
  <c r="T2431"/>
  <c r="U2431"/>
  <c r="V2431"/>
  <c r="W2431" s="1"/>
  <c r="F2432"/>
  <c r="G2432" s="1"/>
  <c r="U2432"/>
  <c r="V2432"/>
  <c r="W2432" s="1"/>
  <c r="F2433"/>
  <c r="G2433" s="1"/>
  <c r="U2433"/>
  <c r="V2433"/>
  <c r="W2433" s="1"/>
  <c r="F2434"/>
  <c r="G2434" s="1"/>
  <c r="U2434"/>
  <c r="V2434"/>
  <c r="W2434" s="1"/>
  <c r="F2437"/>
  <c r="G2437" s="1"/>
  <c r="U2437"/>
  <c r="V2437"/>
  <c r="W2437" s="1"/>
  <c r="F2438"/>
  <c r="G2438" s="1"/>
  <c r="U2438"/>
  <c r="V2438"/>
  <c r="W2438" s="1"/>
  <c r="F2439"/>
  <c r="G2439" s="1"/>
  <c r="T2439"/>
  <c r="U2439"/>
  <c r="V2439"/>
  <c r="W2439" s="1"/>
  <c r="F2440"/>
  <c r="G2440" s="1"/>
  <c r="T2440"/>
  <c r="U2440"/>
  <c r="V2440"/>
  <c r="W2440" s="1"/>
  <c r="F2441"/>
  <c r="G2441" s="1"/>
  <c r="T2441"/>
  <c r="U2441"/>
  <c r="V2441"/>
  <c r="W2441" s="1"/>
  <c r="F2442"/>
  <c r="G2442" s="1"/>
  <c r="T2442"/>
  <c r="U2442"/>
  <c r="V2442"/>
  <c r="W2442" s="1"/>
  <c r="F2443"/>
  <c r="G2443" s="1"/>
  <c r="T2443"/>
  <c r="U2443"/>
  <c r="V2443"/>
  <c r="W2443" s="1"/>
  <c r="F246"/>
  <c r="G246" s="1"/>
  <c r="F247"/>
  <c r="G247" s="1"/>
  <c r="F248"/>
  <c r="G248" s="1"/>
  <c r="F249"/>
  <c r="G249" s="1"/>
  <c r="T249"/>
  <c r="U249"/>
  <c r="V249"/>
  <c r="W249" s="1"/>
  <c r="F250"/>
  <c r="G250" s="1"/>
  <c r="T250"/>
  <c r="U250"/>
  <c r="V250"/>
  <c r="W250" s="1"/>
  <c r="F251"/>
  <c r="G251" s="1"/>
  <c r="T251"/>
  <c r="U251"/>
  <c r="V251"/>
  <c r="W251" s="1"/>
  <c r="F252"/>
  <c r="G252" s="1"/>
  <c r="T252"/>
  <c r="U252"/>
  <c r="V252"/>
  <c r="W252" s="1"/>
  <c r="F253"/>
  <c r="G253" s="1"/>
  <c r="T253"/>
  <c r="U253"/>
  <c r="V253"/>
  <c r="W253" s="1"/>
  <c r="F254"/>
  <c r="G254" s="1"/>
  <c r="F255"/>
  <c r="G255" s="1"/>
  <c r="F264"/>
  <c r="G264" s="1"/>
  <c r="F265"/>
  <c r="G265" s="1"/>
  <c r="F266"/>
  <c r="G266" s="1"/>
  <c r="F267"/>
  <c r="G267" s="1"/>
  <c r="F268"/>
  <c r="G268" s="1"/>
  <c r="F269"/>
  <c r="G269" s="1"/>
  <c r="F270"/>
  <c r="G270" s="1"/>
  <c r="F271"/>
  <c r="G271" s="1"/>
  <c r="F272"/>
  <c r="G272" s="1"/>
  <c r="F273"/>
  <c r="G273" s="1"/>
  <c r="F274"/>
  <c r="G274" s="1"/>
  <c r="F275"/>
  <c r="G275" s="1"/>
  <c r="F276"/>
  <c r="G276" s="1"/>
  <c r="F277"/>
  <c r="G277" s="1"/>
  <c r="F278"/>
  <c r="G278" s="1"/>
  <c r="G280"/>
  <c r="F281"/>
  <c r="G281" s="1"/>
  <c r="F282"/>
  <c r="G282" s="1"/>
  <c r="T282"/>
  <c r="U282"/>
  <c r="V282"/>
  <c r="W282" s="1"/>
  <c r="F283"/>
  <c r="G283" s="1"/>
  <c r="T283"/>
  <c r="U283"/>
  <c r="V283"/>
  <c r="W283" s="1"/>
  <c r="F284"/>
  <c r="G284" s="1"/>
  <c r="T284"/>
  <c r="U284"/>
  <c r="V284"/>
  <c r="W284" s="1"/>
  <c r="F285"/>
  <c r="G285" s="1"/>
  <c r="T285"/>
  <c r="U285"/>
  <c r="V285"/>
  <c r="W285" s="1"/>
  <c r="F286"/>
  <c r="G286" s="1"/>
  <c r="T286"/>
  <c r="U286"/>
  <c r="V286"/>
  <c r="W286" s="1"/>
  <c r="F287"/>
  <c r="G287" s="1"/>
  <c r="T287"/>
  <c r="U287"/>
  <c r="V287"/>
  <c r="W287" s="1"/>
  <c r="F288"/>
  <c r="G288" s="1"/>
  <c r="T288"/>
  <c r="U288"/>
  <c r="V288"/>
  <c r="W288" s="1"/>
  <c r="F289"/>
  <c r="G289" s="1"/>
  <c r="T289"/>
  <c r="U289"/>
  <c r="V289"/>
  <c r="W289" s="1"/>
  <c r="F290"/>
  <c r="G290" s="1"/>
  <c r="K290"/>
  <c r="T290" s="1"/>
  <c r="L290"/>
  <c r="U290" s="1"/>
  <c r="O290"/>
  <c r="V290" s="1"/>
  <c r="W290" s="1"/>
  <c r="F291"/>
  <c r="G291" s="1"/>
  <c r="T291"/>
  <c r="U291"/>
  <c r="V291"/>
  <c r="W291" s="1"/>
  <c r="F292"/>
  <c r="G292" s="1"/>
  <c r="T292"/>
  <c r="U292"/>
  <c r="V292"/>
  <c r="W292" s="1"/>
  <c r="F293"/>
  <c r="G293" s="1"/>
  <c r="T293"/>
  <c r="U293"/>
  <c r="V293"/>
  <c r="W293" s="1"/>
  <c r="F294"/>
  <c r="G294" s="1"/>
  <c r="T294"/>
  <c r="U294"/>
  <c r="V294"/>
  <c r="W294" s="1"/>
  <c r="F295"/>
  <c r="G295" s="1"/>
  <c r="T295"/>
  <c r="U295"/>
  <c r="V295"/>
  <c r="W295" s="1"/>
  <c r="F296"/>
  <c r="G296" s="1"/>
  <c r="T296"/>
  <c r="U296"/>
  <c r="V296"/>
  <c r="W296" s="1"/>
  <c r="F297"/>
  <c r="G297" s="1"/>
  <c r="T297"/>
  <c r="U297"/>
  <c r="V297"/>
  <c r="W297" s="1"/>
  <c r="F298"/>
  <c r="G298" s="1"/>
  <c r="T298"/>
  <c r="U298"/>
  <c r="V298"/>
  <c r="W298" s="1"/>
  <c r="F299"/>
  <c r="G299" s="1"/>
  <c r="T299"/>
  <c r="U299"/>
  <c r="V299"/>
  <c r="W299" s="1"/>
  <c r="F300"/>
  <c r="G300" s="1"/>
  <c r="T300"/>
  <c r="U300"/>
  <c r="V300"/>
  <c r="W300" s="1"/>
  <c r="F301"/>
  <c r="G301" s="1"/>
  <c r="T301"/>
  <c r="U301"/>
  <c r="V301"/>
  <c r="W301" s="1"/>
  <c r="F302"/>
  <c r="G302" s="1"/>
  <c r="U302"/>
  <c r="V302"/>
  <c r="W302" s="1"/>
  <c r="F306"/>
  <c r="G306" s="1"/>
  <c r="T306"/>
  <c r="U306"/>
  <c r="V306"/>
  <c r="W306" s="1"/>
  <c r="F307"/>
  <c r="G307" s="1"/>
  <c r="T307"/>
  <c r="U307"/>
  <c r="V307"/>
  <c r="W307" s="1"/>
  <c r="F308"/>
  <c r="G308" s="1"/>
  <c r="T308"/>
  <c r="U308"/>
  <c r="V308"/>
  <c r="W308" s="1"/>
  <c r="F309"/>
  <c r="G309" s="1"/>
  <c r="T309"/>
  <c r="U309"/>
  <c r="V309"/>
  <c r="W309" s="1"/>
  <c r="F310"/>
  <c r="G310" s="1"/>
  <c r="T310"/>
  <c r="U310"/>
  <c r="V310"/>
  <c r="W310" s="1"/>
  <c r="F311"/>
  <c r="G311" s="1"/>
  <c r="T311"/>
  <c r="U311"/>
  <c r="V311"/>
  <c r="W311" s="1"/>
  <c r="F312"/>
  <c r="G312" s="1"/>
  <c r="T312"/>
  <c r="U312"/>
  <c r="V312"/>
  <c r="W312" s="1"/>
  <c r="F313"/>
  <c r="G313" s="1"/>
  <c r="T313"/>
  <c r="U313"/>
  <c r="V313"/>
  <c r="W313" s="1"/>
  <c r="F314"/>
  <c r="G314" s="1"/>
  <c r="T314"/>
  <c r="U314"/>
  <c r="V314"/>
  <c r="W314" s="1"/>
  <c r="F315"/>
  <c r="G315" s="1"/>
  <c r="T315"/>
  <c r="U315"/>
  <c r="V315"/>
  <c r="W315" s="1"/>
  <c r="F316"/>
  <c r="G316" s="1"/>
  <c r="T316"/>
  <c r="U316"/>
  <c r="V316"/>
  <c r="W316" s="1"/>
  <c r="F317"/>
  <c r="G317" s="1"/>
  <c r="T317"/>
  <c r="U317"/>
  <c r="V317"/>
  <c r="W317" s="1"/>
  <c r="F318"/>
  <c r="G318" s="1"/>
  <c r="T318"/>
  <c r="U318"/>
  <c r="V318"/>
  <c r="W318" s="1"/>
  <c r="F319"/>
  <c r="G319" s="1"/>
  <c r="T319"/>
  <c r="U319"/>
  <c r="V319"/>
  <c r="W319" s="1"/>
  <c r="F320"/>
  <c r="G320" s="1"/>
  <c r="T320"/>
  <c r="U320"/>
  <c r="V320"/>
  <c r="W320" s="1"/>
  <c r="F321"/>
  <c r="G321" s="1"/>
  <c r="T321"/>
  <c r="U321"/>
  <c r="V321"/>
  <c r="W321" s="1"/>
  <c r="F322"/>
  <c r="G322" s="1"/>
  <c r="T322"/>
  <c r="U322"/>
  <c r="V322"/>
  <c r="W322" s="1"/>
  <c r="G328"/>
  <c r="U328"/>
  <c r="V328"/>
  <c r="W328" s="1"/>
  <c r="F329"/>
  <c r="G329" s="1"/>
  <c r="U329"/>
  <c r="V329"/>
  <c r="W329" s="1"/>
  <c r="F330"/>
  <c r="G330" s="1"/>
  <c r="T330"/>
  <c r="U330"/>
  <c r="V330"/>
  <c r="W330" s="1"/>
  <c r="F331"/>
  <c r="G331" s="1"/>
  <c r="T331"/>
  <c r="U331"/>
  <c r="V331"/>
  <c r="W331" s="1"/>
  <c r="F332"/>
  <c r="G332" s="1"/>
  <c r="T332"/>
  <c r="U332"/>
  <c r="V332"/>
  <c r="W332" s="1"/>
  <c r="F333"/>
  <c r="G333" s="1"/>
  <c r="T333"/>
  <c r="U333"/>
  <c r="V333"/>
  <c r="W333" s="1"/>
  <c r="F334"/>
  <c r="G334" s="1"/>
  <c r="T334"/>
  <c r="U334"/>
  <c r="V334"/>
  <c r="W334" s="1"/>
  <c r="F335"/>
  <c r="G335" s="1"/>
  <c r="T335"/>
  <c r="U335"/>
  <c r="V335"/>
  <c r="W335" s="1"/>
  <c r="F336"/>
  <c r="G336" s="1"/>
  <c r="T336"/>
  <c r="U336"/>
  <c r="V336"/>
  <c r="W336" s="1"/>
  <c r="F337"/>
  <c r="G337" s="1"/>
  <c r="T337"/>
  <c r="U337"/>
  <c r="V337"/>
  <c r="W337" s="1"/>
  <c r="F338"/>
  <c r="G338" s="1"/>
  <c r="T338"/>
  <c r="U338"/>
  <c r="V338"/>
  <c r="W338" s="1"/>
  <c r="F339"/>
  <c r="G339" s="1"/>
  <c r="T339"/>
  <c r="U339"/>
  <c r="V339"/>
  <c r="W339" s="1"/>
  <c r="F340"/>
  <c r="G340" s="1"/>
  <c r="T340"/>
  <c r="U340"/>
  <c r="V340"/>
  <c r="W340" s="1"/>
  <c r="F341"/>
  <c r="G341" s="1"/>
  <c r="T341"/>
  <c r="U341"/>
  <c r="V341"/>
  <c r="W341" s="1"/>
  <c r="F342"/>
  <c r="G342" s="1"/>
  <c r="T342"/>
  <c r="U342"/>
  <c r="V342"/>
  <c r="W342" s="1"/>
  <c r="F343"/>
  <c r="G343" s="1"/>
  <c r="T343"/>
  <c r="U343"/>
  <c r="V343"/>
  <c r="W343" s="1"/>
  <c r="F344"/>
  <c r="G344" s="1"/>
  <c r="T344"/>
  <c r="U344"/>
  <c r="V344"/>
  <c r="W344" s="1"/>
  <c r="F345"/>
  <c r="G345" s="1"/>
  <c r="T345"/>
  <c r="U345"/>
  <c r="V345"/>
  <c r="W345" s="1"/>
  <c r="F346"/>
  <c r="G346" s="1"/>
  <c r="T346"/>
  <c r="U346"/>
  <c r="V346"/>
  <c r="W346" s="1"/>
  <c r="F347"/>
  <c r="G347" s="1"/>
  <c r="T347"/>
  <c r="U347"/>
  <c r="V347"/>
  <c r="W347" s="1"/>
  <c r="F1502"/>
  <c r="G1502" s="1"/>
  <c r="F1503"/>
  <c r="G1503" s="1"/>
  <c r="F1504"/>
  <c r="G1504" s="1"/>
  <c r="F1505"/>
  <c r="G1505" s="1"/>
  <c r="F1506"/>
  <c r="G1506" s="1"/>
  <c r="F1507"/>
  <c r="G1507" s="1"/>
  <c r="F1508"/>
  <c r="G1508" s="1"/>
  <c r="F1509"/>
  <c r="G1509" s="1"/>
  <c r="F1510"/>
  <c r="G1510" s="1"/>
  <c r="F1511"/>
  <c r="G1511" s="1"/>
  <c r="F1512"/>
  <c r="G1512" s="1"/>
  <c r="F1513"/>
  <c r="G1513" s="1"/>
  <c r="F1514"/>
  <c r="G1514" s="1"/>
  <c r="F1515"/>
  <c r="G1515" s="1"/>
  <c r="F1516"/>
  <c r="G1516" s="1"/>
  <c r="F1517"/>
  <c r="G1517" s="1"/>
  <c r="F1518"/>
  <c r="G1518" s="1"/>
  <c r="F1519"/>
  <c r="G1519" s="1"/>
  <c r="F1523"/>
  <c r="G1523" s="1"/>
  <c r="T1523"/>
  <c r="U1523"/>
  <c r="V1523"/>
  <c r="W1523" s="1"/>
  <c r="F1524"/>
  <c r="G1524" s="1"/>
  <c r="T1524"/>
  <c r="U1524"/>
  <c r="V1524"/>
  <c r="W1524" s="1"/>
  <c r="F1525"/>
  <c r="G1525" s="1"/>
  <c r="K1525"/>
  <c r="T1525" s="1"/>
  <c r="L1525"/>
  <c r="U1525" s="1"/>
  <c r="O1525"/>
  <c r="V1525" s="1"/>
  <c r="W1525" s="1"/>
  <c r="F1526"/>
  <c r="G1526" s="1"/>
  <c r="T1526"/>
  <c r="U1526"/>
  <c r="V1526"/>
  <c r="W1526" s="1"/>
  <c r="F1527"/>
  <c r="G1527" s="1"/>
  <c r="K1527"/>
  <c r="T1527" s="1"/>
  <c r="L1527"/>
  <c r="U1527" s="1"/>
  <c r="O1527"/>
  <c r="V1527" s="1"/>
  <c r="W1527" s="1"/>
  <c r="F1528"/>
  <c r="G1528" s="1"/>
  <c r="T1528"/>
  <c r="U1528"/>
  <c r="V1528"/>
  <c r="W1528" s="1"/>
  <c r="F1529"/>
  <c r="G1529" s="1"/>
  <c r="T1529"/>
  <c r="U1529"/>
  <c r="V1529"/>
  <c r="W1529" s="1"/>
  <c r="F1530"/>
  <c r="G1530" s="1"/>
  <c r="T1530"/>
  <c r="U1530"/>
  <c r="V1530"/>
  <c r="W1530" s="1"/>
  <c r="F1531"/>
  <c r="G1531" s="1"/>
  <c r="T1531"/>
  <c r="U1531"/>
  <c r="V1531"/>
  <c r="W1531" s="1"/>
  <c r="F1532"/>
  <c r="G1532" s="1"/>
  <c r="F1533"/>
  <c r="G1533" s="1"/>
  <c r="F1534"/>
  <c r="G1534" s="1"/>
  <c r="F1535"/>
  <c r="G1535" s="1"/>
  <c r="F1536"/>
  <c r="G1536" s="1"/>
  <c r="F1537"/>
  <c r="G1537" s="1"/>
  <c r="F1538"/>
  <c r="G1538" s="1"/>
  <c r="U1538"/>
  <c r="V1538"/>
  <c r="W1538" s="1"/>
  <c r="F1539"/>
  <c r="G1539" s="1"/>
  <c r="T1539"/>
  <c r="U1539"/>
  <c r="V1539"/>
  <c r="W1539" s="1"/>
  <c r="F1540"/>
  <c r="G1540" s="1"/>
  <c r="T1540"/>
  <c r="U1540"/>
  <c r="V1540"/>
  <c r="W1540" s="1"/>
  <c r="F1541"/>
  <c r="G1541" s="1"/>
  <c r="T1541"/>
  <c r="U1541"/>
  <c r="V1541"/>
  <c r="W1541" s="1"/>
  <c r="F1549"/>
  <c r="G1549" s="1"/>
  <c r="T1549"/>
  <c r="U1549"/>
  <c r="V1549"/>
  <c r="W1549" s="1"/>
  <c r="F1550"/>
  <c r="G1550" s="1"/>
  <c r="T1550"/>
  <c r="U1550"/>
  <c r="V1550"/>
  <c r="W1550" s="1"/>
  <c r="F1551"/>
  <c r="G1551" s="1"/>
  <c r="T1551"/>
  <c r="U1551"/>
  <c r="V1551"/>
  <c r="W1551" s="1"/>
  <c r="F1552"/>
  <c r="G1552" s="1"/>
  <c r="T1552"/>
  <c r="U1552"/>
  <c r="V1552"/>
  <c r="W1552" s="1"/>
  <c r="F1553"/>
  <c r="G1553" s="1"/>
  <c r="T1553"/>
  <c r="U1553"/>
  <c r="V1553"/>
  <c r="W1553" s="1"/>
  <c r="F1554"/>
  <c r="G1554" s="1"/>
  <c r="T1554"/>
  <c r="U1554"/>
  <c r="V1554"/>
  <c r="W1554" s="1"/>
  <c r="F1555"/>
  <c r="G1555" s="1"/>
  <c r="T1555"/>
  <c r="U1555"/>
  <c r="V1555"/>
  <c r="W1555" s="1"/>
  <c r="F1556"/>
  <c r="G1556" s="1"/>
  <c r="T1556"/>
  <c r="U1556"/>
  <c r="V1556"/>
  <c r="W1556" s="1"/>
  <c r="F1557"/>
  <c r="G1557" s="1"/>
  <c r="T1557"/>
  <c r="U1557"/>
  <c r="V1557"/>
  <c r="W1557" s="1"/>
  <c r="F1558"/>
  <c r="G1558" s="1"/>
  <c r="T1558"/>
  <c r="U1558"/>
  <c r="V1558"/>
  <c r="W1558" s="1"/>
  <c r="F1559"/>
  <c r="G1559" s="1"/>
  <c r="K1559"/>
  <c r="T1559" s="1"/>
  <c r="L1559"/>
  <c r="U1559" s="1"/>
  <c r="O1559"/>
  <c r="V1559" s="1"/>
  <c r="W1559" s="1"/>
  <c r="Q1559"/>
  <c r="R1559"/>
  <c r="F1560"/>
  <c r="G1560" s="1"/>
  <c r="T1560"/>
  <c r="U1560"/>
  <c r="V1560"/>
  <c r="W1560" s="1"/>
  <c r="F1561"/>
  <c r="G1561" s="1"/>
  <c r="T1561"/>
  <c r="U1561"/>
  <c r="V1561"/>
  <c r="W1561" s="1"/>
  <c r="F1562"/>
  <c r="G1562" s="1"/>
  <c r="T1562"/>
  <c r="U1562"/>
  <c r="V1562"/>
  <c r="W1562" s="1"/>
  <c r="F1563"/>
  <c r="G1563" s="1"/>
  <c r="T1563"/>
  <c r="U1563"/>
  <c r="V1563"/>
  <c r="W1563" s="1"/>
  <c r="F1564"/>
  <c r="G1564" s="1"/>
  <c r="U1564"/>
  <c r="V1564"/>
  <c r="W1564" s="1"/>
  <c r="F1565"/>
  <c r="G1565" s="1"/>
  <c r="U1565"/>
  <c r="V1565"/>
  <c r="W1565" s="1"/>
  <c r="F1566"/>
  <c r="G1566" s="1"/>
  <c r="U1566"/>
  <c r="V1566"/>
  <c r="W1566" s="1"/>
  <c r="F1576"/>
  <c r="G1576" s="1"/>
  <c r="T1576"/>
  <c r="U1576"/>
  <c r="V1576"/>
  <c r="W1576" s="1"/>
  <c r="F1577"/>
  <c r="G1577" s="1"/>
  <c r="T1577"/>
  <c r="U1577"/>
  <c r="V1577"/>
  <c r="W1577" s="1"/>
  <c r="F1578"/>
  <c r="G1578" s="1"/>
  <c r="T1578"/>
  <c r="U1578"/>
  <c r="V1578"/>
  <c r="W1578" s="1"/>
  <c r="F1579"/>
  <c r="G1579" s="1"/>
  <c r="T1579"/>
  <c r="U1579"/>
  <c r="V1579"/>
  <c r="W1579" s="1"/>
  <c r="F1580"/>
  <c r="G1580" s="1"/>
  <c r="T1580"/>
  <c r="U1580"/>
  <c r="V1580"/>
  <c r="W1580" s="1"/>
  <c r="F1581"/>
  <c r="G1581" s="1"/>
  <c r="T1581"/>
  <c r="U1581"/>
  <c r="V1581"/>
  <c r="W1581" s="1"/>
  <c r="F1582"/>
  <c r="G1582" s="1"/>
  <c r="T1582"/>
  <c r="U1582"/>
  <c r="V1582"/>
  <c r="W1582" s="1"/>
  <c r="F1583"/>
  <c r="G1583" s="1"/>
  <c r="T1583"/>
  <c r="U1583"/>
  <c r="V1583"/>
  <c r="W1583" s="1"/>
  <c r="F1584"/>
  <c r="G1584" s="1"/>
  <c r="T1584"/>
  <c r="U1584"/>
  <c r="V1584"/>
  <c r="W1584" s="1"/>
  <c r="F1585"/>
  <c r="G1585" s="1"/>
  <c r="T1585"/>
  <c r="U1585"/>
  <c r="V1585"/>
  <c r="W1585" s="1"/>
  <c r="F1586"/>
  <c r="G1586" s="1"/>
  <c r="U1586"/>
  <c r="V1586"/>
  <c r="W1586" s="1"/>
  <c r="F1587"/>
  <c r="G1587" s="1"/>
  <c r="U1587"/>
  <c r="V1587"/>
  <c r="W1587" s="1"/>
  <c r="F1588"/>
  <c r="G1588" s="1"/>
  <c r="U1588"/>
  <c r="V1588"/>
  <c r="W1588" s="1"/>
  <c r="F1594"/>
  <c r="G1594" s="1"/>
  <c r="T1594"/>
  <c r="U1594"/>
  <c r="V1594"/>
  <c r="W1594" s="1"/>
  <c r="F1595"/>
  <c r="G1595" s="1"/>
  <c r="T1595"/>
  <c r="U1595"/>
  <c r="V1595"/>
  <c r="W1595" s="1"/>
  <c r="F1596"/>
  <c r="G1596" s="1"/>
  <c r="T1596"/>
  <c r="U1596"/>
  <c r="V1596"/>
  <c r="W1596" s="1"/>
  <c r="F1597"/>
  <c r="G1597" s="1"/>
  <c r="T1597"/>
  <c r="U1597"/>
  <c r="V1597"/>
  <c r="W1597" s="1"/>
  <c r="F1598"/>
  <c r="G1598" s="1"/>
  <c r="T1598"/>
  <c r="U1598"/>
  <c r="V1598"/>
  <c r="W1598" s="1"/>
  <c r="F1599"/>
  <c r="G1599" s="1"/>
  <c r="T1599"/>
  <c r="U1599"/>
  <c r="V1599"/>
  <c r="W1599" s="1"/>
  <c r="F1600"/>
  <c r="G1600" s="1"/>
  <c r="T1600"/>
  <c r="U1600"/>
  <c r="V1600"/>
  <c r="W1600" s="1"/>
  <c r="F1601"/>
  <c r="G1601" s="1"/>
  <c r="T1601"/>
  <c r="U1601"/>
  <c r="V1601"/>
  <c r="W1601" s="1"/>
  <c r="F1602"/>
  <c r="G1602" s="1"/>
  <c r="T1602"/>
  <c r="U1602"/>
  <c r="V1602"/>
  <c r="W1602" s="1"/>
  <c r="F1603"/>
  <c r="G1603" s="1"/>
  <c r="T1603"/>
  <c r="U1603"/>
  <c r="V1603"/>
  <c r="W1603" s="1"/>
  <c r="F1638"/>
  <c r="F1639"/>
  <c r="F1640"/>
  <c r="F1641"/>
  <c r="F1642"/>
  <c r="F1643"/>
  <c r="F1644"/>
  <c r="F1645"/>
  <c r="F1658"/>
  <c r="U1658"/>
  <c r="V1658"/>
  <c r="W1658" s="1"/>
  <c r="T1659"/>
  <c r="U1659"/>
  <c r="V1659"/>
  <c r="W1659" s="1"/>
  <c r="T1660"/>
  <c r="U1660"/>
  <c r="V1660"/>
  <c r="W1660" s="1"/>
  <c r="T1661"/>
  <c r="U1661"/>
  <c r="V1661"/>
  <c r="W1661" s="1"/>
  <c r="T1662"/>
  <c r="U1662"/>
  <c r="V1662"/>
  <c r="W1662" s="1"/>
  <c r="T1663"/>
  <c r="U1663"/>
  <c r="V1663"/>
  <c r="W1663" s="1"/>
  <c r="T1664"/>
  <c r="U1664"/>
  <c r="V1664"/>
  <c r="W1664" s="1"/>
  <c r="T1665"/>
  <c r="U1665"/>
  <c r="V1665"/>
  <c r="W1665" s="1"/>
  <c r="K1666"/>
  <c r="T1666" s="1"/>
  <c r="L1666"/>
  <c r="U1666" s="1"/>
  <c r="O1666"/>
  <c r="V1666" s="1"/>
  <c r="W1666" s="1"/>
  <c r="Q1666"/>
  <c r="T1667"/>
  <c r="U1667"/>
  <c r="V1667"/>
  <c r="W1667" s="1"/>
  <c r="T1668"/>
  <c r="U1668"/>
  <c r="V1668"/>
  <c r="W1668" s="1"/>
  <c r="T1669"/>
  <c r="U1669"/>
  <c r="V1669"/>
  <c r="W1669" s="1"/>
  <c r="T1670"/>
  <c r="U1670"/>
  <c r="V1670"/>
  <c r="W1670" s="1"/>
  <c r="T1671"/>
  <c r="U1671"/>
  <c r="V1671"/>
  <c r="W1671" s="1"/>
  <c r="T1672"/>
  <c r="U1672"/>
  <c r="V1672"/>
  <c r="W1672" s="1"/>
  <c r="T1673"/>
  <c r="U1673"/>
  <c r="V1673"/>
  <c r="W1673" s="1"/>
  <c r="T1674"/>
  <c r="U1674"/>
  <c r="V1674"/>
  <c r="W1674" s="1"/>
  <c r="T1675"/>
  <c r="U1675"/>
  <c r="V1675"/>
  <c r="W1675" s="1"/>
  <c r="T1676"/>
  <c r="U1676"/>
  <c r="V1676"/>
  <c r="W1676" s="1"/>
  <c r="T1677"/>
  <c r="U1677"/>
  <c r="V1677"/>
  <c r="W1677" s="1"/>
  <c r="T1678"/>
  <c r="U1678"/>
  <c r="V1678"/>
  <c r="W1678" s="1"/>
  <c r="T1679"/>
  <c r="U1679"/>
  <c r="V1679"/>
  <c r="W1679" s="1"/>
  <c r="T1680"/>
  <c r="U1680"/>
  <c r="V1680"/>
  <c r="W1680" s="1"/>
  <c r="T1681"/>
  <c r="U1681"/>
  <c r="V1681"/>
  <c r="W1681" s="1"/>
  <c r="T1682"/>
  <c r="U1682"/>
  <c r="V1682"/>
  <c r="W1682" s="1"/>
  <c r="T1684"/>
  <c r="U1684"/>
  <c r="V1684"/>
  <c r="W1684" s="1"/>
  <c r="K1685"/>
  <c r="T1685" s="1"/>
  <c r="L1685"/>
  <c r="U1685" s="1"/>
  <c r="O1685"/>
  <c r="V1685" s="1"/>
  <c r="W1685" s="1"/>
  <c r="T1686"/>
  <c r="U1686"/>
  <c r="V1686"/>
  <c r="W1686" s="1"/>
  <c r="K1687"/>
  <c r="T1687" s="1"/>
  <c r="L1687"/>
  <c r="U1687" s="1"/>
  <c r="O1687"/>
  <c r="V1687" s="1"/>
  <c r="W1687" s="1"/>
  <c r="T1688"/>
  <c r="U1688"/>
  <c r="V1688"/>
  <c r="W1688" s="1"/>
  <c r="T1689"/>
  <c r="U1689"/>
  <c r="V1689"/>
  <c r="W1689" s="1"/>
  <c r="T1690"/>
  <c r="U1690"/>
  <c r="V1690"/>
  <c r="W1690" s="1"/>
  <c r="K1691"/>
  <c r="T1691" s="1"/>
  <c r="L1691"/>
  <c r="U1691" s="1"/>
  <c r="O1691"/>
  <c r="V1691" s="1"/>
  <c r="W1691" s="1"/>
  <c r="T1692"/>
  <c r="U1692"/>
  <c r="V1692"/>
  <c r="W1692" s="1"/>
  <c r="K1693"/>
  <c r="T1693" s="1"/>
  <c r="L1693"/>
  <c r="U1693" s="1"/>
  <c r="O1693"/>
  <c r="V1693" s="1"/>
  <c r="W1693" s="1"/>
  <c r="T1694"/>
  <c r="U1694"/>
  <c r="V1694"/>
  <c r="W1694" s="1"/>
  <c r="K1695"/>
  <c r="T1695" s="1"/>
  <c r="L1695"/>
  <c r="U1695" s="1"/>
  <c r="O1695"/>
  <c r="V1695" s="1"/>
  <c r="W1695" s="1"/>
  <c r="T1696"/>
  <c r="U1696"/>
  <c r="V1696"/>
  <c r="W1696" s="1"/>
  <c r="T1697"/>
  <c r="U1697"/>
  <c r="V1697"/>
  <c r="W1697" s="1"/>
  <c r="T1698"/>
  <c r="U1698"/>
  <c r="V1698"/>
  <c r="W1698" s="1"/>
  <c r="U1699"/>
  <c r="V1699"/>
  <c r="W1699" s="1"/>
  <c r="U1700"/>
  <c r="V1700"/>
  <c r="W1700" s="1"/>
  <c r="T1701"/>
  <c r="U1701"/>
  <c r="V1701"/>
  <c r="W1701" s="1"/>
  <c r="K1702"/>
  <c r="T1702" s="1"/>
  <c r="L1702"/>
  <c r="U1702" s="1"/>
  <c r="O1702"/>
  <c r="V1702" s="1"/>
  <c r="W1702" s="1"/>
  <c r="T1703"/>
  <c r="U1703"/>
  <c r="V1703"/>
  <c r="W1703" s="1"/>
  <c r="K1704"/>
  <c r="T1704" s="1"/>
  <c r="L1704"/>
  <c r="U1704" s="1"/>
  <c r="O1704"/>
  <c r="V1704" s="1"/>
  <c r="W1704" s="1"/>
  <c r="T1705"/>
  <c r="U1705"/>
  <c r="V1705"/>
  <c r="W1705" s="1"/>
  <c r="U1706"/>
  <c r="V1706"/>
  <c r="W1706" s="1"/>
  <c r="T1707"/>
  <c r="U1707"/>
  <c r="V1707"/>
  <c r="W1707" s="1"/>
  <c r="T1708"/>
  <c r="U1708"/>
  <c r="V1708"/>
  <c r="W1708" s="1"/>
  <c r="T1709"/>
  <c r="U1709"/>
  <c r="V1709"/>
  <c r="W1709" s="1"/>
  <c r="U1710"/>
  <c r="V1710"/>
  <c r="W1710" s="1"/>
  <c r="U1711"/>
  <c r="V1711"/>
  <c r="W1711" s="1"/>
  <c r="T1712"/>
  <c r="U1712"/>
  <c r="V1712"/>
  <c r="W1712" s="1"/>
  <c r="K1713"/>
  <c r="T1713" s="1"/>
  <c r="L1713"/>
  <c r="U1713" s="1"/>
  <c r="O1713"/>
  <c r="V1713" s="1"/>
  <c r="W1713" s="1"/>
  <c r="T1714"/>
  <c r="U1714"/>
  <c r="V1714"/>
  <c r="W1714" s="1"/>
  <c r="T1715"/>
  <c r="U1715"/>
  <c r="V1715"/>
  <c r="W1715" s="1"/>
  <c r="T1716"/>
  <c r="U1716"/>
  <c r="V1716"/>
  <c r="W1716" s="1"/>
  <c r="T1717"/>
  <c r="U1717"/>
  <c r="V1717"/>
  <c r="W1717" s="1"/>
  <c r="T1720"/>
  <c r="U1720"/>
  <c r="V1720"/>
  <c r="W1720" s="1"/>
  <c r="T1721"/>
  <c r="U1721"/>
  <c r="V1721"/>
  <c r="W1721" s="1"/>
  <c r="T1722"/>
  <c r="U1722"/>
  <c r="V1722"/>
  <c r="W1722" s="1"/>
  <c r="T1723"/>
  <c r="U1723"/>
  <c r="V1723"/>
  <c r="W1723" s="1"/>
  <c r="F1742"/>
  <c r="F1750"/>
  <c r="G1750" s="1"/>
  <c r="F1751"/>
  <c r="G1751" s="1"/>
  <c r="F1752"/>
  <c r="G1752" s="1"/>
  <c r="F1753"/>
  <c r="G1753" s="1"/>
  <c r="F1754"/>
  <c r="G1754" s="1"/>
  <c r="F1755"/>
  <c r="G1755" s="1"/>
  <c r="F1756"/>
  <c r="G1756" s="1"/>
  <c r="F1757"/>
  <c r="G1757" s="1"/>
  <c r="F1758"/>
  <c r="G1758" s="1"/>
  <c r="F1759"/>
  <c r="G1759" s="1"/>
  <c r="U1759"/>
  <c r="V1759"/>
  <c r="W1759" s="1"/>
  <c r="F1760"/>
  <c r="G1760" s="1"/>
  <c r="T1760"/>
  <c r="U1760"/>
  <c r="V1760"/>
  <c r="W1760" s="1"/>
  <c r="F1761"/>
  <c r="G1761" s="1"/>
  <c r="U1761"/>
  <c r="V1761"/>
  <c r="W1761" s="1"/>
  <c r="F1762"/>
  <c r="G1762" s="1"/>
  <c r="U1762"/>
  <c r="V1762"/>
  <c r="W1762" s="1"/>
  <c r="F1763"/>
  <c r="G1763" s="1"/>
  <c r="U1763"/>
  <c r="V1763"/>
  <c r="W1763" s="1"/>
  <c r="F1764"/>
  <c r="G1764" s="1"/>
  <c r="U1764"/>
  <c r="V1764"/>
  <c r="W1764" s="1"/>
  <c r="F1765"/>
  <c r="G1765" s="1"/>
  <c r="F1769"/>
  <c r="G1769" s="1"/>
  <c r="F1770"/>
  <c r="G1770" s="1"/>
  <c r="F1771"/>
  <c r="G1771" s="1"/>
  <c r="F1772"/>
  <c r="G1772" s="1"/>
  <c r="F1773"/>
  <c r="G1773" s="1"/>
  <c r="F1774"/>
  <c r="G1774" s="1"/>
  <c r="I1774"/>
  <c r="F1775"/>
  <c r="G1775" s="1"/>
  <c r="F1776"/>
  <c r="G1776" s="1"/>
  <c r="F1777"/>
  <c r="G1777" s="1"/>
  <c r="T1777"/>
  <c r="U1777"/>
  <c r="V1777"/>
  <c r="W1777" s="1"/>
  <c r="F1778"/>
  <c r="G1778" s="1"/>
  <c r="T1778"/>
  <c r="U1778"/>
  <c r="V1778"/>
  <c r="W1778" s="1"/>
  <c r="F1779"/>
  <c r="G1779" s="1"/>
  <c r="T1779"/>
  <c r="U1779"/>
  <c r="V1779"/>
  <c r="W1779" s="1"/>
  <c r="F1780"/>
  <c r="G1780" s="1"/>
  <c r="T1780"/>
  <c r="U1780"/>
  <c r="V1780"/>
  <c r="W1780" s="1"/>
  <c r="F1781"/>
  <c r="G1781" s="1"/>
  <c r="T1781"/>
  <c r="U1781"/>
  <c r="V1781"/>
  <c r="W1781" s="1"/>
  <c r="F1782"/>
  <c r="G1782" s="1"/>
  <c r="T1782"/>
  <c r="U1782"/>
  <c r="V1782"/>
  <c r="W1782" s="1"/>
  <c r="F1783"/>
  <c r="G1783" s="1"/>
  <c r="T1783"/>
  <c r="U1783"/>
  <c r="V1783"/>
  <c r="W1783" s="1"/>
  <c r="F1784"/>
  <c r="G1784" s="1"/>
  <c r="I1784"/>
  <c r="F1785"/>
  <c r="G1785" s="1"/>
  <c r="T1785"/>
  <c r="U1785"/>
  <c r="V1785"/>
  <c r="W1785" s="1"/>
  <c r="F1786"/>
  <c r="G1786" s="1"/>
  <c r="I1786"/>
  <c r="F1787"/>
  <c r="G1787" s="1"/>
  <c r="T1787"/>
  <c r="U1787"/>
  <c r="V1787"/>
  <c r="W1787" s="1"/>
  <c r="F1788"/>
  <c r="G1788" s="1"/>
  <c r="T1788"/>
  <c r="U1788"/>
  <c r="V1788"/>
  <c r="W1788" s="1"/>
  <c r="F1789"/>
  <c r="G1789" s="1"/>
  <c r="T1789"/>
  <c r="U1789"/>
  <c r="V1789"/>
  <c r="W1789" s="1"/>
  <c r="F1790"/>
  <c r="G1790" s="1"/>
  <c r="T1790"/>
  <c r="U1790"/>
  <c r="V1790"/>
  <c r="W1790" s="1"/>
  <c r="F1791"/>
  <c r="G1791" s="1"/>
  <c r="K1791"/>
  <c r="T1791" s="1"/>
  <c r="L1791"/>
  <c r="U1791" s="1"/>
  <c r="O1791"/>
  <c r="V1791" s="1"/>
  <c r="W1791" s="1"/>
  <c r="Q1791"/>
  <c r="R1791"/>
  <c r="F1792"/>
  <c r="G1792" s="1"/>
  <c r="T1792"/>
  <c r="U1792"/>
  <c r="V1792"/>
  <c r="W1792" s="1"/>
  <c r="F1793"/>
  <c r="U1793"/>
  <c r="V1793"/>
  <c r="W1793" s="1"/>
  <c r="F1799"/>
  <c r="G1799" s="1"/>
  <c r="U1799"/>
  <c r="V1799"/>
  <c r="W1799" s="1"/>
  <c r="F1800"/>
  <c r="G1800" s="1"/>
  <c r="T1800"/>
  <c r="U1800"/>
  <c r="V1800"/>
  <c r="W1800" s="1"/>
  <c r="F1801"/>
  <c r="G1801" s="1"/>
  <c r="T1801"/>
  <c r="U1801"/>
  <c r="V1801"/>
  <c r="W1801" s="1"/>
  <c r="F1802"/>
  <c r="G1802" s="1"/>
  <c r="T1802"/>
  <c r="U1802"/>
  <c r="V1802"/>
  <c r="W1802" s="1"/>
  <c r="F1803"/>
  <c r="G1803" s="1"/>
  <c r="T1803"/>
  <c r="U1803"/>
  <c r="V1803"/>
  <c r="W1803" s="1"/>
  <c r="F1804"/>
  <c r="G1804" s="1"/>
  <c r="K1804"/>
  <c r="T1804" s="1"/>
  <c r="L1804"/>
  <c r="U1804" s="1"/>
  <c r="O1804"/>
  <c r="V1804" s="1"/>
  <c r="W1804" s="1"/>
  <c r="Q1804"/>
  <c r="R1804"/>
  <c r="F1805"/>
  <c r="G1805" s="1"/>
  <c r="T1805"/>
  <c r="U1805"/>
  <c r="V1805"/>
  <c r="W1805" s="1"/>
  <c r="F1806"/>
  <c r="G1806" s="1"/>
  <c r="T1806"/>
  <c r="U1806"/>
  <c r="V1806"/>
  <c r="W1806" s="1"/>
  <c r="F1807"/>
  <c r="G1807" s="1"/>
  <c r="T1807"/>
  <c r="U1807"/>
  <c r="V1807"/>
  <c r="W1807" s="1"/>
  <c r="F1808"/>
  <c r="G1808" s="1"/>
  <c r="T1808"/>
  <c r="U1808"/>
  <c r="V1808"/>
  <c r="W1808" s="1"/>
  <c r="F1809"/>
  <c r="G1809" s="1"/>
  <c r="T1809"/>
  <c r="U1809"/>
  <c r="V1809"/>
  <c r="W1809" s="1"/>
  <c r="F1810"/>
  <c r="G1810" s="1"/>
  <c r="T1810"/>
  <c r="U1810"/>
  <c r="V1810"/>
  <c r="W1810" s="1"/>
  <c r="F1811"/>
  <c r="G1811" s="1"/>
  <c r="T1811"/>
  <c r="U1811"/>
  <c r="V1811"/>
  <c r="W1811" s="1"/>
  <c r="F1812"/>
  <c r="G1812" s="1"/>
  <c r="T1812"/>
  <c r="U1812"/>
  <c r="V1812"/>
  <c r="W1812" s="1"/>
  <c r="F1813"/>
  <c r="G1813" s="1"/>
  <c r="T1813"/>
  <c r="U1813"/>
  <c r="V1813"/>
  <c r="W1813" s="1"/>
  <c r="F1814"/>
  <c r="G1814" s="1"/>
  <c r="T1814"/>
  <c r="U1814"/>
  <c r="V1814"/>
  <c r="W1814" s="1"/>
  <c r="F1815"/>
  <c r="T1815"/>
  <c r="U1815"/>
  <c r="V1815"/>
  <c r="W1815" s="1"/>
  <c r="F1816"/>
  <c r="T1816"/>
  <c r="U1816"/>
  <c r="V1816"/>
  <c r="W1816" s="1"/>
  <c r="F1822"/>
  <c r="G1822" s="1"/>
  <c r="U1822"/>
  <c r="V1822"/>
  <c r="W1822" s="1"/>
  <c r="F1823"/>
  <c r="G1823" s="1"/>
  <c r="T1823"/>
  <c r="U1823"/>
  <c r="V1823"/>
  <c r="W1823" s="1"/>
  <c r="F1824"/>
  <c r="G1824" s="1"/>
  <c r="T1824"/>
  <c r="U1824"/>
  <c r="V1824"/>
  <c r="W1824" s="1"/>
  <c r="F1825"/>
  <c r="G1825" s="1"/>
  <c r="T1825"/>
  <c r="U1825"/>
  <c r="V1825"/>
  <c r="W1825" s="1"/>
  <c r="F1826"/>
  <c r="G1826" s="1"/>
  <c r="T1826"/>
  <c r="U1826"/>
  <c r="V1826"/>
  <c r="W1826" s="1"/>
  <c r="F1827"/>
  <c r="G1827" s="1"/>
  <c r="T1827"/>
  <c r="U1827"/>
  <c r="V1827"/>
  <c r="W1827" s="1"/>
  <c r="F1828"/>
  <c r="G1828" s="1"/>
  <c r="T1828"/>
  <c r="U1828"/>
  <c r="V1828"/>
  <c r="W1828" s="1"/>
  <c r="F1829"/>
  <c r="G1829" s="1"/>
  <c r="T1829"/>
  <c r="U1829"/>
  <c r="V1829"/>
  <c r="W1829" s="1"/>
  <c r="F1830"/>
  <c r="G1830" s="1"/>
  <c r="T1830"/>
  <c r="U1830"/>
  <c r="V1830"/>
  <c r="W1830" s="1"/>
  <c r="F1831"/>
  <c r="G1831" s="1"/>
  <c r="T1831"/>
  <c r="U1831"/>
  <c r="V1831"/>
  <c r="W1831" s="1"/>
  <c r="F1832"/>
  <c r="G1832" s="1"/>
  <c r="T1832"/>
  <c r="U1832"/>
  <c r="V1832"/>
  <c r="W1832" s="1"/>
  <c r="F1833"/>
  <c r="G1833" s="1"/>
  <c r="T1833"/>
  <c r="U1833"/>
  <c r="V1833"/>
  <c r="W1833" s="1"/>
  <c r="F1834"/>
  <c r="G1834" s="1"/>
  <c r="T1834"/>
  <c r="U1834"/>
  <c r="V1834"/>
  <c r="W1834" s="1"/>
  <c r="F1835"/>
  <c r="G1835" s="1"/>
  <c r="T1835"/>
  <c r="U1835"/>
  <c r="V1835"/>
  <c r="W1835" s="1"/>
  <c r="F1836"/>
  <c r="G1836" s="1"/>
  <c r="T1836"/>
  <c r="U1836"/>
  <c r="V1836"/>
  <c r="W1836" s="1"/>
  <c r="F1837"/>
  <c r="G1837" s="1"/>
  <c r="T1837"/>
  <c r="U1837"/>
  <c r="V1837"/>
  <c r="W1837" s="1"/>
  <c r="F1838"/>
  <c r="G1838" s="1"/>
  <c r="T1838"/>
  <c r="U1838"/>
  <c r="V1838"/>
  <c r="W1838" s="1"/>
  <c r="F1839"/>
  <c r="U1839"/>
  <c r="V1839"/>
  <c r="W1839" s="1"/>
  <c r="F1982"/>
  <c r="G1982" s="1"/>
  <c r="F1983"/>
  <c r="G1983" s="1"/>
  <c r="F1984"/>
  <c r="G1984" s="1"/>
  <c r="F1985"/>
  <c r="G1985" s="1"/>
  <c r="F1986"/>
  <c r="G1986" s="1"/>
  <c r="F1987"/>
  <c r="G1987" s="1"/>
  <c r="F1988"/>
  <c r="G1988" s="1"/>
  <c r="F1989"/>
  <c r="G1989" s="1"/>
  <c r="F1990"/>
  <c r="G1990" s="1"/>
  <c r="F1991"/>
  <c r="G1991" s="1"/>
  <c r="F1992"/>
  <c r="G1992" s="1"/>
  <c r="F1993"/>
  <c r="G1993" s="1"/>
  <c r="F1996"/>
  <c r="G1996" s="1"/>
  <c r="F1997"/>
  <c r="G1997" s="1"/>
  <c r="F1998"/>
  <c r="G1998" s="1"/>
  <c r="F1999"/>
  <c r="G1999" s="1"/>
  <c r="F2000"/>
  <c r="G2000" s="1"/>
  <c r="T2000"/>
  <c r="U2000"/>
  <c r="V2000"/>
  <c r="W2000" s="1"/>
  <c r="F2001"/>
  <c r="G2001" s="1"/>
  <c r="F2002"/>
  <c r="G2002" s="1"/>
  <c r="F2003"/>
  <c r="G2003" s="1"/>
  <c r="F2004"/>
  <c r="G2004" s="1"/>
  <c r="F2005"/>
  <c r="G2005" s="1"/>
  <c r="F2006"/>
  <c r="G2006" s="1"/>
  <c r="T2006"/>
  <c r="U2006"/>
  <c r="V2006"/>
  <c r="W2006" s="1"/>
  <c r="F2007"/>
  <c r="G2007" s="1"/>
  <c r="F2008"/>
  <c r="G2008" s="1"/>
  <c r="F2009"/>
  <c r="G2009" s="1"/>
  <c r="F2010"/>
  <c r="G2010" s="1"/>
  <c r="T2010"/>
  <c r="U2010"/>
  <c r="V2010"/>
  <c r="W2010" s="1"/>
  <c r="F2011"/>
  <c r="G2011" s="1"/>
  <c r="F2012"/>
  <c r="G2012" s="1"/>
  <c r="F2013"/>
  <c r="G2013" s="1"/>
  <c r="F2014"/>
  <c r="G2014" s="1"/>
  <c r="F2015"/>
  <c r="G2015" s="1"/>
  <c r="F2016"/>
  <c r="G2016" s="1"/>
  <c r="F2017"/>
  <c r="G2017" s="1"/>
  <c r="F2020"/>
  <c r="G2020" s="1"/>
  <c r="U2020"/>
  <c r="V2020"/>
  <c r="W2020" s="1"/>
  <c r="F2021"/>
  <c r="G2021" s="1"/>
  <c r="T2021"/>
  <c r="U2021"/>
  <c r="V2021"/>
  <c r="W2021" s="1"/>
  <c r="F2022"/>
  <c r="G2022" s="1"/>
  <c r="T2022"/>
  <c r="U2022"/>
  <c r="V2022"/>
  <c r="W2022" s="1"/>
  <c r="F2023"/>
  <c r="G2023" s="1"/>
  <c r="T2023"/>
  <c r="U2023"/>
  <c r="V2023"/>
  <c r="W2023" s="1"/>
  <c r="F2024"/>
  <c r="G2024" s="1"/>
  <c r="T2024"/>
  <c r="U2024"/>
  <c r="V2024"/>
  <c r="W2024" s="1"/>
  <c r="F2025"/>
  <c r="G2025" s="1"/>
  <c r="T2025"/>
  <c r="U2025"/>
  <c r="V2025"/>
  <c r="W2025" s="1"/>
  <c r="F2026"/>
  <c r="G2026" s="1"/>
  <c r="T2026"/>
  <c r="U2026"/>
  <c r="V2026"/>
  <c r="W2026" s="1"/>
  <c r="F2027"/>
  <c r="G2027" s="1"/>
  <c r="T2027"/>
  <c r="U2027"/>
  <c r="V2027"/>
  <c r="W2027" s="1"/>
  <c r="F2028"/>
  <c r="G2028" s="1"/>
  <c r="T2028"/>
  <c r="U2028"/>
  <c r="V2028"/>
  <c r="W2028" s="1"/>
  <c r="F2029"/>
  <c r="G2029" s="1"/>
  <c r="K2029"/>
  <c r="T2029" s="1"/>
  <c r="L2029"/>
  <c r="U2029" s="1"/>
  <c r="O2029"/>
  <c r="V2029" s="1"/>
  <c r="W2029" s="1"/>
  <c r="Q2029"/>
  <c r="R2029"/>
  <c r="F2030"/>
  <c r="G2030" s="1"/>
  <c r="T2030"/>
  <c r="U2030"/>
  <c r="V2030"/>
  <c r="W2030" s="1"/>
  <c r="F2031"/>
  <c r="G2031" s="1"/>
  <c r="T2031"/>
  <c r="U2031"/>
  <c r="V2031"/>
  <c r="W2031" s="1"/>
  <c r="F2032"/>
  <c r="G2032" s="1"/>
  <c r="T2032"/>
  <c r="U2032"/>
  <c r="V2032"/>
  <c r="W2032" s="1"/>
  <c r="F2033"/>
  <c r="G2033" s="1"/>
  <c r="T2033"/>
  <c r="U2033"/>
  <c r="V2033"/>
  <c r="W2033" s="1"/>
  <c r="F2034"/>
  <c r="G2034" s="1"/>
  <c r="T2034"/>
  <c r="U2034"/>
  <c r="V2034"/>
  <c r="W2034" s="1"/>
  <c r="F2035"/>
  <c r="G2035" s="1"/>
  <c r="T2035"/>
  <c r="U2035"/>
  <c r="V2035"/>
  <c r="W2035" s="1"/>
  <c r="F2036"/>
  <c r="G2036" s="1"/>
  <c r="T2036"/>
  <c r="U2036"/>
  <c r="V2036"/>
  <c r="W2036" s="1"/>
  <c r="F2037"/>
  <c r="G2037" s="1"/>
  <c r="T2037"/>
  <c r="U2037"/>
  <c r="V2037"/>
  <c r="W2037" s="1"/>
  <c r="F2038"/>
  <c r="G2038" s="1"/>
  <c r="T2038"/>
  <c r="U2038"/>
  <c r="V2038"/>
  <c r="W2038" s="1"/>
  <c r="F2039"/>
  <c r="G2039" s="1"/>
  <c r="T2039"/>
  <c r="U2039"/>
  <c r="V2039"/>
  <c r="W2039" s="1"/>
  <c r="F2040"/>
  <c r="G2040" s="1"/>
  <c r="T2040"/>
  <c r="U2040"/>
  <c r="V2040"/>
  <c r="W2040" s="1"/>
  <c r="F2041"/>
  <c r="G2041" s="1"/>
  <c r="T2041"/>
  <c r="U2041"/>
  <c r="V2041"/>
  <c r="W2041" s="1"/>
  <c r="F2042"/>
  <c r="G2042" s="1"/>
  <c r="T2042"/>
  <c r="U2042"/>
  <c r="V2042"/>
  <c r="W2042" s="1"/>
  <c r="F2043"/>
  <c r="G2043" s="1"/>
  <c r="T2043"/>
  <c r="U2043"/>
  <c r="V2043"/>
  <c r="W2043" s="1"/>
  <c r="F2045"/>
  <c r="G2045" s="1"/>
  <c r="U2045"/>
  <c r="V2045"/>
  <c r="W2045" s="1"/>
  <c r="F2046"/>
  <c r="G2046" s="1"/>
  <c r="T2046"/>
  <c r="U2046"/>
  <c r="V2046"/>
  <c r="W2046" s="1"/>
  <c r="F2047"/>
  <c r="G2047" s="1"/>
  <c r="T2047"/>
  <c r="U2047"/>
  <c r="V2047"/>
  <c r="W2047" s="1"/>
  <c r="F2048"/>
  <c r="G2048" s="1"/>
  <c r="T2048"/>
  <c r="U2048"/>
  <c r="V2048"/>
  <c r="W2048" s="1"/>
  <c r="F2049"/>
  <c r="G2049" s="1"/>
  <c r="T2049"/>
  <c r="U2049"/>
  <c r="V2049"/>
  <c r="W2049" s="1"/>
  <c r="F2050"/>
  <c r="G2050" s="1"/>
  <c r="T2050"/>
  <c r="U2050"/>
  <c r="V2050"/>
  <c r="W2050" s="1"/>
  <c r="F2051"/>
  <c r="G2051" s="1"/>
  <c r="T2051"/>
  <c r="U2051"/>
  <c r="V2051"/>
  <c r="W2051" s="1"/>
  <c r="F2052"/>
  <c r="G2052" s="1"/>
  <c r="T2052"/>
  <c r="U2052"/>
  <c r="V2052"/>
  <c r="W2052" s="1"/>
  <c r="F2053"/>
  <c r="G2053" s="1"/>
  <c r="T2053"/>
  <c r="U2053"/>
  <c r="V2053"/>
  <c r="W2053" s="1"/>
  <c r="F2054"/>
  <c r="G2054" s="1"/>
  <c r="T2054"/>
  <c r="U2054"/>
  <c r="V2054"/>
  <c r="W2054" s="1"/>
  <c r="F2055"/>
  <c r="G2055" s="1"/>
  <c r="T2055"/>
  <c r="U2055"/>
  <c r="V2055"/>
  <c r="W2055" s="1"/>
  <c r="F2056"/>
  <c r="G2056" s="1"/>
  <c r="T2056"/>
  <c r="U2056"/>
  <c r="V2056"/>
  <c r="W2056" s="1"/>
  <c r="F2057"/>
  <c r="G2057" s="1"/>
  <c r="T2057"/>
  <c r="U2057"/>
  <c r="V2057"/>
  <c r="W2057" s="1"/>
  <c r="F2058"/>
  <c r="G2058" s="1"/>
  <c r="T2058"/>
  <c r="U2058"/>
  <c r="V2058"/>
  <c r="W2058" s="1"/>
  <c r="F2059"/>
  <c r="G2059" s="1"/>
  <c r="T2059"/>
  <c r="U2059"/>
  <c r="V2059"/>
  <c r="W2059" s="1"/>
  <c r="F2060"/>
  <c r="G2060" s="1"/>
  <c r="T2060"/>
  <c r="U2060"/>
  <c r="V2060"/>
  <c r="W2060" s="1"/>
  <c r="F2061"/>
  <c r="G2061" s="1"/>
  <c r="T2061"/>
  <c r="U2061"/>
  <c r="V2061"/>
  <c r="W2061" s="1"/>
  <c r="F2062"/>
  <c r="G2062" s="1"/>
  <c r="T2062"/>
  <c r="U2062"/>
  <c r="V2062"/>
  <c r="W2062" s="1"/>
  <c r="F2063"/>
  <c r="G2063" s="1"/>
  <c r="T2063"/>
  <c r="U2063"/>
  <c r="V2063"/>
  <c r="W2063" s="1"/>
  <c r="F2064"/>
  <c r="G2064" s="1"/>
  <c r="T2064"/>
  <c r="U2064"/>
  <c r="V2064"/>
  <c r="W2064" s="1"/>
  <c r="F2065"/>
  <c r="G2065" s="1"/>
  <c r="T2065"/>
  <c r="U2065"/>
  <c r="V2065"/>
  <c r="W2065" s="1"/>
  <c r="F2066"/>
  <c r="G2066" s="1"/>
  <c r="T2066"/>
  <c r="U2066"/>
  <c r="V2066"/>
  <c r="W2066" s="1"/>
  <c r="F2067"/>
  <c r="G2067" s="1"/>
  <c r="T2067"/>
  <c r="U2067"/>
  <c r="V2067"/>
  <c r="W2067" s="1"/>
  <c r="F2068"/>
  <c r="G2068" s="1"/>
  <c r="T2068"/>
  <c r="U2068"/>
  <c r="V2068"/>
  <c r="W2068" s="1"/>
  <c r="F2069"/>
  <c r="G2069" s="1"/>
  <c r="T2069"/>
  <c r="U2069"/>
  <c r="V2069"/>
  <c r="W2069" s="1"/>
  <c r="F2070"/>
  <c r="G2070" s="1"/>
  <c r="U2070"/>
  <c r="V2070"/>
  <c r="W2070" s="1"/>
  <c r="F2072"/>
  <c r="G2072" s="1"/>
  <c r="T2072"/>
  <c r="U2072"/>
  <c r="V2072"/>
  <c r="W2072" s="1"/>
  <c r="F2073"/>
  <c r="G2073" s="1"/>
  <c r="T2073"/>
  <c r="U2073"/>
  <c r="V2073"/>
  <c r="W2073" s="1"/>
  <c r="F2074"/>
  <c r="G2074" s="1"/>
  <c r="T2074"/>
  <c r="U2074"/>
  <c r="V2074"/>
  <c r="W2074" s="1"/>
  <c r="F2075"/>
  <c r="G2075" s="1"/>
  <c r="T2075"/>
  <c r="U2075"/>
  <c r="V2075"/>
  <c r="W2075" s="1"/>
  <c r="F2076"/>
  <c r="G2076" s="1"/>
  <c r="T2076"/>
  <c r="U2076"/>
  <c r="V2076"/>
  <c r="W2076" s="1"/>
  <c r="F2077"/>
  <c r="G2077" s="1"/>
  <c r="T2077"/>
  <c r="U2077"/>
  <c r="V2077"/>
  <c r="W2077" s="1"/>
  <c r="F2078"/>
  <c r="G2078" s="1"/>
  <c r="T2078"/>
  <c r="U2078"/>
  <c r="V2078"/>
  <c r="W2078" s="1"/>
  <c r="F2079"/>
  <c r="G2079" s="1"/>
  <c r="T2079"/>
  <c r="U2079"/>
  <c r="V2079"/>
  <c r="W2079" s="1"/>
  <c r="F2080"/>
  <c r="G2080" s="1"/>
  <c r="T2080"/>
  <c r="U2080"/>
  <c r="V2080"/>
  <c r="W2080" s="1"/>
  <c r="F2081"/>
  <c r="G2081" s="1"/>
  <c r="T2081"/>
  <c r="U2081"/>
  <c r="V2081"/>
  <c r="W2081" s="1"/>
  <c r="F2082"/>
  <c r="G2082" s="1"/>
  <c r="T2082"/>
  <c r="U2082"/>
  <c r="V2082"/>
  <c r="W2082" s="1"/>
  <c r="F2083"/>
  <c r="G2083" s="1"/>
  <c r="T2083"/>
  <c r="U2083"/>
  <c r="V2083"/>
  <c r="W2083" s="1"/>
  <c r="F2"/>
  <c r="G2" s="1"/>
  <c r="F3"/>
  <c r="G3" s="1"/>
  <c r="F4"/>
  <c r="G4" s="1"/>
  <c r="G11"/>
  <c r="F12"/>
  <c r="G12" s="1"/>
  <c r="F13"/>
  <c r="G13" s="1"/>
  <c r="F14"/>
  <c r="G14" s="1"/>
  <c r="F15"/>
  <c r="G15" s="1"/>
  <c r="F16"/>
  <c r="G16" s="1"/>
  <c r="F17"/>
  <c r="G17" s="1"/>
  <c r="T17"/>
  <c r="U17"/>
  <c r="V17"/>
  <c r="W17" s="1"/>
  <c r="F18"/>
  <c r="G18" s="1"/>
  <c r="T18"/>
  <c r="U18"/>
  <c r="V18"/>
  <c r="W18" s="1"/>
  <c r="F19"/>
  <c r="G19" s="1"/>
  <c r="F20"/>
  <c r="G20" s="1"/>
  <c r="F21"/>
  <c r="G21" s="1"/>
  <c r="F22"/>
  <c r="G22" s="1"/>
  <c r="T22"/>
  <c r="U22"/>
  <c r="V22"/>
  <c r="W22" s="1"/>
  <c r="F23"/>
  <c r="G23" s="1"/>
  <c r="T23"/>
  <c r="U23"/>
  <c r="V23"/>
  <c r="W23" s="1"/>
  <c r="F24"/>
  <c r="G24" s="1"/>
  <c r="T24"/>
  <c r="U24"/>
  <c r="V24"/>
  <c r="W24" s="1"/>
  <c r="F25"/>
  <c r="G25" s="1"/>
  <c r="T25"/>
  <c r="U25"/>
  <c r="V25"/>
  <c r="W25" s="1"/>
  <c r="F26"/>
  <c r="G26" s="1"/>
  <c r="T26"/>
  <c r="U26"/>
  <c r="O26"/>
  <c r="F27"/>
  <c r="G27" s="1"/>
  <c r="T27"/>
  <c r="U27"/>
  <c r="V27"/>
  <c r="W27" s="1"/>
  <c r="F28"/>
  <c r="G28" s="1"/>
  <c r="T28"/>
  <c r="U28"/>
  <c r="V28"/>
  <c r="W28" s="1"/>
  <c r="F29"/>
  <c r="G29" s="1"/>
  <c r="F30"/>
  <c r="G30" s="1"/>
  <c r="F31"/>
  <c r="G31" s="1"/>
  <c r="T31"/>
  <c r="U31"/>
  <c r="V31"/>
  <c r="W31" s="1"/>
  <c r="F32"/>
  <c r="G32" s="1"/>
  <c r="F33"/>
  <c r="G33" s="1"/>
  <c r="F34"/>
  <c r="G34" s="1"/>
  <c r="F35"/>
  <c r="G35" s="1"/>
  <c r="F36"/>
  <c r="G36" s="1"/>
  <c r="F37"/>
  <c r="G37" s="1"/>
  <c r="F39"/>
  <c r="G39" s="1"/>
  <c r="U39"/>
  <c r="V39"/>
  <c r="W39" s="1"/>
  <c r="F40"/>
  <c r="G40" s="1"/>
  <c r="U40"/>
  <c r="V40"/>
  <c r="W40" s="1"/>
  <c r="F41"/>
  <c r="G41" s="1"/>
  <c r="T41"/>
  <c r="U41"/>
  <c r="V41"/>
  <c r="W41" s="1"/>
  <c r="F42"/>
  <c r="G42" s="1"/>
  <c r="T42"/>
  <c r="U42"/>
  <c r="V42"/>
  <c r="W42" s="1"/>
  <c r="F43"/>
  <c r="G43" s="1"/>
  <c r="T43"/>
  <c r="U43"/>
  <c r="V43"/>
  <c r="W43" s="1"/>
  <c r="F44"/>
  <c r="G44" s="1"/>
  <c r="T44"/>
  <c r="U44"/>
  <c r="V44"/>
  <c r="W44" s="1"/>
  <c r="F45"/>
  <c r="G45" s="1"/>
  <c r="T45"/>
  <c r="U45"/>
  <c r="V45"/>
  <c r="W45" s="1"/>
  <c r="F46"/>
  <c r="G46" s="1"/>
  <c r="T46"/>
  <c r="U46"/>
  <c r="V46"/>
  <c r="W46" s="1"/>
  <c r="F47"/>
  <c r="G47" s="1"/>
  <c r="T47"/>
  <c r="U47"/>
  <c r="V47"/>
  <c r="W47" s="1"/>
  <c r="F48"/>
  <c r="G48" s="1"/>
  <c r="T48"/>
  <c r="U48"/>
  <c r="V48"/>
  <c r="W48" s="1"/>
  <c r="F49"/>
  <c r="G49" s="1"/>
  <c r="T49"/>
  <c r="U49"/>
  <c r="V49"/>
  <c r="W49" s="1"/>
  <c r="F50"/>
  <c r="G50" s="1"/>
  <c r="U50"/>
  <c r="V50"/>
  <c r="W50" s="1"/>
  <c r="F51"/>
  <c r="G51" s="1"/>
  <c r="U51"/>
  <c r="V51"/>
  <c r="W51" s="1"/>
  <c r="F52"/>
  <c r="G52" s="1"/>
  <c r="T52"/>
  <c r="U52"/>
  <c r="V52"/>
  <c r="W52" s="1"/>
  <c r="F53"/>
  <c r="G53" s="1"/>
  <c r="T53"/>
  <c r="U53"/>
  <c r="V53"/>
  <c r="W53" s="1"/>
  <c r="F54"/>
  <c r="G54" s="1"/>
  <c r="T54"/>
  <c r="U54"/>
  <c r="V54"/>
  <c r="W54" s="1"/>
  <c r="F55"/>
  <c r="G55" s="1"/>
  <c r="T55"/>
  <c r="U55"/>
  <c r="V55"/>
  <c r="W55" s="1"/>
  <c r="F56"/>
  <c r="G56" s="1"/>
  <c r="T56"/>
  <c r="U56"/>
  <c r="V56"/>
  <c r="W56" s="1"/>
  <c r="F57"/>
  <c r="G57" s="1"/>
  <c r="T57"/>
  <c r="U57"/>
  <c r="V57"/>
  <c r="W57" s="1"/>
  <c r="F58"/>
  <c r="G58" s="1"/>
  <c r="T58"/>
  <c r="U58"/>
  <c r="V58"/>
  <c r="W58" s="1"/>
  <c r="F59"/>
  <c r="G59" s="1"/>
  <c r="T59"/>
  <c r="U59"/>
  <c r="V59"/>
  <c r="W59" s="1"/>
  <c r="F60"/>
  <c r="G60" s="1"/>
  <c r="T60"/>
  <c r="U60"/>
  <c r="V60"/>
  <c r="W60" s="1"/>
  <c r="F61"/>
  <c r="G61" s="1"/>
  <c r="U61"/>
  <c r="V61"/>
  <c r="W61" s="1"/>
  <c r="F62"/>
  <c r="G62" s="1"/>
  <c r="U62"/>
  <c r="V62"/>
  <c r="W62" s="1"/>
  <c r="F65"/>
  <c r="G65" s="1"/>
  <c r="T65"/>
  <c r="U65"/>
  <c r="V65"/>
  <c r="W65" s="1"/>
  <c r="F66"/>
  <c r="G66" s="1"/>
  <c r="T66"/>
  <c r="U66"/>
  <c r="V66"/>
  <c r="W66" s="1"/>
  <c r="F67"/>
  <c r="G67" s="1"/>
  <c r="T67"/>
  <c r="U67"/>
  <c r="V67"/>
  <c r="W67" s="1"/>
  <c r="F68"/>
  <c r="G68" s="1"/>
  <c r="T68"/>
  <c r="U68"/>
  <c r="V68"/>
  <c r="W68" s="1"/>
  <c r="F69"/>
  <c r="G69" s="1"/>
  <c r="T69"/>
  <c r="U69"/>
  <c r="V69"/>
  <c r="W69" s="1"/>
  <c r="F70"/>
  <c r="G70" s="1"/>
  <c r="K70"/>
  <c r="L70"/>
  <c r="O70"/>
  <c r="V70" s="1"/>
  <c r="W70" s="1"/>
  <c r="F71"/>
  <c r="G71" s="1"/>
  <c r="T71"/>
  <c r="U71"/>
  <c r="V71"/>
  <c r="W71" s="1"/>
  <c r="F72"/>
  <c r="G72" s="1"/>
  <c r="T72"/>
  <c r="U72"/>
  <c r="V72"/>
  <c r="W72" s="1"/>
  <c r="F73"/>
  <c r="G73" s="1"/>
  <c r="T73"/>
  <c r="U73"/>
  <c r="V73"/>
  <c r="W73" s="1"/>
  <c r="F74"/>
  <c r="G74" s="1"/>
  <c r="T74"/>
  <c r="U74"/>
  <c r="V74"/>
  <c r="W74" s="1"/>
  <c r="F75"/>
  <c r="G75" s="1"/>
  <c r="T75"/>
  <c r="U75"/>
  <c r="V75"/>
  <c r="W75" s="1"/>
  <c r="F76"/>
  <c r="G76" s="1"/>
  <c r="T76"/>
  <c r="U76"/>
  <c r="V76"/>
  <c r="W76" s="1"/>
  <c r="F77"/>
  <c r="G77" s="1"/>
  <c r="T77"/>
  <c r="U77"/>
  <c r="V77"/>
  <c r="W77" s="1"/>
  <c r="F78"/>
  <c r="G78" s="1"/>
  <c r="T78"/>
  <c r="U78"/>
  <c r="V78"/>
  <c r="W78" s="1"/>
  <c r="F79"/>
  <c r="G79" s="1"/>
  <c r="T79"/>
  <c r="U79"/>
  <c r="V79"/>
  <c r="W79" s="1"/>
  <c r="F80"/>
  <c r="G80" s="1"/>
  <c r="T80"/>
  <c r="U80"/>
  <c r="V80"/>
  <c r="W80" s="1"/>
  <c r="F81"/>
  <c r="G81" s="1"/>
  <c r="T81"/>
  <c r="U81"/>
  <c r="V81"/>
  <c r="W81" s="1"/>
  <c r="F82"/>
  <c r="G82" s="1"/>
  <c r="U82"/>
  <c r="V82"/>
  <c r="W82" s="1"/>
  <c r="F102"/>
  <c r="G102" s="1"/>
  <c r="T102"/>
  <c r="U102"/>
  <c r="V102"/>
  <c r="W102" s="1"/>
  <c r="F103"/>
  <c r="G103" s="1"/>
  <c r="T103"/>
  <c r="U103"/>
  <c r="V103"/>
  <c r="W103" s="1"/>
  <c r="F606"/>
  <c r="G606" s="1"/>
  <c r="F607"/>
  <c r="G607" s="1"/>
  <c r="F608"/>
  <c r="G608" s="1"/>
  <c r="F609"/>
  <c r="G609" s="1"/>
  <c r="F610"/>
  <c r="G610" s="1"/>
  <c r="F611"/>
  <c r="G611" s="1"/>
  <c r="F612"/>
  <c r="G612" s="1"/>
  <c r="F613"/>
  <c r="G613" s="1"/>
  <c r="F614"/>
  <c r="G614" s="1"/>
  <c r="F615"/>
  <c r="G615" s="1"/>
  <c r="F616"/>
  <c r="G616" s="1"/>
  <c r="F617"/>
  <c r="G617" s="1"/>
  <c r="F618"/>
  <c r="G618" s="1"/>
  <c r="F619"/>
  <c r="G619" s="1"/>
  <c r="F620"/>
  <c r="G620" s="1"/>
  <c r="F621"/>
  <c r="G621" s="1"/>
  <c r="T621"/>
  <c r="U621"/>
  <c r="V621"/>
  <c r="W621" s="1"/>
  <c r="F622"/>
  <c r="G622" s="1"/>
  <c r="T622"/>
  <c r="U622"/>
  <c r="V622"/>
  <c r="W622" s="1"/>
  <c r="F623"/>
  <c r="G623" s="1"/>
  <c r="T623"/>
  <c r="U623"/>
  <c r="V623"/>
  <c r="W623" s="1"/>
  <c r="F625"/>
  <c r="G625" s="1"/>
  <c r="F626"/>
  <c r="G626" s="1"/>
  <c r="F627"/>
  <c r="G627" s="1"/>
  <c r="T627"/>
  <c r="U627"/>
  <c r="V627"/>
  <c r="W627" s="1"/>
  <c r="F628"/>
  <c r="G628" s="1"/>
  <c r="T628"/>
  <c r="U628"/>
  <c r="V628"/>
  <c r="W628" s="1"/>
  <c r="F629"/>
  <c r="G629" s="1"/>
  <c r="F630"/>
  <c r="G630" s="1"/>
  <c r="F631"/>
  <c r="G631" s="1"/>
  <c r="T631"/>
  <c r="U631"/>
  <c r="V631"/>
  <c r="W631" s="1"/>
  <c r="F632"/>
  <c r="G632" s="1"/>
  <c r="T632"/>
  <c r="U632"/>
  <c r="V632"/>
  <c r="W632" s="1"/>
  <c r="F633"/>
  <c r="G633" s="1"/>
  <c r="T633"/>
  <c r="U633"/>
  <c r="V633"/>
  <c r="W633" s="1"/>
  <c r="F634"/>
  <c r="G634" s="1"/>
  <c r="F635"/>
  <c r="G635" s="1"/>
  <c r="F636"/>
  <c r="G636" s="1"/>
  <c r="T636"/>
  <c r="U636"/>
  <c r="V636"/>
  <c r="W636" s="1"/>
  <c r="F637"/>
  <c r="G637" s="1"/>
  <c r="U637"/>
  <c r="V637"/>
  <c r="W637" s="1"/>
  <c r="F638"/>
  <c r="G638" s="1"/>
  <c r="U638"/>
  <c r="V638"/>
  <c r="W638" s="1"/>
  <c r="F639"/>
  <c r="G639" s="1"/>
  <c r="U639"/>
  <c r="V639"/>
  <c r="W639" s="1"/>
  <c r="F640"/>
  <c r="G640" s="1"/>
  <c r="T640"/>
  <c r="U640"/>
  <c r="V640"/>
  <c r="W640" s="1"/>
  <c r="F641"/>
  <c r="G641" s="1"/>
  <c r="T641"/>
  <c r="U641"/>
  <c r="V641"/>
  <c r="W641" s="1"/>
  <c r="F642"/>
  <c r="G642" s="1"/>
  <c r="T642"/>
  <c r="U642"/>
  <c r="V642"/>
  <c r="W642" s="1"/>
  <c r="F643"/>
  <c r="G643" s="1"/>
  <c r="L643"/>
  <c r="U643" s="1"/>
  <c r="O643"/>
  <c r="V643" s="1"/>
  <c r="W643" s="1"/>
  <c r="F644"/>
  <c r="G644" s="1"/>
  <c r="U644"/>
  <c r="V644"/>
  <c r="W644" s="1"/>
  <c r="F653"/>
  <c r="G653" s="1"/>
  <c r="U653"/>
  <c r="V653"/>
  <c r="W653" s="1"/>
  <c r="F654"/>
  <c r="G654" s="1"/>
  <c r="U654"/>
  <c r="V654"/>
  <c r="W654" s="1"/>
  <c r="F655"/>
  <c r="G655" s="1"/>
  <c r="T655"/>
  <c r="U655"/>
  <c r="V655"/>
  <c r="W655" s="1"/>
  <c r="F656"/>
  <c r="G656" s="1"/>
  <c r="T656"/>
  <c r="U656"/>
  <c r="V656"/>
  <c r="W656" s="1"/>
  <c r="F657"/>
  <c r="G657" s="1"/>
  <c r="T657"/>
  <c r="U657"/>
  <c r="V657"/>
  <c r="W657" s="1"/>
  <c r="F658"/>
  <c r="G658" s="1"/>
  <c r="U658"/>
  <c r="V658"/>
  <c r="W658" s="1"/>
  <c r="F661"/>
  <c r="G661" s="1"/>
  <c r="T661"/>
  <c r="U661"/>
  <c r="V661"/>
  <c r="W661" s="1"/>
  <c r="F662"/>
  <c r="G662" s="1"/>
  <c r="T662"/>
  <c r="U662"/>
  <c r="V662"/>
  <c r="W662" s="1"/>
  <c r="F663"/>
  <c r="G663" s="1"/>
  <c r="T663"/>
  <c r="U663"/>
  <c r="V663"/>
  <c r="W663" s="1"/>
  <c r="F664"/>
  <c r="G664" s="1"/>
  <c r="T664"/>
  <c r="U664"/>
  <c r="V664"/>
  <c r="W664" s="1"/>
  <c r="F665"/>
  <c r="G665" s="1"/>
  <c r="T665"/>
  <c r="U665"/>
  <c r="V665"/>
  <c r="W665" s="1"/>
  <c r="F666"/>
  <c r="G666" s="1"/>
  <c r="T666"/>
  <c r="U666"/>
  <c r="V666"/>
  <c r="W666" s="1"/>
  <c r="F667"/>
  <c r="G667" s="1"/>
  <c r="T667"/>
  <c r="U667"/>
  <c r="V667"/>
  <c r="W667" s="1"/>
  <c r="F668"/>
  <c r="G668" s="1"/>
  <c r="T668"/>
  <c r="U668"/>
  <c r="V668"/>
  <c r="W668" s="1"/>
  <c r="F669"/>
  <c r="G669" s="1"/>
  <c r="T669"/>
  <c r="U669"/>
  <c r="V669"/>
  <c r="W669" s="1"/>
  <c r="F670"/>
  <c r="G670" s="1"/>
  <c r="T670"/>
  <c r="U670"/>
  <c r="V670"/>
  <c r="W670" s="1"/>
  <c r="F671"/>
  <c r="G671" s="1"/>
  <c r="T671"/>
  <c r="U671"/>
  <c r="V671"/>
  <c r="W671" s="1"/>
  <c r="F672"/>
  <c r="G672" s="1"/>
  <c r="T672"/>
  <c r="U672"/>
  <c r="V672"/>
  <c r="W672" s="1"/>
  <c r="F673"/>
  <c r="G673" s="1"/>
  <c r="U673"/>
  <c r="V673"/>
  <c r="W673" s="1"/>
  <c r="F674"/>
  <c r="G674" s="1"/>
  <c r="U674"/>
  <c r="V674"/>
  <c r="W674" s="1"/>
  <c r="F675"/>
  <c r="G675" s="1"/>
  <c r="U675"/>
  <c r="V675"/>
  <c r="W675" s="1"/>
  <c r="F677"/>
  <c r="G677" s="1"/>
  <c r="U677"/>
  <c r="V677"/>
  <c r="W677" s="1"/>
  <c r="F678"/>
  <c r="G678" s="1"/>
  <c r="U678"/>
  <c r="V678"/>
  <c r="W678" s="1"/>
  <c r="F679"/>
  <c r="G679" s="1"/>
  <c r="T679"/>
  <c r="U679"/>
  <c r="V679"/>
  <c r="W679" s="1"/>
  <c r="F680"/>
  <c r="G680" s="1"/>
  <c r="T680"/>
  <c r="U680"/>
  <c r="V680"/>
  <c r="W680" s="1"/>
  <c r="F681"/>
  <c r="G681" s="1"/>
  <c r="T681"/>
  <c r="U681"/>
  <c r="V681"/>
  <c r="W681" s="1"/>
  <c r="F682"/>
  <c r="G682" s="1"/>
  <c r="T682"/>
  <c r="U682"/>
  <c r="V682"/>
  <c r="W682" s="1"/>
  <c r="F683"/>
  <c r="G683" s="1"/>
  <c r="T683"/>
  <c r="U683"/>
  <c r="V683"/>
  <c r="W683" s="1"/>
  <c r="F684"/>
  <c r="G684" s="1"/>
  <c r="T684"/>
  <c r="U684"/>
  <c r="V684"/>
  <c r="W684" s="1"/>
  <c r="F685"/>
  <c r="G685" s="1"/>
  <c r="T685"/>
  <c r="U685"/>
  <c r="V685"/>
  <c r="W685" s="1"/>
  <c r="F686"/>
  <c r="G686" s="1"/>
  <c r="T686"/>
  <c r="U686"/>
  <c r="V686"/>
  <c r="W686" s="1"/>
  <c r="F687"/>
  <c r="G687" s="1"/>
  <c r="T687"/>
  <c r="U687"/>
  <c r="V687"/>
  <c r="W687" s="1"/>
  <c r="F688"/>
  <c r="G688" s="1"/>
  <c r="T688"/>
  <c r="U688"/>
  <c r="V688"/>
  <c r="W688" s="1"/>
  <c r="F689"/>
  <c r="G689" s="1"/>
  <c r="T689"/>
  <c r="U689"/>
  <c r="V689"/>
  <c r="W689" s="1"/>
  <c r="F690"/>
  <c r="G690" s="1"/>
  <c r="T690"/>
  <c r="U690"/>
  <c r="V690"/>
  <c r="W690" s="1"/>
  <c r="F691"/>
  <c r="G691" s="1"/>
  <c r="T691"/>
  <c r="U691"/>
  <c r="V691"/>
  <c r="W691" s="1"/>
  <c r="F692"/>
  <c r="G692" s="1"/>
  <c r="T692"/>
  <c r="U692"/>
  <c r="V692"/>
  <c r="W692" s="1"/>
  <c r="F693"/>
  <c r="G693" s="1"/>
  <c r="T693"/>
  <c r="U693"/>
  <c r="V693"/>
  <c r="W693" s="1"/>
  <c r="F694"/>
  <c r="G694" s="1"/>
  <c r="T694"/>
  <c r="U694"/>
  <c r="V694"/>
  <c r="W694" s="1"/>
  <c r="F695"/>
  <c r="G695" s="1"/>
  <c r="U695"/>
  <c r="V695"/>
  <c r="W695" s="1"/>
  <c r="F700"/>
  <c r="G700" s="1"/>
  <c r="T700"/>
  <c r="U700"/>
  <c r="V700"/>
  <c r="W700" s="1"/>
  <c r="F701"/>
  <c r="G701" s="1"/>
  <c r="T701"/>
  <c r="U701"/>
  <c r="V701"/>
  <c r="W701" s="1"/>
  <c r="F702"/>
  <c r="G702" s="1"/>
  <c r="T702"/>
  <c r="U702"/>
  <c r="V702"/>
  <c r="W702" s="1"/>
  <c r="F703"/>
  <c r="G703" s="1"/>
  <c r="T703"/>
  <c r="U703"/>
  <c r="V703"/>
  <c r="W703" s="1"/>
  <c r="F704"/>
  <c r="G704" s="1"/>
  <c r="T704"/>
  <c r="U704"/>
  <c r="V704"/>
  <c r="W704" s="1"/>
  <c r="F705"/>
  <c r="G705" s="1"/>
  <c r="T705"/>
  <c r="U705"/>
  <c r="V705"/>
  <c r="W705" s="1"/>
  <c r="F706"/>
  <c r="G706" s="1"/>
  <c r="T706"/>
  <c r="U706"/>
  <c r="V706"/>
  <c r="W706" s="1"/>
  <c r="F707"/>
  <c r="G707" s="1"/>
  <c r="T707"/>
  <c r="U707"/>
  <c r="V707"/>
  <c r="W707" s="1"/>
  <c r="F866"/>
  <c r="G866" s="1"/>
  <c r="F867"/>
  <c r="G867" s="1"/>
  <c r="F868"/>
  <c r="G868" s="1"/>
  <c r="F869"/>
  <c r="G869" s="1"/>
  <c r="F870"/>
  <c r="G870" s="1"/>
  <c r="F871"/>
  <c r="G871" s="1"/>
  <c r="F872"/>
  <c r="G872" s="1"/>
  <c r="F873"/>
  <c r="G873" s="1"/>
  <c r="F874"/>
  <c r="G874" s="1"/>
  <c r="F879"/>
  <c r="G879" s="1"/>
  <c r="F880"/>
  <c r="G880" s="1"/>
  <c r="F881"/>
  <c r="G881" s="1"/>
  <c r="U881"/>
  <c r="V881"/>
  <c r="W881" s="1"/>
  <c r="F882"/>
  <c r="G882" s="1"/>
  <c r="T882"/>
  <c r="U882"/>
  <c r="V882"/>
  <c r="W882" s="1"/>
  <c r="F883"/>
  <c r="G883" s="1"/>
  <c r="K883"/>
  <c r="T883" s="1"/>
  <c r="L883"/>
  <c r="U883" s="1"/>
  <c r="O883"/>
  <c r="V883" s="1"/>
  <c r="W883" s="1"/>
  <c r="F884"/>
  <c r="G884" s="1"/>
  <c r="T884"/>
  <c r="U884"/>
  <c r="V884"/>
  <c r="W884" s="1"/>
  <c r="F885"/>
  <c r="G885" s="1"/>
  <c r="T885"/>
  <c r="U885"/>
  <c r="V885"/>
  <c r="W885" s="1"/>
  <c r="F886"/>
  <c r="G886" s="1"/>
  <c r="T886"/>
  <c r="U886"/>
  <c r="V886"/>
  <c r="W886" s="1"/>
  <c r="F887"/>
  <c r="G887" s="1"/>
  <c r="F888"/>
  <c r="G888" s="1"/>
  <c r="F889"/>
  <c r="G889" s="1"/>
  <c r="F890"/>
  <c r="G890" s="1"/>
  <c r="F891"/>
  <c r="G891" s="1"/>
  <c r="F892"/>
  <c r="G892" s="1"/>
  <c r="F908"/>
  <c r="G908" s="1"/>
  <c r="T908"/>
  <c r="U908"/>
  <c r="V908"/>
  <c r="W908" s="1"/>
  <c r="F909"/>
  <c r="G909" s="1"/>
  <c r="T909"/>
  <c r="U909"/>
  <c r="V909"/>
  <c r="W909" s="1"/>
  <c r="F910"/>
  <c r="G910" s="1"/>
  <c r="T910"/>
  <c r="U910"/>
  <c r="V910"/>
  <c r="W910" s="1"/>
  <c r="F911"/>
  <c r="G911" s="1"/>
  <c r="T911"/>
  <c r="U911"/>
  <c r="V911"/>
  <c r="W911" s="1"/>
  <c r="F912"/>
  <c r="G912" s="1"/>
  <c r="T912"/>
  <c r="U912"/>
  <c r="V912"/>
  <c r="W912" s="1"/>
  <c r="F913"/>
  <c r="G913" s="1"/>
  <c r="T913"/>
  <c r="U913"/>
  <c r="V913"/>
  <c r="W913" s="1"/>
  <c r="F914"/>
  <c r="G914" s="1"/>
  <c r="T914"/>
  <c r="U914"/>
  <c r="V914"/>
  <c r="W914" s="1"/>
  <c r="F915"/>
  <c r="G915" s="1"/>
  <c r="T915"/>
  <c r="U915"/>
  <c r="V915"/>
  <c r="W915" s="1"/>
  <c r="F916"/>
  <c r="G916" s="1"/>
  <c r="T916"/>
  <c r="U916"/>
  <c r="V916"/>
  <c r="W916" s="1"/>
  <c r="F917"/>
  <c r="G917" s="1"/>
  <c r="T917"/>
  <c r="U917"/>
  <c r="V917"/>
  <c r="W917" s="1"/>
  <c r="F918"/>
  <c r="G918" s="1"/>
  <c r="T918"/>
  <c r="U918"/>
  <c r="V918"/>
  <c r="W918" s="1"/>
  <c r="F919"/>
  <c r="G919" s="1"/>
  <c r="T919"/>
  <c r="U919"/>
  <c r="V919"/>
  <c r="W919" s="1"/>
  <c r="F920"/>
  <c r="G920" s="1"/>
  <c r="T920"/>
  <c r="U920"/>
  <c r="V920"/>
  <c r="W920" s="1"/>
  <c r="F921"/>
  <c r="G921" s="1"/>
  <c r="T921"/>
  <c r="U921"/>
  <c r="V921"/>
  <c r="W921" s="1"/>
  <c r="F922"/>
  <c r="G922" s="1"/>
  <c r="T922"/>
  <c r="U922"/>
  <c r="V922"/>
  <c r="W922" s="1"/>
  <c r="F923"/>
  <c r="G923" s="1"/>
  <c r="U923"/>
  <c r="V923"/>
  <c r="W923" s="1"/>
  <c r="F933"/>
  <c r="G933" s="1"/>
  <c r="T933"/>
  <c r="U933"/>
  <c r="V933"/>
  <c r="W933" s="1"/>
  <c r="F934"/>
  <c r="G934" s="1"/>
  <c r="T934"/>
  <c r="U934"/>
  <c r="V934"/>
  <c r="W934" s="1"/>
  <c r="F935"/>
  <c r="G935" s="1"/>
  <c r="T935"/>
  <c r="U935"/>
  <c r="V935"/>
  <c r="W935" s="1"/>
  <c r="F936"/>
  <c r="G936" s="1"/>
  <c r="T936"/>
  <c r="U936"/>
  <c r="V936"/>
  <c r="W936" s="1"/>
  <c r="F937"/>
  <c r="G937" s="1"/>
  <c r="T937"/>
  <c r="U937"/>
  <c r="V937"/>
  <c r="W937" s="1"/>
  <c r="F938"/>
  <c r="G938" s="1"/>
  <c r="T938"/>
  <c r="U938"/>
  <c r="V938"/>
  <c r="W938" s="1"/>
  <c r="F939"/>
  <c r="G939" s="1"/>
  <c r="T939"/>
  <c r="U939"/>
  <c r="V939"/>
  <c r="W939" s="1"/>
  <c r="F956"/>
  <c r="G956" s="1"/>
  <c r="U956"/>
  <c r="V956"/>
  <c r="W956" s="1"/>
  <c r="F957"/>
  <c r="G957" s="1"/>
  <c r="T957"/>
  <c r="U957"/>
  <c r="V957"/>
  <c r="W957" s="1"/>
  <c r="F958"/>
  <c r="G958" s="1"/>
  <c r="T958"/>
  <c r="U958"/>
  <c r="V958"/>
  <c r="W958" s="1"/>
  <c r="F959"/>
  <c r="G959" s="1"/>
  <c r="T959"/>
  <c r="U959"/>
  <c r="V959"/>
  <c r="W959" s="1"/>
  <c r="F960"/>
  <c r="G960" s="1"/>
  <c r="T960"/>
  <c r="U960"/>
  <c r="V960"/>
  <c r="W960" s="1"/>
  <c r="F961"/>
  <c r="G961" s="1"/>
  <c r="T961"/>
  <c r="U961"/>
  <c r="V961"/>
  <c r="W961" s="1"/>
  <c r="F962"/>
  <c r="G962" s="1"/>
  <c r="T962"/>
  <c r="U962"/>
  <c r="V962"/>
  <c r="W962" s="1"/>
  <c r="F963"/>
  <c r="G963" s="1"/>
  <c r="I963"/>
  <c r="K963"/>
  <c r="L963"/>
  <c r="O963"/>
  <c r="F964"/>
  <c r="G964" s="1"/>
  <c r="T964"/>
  <c r="U964"/>
  <c r="V964"/>
  <c r="W964" s="1"/>
  <c r="F965"/>
  <c r="G965" s="1"/>
  <c r="T965"/>
  <c r="U965"/>
  <c r="V965"/>
  <c r="W965" s="1"/>
  <c r="F966"/>
  <c r="G966" s="1"/>
  <c r="T966"/>
  <c r="U966"/>
  <c r="V966"/>
  <c r="W966" s="1"/>
  <c r="F967"/>
  <c r="G967" s="1"/>
  <c r="T967"/>
  <c r="U967"/>
  <c r="V967"/>
  <c r="W967" s="1"/>
  <c r="F2225"/>
  <c r="G2225" s="1"/>
  <c r="F2226"/>
  <c r="G2226" s="1"/>
  <c r="F2227"/>
  <c r="G2227" s="1"/>
  <c r="F2228"/>
  <c r="G2228" s="1"/>
  <c r="F2229"/>
  <c r="G2229" s="1"/>
  <c r="F2230"/>
  <c r="G2230" s="1"/>
  <c r="F2231"/>
  <c r="G2231" s="1"/>
  <c r="F2232"/>
  <c r="G2232" s="1"/>
  <c r="F2233"/>
  <c r="G2233" s="1"/>
  <c r="F2234"/>
  <c r="G2234" s="1"/>
  <c r="F2235"/>
  <c r="G2235" s="1"/>
  <c r="F2236"/>
  <c r="G2236" s="1"/>
  <c r="T2236"/>
  <c r="U2236"/>
  <c r="V2236"/>
  <c r="W2236" s="1"/>
  <c r="F2237"/>
  <c r="G2237" s="1"/>
  <c r="U2237"/>
  <c r="V2237"/>
  <c r="W2237" s="1"/>
  <c r="F2238"/>
  <c r="G2238" s="1"/>
  <c r="U2238"/>
  <c r="V2238"/>
  <c r="W2238" s="1"/>
  <c r="F2239"/>
  <c r="G2239" s="1"/>
  <c r="U2239"/>
  <c r="V2239"/>
  <c r="W2239" s="1"/>
  <c r="F2240"/>
  <c r="G2240" s="1"/>
  <c r="T2240"/>
  <c r="U2240"/>
  <c r="V2240"/>
  <c r="W2240" s="1"/>
  <c r="F2241"/>
  <c r="G2241" s="1"/>
  <c r="F2242"/>
  <c r="G2242" s="1"/>
  <c r="F2243"/>
  <c r="G2243" s="1"/>
  <c r="F2244"/>
  <c r="G2244" s="1"/>
  <c r="F2245"/>
  <c r="G2245" s="1"/>
  <c r="F2246"/>
  <c r="G2246" s="1"/>
  <c r="F2247"/>
  <c r="G2247" s="1"/>
  <c r="F2248"/>
  <c r="G2248" s="1"/>
  <c r="F2249"/>
  <c r="G2249" s="1"/>
  <c r="F2250"/>
  <c r="G2250" s="1"/>
  <c r="F2251"/>
  <c r="G2251" s="1"/>
  <c r="F2257"/>
  <c r="G2257" s="1"/>
  <c r="T2257"/>
  <c r="U2257"/>
  <c r="V2257"/>
  <c r="W2257" s="1"/>
  <c r="F2258"/>
  <c r="G2258" s="1"/>
  <c r="T2258"/>
  <c r="U2258"/>
  <c r="V2258"/>
  <c r="W2258" s="1"/>
  <c r="F2259"/>
  <c r="G2259" s="1"/>
  <c r="T2259"/>
  <c r="U2259"/>
  <c r="V2259"/>
  <c r="W2259" s="1"/>
  <c r="F2260"/>
  <c r="G2260" s="1"/>
  <c r="T2260"/>
  <c r="U2260"/>
  <c r="V2260"/>
  <c r="W2260" s="1"/>
  <c r="F2261"/>
  <c r="G2261" s="1"/>
  <c r="T2261"/>
  <c r="U2261"/>
  <c r="V2261"/>
  <c r="W2261" s="1"/>
  <c r="F2262"/>
  <c r="G2262" s="1"/>
  <c r="T2262"/>
  <c r="U2262"/>
  <c r="V2262"/>
  <c r="W2262" s="1"/>
  <c r="F2263"/>
  <c r="G2263" s="1"/>
  <c r="T2263"/>
  <c r="U2263"/>
  <c r="V2263"/>
  <c r="W2263" s="1"/>
  <c r="F2264"/>
  <c r="G2264" s="1"/>
  <c r="T2264"/>
  <c r="U2264"/>
  <c r="V2264"/>
  <c r="W2264" s="1"/>
  <c r="F2265"/>
  <c r="G2265" s="1"/>
  <c r="T2265"/>
  <c r="U2265"/>
  <c r="V2265"/>
  <c r="W2265" s="1"/>
  <c r="F2266"/>
  <c r="G2266" s="1"/>
  <c r="K2266"/>
  <c r="T2266" s="1"/>
  <c r="L2266"/>
  <c r="U2266" s="1"/>
  <c r="O2266"/>
  <c r="V2266" s="1"/>
  <c r="W2266" s="1"/>
  <c r="F2267"/>
  <c r="G2267" s="1"/>
  <c r="T2267"/>
  <c r="U2267"/>
  <c r="V2267"/>
  <c r="W2267" s="1"/>
  <c r="F2268"/>
  <c r="G2268" s="1"/>
  <c r="T2268"/>
  <c r="U2268"/>
  <c r="V2268"/>
  <c r="W2268" s="1"/>
  <c r="F2269"/>
  <c r="G2269" s="1"/>
  <c r="T2269"/>
  <c r="U2269"/>
  <c r="V2269"/>
  <c r="W2269" s="1"/>
  <c r="F2270"/>
  <c r="G2270" s="1"/>
  <c r="T2270"/>
  <c r="U2270"/>
  <c r="V2270"/>
  <c r="W2270" s="1"/>
  <c r="F2271"/>
  <c r="G2271" s="1"/>
  <c r="T2271"/>
  <c r="U2271"/>
  <c r="V2271"/>
  <c r="W2271" s="1"/>
  <c r="F2272"/>
  <c r="G2272" s="1"/>
  <c r="U2272"/>
  <c r="V2272"/>
  <c r="W2272" s="1"/>
  <c r="F2279"/>
  <c r="G2279" s="1"/>
  <c r="T2279"/>
  <c r="U2279"/>
  <c r="V2279"/>
  <c r="W2279" s="1"/>
  <c r="F2280"/>
  <c r="G2280" s="1"/>
  <c r="T2280"/>
  <c r="U2280"/>
  <c r="V2280"/>
  <c r="W2280" s="1"/>
  <c r="F2281"/>
  <c r="G2281" s="1"/>
  <c r="T2281"/>
  <c r="U2281"/>
  <c r="V2281"/>
  <c r="W2281" s="1"/>
  <c r="F2282"/>
  <c r="G2282" s="1"/>
  <c r="T2282"/>
  <c r="U2282"/>
  <c r="V2282"/>
  <c r="W2282" s="1"/>
  <c r="F2283"/>
  <c r="G2283" s="1"/>
  <c r="T2283"/>
  <c r="U2283"/>
  <c r="V2283"/>
  <c r="W2283" s="1"/>
  <c r="F2284"/>
  <c r="G2284" s="1"/>
  <c r="T2284"/>
  <c r="U2284"/>
  <c r="V2284"/>
  <c r="W2284" s="1"/>
  <c r="F2285"/>
  <c r="G2285" s="1"/>
  <c r="T2285"/>
  <c r="U2285"/>
  <c r="V2285"/>
  <c r="W2285" s="1"/>
  <c r="F2286"/>
  <c r="G2286" s="1"/>
  <c r="T2286"/>
  <c r="U2286"/>
  <c r="V2286"/>
  <c r="W2286" s="1"/>
  <c r="F2287"/>
  <c r="G2287" s="1"/>
  <c r="T2287"/>
  <c r="U2287"/>
  <c r="V2287"/>
  <c r="W2287" s="1"/>
  <c r="F2288"/>
  <c r="G2288" s="1"/>
  <c r="T2288"/>
  <c r="U2288"/>
  <c r="V2288"/>
  <c r="W2288" s="1"/>
  <c r="F2289"/>
  <c r="G2289" s="1"/>
  <c r="T2289"/>
  <c r="U2289"/>
  <c r="V2289"/>
  <c r="W2289" s="1"/>
  <c r="F2290"/>
  <c r="G2290" s="1"/>
  <c r="T2290"/>
  <c r="U2290"/>
  <c r="V2290"/>
  <c r="W2290" s="1"/>
  <c r="F2291"/>
  <c r="G2291" s="1"/>
  <c r="T2291"/>
  <c r="U2291"/>
  <c r="V2291"/>
  <c r="W2291" s="1"/>
  <c r="F2292"/>
  <c r="G2292" s="1"/>
  <c r="T2292"/>
  <c r="U2292"/>
  <c r="V2292"/>
  <c r="W2292" s="1"/>
  <c r="F2293"/>
  <c r="G2293" s="1"/>
  <c r="T2293"/>
  <c r="U2293"/>
  <c r="V2293"/>
  <c r="W2293" s="1"/>
  <c r="F2294"/>
  <c r="G2294" s="1"/>
  <c r="T2294"/>
  <c r="U2294"/>
  <c r="V2294"/>
  <c r="W2294" s="1"/>
  <c r="F2295"/>
  <c r="G2295" s="1"/>
  <c r="T2295"/>
  <c r="U2295"/>
  <c r="V2295"/>
  <c r="W2295" s="1"/>
  <c r="F2296"/>
  <c r="G2296" s="1"/>
  <c r="U2296"/>
  <c r="V2296"/>
  <c r="W2296" s="1"/>
  <c r="F2300"/>
  <c r="G2300" s="1"/>
  <c r="T2300"/>
  <c r="U2300"/>
  <c r="V2300"/>
  <c r="W2300" s="1"/>
  <c r="F2301"/>
  <c r="G2301" s="1"/>
  <c r="T2301"/>
  <c r="U2301"/>
  <c r="V2301"/>
  <c r="W2301" s="1"/>
  <c r="F2302"/>
  <c r="G2302" s="1"/>
  <c r="T2302"/>
  <c r="U2302"/>
  <c r="V2302"/>
  <c r="W2302" s="1"/>
  <c r="F2303"/>
  <c r="G2303" s="1"/>
  <c r="T2303"/>
  <c r="U2303"/>
  <c r="V2303"/>
  <c r="W2303" s="1"/>
  <c r="F2304"/>
  <c r="G2304" s="1"/>
  <c r="T2304"/>
  <c r="U2304"/>
  <c r="V2304"/>
  <c r="W2304" s="1"/>
  <c r="F2305"/>
  <c r="G2305" s="1"/>
  <c r="T2305"/>
  <c r="U2305"/>
  <c r="V2305"/>
  <c r="W2305" s="1"/>
  <c r="F2306"/>
  <c r="G2306" s="1"/>
  <c r="T2306"/>
  <c r="U2306"/>
  <c r="V2306"/>
  <c r="W2306" s="1"/>
  <c r="F2307"/>
  <c r="G2307" s="1"/>
  <c r="T2307"/>
  <c r="U2307"/>
  <c r="V2307"/>
  <c r="W2307" s="1"/>
  <c r="F2308"/>
  <c r="G2308" s="1"/>
  <c r="T2308"/>
  <c r="U2308"/>
  <c r="V2308"/>
  <c r="W2308" s="1"/>
  <c r="F2309"/>
  <c r="G2309" s="1"/>
  <c r="T2309"/>
  <c r="U2309"/>
  <c r="V2309"/>
  <c r="W2309" s="1"/>
  <c r="F2310"/>
  <c r="G2310" s="1"/>
  <c r="T2310"/>
  <c r="U2310"/>
  <c r="V2310"/>
  <c r="W2310" s="1"/>
  <c r="F2311"/>
  <c r="G2311" s="1"/>
  <c r="T2311"/>
  <c r="U2311"/>
  <c r="V2311"/>
  <c r="W2311" s="1"/>
  <c r="F2312"/>
  <c r="G2312" s="1"/>
  <c r="T2312"/>
  <c r="U2312"/>
  <c r="V2312"/>
  <c r="W2312" s="1"/>
  <c r="F2313"/>
  <c r="G2313" s="1"/>
  <c r="T2313"/>
  <c r="U2313"/>
  <c r="V2313"/>
  <c r="W2313" s="1"/>
  <c r="F2314"/>
  <c r="G2314" s="1"/>
  <c r="T2314"/>
  <c r="U2314"/>
  <c r="V2314"/>
  <c r="W2314" s="1"/>
  <c r="F2315"/>
  <c r="G2315" s="1"/>
  <c r="T2315"/>
  <c r="U2315"/>
  <c r="V2315"/>
  <c r="W2315" s="1"/>
  <c r="F2316"/>
  <c r="G2316" s="1"/>
  <c r="T2316"/>
  <c r="U2316"/>
  <c r="V2316"/>
  <c r="W2316" s="1"/>
  <c r="F2317"/>
  <c r="G2317" s="1"/>
  <c r="U2317"/>
  <c r="V2317"/>
  <c r="W2317" s="1"/>
  <c r="F1346"/>
  <c r="G1346" s="1"/>
  <c r="F1347"/>
  <c r="G1347" s="1"/>
  <c r="F1348"/>
  <c r="G1348" s="1"/>
  <c r="F1349"/>
  <c r="G1349" s="1"/>
  <c r="F1350"/>
  <c r="G1350" s="1"/>
  <c r="F1351"/>
  <c r="G1351" s="1"/>
  <c r="F1355"/>
  <c r="G1355" s="1"/>
  <c r="F1356"/>
  <c r="G1356" s="1"/>
  <c r="F1357"/>
  <c r="G1357" s="1"/>
  <c r="F1358"/>
  <c r="G1358" s="1"/>
  <c r="F1359"/>
  <c r="G1359" s="1"/>
  <c r="F1360"/>
  <c r="G1360" s="1"/>
  <c r="F1361"/>
  <c r="G1361" s="1"/>
  <c r="F1362"/>
  <c r="G1362" s="1"/>
  <c r="F1363"/>
  <c r="G1363" s="1"/>
  <c r="F1364"/>
  <c r="G1364" s="1"/>
  <c r="T1364"/>
  <c r="U1364"/>
  <c r="V1364"/>
  <c r="W1364" s="1"/>
  <c r="F1365"/>
  <c r="G1365" s="1"/>
  <c r="T1365"/>
  <c r="U1365"/>
  <c r="V1365"/>
  <c r="W1365" s="1"/>
  <c r="F1366"/>
  <c r="G1366" s="1"/>
  <c r="U1366"/>
  <c r="V1366"/>
  <c r="W1366" s="1"/>
  <c r="F1367"/>
  <c r="G1367" s="1"/>
  <c r="U1367"/>
  <c r="V1367"/>
  <c r="W1367" s="1"/>
  <c r="F1368"/>
  <c r="G1368" s="1"/>
  <c r="U1368"/>
  <c r="V1368"/>
  <c r="W1368" s="1"/>
  <c r="F1369"/>
  <c r="G1369" s="1"/>
  <c r="U1369"/>
  <c r="V1369"/>
  <c r="W1369" s="1"/>
  <c r="F1370"/>
  <c r="G1370" s="1"/>
  <c r="F122"/>
  <c r="G122" s="1"/>
  <c r="U122"/>
  <c r="V122"/>
  <c r="W122" s="1"/>
  <c r="F123"/>
  <c r="G123" s="1"/>
  <c r="U123"/>
  <c r="V123"/>
  <c r="W123" s="1"/>
  <c r="F124"/>
  <c r="G124" s="1"/>
  <c r="U124"/>
  <c r="V124"/>
  <c r="W124" s="1"/>
  <c r="F125"/>
  <c r="G125" s="1"/>
  <c r="U125"/>
  <c r="V125"/>
  <c r="W125" s="1"/>
  <c r="F126"/>
  <c r="G126" s="1"/>
  <c r="U126"/>
  <c r="V126"/>
  <c r="W126" s="1"/>
  <c r="F127"/>
  <c r="G127" s="1"/>
  <c r="F128"/>
  <c r="G128" s="1"/>
  <c r="F129"/>
  <c r="G129" s="1"/>
  <c r="F130"/>
  <c r="G130" s="1"/>
  <c r="T130"/>
  <c r="U130"/>
  <c r="V130"/>
  <c r="W130" s="1"/>
  <c r="F131"/>
  <c r="G131" s="1"/>
  <c r="T131"/>
  <c r="U131"/>
  <c r="V131"/>
  <c r="W131" s="1"/>
  <c r="F132"/>
  <c r="G132" s="1"/>
  <c r="T132"/>
  <c r="U132"/>
  <c r="V132"/>
  <c r="W132" s="1"/>
  <c r="F133"/>
  <c r="G133" s="1"/>
  <c r="T133"/>
  <c r="U133"/>
  <c r="V133"/>
  <c r="W133" s="1"/>
  <c r="F134"/>
  <c r="G134" s="1"/>
  <c r="T134"/>
  <c r="U134"/>
  <c r="V134"/>
  <c r="W134" s="1"/>
  <c r="F135"/>
  <c r="G135" s="1"/>
  <c r="F136"/>
  <c r="G136" s="1"/>
  <c r="F137"/>
  <c r="G137" s="1"/>
  <c r="F155"/>
  <c r="G155" s="1"/>
  <c r="T155"/>
  <c r="U155"/>
  <c r="V155"/>
  <c r="W155" s="1"/>
  <c r="F156"/>
  <c r="G156" s="1"/>
  <c r="T156"/>
  <c r="U156"/>
  <c r="V156"/>
  <c r="W156" s="1"/>
  <c r="F157"/>
  <c r="G157" s="1"/>
  <c r="T157"/>
  <c r="U157"/>
  <c r="V157"/>
  <c r="W157" s="1"/>
  <c r="F158"/>
  <c r="G158" s="1"/>
  <c r="U158"/>
  <c r="V158"/>
  <c r="W158" s="1"/>
  <c r="F159"/>
  <c r="G159" s="1"/>
  <c r="U159"/>
  <c r="V159"/>
  <c r="W159" s="1"/>
  <c r="F160"/>
  <c r="G160" s="1"/>
  <c r="U160"/>
  <c r="V160"/>
  <c r="W160" s="1"/>
  <c r="F161"/>
  <c r="G161" s="1"/>
  <c r="T161"/>
  <c r="U161"/>
  <c r="V161"/>
  <c r="W161" s="1"/>
  <c r="F162"/>
  <c r="G162" s="1"/>
  <c r="T162"/>
  <c r="U162"/>
  <c r="V162"/>
  <c r="W162" s="1"/>
  <c r="F163"/>
  <c r="G163" s="1"/>
  <c r="T163"/>
  <c r="U163"/>
  <c r="V163"/>
  <c r="W163" s="1"/>
  <c r="F164"/>
  <c r="G164" s="1"/>
  <c r="T164"/>
  <c r="U164"/>
  <c r="V164"/>
  <c r="W164" s="1"/>
  <c r="F165"/>
  <c r="G165" s="1"/>
  <c r="T165"/>
  <c r="U165"/>
  <c r="V165"/>
  <c r="W165" s="1"/>
  <c r="F166"/>
  <c r="G166" s="1"/>
  <c r="T166"/>
  <c r="U166"/>
  <c r="V166"/>
  <c r="W166" s="1"/>
  <c r="F167"/>
  <c r="G167" s="1"/>
  <c r="T167"/>
  <c r="U167"/>
  <c r="V167"/>
  <c r="W167" s="1"/>
  <c r="F168"/>
  <c r="G168" s="1"/>
  <c r="T168"/>
  <c r="U168"/>
  <c r="V168"/>
  <c r="W168" s="1"/>
  <c r="F169"/>
  <c r="G169" s="1"/>
  <c r="K169"/>
  <c r="T169" s="1"/>
  <c r="L169"/>
  <c r="U169" s="1"/>
  <c r="O169"/>
  <c r="V169" s="1"/>
  <c r="W169" s="1"/>
  <c r="F170"/>
  <c r="G170" s="1"/>
  <c r="T170"/>
  <c r="U170"/>
  <c r="V170"/>
  <c r="W170" s="1"/>
  <c r="F174"/>
  <c r="G174" s="1"/>
  <c r="U174"/>
  <c r="V174"/>
  <c r="W174" s="1"/>
  <c r="F175"/>
  <c r="G175" s="1"/>
  <c r="U175"/>
  <c r="V175"/>
  <c r="W175" s="1"/>
  <c r="F176"/>
  <c r="G176" s="1"/>
  <c r="T176"/>
  <c r="U176"/>
  <c r="V176"/>
  <c r="W176" s="1"/>
  <c r="F177"/>
  <c r="G177" s="1"/>
  <c r="T177"/>
  <c r="U177"/>
  <c r="V177"/>
  <c r="W177" s="1"/>
  <c r="F178"/>
  <c r="G178" s="1"/>
  <c r="T178"/>
  <c r="U178"/>
  <c r="V178"/>
  <c r="W178" s="1"/>
  <c r="F179"/>
  <c r="G179" s="1"/>
  <c r="T179"/>
  <c r="U179"/>
  <c r="V179"/>
  <c r="W179" s="1"/>
  <c r="F180"/>
  <c r="G180" s="1"/>
  <c r="T180"/>
  <c r="U180"/>
  <c r="V180"/>
  <c r="W180" s="1"/>
  <c r="F181"/>
  <c r="G181" s="1"/>
  <c r="T181"/>
  <c r="U181"/>
  <c r="V181"/>
  <c r="W181" s="1"/>
  <c r="F182"/>
  <c r="G182" s="1"/>
  <c r="T182"/>
  <c r="U182"/>
  <c r="V182"/>
  <c r="W182" s="1"/>
  <c r="F183"/>
  <c r="G183" s="1"/>
  <c r="T183"/>
  <c r="U183"/>
  <c r="V183"/>
  <c r="W183" s="1"/>
  <c r="F184"/>
  <c r="G184" s="1"/>
  <c r="T184"/>
  <c r="U184"/>
  <c r="V184"/>
  <c r="W184" s="1"/>
  <c r="F185"/>
  <c r="G185" s="1"/>
  <c r="T185"/>
  <c r="U185"/>
  <c r="V185"/>
  <c r="W185" s="1"/>
  <c r="F186"/>
  <c r="G186" s="1"/>
  <c r="T186"/>
  <c r="U186"/>
  <c r="V186"/>
  <c r="W186" s="1"/>
  <c r="F187"/>
  <c r="G187" s="1"/>
  <c r="U187"/>
  <c r="V187"/>
  <c r="W187" s="1"/>
  <c r="F188"/>
  <c r="G188" s="1"/>
  <c r="U188"/>
  <c r="V188"/>
  <c r="W188" s="1"/>
  <c r="F189"/>
  <c r="G189" s="1"/>
  <c r="U189"/>
  <c r="V189"/>
  <c r="W189" s="1"/>
  <c r="F190"/>
  <c r="G190" s="1"/>
  <c r="U190"/>
  <c r="V190"/>
  <c r="W190" s="1"/>
  <c r="F191"/>
  <c r="G191" s="1"/>
  <c r="U191"/>
  <c r="V191"/>
  <c r="W191" s="1"/>
  <c r="F192"/>
  <c r="G192" s="1"/>
  <c r="U192"/>
  <c r="V192"/>
  <c r="W192" s="1"/>
  <c r="F199"/>
  <c r="G199" s="1"/>
  <c r="F200"/>
  <c r="G200" s="1"/>
  <c r="T200"/>
  <c r="U200"/>
  <c r="V200"/>
  <c r="W200" s="1"/>
  <c r="F201"/>
  <c r="G201" s="1"/>
  <c r="T201"/>
  <c r="U201"/>
  <c r="V201"/>
  <c r="W201" s="1"/>
  <c r="F202"/>
  <c r="G202" s="1"/>
  <c r="T202"/>
  <c r="U202"/>
  <c r="V202"/>
  <c r="W202" s="1"/>
  <c r="F203"/>
  <c r="G203" s="1"/>
  <c r="T203"/>
  <c r="U203"/>
  <c r="V203"/>
  <c r="W203" s="1"/>
  <c r="F204"/>
  <c r="G204" s="1"/>
  <c r="T204"/>
  <c r="U204"/>
  <c r="V204"/>
  <c r="W204" s="1"/>
  <c r="F205"/>
  <c r="G205" s="1"/>
  <c r="T205"/>
  <c r="U205"/>
  <c r="V205"/>
  <c r="W205" s="1"/>
  <c r="F206"/>
  <c r="G206" s="1"/>
  <c r="T206"/>
  <c r="U206"/>
  <c r="V206"/>
  <c r="W206" s="1"/>
  <c r="F207"/>
  <c r="G207" s="1"/>
  <c r="U207"/>
  <c r="V207"/>
  <c r="W207" s="1"/>
  <c r="F225"/>
  <c r="G225" s="1"/>
  <c r="U225"/>
  <c r="V225"/>
  <c r="W225" s="1"/>
  <c r="F226"/>
  <c r="G226" s="1"/>
  <c r="T226"/>
  <c r="U226"/>
  <c r="V226"/>
  <c r="W226" s="1"/>
  <c r="F227"/>
  <c r="G227" s="1"/>
  <c r="T227"/>
  <c r="U227"/>
  <c r="V227"/>
  <c r="W227" s="1"/>
  <c r="F1142"/>
  <c r="G1142" s="1"/>
  <c r="F1143"/>
  <c r="G1143" s="1"/>
  <c r="F1144"/>
  <c r="G1144" s="1"/>
  <c r="F1145"/>
  <c r="G1145" s="1"/>
  <c r="F1146"/>
  <c r="G1146" s="1"/>
  <c r="F1147"/>
  <c r="G1147" s="1"/>
  <c r="F1148"/>
  <c r="G1148" s="1"/>
  <c r="F1149"/>
  <c r="G1149" s="1"/>
  <c r="F1150"/>
  <c r="G1150" s="1"/>
  <c r="F1151"/>
  <c r="G1151" s="1"/>
  <c r="F1152"/>
  <c r="G1152" s="1"/>
  <c r="F1153"/>
  <c r="G1153" s="1"/>
  <c r="F1154"/>
  <c r="G1154" s="1"/>
  <c r="F1155"/>
  <c r="G1155" s="1"/>
  <c r="F1156"/>
  <c r="G1156" s="1"/>
  <c r="F1157"/>
  <c r="G1157" s="1"/>
  <c r="F1162"/>
  <c r="G1162" s="1"/>
  <c r="F1163"/>
  <c r="G1163" s="1"/>
  <c r="T1163"/>
  <c r="U1163"/>
  <c r="V1163"/>
  <c r="W1163" s="1"/>
  <c r="F1164"/>
  <c r="G1164" s="1"/>
  <c r="T1164"/>
  <c r="U1164"/>
  <c r="V1164"/>
  <c r="W1164" s="1"/>
  <c r="F1165"/>
  <c r="G1165" s="1"/>
  <c r="K1165"/>
  <c r="T1165" s="1"/>
  <c r="L1165"/>
  <c r="U1165" s="1"/>
  <c r="O1165"/>
  <c r="V1165" s="1"/>
  <c r="W1165" s="1"/>
  <c r="F1166"/>
  <c r="G1166" s="1"/>
  <c r="T1166"/>
  <c r="U1166"/>
  <c r="V1166"/>
  <c r="W1166" s="1"/>
  <c r="F1167"/>
  <c r="G1167" s="1"/>
  <c r="T1167"/>
  <c r="U1167"/>
  <c r="V1167"/>
  <c r="W1167" s="1"/>
  <c r="F1168"/>
  <c r="G1168" s="1"/>
  <c r="K1168"/>
  <c r="T1168" s="1"/>
  <c r="L1168"/>
  <c r="U1168" s="1"/>
  <c r="O1168"/>
  <c r="V1168" s="1"/>
  <c r="W1168" s="1"/>
  <c r="F1169"/>
  <c r="G1169" s="1"/>
  <c r="T1169"/>
  <c r="U1169"/>
  <c r="V1169"/>
  <c r="W1169" s="1"/>
  <c r="F1170"/>
  <c r="G1170" s="1"/>
  <c r="T1170"/>
  <c r="U1170"/>
  <c r="V1170"/>
  <c r="W1170" s="1"/>
  <c r="F1171"/>
  <c r="G1171" s="1"/>
  <c r="K1171"/>
  <c r="T1171" s="1"/>
  <c r="L1171"/>
  <c r="U1171" s="1"/>
  <c r="O1171"/>
  <c r="V1171" s="1"/>
  <c r="W1171" s="1"/>
  <c r="F1172"/>
  <c r="G1172" s="1"/>
  <c r="T1172"/>
  <c r="U1172"/>
  <c r="V1172"/>
  <c r="W1172" s="1"/>
  <c r="F1173"/>
  <c r="G1173" s="1"/>
  <c r="F1174"/>
  <c r="G1174" s="1"/>
  <c r="F1175"/>
  <c r="G1175" s="1"/>
  <c r="F1176"/>
  <c r="G1176" s="1"/>
  <c r="T1176"/>
  <c r="U1176"/>
  <c r="V1176"/>
  <c r="W1176" s="1"/>
  <c r="F1177"/>
  <c r="G1177" s="1"/>
  <c r="K1177"/>
  <c r="T1177" s="1"/>
  <c r="L1177"/>
  <c r="U1177" s="1"/>
  <c r="O1177"/>
  <c r="V1177" s="1"/>
  <c r="W1177" s="1"/>
  <c r="F1178"/>
  <c r="G1178" s="1"/>
  <c r="T1178"/>
  <c r="U1178"/>
  <c r="V1178"/>
  <c r="W1178" s="1"/>
  <c r="F1179"/>
  <c r="G1179" s="1"/>
  <c r="U1179"/>
  <c r="V1179"/>
  <c r="W1179" s="1"/>
  <c r="F1189"/>
  <c r="G1189" s="1"/>
  <c r="U1189"/>
  <c r="V1189"/>
  <c r="W1189" s="1"/>
  <c r="F1190"/>
  <c r="G1190" s="1"/>
  <c r="U1190"/>
  <c r="V1190"/>
  <c r="W1190" s="1"/>
  <c r="F1191"/>
  <c r="G1191" s="1"/>
  <c r="U1191"/>
  <c r="V1191"/>
  <c r="W1191" s="1"/>
  <c r="F1192"/>
  <c r="G1192" s="1"/>
  <c r="T1192"/>
  <c r="U1192"/>
  <c r="V1192"/>
  <c r="W1192" s="1"/>
  <c r="F1193"/>
  <c r="G1193" s="1"/>
  <c r="T1193"/>
  <c r="U1193"/>
  <c r="V1193"/>
  <c r="W1193" s="1"/>
  <c r="F1194"/>
  <c r="G1194" s="1"/>
  <c r="T1194"/>
  <c r="U1194"/>
  <c r="V1194"/>
  <c r="W1194" s="1"/>
  <c r="F1195"/>
  <c r="G1195" s="1"/>
  <c r="T1195"/>
  <c r="U1195"/>
  <c r="V1195"/>
  <c r="W1195" s="1"/>
  <c r="F1196"/>
  <c r="G1196" s="1"/>
  <c r="T1196"/>
  <c r="U1196"/>
  <c r="V1196"/>
  <c r="W1196" s="1"/>
  <c r="F1197"/>
  <c r="G1197" s="1"/>
  <c r="K1197"/>
  <c r="T1197" s="1"/>
  <c r="L1197"/>
  <c r="U1197" s="1"/>
  <c r="O1197"/>
  <c r="V1197" s="1"/>
  <c r="W1197" s="1"/>
  <c r="F1198"/>
  <c r="G1198" s="1"/>
  <c r="T1198"/>
  <c r="U1198"/>
  <c r="V1198"/>
  <c r="W1198" s="1"/>
  <c r="F1199"/>
  <c r="G1199" s="1"/>
  <c r="T1199"/>
  <c r="U1199"/>
  <c r="V1199"/>
  <c r="W1199" s="1"/>
  <c r="F1200"/>
  <c r="G1200" s="1"/>
  <c r="T1200"/>
  <c r="U1200"/>
  <c r="V1200"/>
  <c r="W1200" s="1"/>
  <c r="F1201"/>
  <c r="G1201" s="1"/>
  <c r="T1201"/>
  <c r="U1201"/>
  <c r="V1201"/>
  <c r="W1201" s="1"/>
  <c r="F1202"/>
  <c r="G1202" s="1"/>
  <c r="T1202"/>
  <c r="U1202"/>
  <c r="V1202"/>
  <c r="W1202" s="1"/>
  <c r="F1203"/>
  <c r="G1203" s="1"/>
  <c r="T1203"/>
  <c r="U1203"/>
  <c r="V1203"/>
  <c r="W1203" s="1"/>
  <c r="F1204"/>
  <c r="G1204" s="1"/>
  <c r="T1204"/>
  <c r="U1204"/>
  <c r="V1204"/>
  <c r="W1204" s="1"/>
  <c r="F1205"/>
  <c r="G1205" s="1"/>
  <c r="T1205"/>
  <c r="U1205"/>
  <c r="V1205"/>
  <c r="W1205" s="1"/>
  <c r="F1206"/>
  <c r="G1206" s="1"/>
  <c r="T1206"/>
  <c r="U1206"/>
  <c r="V1206"/>
  <c r="W1206" s="1"/>
  <c r="F1207"/>
  <c r="G1207" s="1"/>
  <c r="T1207"/>
  <c r="U1207"/>
  <c r="V1207"/>
  <c r="W1207" s="1"/>
  <c r="F1208"/>
  <c r="G1208" s="1"/>
  <c r="T1208"/>
  <c r="U1208"/>
  <c r="V1208"/>
  <c r="W1208" s="1"/>
  <c r="F1209"/>
  <c r="G1209" s="1"/>
  <c r="T1209"/>
  <c r="U1209"/>
  <c r="V1209"/>
  <c r="W1209" s="1"/>
  <c r="F1210"/>
  <c r="G1210" s="1"/>
  <c r="T1210"/>
  <c r="U1210"/>
  <c r="V1210"/>
  <c r="W1210" s="1"/>
  <c r="F1211"/>
  <c r="G1211" s="1"/>
  <c r="T1211"/>
  <c r="U1211"/>
  <c r="V1211"/>
  <c r="W1211" s="1"/>
  <c r="F1221"/>
  <c r="G1221" s="1"/>
  <c r="U1221"/>
  <c r="V1221"/>
  <c r="W1221" s="1"/>
  <c r="F1222"/>
  <c r="G1222" s="1"/>
  <c r="T1222"/>
  <c r="U1222"/>
  <c r="V1222"/>
  <c r="W1222" s="1"/>
  <c r="F1223"/>
  <c r="G1223" s="1"/>
  <c r="T1223"/>
  <c r="U1223"/>
  <c r="V1223"/>
  <c r="W1223" s="1"/>
  <c r="F1224"/>
  <c r="G1224" s="1"/>
  <c r="T1224"/>
  <c r="U1224"/>
  <c r="V1224"/>
  <c r="W1224" s="1"/>
  <c r="F1225"/>
  <c r="G1225" s="1"/>
  <c r="T1225"/>
  <c r="U1225"/>
  <c r="V1225"/>
  <c r="W1225" s="1"/>
  <c r="F1226"/>
  <c r="G1226" s="1"/>
  <c r="T1226"/>
  <c r="U1226"/>
  <c r="V1226"/>
  <c r="W1226" s="1"/>
  <c r="F1227"/>
  <c r="G1227" s="1"/>
  <c r="T1227"/>
  <c r="U1227"/>
  <c r="V1227"/>
  <c r="W1227" s="1"/>
  <c r="F1228"/>
  <c r="G1228" s="1"/>
  <c r="T1228"/>
  <c r="U1228"/>
  <c r="V1228"/>
  <c r="W1228" s="1"/>
  <c r="F1229"/>
  <c r="G1229" s="1"/>
  <c r="T1229"/>
  <c r="U1229"/>
  <c r="V1229"/>
  <c r="W1229" s="1"/>
  <c r="F1230"/>
  <c r="G1230" s="1"/>
  <c r="T1230"/>
  <c r="U1230"/>
  <c r="V1230"/>
  <c r="W1230" s="1"/>
  <c r="F1231"/>
  <c r="G1231" s="1"/>
  <c r="T1231"/>
  <c r="U1231"/>
  <c r="V1231"/>
  <c r="W1231" s="1"/>
  <c r="F1232"/>
  <c r="G1232" s="1"/>
  <c r="T1232"/>
  <c r="U1232"/>
  <c r="V1232"/>
  <c r="W1232" s="1"/>
  <c r="F1233"/>
  <c r="G1233" s="1"/>
  <c r="T1233"/>
  <c r="U1233"/>
  <c r="V1233"/>
  <c r="W1233" s="1"/>
  <c r="F1234"/>
  <c r="G1234" s="1"/>
  <c r="T1234"/>
  <c r="U1234"/>
  <c r="V1234"/>
  <c r="W1234" s="1"/>
  <c r="F1235"/>
  <c r="G1235" s="1"/>
  <c r="T1235"/>
  <c r="U1235"/>
  <c r="V1235"/>
  <c r="W1235" s="1"/>
  <c r="F1236"/>
  <c r="G1236" s="1"/>
  <c r="T1236"/>
  <c r="U1236"/>
  <c r="V1236"/>
  <c r="W1236" s="1"/>
  <c r="F1237"/>
  <c r="G1237" s="1"/>
  <c r="T1237"/>
  <c r="U1237"/>
  <c r="V1237"/>
  <c r="W1237" s="1"/>
  <c r="F1238"/>
  <c r="G1238" s="1"/>
  <c r="T1238"/>
  <c r="U1238"/>
  <c r="V1238"/>
  <c r="W1238" s="1"/>
  <c r="F739"/>
  <c r="G739" s="1"/>
  <c r="F740"/>
  <c r="G740" s="1"/>
  <c r="F741"/>
  <c r="G741" s="1"/>
  <c r="F742"/>
  <c r="G742" s="1"/>
  <c r="F743"/>
  <c r="G743" s="1"/>
  <c r="F744"/>
  <c r="G744" s="1"/>
  <c r="U1786"/>
  <c r="J221" i="4"/>
  <c r="H221"/>
  <c r="P216"/>
  <c r="F219"/>
  <c r="F218"/>
  <c r="D220"/>
  <c r="D196"/>
  <c r="F196"/>
  <c r="F195"/>
  <c r="H196"/>
  <c r="J196"/>
  <c r="J195"/>
  <c r="L196"/>
  <c r="N196"/>
  <c r="N194"/>
  <c r="H149"/>
  <c r="F148"/>
  <c r="P148" s="1"/>
  <c r="F147"/>
  <c r="D149"/>
  <c r="D147"/>
  <c r="P98"/>
  <c r="F102"/>
  <c r="F99"/>
  <c r="F100"/>
  <c r="AH16" i="12"/>
  <c r="AH28"/>
  <c r="AD8"/>
  <c r="AH11"/>
  <c r="AH12"/>
  <c r="AE31"/>
  <c r="AH31"/>
  <c r="AD17"/>
  <c r="AD26"/>
  <c r="AD23"/>
  <c r="AE22"/>
  <c r="AD22"/>
  <c r="AH17"/>
  <c r="AH25"/>
  <c r="AH15"/>
  <c r="AE10"/>
  <c r="AE12"/>
  <c r="AH27"/>
  <c r="AD12"/>
  <c r="AE27"/>
  <c r="AE18"/>
  <c r="AE14"/>
  <c r="AD10"/>
  <c r="AE28"/>
  <c r="AE16"/>
  <c r="AH29"/>
  <c r="AD31"/>
  <c r="AE11"/>
  <c r="AH22"/>
  <c r="AH26"/>
  <c r="AE15"/>
  <c r="AD9"/>
  <c r="AE8"/>
  <c r="AH10"/>
  <c r="AD14"/>
  <c r="AE30"/>
  <c r="AD29"/>
  <c r="AE24"/>
  <c r="AH24"/>
  <c r="AE9"/>
  <c r="AD11"/>
  <c r="AD18"/>
  <c r="AH30"/>
  <c r="AH9"/>
  <c r="AD15"/>
  <c r="AE25"/>
  <c r="AH14"/>
  <c r="AD24"/>
  <c r="AH18"/>
  <c r="AD27"/>
  <c r="AH8"/>
  <c r="AH23"/>
  <c r="AE23"/>
  <c r="AD25"/>
  <c r="AE29"/>
  <c r="AD28"/>
  <c r="AD30"/>
  <c r="AE26"/>
  <c r="AE17"/>
  <c r="AD16"/>
  <c r="AE6" i="4"/>
  <c r="AE7"/>
  <c r="AE34"/>
  <c r="AE5"/>
  <c r="AE36"/>
  <c r="AE19"/>
  <c r="AE33"/>
  <c r="AE16"/>
  <c r="AE30"/>
  <c r="AE35"/>
  <c r="AE32"/>
  <c r="AE29"/>
  <c r="AE8"/>
  <c r="AE21"/>
  <c r="AE31"/>
  <c r="AE20"/>
  <c r="AE22"/>
  <c r="AE17"/>
  <c r="AE18"/>
  <c r="V236" i="1" l="1"/>
  <c r="W236" s="1"/>
  <c r="Q149" i="4"/>
  <c r="R149"/>
  <c r="Q196"/>
  <c r="R196"/>
  <c r="Q148"/>
  <c r="R148"/>
  <c r="Q100"/>
  <c r="R100"/>
  <c r="P147"/>
  <c r="W101" s="1"/>
  <c r="Q147"/>
  <c r="R147"/>
  <c r="Q245"/>
  <c r="R245"/>
  <c r="Q219"/>
  <c r="R219"/>
  <c r="Q194"/>
  <c r="R194"/>
  <c r="Q173"/>
  <c r="R173"/>
  <c r="Q172"/>
  <c r="R172"/>
  <c r="Q171"/>
  <c r="R171"/>
  <c r="Q170"/>
  <c r="R170"/>
  <c r="L315"/>
  <c r="L314"/>
  <c r="D315"/>
  <c r="D314"/>
  <c r="J316"/>
  <c r="J314"/>
  <c r="F316"/>
  <c r="F314"/>
  <c r="P170"/>
  <c r="AF8"/>
  <c r="AF7"/>
  <c r="AF6"/>
  <c r="AF36"/>
  <c r="AF35"/>
  <c r="AF30" i="12"/>
  <c r="AF27"/>
  <c r="AF23"/>
  <c r="AF31"/>
  <c r="AF29"/>
  <c r="AF28"/>
  <c r="AF26"/>
  <c r="AF25"/>
  <c r="AF24"/>
  <c r="AF22"/>
  <c r="AJ26"/>
  <c r="AI12"/>
  <c r="AI23"/>
  <c r="AJ31"/>
  <c r="AI28"/>
  <c r="AI10"/>
  <c r="AJ14"/>
  <c r="AJ12"/>
  <c r="AI26"/>
  <c r="AI27"/>
  <c r="AI11"/>
  <c r="AI16"/>
  <c r="AJ17"/>
  <c r="AJ11"/>
  <c r="AI24"/>
  <c r="AI25"/>
  <c r="AJ10"/>
  <c r="AI14"/>
  <c r="AI17"/>
  <c r="AJ8"/>
  <c r="AJ23"/>
  <c r="AJ27"/>
  <c r="AJ22"/>
  <c r="AI15"/>
  <c r="AI30"/>
  <c r="AJ29"/>
  <c r="AI18"/>
  <c r="AI8"/>
  <c r="AJ25"/>
  <c r="AJ9"/>
  <c r="AJ30"/>
  <c r="AI31"/>
  <c r="AJ28"/>
  <c r="AJ16"/>
  <c r="AI29"/>
  <c r="AJ24"/>
  <c r="AI22"/>
  <c r="AI9"/>
  <c r="AJ15"/>
  <c r="AJ18"/>
  <c r="H124" i="4"/>
  <c r="AF16" i="12"/>
  <c r="AF12"/>
  <c r="AF14"/>
  <c r="AF8"/>
  <c r="AF17"/>
  <c r="AF18"/>
  <c r="AF11"/>
  <c r="AF10"/>
  <c r="AF15"/>
  <c r="AF9"/>
  <c r="T70" i="1"/>
  <c r="K2509"/>
  <c r="K2510" s="1"/>
  <c r="K2511" s="1"/>
  <c r="V26"/>
  <c r="W26" s="1"/>
  <c r="O2509"/>
  <c r="O2510" s="1"/>
  <c r="O2511" s="1"/>
  <c r="U70"/>
  <c r="L2509"/>
  <c r="L2511" s="1"/>
  <c r="T236"/>
  <c r="H646" i="4"/>
  <c r="D646"/>
  <c r="N390"/>
  <c r="D392"/>
  <c r="H392"/>
  <c r="L461"/>
  <c r="J392"/>
  <c r="J649"/>
  <c r="N461"/>
  <c r="L648"/>
  <c r="N507"/>
  <c r="N391"/>
  <c r="L392"/>
  <c r="L649"/>
  <c r="H461"/>
  <c r="N392"/>
  <c r="F649"/>
  <c r="J461"/>
  <c r="J341"/>
  <c r="L437"/>
  <c r="H436"/>
  <c r="L625"/>
  <c r="H625"/>
  <c r="L576"/>
  <c r="H576"/>
  <c r="P576" s="1"/>
  <c r="P552"/>
  <c r="F527"/>
  <c r="H527"/>
  <c r="J527"/>
  <c r="J503"/>
  <c r="N503"/>
  <c r="P503" s="1"/>
  <c r="H460"/>
  <c r="N434"/>
  <c r="L434"/>
  <c r="J434"/>
  <c r="P434" s="1"/>
  <c r="P623"/>
  <c r="W398" s="1"/>
  <c r="J646"/>
  <c r="F646"/>
  <c r="P645"/>
  <c r="D625"/>
  <c r="J624"/>
  <c r="F624"/>
  <c r="J603"/>
  <c r="J600"/>
  <c r="F600"/>
  <c r="P599"/>
  <c r="P622"/>
  <c r="P575"/>
  <c r="P551"/>
  <c r="P526"/>
  <c r="J317"/>
  <c r="F317"/>
  <c r="Q317" s="1"/>
  <c r="L340"/>
  <c r="L318"/>
  <c r="L316"/>
  <c r="D316"/>
  <c r="D294"/>
  <c r="L125"/>
  <c r="L579"/>
  <c r="H579"/>
  <c r="D579"/>
  <c r="J556"/>
  <c r="J555"/>
  <c r="L554"/>
  <c r="H554"/>
  <c r="D554"/>
  <c r="J507"/>
  <c r="F507"/>
  <c r="L390"/>
  <c r="J361"/>
  <c r="H292"/>
  <c r="L123"/>
  <c r="L647"/>
  <c r="H647"/>
  <c r="D647"/>
  <c r="L626"/>
  <c r="H626"/>
  <c r="D626"/>
  <c r="L603"/>
  <c r="H603"/>
  <c r="D603"/>
  <c r="D577"/>
  <c r="J531"/>
  <c r="F531"/>
  <c r="J529"/>
  <c r="F529"/>
  <c r="H483"/>
  <c r="L482"/>
  <c r="D482"/>
  <c r="H481"/>
  <c r="H437"/>
  <c r="L436"/>
  <c r="D436"/>
  <c r="H435"/>
  <c r="H391"/>
  <c r="L389"/>
  <c r="D389"/>
  <c r="H388"/>
  <c r="H125"/>
  <c r="D102"/>
  <c r="D99"/>
  <c r="P149"/>
  <c r="J294"/>
  <c r="F294"/>
  <c r="L341"/>
  <c r="H341"/>
  <c r="D341"/>
  <c r="L294"/>
  <c r="L101"/>
  <c r="H101"/>
  <c r="P99"/>
  <c r="W99" s="1"/>
  <c r="D364"/>
  <c r="P360"/>
  <c r="F365"/>
  <c r="L363"/>
  <c r="H363"/>
  <c r="D363"/>
  <c r="L361"/>
  <c r="H361"/>
  <c r="D361"/>
  <c r="J340"/>
  <c r="F340"/>
  <c r="R340" s="1"/>
  <c r="L339"/>
  <c r="H339"/>
  <c r="D339"/>
  <c r="J338"/>
  <c r="F338"/>
  <c r="R338" s="1"/>
  <c r="F341"/>
  <c r="J315"/>
  <c r="F315"/>
  <c r="H294"/>
  <c r="L292"/>
  <c r="L293"/>
  <c r="H293"/>
  <c r="D293"/>
  <c r="J292"/>
  <c r="F292"/>
  <c r="Q292" s="1"/>
  <c r="H291"/>
  <c r="J268"/>
  <c r="H243"/>
  <c r="D243"/>
  <c r="F242"/>
  <c r="Q242" s="1"/>
  <c r="P221"/>
  <c r="H220"/>
  <c r="P220" s="1"/>
  <c r="D218"/>
  <c r="P196"/>
  <c r="P194"/>
  <c r="H195"/>
  <c r="D195"/>
  <c r="P145"/>
  <c r="P122"/>
  <c r="N125"/>
  <c r="J125"/>
  <c r="F125"/>
  <c r="Q125" s="1"/>
  <c r="N124"/>
  <c r="J124"/>
  <c r="F124"/>
  <c r="R124" s="1"/>
  <c r="N123"/>
  <c r="J123"/>
  <c r="F123"/>
  <c r="R123" s="1"/>
  <c r="P193"/>
  <c r="F578"/>
  <c r="F553"/>
  <c r="J530"/>
  <c r="L528"/>
  <c r="H528"/>
  <c r="L362"/>
  <c r="H362"/>
  <c r="D362"/>
  <c r="P337"/>
  <c r="J318"/>
  <c r="F318"/>
  <c r="R318" s="1"/>
  <c r="J269"/>
  <c r="J267"/>
  <c r="L246"/>
  <c r="H246"/>
  <c r="D246"/>
  <c r="L244"/>
  <c r="H244"/>
  <c r="D244"/>
  <c r="P173"/>
  <c r="D290"/>
  <c r="P289"/>
  <c r="L624"/>
  <c r="H624"/>
  <c r="D624"/>
  <c r="L601"/>
  <c r="H601"/>
  <c r="D601"/>
  <c r="L580"/>
  <c r="H580"/>
  <c r="D580"/>
  <c r="P317"/>
  <c r="P245"/>
  <c r="L243"/>
  <c r="L242"/>
  <c r="H242"/>
  <c r="D266"/>
  <c r="P265"/>
  <c r="D241"/>
  <c r="P240"/>
  <c r="J648"/>
  <c r="F648"/>
  <c r="J625"/>
  <c r="F625"/>
  <c r="J602"/>
  <c r="F602"/>
  <c r="L556"/>
  <c r="H556"/>
  <c r="D556"/>
  <c r="L529"/>
  <c r="P316"/>
  <c r="P313"/>
  <c r="P244"/>
  <c r="L267"/>
  <c r="L266"/>
  <c r="H267"/>
  <c r="H266"/>
  <c r="L578"/>
  <c r="H578"/>
  <c r="D578"/>
  <c r="L555"/>
  <c r="H555"/>
  <c r="D555"/>
  <c r="L553"/>
  <c r="H553"/>
  <c r="D553"/>
  <c r="N506"/>
  <c r="J506"/>
  <c r="F506"/>
  <c r="N505"/>
  <c r="J505"/>
  <c r="F505"/>
  <c r="N460"/>
  <c r="J460"/>
  <c r="F460"/>
  <c r="N459"/>
  <c r="J459"/>
  <c r="F459"/>
  <c r="J413"/>
  <c r="F413"/>
  <c r="N412"/>
  <c r="J412"/>
  <c r="F412"/>
  <c r="L270"/>
  <c r="H270"/>
  <c r="D270"/>
  <c r="P124"/>
  <c r="L290"/>
  <c r="J295"/>
  <c r="J290"/>
  <c r="F295"/>
  <c r="F290"/>
  <c r="P649"/>
  <c r="F626"/>
  <c r="F603"/>
  <c r="F580"/>
  <c r="N483"/>
  <c r="J483"/>
  <c r="F483"/>
  <c r="N482"/>
  <c r="J482"/>
  <c r="F482"/>
  <c r="N437"/>
  <c r="J437"/>
  <c r="F437"/>
  <c r="N436"/>
  <c r="J436"/>
  <c r="F436"/>
  <c r="P390"/>
  <c r="J391"/>
  <c r="F391"/>
  <c r="L365"/>
  <c r="H365"/>
  <c r="D365"/>
  <c r="D291"/>
  <c r="L268"/>
  <c r="H268"/>
  <c r="D268"/>
  <c r="J270"/>
  <c r="F270"/>
  <c r="P195"/>
  <c r="P171"/>
  <c r="P169"/>
  <c r="AG23" i="12"/>
  <c r="AG14" s="1"/>
  <c r="AG26"/>
  <c r="AG10" s="1"/>
  <c r="AG24"/>
  <c r="AG9" s="1"/>
  <c r="AG27"/>
  <c r="AG16" s="1"/>
  <c r="AG30"/>
  <c r="AG12" s="1"/>
  <c r="AG25"/>
  <c r="AG15" s="1"/>
  <c r="AG28"/>
  <c r="AG11" s="1"/>
  <c r="AG29"/>
  <c r="AG17" s="1"/>
  <c r="AG31"/>
  <c r="AG18" s="1"/>
  <c r="AG22"/>
  <c r="AG8" s="1"/>
  <c r="P505" i="4"/>
  <c r="P483"/>
  <c r="P502"/>
  <c r="P480"/>
  <c r="P457"/>
  <c r="P433"/>
  <c r="P410"/>
  <c r="P387"/>
  <c r="N221"/>
  <c r="Q221" s="1"/>
  <c r="P172"/>
  <c r="P100"/>
  <c r="F175"/>
  <c r="J175"/>
  <c r="H197"/>
  <c r="L197"/>
  <c r="F222"/>
  <c r="J222"/>
  <c r="N222"/>
  <c r="D295"/>
  <c r="H295"/>
  <c r="L295"/>
  <c r="F146"/>
  <c r="J146"/>
  <c r="N146"/>
  <c r="D174"/>
  <c r="H174"/>
  <c r="L174"/>
  <c r="D103"/>
  <c r="H103"/>
  <c r="L103"/>
  <c r="L532"/>
  <c r="H532"/>
  <c r="D532"/>
  <c r="L530"/>
  <c r="H530"/>
  <c r="D530"/>
  <c r="D528"/>
  <c r="P528" s="1"/>
  <c r="J291"/>
  <c r="F291"/>
  <c r="L269"/>
  <c r="H269"/>
  <c r="D269"/>
  <c r="D267"/>
  <c r="P219"/>
  <c r="N102"/>
  <c r="F101"/>
  <c r="P101" s="1"/>
  <c r="D175"/>
  <c r="H175"/>
  <c r="L175"/>
  <c r="F197"/>
  <c r="Q197" s="1"/>
  <c r="J197"/>
  <c r="N197"/>
  <c r="D222"/>
  <c r="H222"/>
  <c r="L222"/>
  <c r="D146"/>
  <c r="H146"/>
  <c r="L146"/>
  <c r="F174"/>
  <c r="J174"/>
  <c r="N174"/>
  <c r="F103"/>
  <c r="J103"/>
  <c r="N103"/>
  <c r="F504"/>
  <c r="P504" s="1"/>
  <c r="W393" s="1"/>
  <c r="F481"/>
  <c r="P481" s="1"/>
  <c r="W392" s="1"/>
  <c r="F458"/>
  <c r="P458" s="1"/>
  <c r="F435"/>
  <c r="P435" s="1"/>
  <c r="W390" s="1"/>
  <c r="N413"/>
  <c r="F411"/>
  <c r="P411" s="1"/>
  <c r="W389" s="1"/>
  <c r="N389"/>
  <c r="J389"/>
  <c r="F389"/>
  <c r="F388"/>
  <c r="P388" s="1"/>
  <c r="W388" s="1"/>
  <c r="N175"/>
  <c r="H217"/>
  <c r="P217" s="1"/>
  <c r="U1784" i="1"/>
  <c r="T963"/>
  <c r="V1786"/>
  <c r="W1786" s="1"/>
  <c r="T1786"/>
  <c r="V963"/>
  <c r="W963" s="1"/>
  <c r="T1784"/>
  <c r="U963"/>
  <c r="V1784"/>
  <c r="W1784" s="1"/>
  <c r="AA31" i="4"/>
  <c r="AA5"/>
  <c r="AA16"/>
  <c r="AB28"/>
  <c r="AA7"/>
  <c r="AA34"/>
  <c r="AA18"/>
  <c r="AA32"/>
  <c r="AB5"/>
  <c r="AB19"/>
  <c r="AB30"/>
  <c r="AH28"/>
  <c r="AI27"/>
  <c r="AB18"/>
  <c r="AI28"/>
  <c r="AH23"/>
  <c r="AB20"/>
  <c r="AB31"/>
  <c r="AB29"/>
  <c r="Q146" l="1"/>
  <c r="R146"/>
  <c r="Q269"/>
  <c r="R269"/>
  <c r="Q103"/>
  <c r="R103"/>
  <c r="Q291"/>
  <c r="R291"/>
  <c r="P241"/>
  <c r="Q241"/>
  <c r="R241"/>
  <c r="Q266"/>
  <c r="R266"/>
  <c r="Q290"/>
  <c r="R290"/>
  <c r="Q244"/>
  <c r="R244"/>
  <c r="Q361"/>
  <c r="R361"/>
  <c r="P364"/>
  <c r="Q364"/>
  <c r="R364"/>
  <c r="P102"/>
  <c r="Q102"/>
  <c r="R102"/>
  <c r="Q316"/>
  <c r="R316"/>
  <c r="Q314"/>
  <c r="R314"/>
  <c r="R125"/>
  <c r="R197"/>
  <c r="R217"/>
  <c r="R221"/>
  <c r="R242"/>
  <c r="R292"/>
  <c r="R317"/>
  <c r="R220"/>
  <c r="Q101"/>
  <c r="Q124"/>
  <c r="Q123"/>
  <c r="Q318"/>
  <c r="Q338"/>
  <c r="Q340"/>
  <c r="Q222"/>
  <c r="R222"/>
  <c r="Q175"/>
  <c r="R175"/>
  <c r="P267"/>
  <c r="Q267"/>
  <c r="R267"/>
  <c r="Q174"/>
  <c r="R174"/>
  <c r="Q295"/>
  <c r="R295"/>
  <c r="Q268"/>
  <c r="R268"/>
  <c r="Q365"/>
  <c r="R365"/>
  <c r="Q270"/>
  <c r="R270"/>
  <c r="Q246"/>
  <c r="R246"/>
  <c r="Q362"/>
  <c r="R362"/>
  <c r="Q195"/>
  <c r="R195"/>
  <c r="P218"/>
  <c r="Q218"/>
  <c r="R218"/>
  <c r="Q243"/>
  <c r="R243"/>
  <c r="Q293"/>
  <c r="R293"/>
  <c r="Q339"/>
  <c r="R339"/>
  <c r="Q363"/>
  <c r="R363"/>
  <c r="Q341"/>
  <c r="R341"/>
  <c r="Q99"/>
  <c r="R99"/>
  <c r="Q294"/>
  <c r="R294"/>
  <c r="Q315"/>
  <c r="R315"/>
  <c r="Q217"/>
  <c r="Q220"/>
  <c r="R101"/>
  <c r="W103"/>
  <c r="W104"/>
  <c r="P294"/>
  <c r="P600"/>
  <c r="P646"/>
  <c r="W399" s="1"/>
  <c r="P314"/>
  <c r="AF5"/>
  <c r="P459"/>
  <c r="P553"/>
  <c r="P578"/>
  <c r="P602"/>
  <c r="P648"/>
  <c r="P243"/>
  <c r="P125"/>
  <c r="AG28"/>
  <c r="E8" i="29" s="1"/>
  <c r="E30" s="1"/>
  <c r="P532" i="4"/>
  <c r="P461"/>
  <c r="P391"/>
  <c r="P460"/>
  <c r="P507"/>
  <c r="P242"/>
  <c r="P601"/>
  <c r="P531"/>
  <c r="P392"/>
  <c r="P246"/>
  <c r="P527"/>
  <c r="P554"/>
  <c r="P529"/>
  <c r="P577"/>
  <c r="W396" s="1"/>
  <c r="W397"/>
  <c r="P318"/>
  <c r="P362"/>
  <c r="P626"/>
  <c r="P530"/>
  <c r="P555"/>
  <c r="P556"/>
  <c r="P580"/>
  <c r="P624"/>
  <c r="P292"/>
  <c r="P293"/>
  <c r="P603"/>
  <c r="P647"/>
  <c r="P579"/>
  <c r="P625"/>
  <c r="W395"/>
  <c r="P315"/>
  <c r="P339"/>
  <c r="P340"/>
  <c r="P437"/>
  <c r="P412"/>
  <c r="P506"/>
  <c r="P341"/>
  <c r="P338"/>
  <c r="P436"/>
  <c r="P482"/>
  <c r="P365"/>
  <c r="P361"/>
  <c r="W110" s="1"/>
  <c r="P363"/>
  <c r="P123"/>
  <c r="W100" s="1"/>
  <c r="P175"/>
  <c r="P413"/>
  <c r="P146"/>
  <c r="W394"/>
  <c r="W105"/>
  <c r="P269"/>
  <c r="P268"/>
  <c r="P270"/>
  <c r="P266"/>
  <c r="P290"/>
  <c r="P295"/>
  <c r="P291"/>
  <c r="W107" s="1"/>
  <c r="W102"/>
  <c r="P197"/>
  <c r="W106"/>
  <c r="P389"/>
  <c r="P174"/>
  <c r="P222"/>
  <c r="P103"/>
  <c r="W391"/>
  <c r="AA35"/>
  <c r="AA23"/>
  <c r="AA22"/>
  <c r="AA36"/>
  <c r="AA29"/>
  <c r="AB26"/>
  <c r="AB27"/>
  <c r="AA9"/>
  <c r="AA20"/>
  <c r="AA21"/>
  <c r="AA37"/>
  <c r="AB25"/>
  <c r="AA28"/>
  <c r="AA8"/>
  <c r="AA19"/>
  <c r="AA24"/>
  <c r="AA27"/>
  <c r="AB23"/>
  <c r="AB9"/>
  <c r="AA17"/>
  <c r="AA25"/>
  <c r="AA33"/>
  <c r="AA26"/>
  <c r="AB24"/>
  <c r="AH27"/>
  <c r="AB16"/>
  <c r="AH37"/>
  <c r="AI36"/>
  <c r="AH8"/>
  <c r="AB6"/>
  <c r="AB17"/>
  <c r="AI35"/>
  <c r="AB34"/>
  <c r="AI23"/>
  <c r="AH6"/>
  <c r="AI7"/>
  <c r="AH24"/>
  <c r="AH26"/>
  <c r="AI25"/>
  <c r="AI24"/>
  <c r="AH9"/>
  <c r="AI6"/>
  <c r="AH25"/>
  <c r="AB7"/>
  <c r="AB35"/>
  <c r="AB33"/>
  <c r="AH7"/>
  <c r="AB22"/>
  <c r="AB21"/>
  <c r="AI9"/>
  <c r="AI8"/>
  <c r="AH35"/>
  <c r="AH36"/>
  <c r="AB37"/>
  <c r="AI26"/>
  <c r="AI37"/>
  <c r="AG7" l="1"/>
  <c r="W109"/>
  <c r="B8" i="23"/>
  <c r="AG27" i="4"/>
  <c r="AG9"/>
  <c r="AG23"/>
  <c r="AG25"/>
  <c r="AG6"/>
  <c r="AG26"/>
  <c r="AG24"/>
  <c r="AG35"/>
  <c r="AG5"/>
  <c r="AG37"/>
  <c r="W108"/>
  <c r="AA6"/>
  <c r="AA30"/>
  <c r="AH5"/>
  <c r="AB32"/>
  <c r="AI5"/>
  <c r="AB8"/>
  <c r="AB36"/>
  <c r="F6" i="29" l="1"/>
  <c r="F29" s="1"/>
  <c r="AG8" i="4"/>
  <c r="AG36"/>
  <c r="L16" i="21"/>
  <c r="C17"/>
  <c r="I16"/>
  <c r="C6" i="23"/>
  <c r="AA123" i="4"/>
  <c r="AA122"/>
  <c r="U10" i="21" l="1"/>
  <c r="N16"/>
  <c r="O16" s="1"/>
  <c r="AA124" i="4"/>
  <c r="M21" i="18"/>
  <c r="M34"/>
  <c r="M41"/>
  <c r="M28"/>
  <c r="M47"/>
  <c r="M26"/>
  <c r="M24"/>
  <c r="M49"/>
  <c r="M30"/>
  <c r="M35"/>
  <c r="M32"/>
  <c r="M36"/>
  <c r="M22"/>
  <c r="M45"/>
  <c r="M48"/>
  <c r="M29"/>
  <c r="M44"/>
  <c r="M31"/>
  <c r="M39"/>
  <c r="M42"/>
  <c r="M27"/>
  <c r="M25"/>
  <c r="M37"/>
  <c r="M40"/>
  <c r="M23"/>
  <c r="M46"/>
  <c r="M43"/>
  <c r="M33"/>
  <c r="M38"/>
  <c r="S21"/>
  <c r="S34"/>
  <c r="S48"/>
  <c r="S32"/>
  <c r="S47"/>
  <c r="S22"/>
  <c r="S41"/>
  <c r="S35"/>
  <c r="S42"/>
  <c r="S39"/>
  <c r="S44"/>
  <c r="S36"/>
  <c r="S27"/>
  <c r="S46"/>
  <c r="S26"/>
  <c r="S40"/>
  <c r="S33"/>
  <c r="S23"/>
  <c r="S28"/>
  <c r="S45"/>
  <c r="S38"/>
  <c r="S30"/>
  <c r="S29"/>
  <c r="S24"/>
  <c r="S25"/>
  <c r="S31"/>
  <c r="S43"/>
  <c r="S49"/>
  <c r="S37"/>
  <c r="AF32" i="4" l="1"/>
  <c r="AF21"/>
  <c r="AF34"/>
  <c r="AF19"/>
  <c r="AF31"/>
  <c r="AF33"/>
  <c r="AF22"/>
  <c r="AF30"/>
  <c r="AF20"/>
  <c r="AF29"/>
  <c r="AB123"/>
  <c r="AB122"/>
  <c r="AF16"/>
  <c r="AF18"/>
  <c r="AF17"/>
  <c r="AH17"/>
  <c r="AI17"/>
  <c r="AG17" l="1"/>
  <c r="F7" i="29" s="1"/>
  <c r="F52" s="1"/>
  <c r="AG16" i="4"/>
  <c r="AG20"/>
  <c r="AG22"/>
  <c r="AG31"/>
  <c r="AG34"/>
  <c r="AG32"/>
  <c r="AG18"/>
  <c r="AG29"/>
  <c r="F8" i="29" s="1"/>
  <c r="F30" s="1"/>
  <c r="AG30" i="4"/>
  <c r="AG33"/>
  <c r="AG19"/>
  <c r="AG21"/>
  <c r="E7" i="29"/>
  <c r="E52"/>
  <c r="B7" i="23"/>
  <c r="C7"/>
  <c r="C8"/>
  <c r="AB124" i="4"/>
  <c r="AG123"/>
  <c r="AH21"/>
  <c r="AH32"/>
  <c r="AH29"/>
  <c r="AH16"/>
  <c r="AH19"/>
  <c r="AI30"/>
  <c r="AI16"/>
  <c r="AI33"/>
  <c r="AH34"/>
  <c r="AI21"/>
  <c r="AI29"/>
  <c r="AI31"/>
  <c r="AI32"/>
  <c r="AH31"/>
  <c r="AI18"/>
  <c r="AH20"/>
  <c r="AI34"/>
  <c r="AH22"/>
  <c r="AI19"/>
  <c r="AH30"/>
  <c r="AI20"/>
  <c r="AH18"/>
  <c r="AH33"/>
  <c r="AI22"/>
  <c r="E6" i="29" l="1"/>
  <c r="E29" s="1"/>
  <c r="AG4" i="4"/>
  <c r="AG122"/>
  <c r="AG124" s="1"/>
  <c r="C17" i="22"/>
  <c r="L16" s="1"/>
  <c r="AI4" i="4"/>
  <c r="AH4"/>
  <c r="B6" i="23"/>
  <c r="I16" i="22" l="1"/>
  <c r="U10"/>
  <c r="N16"/>
  <c r="O16" s="1"/>
</calcChain>
</file>

<file path=xl/comments1.xml><?xml version="1.0" encoding="utf-8"?>
<comments xmlns="http://schemas.openxmlformats.org/spreadsheetml/2006/main">
  <authors>
    <author xml:space="preserve"> Gary D. Marty</author>
    <author>sonja</author>
    <author>Nelly Speelman</author>
  </authors>
  <commentList>
    <comment ref="B1" authorId="0">
      <text>
        <r>
          <rPr>
            <sz val="8"/>
            <color indexed="81"/>
            <rFont val="Tahoma"/>
            <family val="2"/>
          </rPr>
          <t>For 2000 - 2002:
Green shading = fish &gt;600 d at sea with no counts;
Lavender shading = post-treatment counts</t>
        </r>
      </text>
    </comment>
    <comment ref="H1" authorId="0">
      <text>
        <r>
          <rPr>
            <sz val="8"/>
            <color indexed="81"/>
            <rFont val="Tahoma"/>
            <family val="2"/>
          </rPr>
          <t xml:space="preserve">Estimates are shaded in yellow
Brood = mixed age classes
</t>
        </r>
      </text>
    </comment>
    <comment ref="I1" authorId="1">
      <text>
        <r>
          <rPr>
            <sz val="8"/>
            <color indexed="81"/>
            <rFont val="Tahoma"/>
            <family val="2"/>
          </rPr>
          <t>Estimates are shaded in yellow</t>
        </r>
      </text>
    </comment>
    <comment ref="K1" authorId="0">
      <text>
        <r>
          <rPr>
            <sz val="8"/>
            <color indexed="81"/>
            <rFont val="Tahoma"/>
            <family val="2"/>
          </rPr>
          <t xml:space="preserve">Estimates are shaded in yellow
</t>
        </r>
      </text>
    </comment>
    <comment ref="L1" authorId="0">
      <text>
        <r>
          <rPr>
            <sz val="8"/>
            <color indexed="81"/>
            <rFont val="Tahoma"/>
            <family val="2"/>
          </rPr>
          <t xml:space="preserve">Estimates are shaded in yellow
</t>
        </r>
      </text>
    </comment>
    <comment ref="M1" authorId="2">
      <text>
        <r>
          <rPr>
            <sz val="9"/>
            <color indexed="81"/>
            <rFont val="Tahoma"/>
            <family val="2"/>
          </rPr>
          <t xml:space="preserve">For counts with a count before and after
0 = count is between or the same as counts before and after (counts less than 0.10 different are considered the same);
1 = count is not between counts before and after;
2 = transition count during or after treatment (i.e., expected peak or trough in counts)
</t>
        </r>
      </text>
    </comment>
    <comment ref="N1" authorId="0">
      <text>
        <r>
          <rPr>
            <sz val="8"/>
            <color indexed="81"/>
            <rFont val="Tahoma"/>
            <family val="2"/>
          </rPr>
          <t>single-ended estimates: s = smolt entry; h = harvest;
bracketed gaps = # of months (1, 2, or 3);
t = transfer (count from previous site); o = other</t>
        </r>
      </text>
    </comment>
    <comment ref="O1" authorId="0">
      <text>
        <r>
          <rPr>
            <sz val="8"/>
            <color indexed="81"/>
            <rFont val="Tahoma"/>
            <family val="2"/>
          </rPr>
          <t xml:space="preserve">Estimates are shaded in yellow
</t>
        </r>
      </text>
    </comment>
    <comment ref="P1" authorId="0">
      <text>
        <r>
          <rPr>
            <sz val="8"/>
            <color indexed="81"/>
            <rFont val="Tahoma"/>
            <family val="2"/>
          </rPr>
          <t>all with emamectin benzoate (Slice), unless stated otherwise in comments.
0.5 = only some pens at farm treated
1 = all pens in farm treated</t>
        </r>
      </text>
    </comment>
    <comment ref="B866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867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868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869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870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871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872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873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874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875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876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877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878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879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880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881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L881" authorId="2">
      <text>
        <r>
          <rPr>
            <sz val="9"/>
            <color indexed="81"/>
            <rFont val="Tahoma"/>
            <family val="2"/>
          </rPr>
          <t>this database 5 examples in which a count of 6.xy preceded by a count (those counts = 5.87, 3.30, 4.14, 1.08, 3.28); the mean (± SEM) of these counts is 3.5 ± 0.8; the entry here is on the high side of this range.</t>
        </r>
      </text>
    </comment>
    <comment ref="B882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883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884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885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886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887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888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889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890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891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892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893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894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895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896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897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898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899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00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01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02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03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04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05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06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07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08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09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10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11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12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13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14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15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16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17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18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19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20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21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22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23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24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25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26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27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28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29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30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31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32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33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34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35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36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37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38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39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40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41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42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43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44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45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46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47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48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49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50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51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52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53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54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55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56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57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58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59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60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61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62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63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64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65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66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67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68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69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70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71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72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73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74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75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76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77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78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79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80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81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82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83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84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85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N1658" authorId="0">
      <text>
        <r>
          <rPr>
            <sz val="8"/>
            <color indexed="81"/>
            <rFont val="Tahoma"/>
            <family val="2"/>
          </rPr>
          <t>count based on next entry</t>
        </r>
      </text>
    </comment>
    <comment ref="N1759" authorId="0">
      <text>
        <r>
          <rPr>
            <sz val="8"/>
            <color indexed="81"/>
            <rFont val="Tahoma"/>
            <family val="2"/>
          </rPr>
          <t xml:space="preserve"> counts added here (Jun - Dec) because they are greater than what would be estimated with Broughton-wide adjustments</t>
        </r>
      </text>
    </comment>
  </commentList>
</comments>
</file>

<file path=xl/comments2.xml><?xml version="1.0" encoding="utf-8"?>
<comments xmlns="http://schemas.openxmlformats.org/spreadsheetml/2006/main">
  <authors>
    <author xml:space="preserve"> Gary D. Marty</author>
    <author xml:space="preserve"> </author>
  </authors>
  <commentList>
    <comment ref="Y3" authorId="0">
      <text>
        <r>
          <rPr>
            <sz val="8"/>
            <color indexed="81"/>
            <rFont val="Tahoma"/>
            <family val="2"/>
          </rPr>
          <t>Annual peak is highlighted.</t>
        </r>
      </text>
    </comment>
    <comment ref="AB3" authorId="1">
      <text>
        <r>
          <rPr>
            <b/>
            <sz val="8"/>
            <color indexed="81"/>
            <rFont val="Tahoma"/>
            <family val="2"/>
          </rPr>
          <t>See Methods section for first adjustment.  Counts not used for 2000 - 2002 included post-treatment counts and low counts that were not used to justify Treatment (Tx).</t>
        </r>
      </text>
    </comment>
    <comment ref="AD3" authorId="1">
      <text>
        <r>
          <rPr>
            <b/>
            <sz val="8"/>
            <color indexed="81"/>
            <rFont val="Tahoma"/>
            <family val="2"/>
          </rPr>
          <t>use the same counts here as for column AB (i.e., most post-Tx counts not used)</t>
        </r>
      </text>
    </comment>
    <comment ref="AE3" authorId="1">
      <text>
        <r>
          <rPr>
            <b/>
            <sz val="8"/>
            <color indexed="81"/>
            <rFont val="Tahoma"/>
            <family val="2"/>
          </rPr>
          <t xml:space="preserve"> : use the same counts here as for column AB (i.e., most post-Tx counts not used)</t>
        </r>
      </text>
    </comment>
    <comment ref="AG3" authorId="0">
      <text>
        <r>
          <rPr>
            <sz val="8"/>
            <color indexed="81"/>
            <rFont val="Tahoma"/>
            <family val="2"/>
          </rPr>
          <t>March is highlighted</t>
        </r>
      </text>
    </comment>
    <comment ref="AG4" authorId="0">
      <text>
        <r>
          <rPr>
            <sz val="8"/>
            <color indexed="81"/>
            <rFont val="Tahoma"/>
            <family val="2"/>
          </rPr>
          <t>estimated as the same ratio with April 2000 as March and April of 2001</t>
        </r>
      </text>
    </comment>
    <comment ref="AH4" authorId="0">
      <text>
        <r>
          <rPr>
            <sz val="8"/>
            <color indexed="81"/>
            <rFont val="Tahoma"/>
            <family val="2"/>
          </rPr>
          <t>estimated as the same ratio with April 2000 as March and April of 2001</t>
        </r>
      </text>
    </comment>
    <comment ref="AI4" authorId="0">
      <text>
        <r>
          <rPr>
            <sz val="8"/>
            <color indexed="81"/>
            <rFont val="Tahoma"/>
            <family val="2"/>
          </rPr>
          <t>estimated as the same ratio with April 2000 as March and April of 2001</t>
        </r>
      </text>
    </comment>
    <comment ref="AB5" authorId="0">
      <text>
        <r>
          <rPr>
            <sz val="8"/>
            <color indexed="81"/>
            <rFont val="Tahoma"/>
            <family val="2"/>
          </rPr>
          <t>2 counts used (count from farm #8 not used because it was  not a high count needed to justify Tx)</t>
        </r>
      </text>
    </comment>
    <comment ref="AB6" authorId="0">
      <text>
        <r>
          <rPr>
            <sz val="8"/>
            <color indexed="81"/>
            <rFont val="Tahoma"/>
            <family val="2"/>
          </rPr>
          <t>3 counts used (count from farm #8 not used because it was  not a high count needed to justify Tx)</t>
        </r>
      </text>
    </comment>
    <comment ref="AB7" authorId="0">
      <text>
        <r>
          <rPr>
            <sz val="8"/>
            <color indexed="81"/>
            <rFont val="Tahoma"/>
            <family val="2"/>
          </rPr>
          <t>3 counts used (count from farm #8 not used because it was  not a high count needed to justify Tx)</t>
        </r>
      </text>
    </comment>
    <comment ref="AB8" authorId="0">
      <text>
        <r>
          <rPr>
            <sz val="8"/>
            <color indexed="81"/>
            <rFont val="Tahoma"/>
            <family val="2"/>
          </rPr>
          <t>3 counts used (count from farm #8 not used because it was  not a high count needed to justify Tx)</t>
        </r>
      </text>
    </comment>
    <comment ref="AB9" authorId="1">
      <text>
        <r>
          <rPr>
            <b/>
            <sz val="8"/>
            <color indexed="81"/>
            <rFont val="Tahoma"/>
            <family val="2"/>
          </rPr>
          <t>all 4  counts used  even though farm #4 count was post-Tx</t>
        </r>
      </text>
    </comment>
    <comment ref="AB16" authorId="1">
      <text>
        <r>
          <rPr>
            <b/>
            <sz val="8"/>
            <color indexed="81"/>
            <rFont val="Tahoma"/>
            <family val="2"/>
          </rPr>
          <t>2 counts used (count from farm #11 not used because it was  post-Tx)</t>
        </r>
      </text>
    </comment>
    <comment ref="AB17" authorId="1">
      <text>
        <r>
          <rPr>
            <b/>
            <sz val="8"/>
            <color indexed="81"/>
            <rFont val="Tahoma"/>
            <family val="2"/>
          </rPr>
          <t>6 counts used (counts from farm #8 not used because it was post-Tx)</t>
        </r>
      </text>
    </comment>
    <comment ref="AB18" authorId="1">
      <text>
        <r>
          <rPr>
            <b/>
            <sz val="8"/>
            <color indexed="81"/>
            <rFont val="Tahoma"/>
            <family val="2"/>
          </rPr>
          <t>5 counts used (counts from farm #8 not used because it was post-Tx)</t>
        </r>
      </text>
    </comment>
    <comment ref="AB19" authorId="1">
      <text>
        <r>
          <rPr>
            <b/>
            <sz val="8"/>
            <color indexed="81"/>
            <rFont val="Tahoma"/>
            <family val="2"/>
          </rPr>
          <t>7 counts used (counts from farm #s 6 &amp; 8 not used because they were post-Tx)</t>
        </r>
      </text>
    </comment>
    <comment ref="AB20" authorId="1">
      <text>
        <r>
          <rPr>
            <b/>
            <sz val="8"/>
            <color indexed="81"/>
            <rFont val="Tahoma"/>
            <family val="2"/>
          </rPr>
          <t>6 counts used (counts from farm #s 14 &amp; 15 not used because they were post-Tx)</t>
        </r>
      </text>
    </comment>
    <comment ref="AB21" authorId="1">
      <text>
        <r>
          <rPr>
            <b/>
            <sz val="8"/>
            <color indexed="81"/>
            <rFont val="Tahoma"/>
            <family val="2"/>
          </rPr>
          <t>5 counts used (counts from farm #s 9, 14, &amp; 15 not used because they were post-Tx)</t>
        </r>
      </text>
    </comment>
    <comment ref="AB22" authorId="1">
      <text>
        <r>
          <rPr>
            <b/>
            <sz val="8"/>
            <color indexed="81"/>
            <rFont val="Tahoma"/>
            <family val="2"/>
          </rPr>
          <t>4 counts used (counts from farm #s 1, 9, &amp; 15 not used because they were post-Tx)</t>
        </r>
      </text>
    </comment>
    <comment ref="AB29" authorId="1">
      <text>
        <r>
          <rPr>
            <b/>
            <sz val="8"/>
            <color indexed="81"/>
            <rFont val="Tahoma"/>
            <family val="2"/>
          </rPr>
          <t>3 counts used (count from farm # 4 not used because it was  post-Tx)</t>
        </r>
      </text>
    </comment>
    <comment ref="AB30" authorId="1">
      <text>
        <r>
          <rPr>
            <b/>
            <sz val="8"/>
            <color indexed="81"/>
            <rFont val="Tahoma"/>
            <family val="2"/>
          </rPr>
          <t>4 counts used (count from farm # 18 not used because it was  post-Tx); farm # 5 count (old fish) used without adjustment</t>
        </r>
      </text>
    </comment>
    <comment ref="AB31" authorId="1">
      <text>
        <r>
          <rPr>
            <b/>
            <sz val="8"/>
            <color indexed="81"/>
            <rFont val="Tahoma"/>
            <family val="2"/>
          </rPr>
          <t>2 counts used (counts from farm #s 1, 2, &amp; 18  not used because they were  post-Tx)</t>
        </r>
      </text>
    </comment>
    <comment ref="AB32" authorId="1">
      <text>
        <r>
          <rPr>
            <b/>
            <sz val="8"/>
            <color indexed="81"/>
            <rFont val="Tahoma"/>
            <family val="2"/>
          </rPr>
          <t>3 counts used (counts from farm #s 2 &amp; 6 not used because they were  post-Tx; farm # 25 count not used because it was not a high count)</t>
        </r>
      </text>
    </comment>
    <comment ref="AB33" authorId="1">
      <text>
        <r>
          <rPr>
            <b/>
            <sz val="8"/>
            <color indexed="81"/>
            <rFont val="Tahoma"/>
            <family val="2"/>
          </rPr>
          <t>3 counts used (counts from farm #s 6 &amp; 11 not used because they were  post-Tx); farm #5 count (old fish) used without adjustment</t>
        </r>
      </text>
    </comment>
    <comment ref="AB34" authorId="1">
      <text>
        <r>
          <rPr>
            <b/>
            <sz val="8"/>
            <color indexed="81"/>
            <rFont val="Tahoma"/>
            <family val="2"/>
          </rPr>
          <t>2 counts used (counts from farm #s 6 &amp; 11 not used because they were  post-Tx)</t>
        </r>
      </text>
    </comment>
    <comment ref="AB35" authorId="0">
      <text>
        <r>
          <rPr>
            <b/>
            <sz val="8"/>
            <color indexed="81"/>
            <rFont val="Tahoma"/>
            <family val="2"/>
          </rPr>
          <t>2 counts used (count from farm # 6 not used because it was  post-Tx)</t>
        </r>
      </text>
    </comment>
    <comment ref="AC35" authorId="0">
      <text>
        <r>
          <rPr>
            <b/>
            <sz val="8"/>
            <color indexed="81"/>
            <rFont val="Tahoma"/>
            <family val="2"/>
          </rPr>
          <t>farm #6 counts not used (post-treatment)</t>
        </r>
      </text>
    </comment>
    <comment ref="AB36" authorId="0">
      <text>
        <r>
          <rPr>
            <b/>
            <sz val="8"/>
            <color indexed="81"/>
            <rFont val="Tahoma"/>
            <family val="2"/>
          </rPr>
          <t>3 counts used (count from farm # 6 not used because it was  post-Tx)</t>
        </r>
      </text>
    </comment>
    <comment ref="AC36" authorId="0">
      <text>
        <r>
          <rPr>
            <b/>
            <sz val="8"/>
            <color indexed="81"/>
            <rFont val="Tahoma"/>
            <family val="2"/>
          </rPr>
          <t>farm #6 counts not used (post-treatment)</t>
        </r>
      </text>
    </comment>
    <comment ref="AB37" authorId="0">
      <text>
        <r>
          <rPr>
            <b/>
            <sz val="8"/>
            <color indexed="81"/>
            <rFont val="Tahoma"/>
            <family val="2"/>
          </rPr>
          <t>6 counts used (farm #4 count not used because it was post-Tx)</t>
        </r>
      </text>
    </comment>
    <comment ref="AC37" authorId="0">
      <text>
        <r>
          <rPr>
            <b/>
            <sz val="8"/>
            <color indexed="81"/>
            <rFont val="Tahoma"/>
            <family val="2"/>
          </rPr>
          <t>farm #6 counts used as normal count</t>
        </r>
      </text>
    </comment>
  </commentList>
</comments>
</file>

<file path=xl/comments3.xml><?xml version="1.0" encoding="utf-8"?>
<comments xmlns="http://schemas.openxmlformats.org/spreadsheetml/2006/main">
  <authors>
    <author xml:space="preserve"> Gary D. Marty</author>
    <author>sonja</author>
    <author>Nelly Speelman</author>
  </authors>
  <commentList>
    <comment ref="B1" authorId="0">
      <text>
        <r>
          <rPr>
            <sz val="8"/>
            <color indexed="81"/>
            <rFont val="Tahoma"/>
            <family val="2"/>
          </rPr>
          <t>For 2000 - 2002:
Green shading = fish &gt;600 d at sea with no counts;
Lavender shading = post-treatment counts</t>
        </r>
      </text>
    </comment>
    <comment ref="H1" authorId="0">
      <text>
        <r>
          <rPr>
            <sz val="8"/>
            <color indexed="81"/>
            <rFont val="Tahoma"/>
            <family val="2"/>
          </rPr>
          <t xml:space="preserve">Estimates are shaded in yellow
Brood = mixed age classes
</t>
        </r>
      </text>
    </comment>
    <comment ref="I1" authorId="1">
      <text>
        <r>
          <rPr>
            <sz val="8"/>
            <color indexed="81"/>
            <rFont val="Tahoma"/>
            <family val="2"/>
          </rPr>
          <t>Estimates are shaded in yellow</t>
        </r>
      </text>
    </comment>
    <comment ref="K1" authorId="0">
      <text>
        <r>
          <rPr>
            <sz val="8"/>
            <color indexed="81"/>
            <rFont val="Tahoma"/>
            <family val="2"/>
          </rPr>
          <t xml:space="preserve">Estimates are shaded in yellow
</t>
        </r>
      </text>
    </comment>
    <comment ref="L1" authorId="0">
      <text>
        <r>
          <rPr>
            <sz val="8"/>
            <color indexed="81"/>
            <rFont val="Tahoma"/>
            <family val="2"/>
          </rPr>
          <t xml:space="preserve">Estimates are shaded in yellow
</t>
        </r>
      </text>
    </comment>
    <comment ref="M1" authorId="2">
      <text>
        <r>
          <rPr>
            <sz val="9"/>
            <color indexed="81"/>
            <rFont val="Tahoma"/>
            <family val="2"/>
          </rPr>
          <t xml:space="preserve">For counts with a count before and after
0 = count is between or the same as counts before and after (counts less than 0.10 different are considered the same);
1 = count is not between counts before and after;
2 = transition count during or after treatment (i.e., expected peak or trough in counts)
</t>
        </r>
      </text>
    </comment>
    <comment ref="N1" authorId="0">
      <text>
        <r>
          <rPr>
            <sz val="8"/>
            <color indexed="81"/>
            <rFont val="Tahoma"/>
            <family val="2"/>
          </rPr>
          <t xml:space="preserve">Estimates are shaded in yellow
</t>
        </r>
      </text>
    </comment>
    <comment ref="O1" authorId="0">
      <text>
        <r>
          <rPr>
            <b/>
            <sz val="8"/>
            <color indexed="81"/>
            <rFont val="Tahoma"/>
            <family val="2"/>
          </rPr>
          <t>all with emamectin benzoate (Slice), unless stated otherwise in comments.
0.5 = only some pens at farm treated
1 = all pens in farm treated</t>
        </r>
      </text>
    </comment>
    <comment ref="AD3" authorId="0">
      <text>
        <r>
          <rPr>
            <sz val="8"/>
            <color indexed="81"/>
            <rFont val="Tahoma"/>
            <family val="2"/>
          </rPr>
          <t>October adjustment factor when counts from only 3 farms are available</t>
        </r>
      </text>
    </comment>
    <comment ref="Y5" authorId="0">
      <text>
        <r>
          <rPr>
            <sz val="8"/>
            <color indexed="81"/>
            <rFont val="Tahoma"/>
            <family val="2"/>
          </rPr>
          <t># used for standard old fish adjustment</t>
        </r>
      </text>
    </comment>
    <comment ref="Z5" authorId="0">
      <text>
        <r>
          <rPr>
            <sz val="8"/>
            <color indexed="81"/>
            <rFont val="Tahoma"/>
            <family val="2"/>
          </rPr>
          <t># used for alternate old fish adjustment</t>
        </r>
      </text>
    </comment>
    <comment ref="AC5" authorId="0">
      <text/>
    </comment>
    <comment ref="AD5" authorId="0">
      <text>
        <r>
          <rPr>
            <sz val="8"/>
            <color indexed="81"/>
            <rFont val="Tahoma"/>
            <family val="2"/>
          </rPr>
          <t>standard proportion adjustment plus standard old fish adjustment</t>
        </r>
      </text>
    </comment>
    <comment ref="AH5" authorId="0">
      <text>
        <r>
          <rPr>
            <sz val="8"/>
            <color indexed="81"/>
            <rFont val="Tahoma"/>
            <family val="2"/>
          </rPr>
          <t>standard proportion adjustment plus alternate old fish adjustment</t>
        </r>
      </text>
    </comment>
  </commentList>
</comments>
</file>

<file path=xl/comments4.xml><?xml version="1.0" encoding="utf-8"?>
<comments xmlns="http://schemas.openxmlformats.org/spreadsheetml/2006/main">
  <authors>
    <author xml:space="preserve"> </author>
    <author xml:space="preserve"> Gary D. Marty</author>
    <author>Nelly Speelman</author>
  </authors>
  <commentList>
    <comment ref="I6" authorId="0">
      <text>
        <r>
          <rPr>
            <b/>
            <sz val="8"/>
            <color indexed="81"/>
            <rFont val="Tahoma"/>
            <family val="2"/>
          </rPr>
          <t>Slice (emamectin benzoate) unless otherwise designated</t>
        </r>
      </text>
    </comment>
    <comment ref="AH6" authorId="1">
      <text>
        <r>
          <rPr>
            <b/>
            <sz val="8"/>
            <color indexed="81"/>
            <rFont val="Tahoma"/>
            <family val="2"/>
          </rPr>
          <t>Does not include broodfish</t>
        </r>
      </text>
    </comment>
    <comment ref="AI6" authorId="2">
      <text>
        <r>
          <rPr>
            <sz val="9"/>
            <color indexed="81"/>
            <rFont val="Tahoma"/>
            <family val="2"/>
          </rPr>
          <t>SL-yr * (#motiles/farm) / 1,000,000</t>
        </r>
      </text>
    </comment>
    <comment ref="AJ6" authorId="2">
      <text>
        <r>
          <rPr>
            <sz val="9"/>
            <color indexed="81"/>
            <rFont val="Tahoma"/>
            <family val="2"/>
          </rPr>
          <t>SL-yr * (#Fe L.s./farm) / 1,000,000</t>
        </r>
      </text>
    </comment>
    <comment ref="BC6" authorId="1">
      <text>
        <r>
          <rPr>
            <sz val="8"/>
            <color indexed="81"/>
            <rFont val="Tahoma"/>
            <family val="2"/>
          </rPr>
          <t>When 2 half-farm treatments occurred at the same farm within a 2-month period, the values were averaged for this table.</t>
        </r>
      </text>
    </comment>
    <comment ref="BG6" authorId="1">
      <text>
        <r>
          <rPr>
            <sz val="8"/>
            <color indexed="81"/>
            <rFont val="Tahoma"/>
            <family val="2"/>
          </rPr>
          <t>When 2 half-farm treatments occurred at the same farm within a 2-month period, the values were averaged for this table.</t>
        </r>
      </text>
    </comment>
    <comment ref="I7" authorId="0">
      <text>
        <r>
          <rPr>
            <b/>
            <sz val="8"/>
            <color indexed="81"/>
            <rFont val="Tahoma"/>
            <family val="2"/>
          </rPr>
          <t xml:space="preserve"> Ivermectin</t>
        </r>
      </text>
    </comment>
    <comment ref="I19" authorId="0">
      <text>
        <r>
          <rPr>
            <b/>
            <sz val="8"/>
            <color indexed="81"/>
            <rFont val="Tahoma"/>
            <family val="2"/>
          </rPr>
          <t xml:space="preserve"> Ivermectin</t>
        </r>
      </text>
    </comment>
  </commentList>
</comments>
</file>

<file path=xl/comments5.xml><?xml version="1.0" encoding="utf-8"?>
<comments xmlns="http://schemas.openxmlformats.org/spreadsheetml/2006/main">
  <authors>
    <author xml:space="preserve"> Gary D. Marty</author>
    <author xml:space="preserve"> </author>
    <author>Gary  Marty</author>
  </authors>
  <commentList>
    <comment ref="C8" authorId="0">
      <text>
        <r>
          <rPr>
            <sz val="8"/>
            <color indexed="81"/>
            <rFont val="Tahoma"/>
            <family val="2"/>
          </rPr>
          <t>designation used in previous analysis (Krkosek et al. 2007,: Science 318:1772-1775)</t>
        </r>
      </text>
    </comment>
    <comment ref="H17" authorId="1">
      <text>
        <r>
          <rPr>
            <b/>
            <sz val="8"/>
            <color indexed="81"/>
            <rFont val="Tahoma"/>
            <family val="2"/>
          </rPr>
          <t xml:space="preserve"> :Viner, Lull, and Embly not used by Beamish et al. 2006</t>
        </r>
      </text>
    </comment>
    <comment ref="Q17" authorId="0">
      <text>
        <r>
          <rPr>
            <sz val="8"/>
            <color indexed="81"/>
            <rFont val="Tahoma"/>
            <family val="2"/>
          </rPr>
          <t>9-river sum used in this analysis</t>
        </r>
      </text>
    </comment>
    <comment ref="C18" authorId="0">
      <text>
        <r>
          <rPr>
            <b/>
            <sz val="8"/>
            <color indexed="81"/>
            <rFont val="Tahoma"/>
            <family val="2"/>
          </rPr>
          <t>(Krkosek et al. 2007,: Science 318:1772-1775)</t>
        </r>
      </text>
    </comment>
    <comment ref="U19" authorId="0">
      <text>
        <r>
          <rPr>
            <sz val="8"/>
            <color indexed="81"/>
            <rFont val="Tahoma"/>
            <family val="2"/>
          </rPr>
          <t xml:space="preserve">catch = commercial harvest
</t>
        </r>
      </text>
    </comment>
    <comment ref="V19" authorId="0">
      <text>
        <r>
          <rPr>
            <sz val="8"/>
            <color indexed="81"/>
            <rFont val="Tahoma"/>
            <family val="2"/>
          </rPr>
          <t xml:space="preserve">returns = escapement + catch
</t>
        </r>
      </text>
    </comment>
    <comment ref="F37" authorId="1">
      <text>
        <r>
          <rPr>
            <b/>
            <sz val="8"/>
            <color indexed="81"/>
            <rFont val="Tahoma"/>
            <family val="2"/>
          </rPr>
          <t xml:space="preserve"> : updated from 2,200 based on Dec 2008 revised file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G44" authorId="1">
      <text>
        <r>
          <rPr>
            <b/>
            <sz val="8"/>
            <color indexed="81"/>
            <rFont val="Tahoma"/>
            <family val="2"/>
          </rPr>
          <t xml:space="preserve"> : revised based on Dec 2008 revised file</t>
        </r>
      </text>
    </comment>
    <comment ref="G45" authorId="1">
      <text>
        <r>
          <rPr>
            <b/>
            <sz val="8"/>
            <color indexed="81"/>
            <rFont val="Tahoma"/>
            <family val="2"/>
          </rPr>
          <t xml:space="preserve"> : revised from 369640 based on Dec 2008 revised file</t>
        </r>
      </text>
    </comment>
    <comment ref="Q57" authorId="0">
      <text>
        <r>
          <rPr>
            <sz val="8"/>
            <color indexed="81"/>
            <rFont val="Tahoma"/>
            <family val="2"/>
          </rPr>
          <t>9-river sum used in this analysis</t>
        </r>
      </text>
    </comment>
    <comment ref="C58" authorId="0">
      <text>
        <r>
          <rPr>
            <b/>
            <sz val="8"/>
            <color indexed="81"/>
            <rFont val="Tahoma"/>
            <family val="2"/>
          </rPr>
          <t>(Krkosek et al. 2007,: Science 318:1772-1775)</t>
        </r>
      </text>
    </comment>
    <comment ref="V59" authorId="0">
      <text>
        <r>
          <rPr>
            <sz val="8"/>
            <color indexed="81"/>
            <rFont val="Tahoma"/>
            <family val="2"/>
          </rPr>
          <t xml:space="preserve">returns = escapement + catch
</t>
        </r>
      </text>
    </comment>
    <comment ref="G69" authorId="2">
      <text>
        <r>
          <rPr>
            <b/>
            <sz val="8"/>
            <color indexed="81"/>
            <rFont val="Tahoma"/>
            <family val="2"/>
          </rPr>
          <t>Gary  Marty: CHRYS08.xls has this as 20,000</t>
        </r>
        <r>
          <rPr>
            <sz val="8"/>
            <color indexed="81"/>
            <rFont val="Tahoma"/>
            <family val="2"/>
          </rPr>
          <t>, but "Study Area historical pink Escapements with graphs.xls"</t>
        </r>
        <r>
          <rPr>
            <sz val="8"/>
            <color indexed="81"/>
            <rFont val="Tahoma"/>
            <family val="2"/>
          </rPr>
          <t xml:space="preserve">
has this as 15,000.  Check!</t>
        </r>
      </text>
    </comment>
    <comment ref="G70" authorId="1">
      <text>
        <r>
          <rPr>
            <b/>
            <sz val="8"/>
            <color indexed="81"/>
            <rFont val="Tahoma"/>
            <family val="2"/>
          </rPr>
          <t xml:space="preserve"> : revised from 700,000 based on Dec 2008 revised file</t>
        </r>
      </text>
    </comment>
    <comment ref="G75" authorId="1">
      <text>
        <r>
          <rPr>
            <b/>
            <sz val="8"/>
            <color indexed="81"/>
            <rFont val="Tahoma"/>
            <family val="2"/>
          </rPr>
          <t xml:space="preserve"> : revised based on Dec 2008 revised file</t>
        </r>
      </text>
    </comment>
    <comment ref="F76" authorId="1">
      <text>
        <r>
          <rPr>
            <b/>
            <sz val="8"/>
            <color indexed="81"/>
            <rFont val="Tahoma"/>
            <family val="2"/>
          </rPr>
          <t xml:space="preserve"> : revised based on Dec 2008 revised file</t>
        </r>
      </text>
    </comment>
    <comment ref="G76" authorId="1">
      <text>
        <r>
          <rPr>
            <b/>
            <sz val="8"/>
            <color indexed="81"/>
            <rFont val="Tahoma"/>
            <family val="2"/>
          </rPr>
          <t xml:space="preserve"> : revised based on Dec 2008 revised file</t>
        </r>
      </text>
    </comment>
    <comment ref="G79" authorId="1">
      <text>
        <r>
          <rPr>
            <b/>
            <sz val="8"/>
            <color indexed="81"/>
            <rFont val="Tahoma"/>
            <family val="2"/>
          </rPr>
          <t xml:space="preserve"> : revised based on Dec 2008 revised file</t>
        </r>
      </text>
    </comment>
  </commentList>
</comments>
</file>

<file path=xl/comments6.xml><?xml version="1.0" encoding="utf-8"?>
<comments xmlns="http://schemas.openxmlformats.org/spreadsheetml/2006/main">
  <authors>
    <author>Matt Mortimer</author>
    <author xml:space="preserve"> </author>
  </authors>
  <commentList>
    <comment ref="V55" authorId="0">
      <text>
        <r>
          <rPr>
            <b/>
            <sz val="8"/>
            <color indexed="81"/>
            <rFont val="Tahoma"/>
            <family val="2"/>
          </rPr>
          <t>Matt Mortimer:</t>
        </r>
        <r>
          <rPr>
            <sz val="8"/>
            <color indexed="81"/>
            <rFont val="Tahoma"/>
            <family val="2"/>
          </rPr>
          <t xml:space="preserve">
Ada Cove and Fannie Cove Creeks only</t>
        </r>
      </text>
    </comment>
    <comment ref="V93" authorId="0">
      <text>
        <r>
          <rPr>
            <b/>
            <sz val="8"/>
            <color indexed="81"/>
            <rFont val="Tahoma"/>
            <family val="2"/>
          </rPr>
          <t>Matt Mortimer:</t>
        </r>
        <r>
          <rPr>
            <sz val="8"/>
            <color indexed="81"/>
            <rFont val="Tahoma"/>
            <family val="2"/>
          </rPr>
          <t xml:space="preserve">
Ada Cove and Fannie Cove Creeks only</t>
        </r>
      </text>
    </comment>
    <comment ref="AL94" authorId="1">
      <text>
        <r>
          <rPr>
            <b/>
            <sz val="8"/>
            <color indexed="81"/>
            <rFont val="Tahoma"/>
            <family val="2"/>
          </rPr>
          <t>DFO = A/P; estimate is same fraction of 12-river returns in 2002 (5000/1,103,600)</t>
        </r>
      </text>
    </comment>
    <comment ref="AD95" authorId="1">
      <text>
        <r>
          <rPr>
            <b/>
            <sz val="8"/>
            <color indexed="81"/>
            <rFont val="Tahoma"/>
            <family val="2"/>
          </rPr>
          <t xml:space="preserve"> :A/P; estimate is same fraction of 12-river returns in 2004 (6,500/238,783)</t>
        </r>
      </text>
    </comment>
    <comment ref="H96" authorId="1">
      <text>
        <r>
          <rPr>
            <b/>
            <sz val="8"/>
            <color indexed="81"/>
            <rFont val="Tahoma"/>
            <family val="2"/>
          </rPr>
          <t xml:space="preserve"> :DFO = A/P; estimate is same fraction of 12-river returns in 2006 (450/55,433)</t>
        </r>
      </text>
    </comment>
    <comment ref="V96" authorId="1">
      <text>
        <r>
          <rPr>
            <b/>
            <sz val="8"/>
            <color indexed="81"/>
            <rFont val="Tahoma"/>
            <family val="2"/>
          </rPr>
          <t xml:space="preserve"> :DFO = A/P; estimate is same fraction of 12-river returns in 2006 (300/55,433)</t>
        </r>
      </text>
    </comment>
    <comment ref="AC96" authorId="1">
      <text>
        <r>
          <rPr>
            <b/>
            <sz val="8"/>
            <color indexed="81"/>
            <rFont val="Tahoma"/>
            <family val="2"/>
          </rPr>
          <t xml:space="preserve"> :DFO = A/P; estimate is same fraction of 12-river returns in 2006 (120/55,433)</t>
        </r>
      </text>
    </comment>
    <comment ref="AT96" authorId="1">
      <text>
        <r>
          <rPr>
            <b/>
            <sz val="8"/>
            <color indexed="81"/>
            <rFont val="Tahoma"/>
            <family val="2"/>
          </rPr>
          <t xml:space="preserve"> :DFO = A/P; estimate is same fraction of 12-river returns in 2006 (3,000/55,433)</t>
        </r>
      </text>
    </comment>
  </commentList>
</comments>
</file>

<file path=xl/comments7.xml><?xml version="1.0" encoding="utf-8"?>
<comments xmlns="http://schemas.openxmlformats.org/spreadsheetml/2006/main">
  <authors>
    <author xml:space="preserve"> Terry Quinn</author>
    <author>Nelly Speelman</author>
  </authors>
  <commentList>
    <comment ref="G3" authorId="0">
      <text>
        <r>
          <rPr>
            <sz val="8"/>
            <color indexed="81"/>
            <rFont val="Tahoma"/>
            <family val="2"/>
          </rPr>
          <t>Return data from Canadian Department of Fisheries and Oceans (P. van Will), 22 Mar 2010.</t>
        </r>
      </text>
    </comment>
    <comment ref="B4" authorId="1">
      <text>
        <r>
          <rPr>
            <sz val="9"/>
            <color indexed="81"/>
            <rFont val="Tahoma"/>
            <family val="2"/>
          </rPr>
          <t>abbreviations defined below table</t>
        </r>
      </text>
    </comment>
    <comment ref="C17" authorId="1">
      <text>
        <r>
          <rPr>
            <sz val="9"/>
            <color indexed="81"/>
            <rFont val="Tahoma"/>
            <family val="2"/>
          </rPr>
          <t>estimate compared with April 2000 is the same ratio as March vs. April 2001</t>
        </r>
      </text>
    </comment>
  </commentList>
</comments>
</file>

<file path=xl/comments8.xml><?xml version="1.0" encoding="utf-8"?>
<comments xmlns="http://schemas.openxmlformats.org/spreadsheetml/2006/main">
  <authors>
    <author xml:space="preserve"> Terry Quinn</author>
  </authors>
  <commentList>
    <comment ref="G3" authorId="0">
      <text>
        <r>
          <rPr>
            <sz val="8"/>
            <color indexed="81"/>
            <rFont val="Tahoma"/>
            <family val="2"/>
          </rPr>
          <t>Data from Canadian Department of Fisheries and Oceans (P. van Will), 22 Mar 2010.</t>
        </r>
      </text>
    </comment>
  </commentList>
</comments>
</file>

<file path=xl/sharedStrings.xml><?xml version="1.0" encoding="utf-8"?>
<sst xmlns="http://schemas.openxmlformats.org/spreadsheetml/2006/main" count="8181" uniqueCount="840">
  <si>
    <t>Year</t>
  </si>
  <si>
    <t># fish</t>
  </si>
  <si>
    <t>start harvesting</t>
  </si>
  <si>
    <t>complete harvesting</t>
  </si>
  <si>
    <t>SW entry date</t>
  </si>
  <si>
    <t>fish moved?</t>
  </si>
  <si>
    <t>smolts</t>
  </si>
  <si>
    <t>harvesting</t>
  </si>
  <si>
    <t>start harvesting?</t>
  </si>
  <si>
    <t>Brood</t>
  </si>
  <si>
    <t>Harvest, &lt; 3 pens</t>
  </si>
  <si>
    <t>smolt entry</t>
  </si>
  <si>
    <t>smolt</t>
  </si>
  <si>
    <t>Harvest complete</t>
  </si>
  <si>
    <t>harvested out</t>
  </si>
  <si>
    <t>transferring fish out</t>
  </si>
  <si>
    <t>fish transferred out</t>
  </si>
  <si>
    <t>moved</t>
  </si>
  <si>
    <t>Harvested</t>
  </si>
  <si>
    <t>smolt entered</t>
  </si>
  <si>
    <t>Harvesting</t>
  </si>
  <si>
    <t>Most likely harvest size</t>
  </si>
  <si>
    <t>Harvest sized fish</t>
  </si>
  <si>
    <t xml:space="preserve">smolts </t>
  </si>
  <si>
    <t xml:space="preserve"> harvesting</t>
  </si>
  <si>
    <t xml:space="preserve">Harvesting </t>
  </si>
  <si>
    <t>harvest started</t>
  </si>
  <si>
    <t>harvest complete</t>
  </si>
  <si>
    <t>Harvest started</t>
  </si>
  <si>
    <t>Begin harvesting</t>
  </si>
  <si>
    <t>harvest begins</t>
  </si>
  <si>
    <t>begin harvesting</t>
  </si>
  <si>
    <t>mix of 99 and 00</t>
  </si>
  <si>
    <t>mix of 00 and 01</t>
  </si>
  <si>
    <t>Month</t>
  </si>
  <si>
    <t>Date</t>
  </si>
  <si>
    <t>Smolt entry</t>
  </si>
  <si>
    <t>Portion transferred to farm outside Broughton</t>
  </si>
  <si>
    <t xml:space="preserve">Harvested out on April 4.  </t>
  </si>
  <si>
    <t>M</t>
  </si>
  <si>
    <t>age (d in SW)</t>
  </si>
  <si>
    <t>?</t>
  </si>
  <si>
    <t>Chalimus/ fish</t>
  </si>
  <si>
    <t>Caligus/ fish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</si>
  <si>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</si>
  <si>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</si>
  <si>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</si>
  <si>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</si>
  <si>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</si>
  <si>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</si>
  <si>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</si>
  <si>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</si>
  <si>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</si>
  <si>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</si>
  <si>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</si>
  <si>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</si>
  <si>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Data</t>
  </si>
  <si>
    <t>Count of # fish</t>
  </si>
  <si>
    <t>Total Count of # fish</t>
  </si>
  <si>
    <t>Sum of # fish2</t>
  </si>
  <si>
    <t>Total Sum of # fish2</t>
  </si>
  <si>
    <t>Year class</t>
  </si>
  <si>
    <t>2004 May # females</t>
  </si>
  <si>
    <t>Sum top 4</t>
  </si>
  <si>
    <t>sum all</t>
  </si>
  <si>
    <t>% top 4</t>
  </si>
  <si>
    <t>2005 Jan # females</t>
  </si>
  <si>
    <t>2003 Dec # females</t>
  </si>
  <si>
    <t>smolts entered</t>
  </si>
  <si>
    <t>empty</t>
  </si>
  <si>
    <t>Portion farm tx</t>
  </si>
  <si>
    <t>Partial farm tx</t>
  </si>
  <si>
    <t>harvest</t>
  </si>
  <si>
    <t>Portion farm tx?</t>
  </si>
  <si>
    <t>rest of farm tx</t>
  </si>
  <si>
    <t># farms with fish</t>
  </si>
  <si>
    <t>KEY</t>
  </si>
  <si>
    <t>total # of farmed fish</t>
  </si>
  <si>
    <t># farms with sea lice counts</t>
  </si>
  <si>
    <t># sea lice treatments</t>
  </si>
  <si>
    <t>All missing counts for 2003 are from broodstock farms</t>
  </si>
  <si>
    <t>2003 May # females</t>
  </si>
  <si>
    <t>% top 5</t>
  </si>
  <si>
    <t>% top 3</t>
  </si>
  <si>
    <t>2003 April # females</t>
  </si>
  <si>
    <t>Sum top 3</t>
  </si>
  <si>
    <t>Sum top 5</t>
  </si>
  <si>
    <t>2004 April # females</t>
  </si>
  <si>
    <t>2005 April # females</t>
  </si>
  <si>
    <t>2006 April # females</t>
  </si>
  <si>
    <t>2007 April # females</t>
  </si>
  <si>
    <t>Mean</t>
  </si>
  <si>
    <t>2005 May # females</t>
  </si>
  <si>
    <t>2006 May # females</t>
  </si>
  <si>
    <t>2007 May # females</t>
  </si>
  <si>
    <t>April</t>
  </si>
  <si>
    <t>adjusted</t>
  </si>
  <si>
    <t>remainder sold and moved out of Broughton</t>
  </si>
  <si>
    <r>
      <t xml:space="preserve">total # of female </t>
    </r>
    <r>
      <rPr>
        <i/>
        <sz val="10"/>
        <color indexed="10"/>
        <rFont val="Arial"/>
        <family val="2"/>
      </rPr>
      <t>Caligus sp.</t>
    </r>
    <r>
      <rPr>
        <sz val="10"/>
        <color indexed="10"/>
        <rFont val="Arial"/>
        <family val="2"/>
      </rPr>
      <t xml:space="preserve"> lice (@ farms with counts)</t>
    </r>
  </si>
  <si>
    <r>
      <t xml:space="preserve">total # of female </t>
    </r>
    <r>
      <rPr>
        <i/>
        <sz val="10"/>
        <color indexed="10"/>
        <rFont val="Arial"/>
        <family val="2"/>
      </rPr>
      <t>L. salmonis</t>
    </r>
    <r>
      <rPr>
        <sz val="10"/>
        <color indexed="10"/>
        <rFont val="Arial"/>
        <family val="2"/>
      </rPr>
      <t xml:space="preserve"> lice (@ farms with counts)</t>
    </r>
  </si>
  <si>
    <t>smolts stocked</t>
  </si>
  <si>
    <t>started harvesting</t>
  </si>
  <si>
    <t>fish stocked</t>
  </si>
  <si>
    <r>
      <t xml:space="preserve">estimated # of </t>
    </r>
    <r>
      <rPr>
        <i/>
        <sz val="10"/>
        <color indexed="10"/>
        <rFont val="Arial"/>
        <family val="2"/>
      </rPr>
      <t>Caligus sp.</t>
    </r>
    <r>
      <rPr>
        <sz val="10"/>
        <color indexed="10"/>
        <rFont val="Arial"/>
        <family val="2"/>
      </rPr>
      <t xml:space="preserve"> Female lice (@ farms with counts, 40% of total)</t>
    </r>
  </si>
  <si>
    <t>2008 April # females</t>
  </si>
  <si>
    <t>2008 May # females</t>
  </si>
  <si>
    <t>April mean</t>
  </si>
  <si>
    <t>L. salmonis</t>
  </si>
  <si>
    <t>Caligus summary:</t>
  </si>
  <si>
    <t>Caligus</t>
  </si>
  <si>
    <t>#Caligus</t>
  </si>
  <si>
    <t>Total</t>
  </si>
  <si>
    <t># actual</t>
  </si>
  <si>
    <t>counts</t>
  </si>
  <si>
    <t># active</t>
  </si>
  <si>
    <t>farms</t>
  </si>
  <si>
    <t># count</t>
  </si>
  <si>
    <t>estimates</t>
  </si>
  <si>
    <t># with</t>
  </si>
  <si>
    <t>no counts</t>
  </si>
  <si>
    <t>Comments</t>
  </si>
  <si>
    <t>counted fish</t>
  </si>
  <si>
    <t>min</t>
  </si>
  <si>
    <t>max</t>
  </si>
  <si>
    <t>2003 Sept # females</t>
  </si>
  <si>
    <t>2004 Sept # females</t>
  </si>
  <si>
    <t>2005 Sept # females</t>
  </si>
  <si>
    <t>2006 Sept # females</t>
  </si>
  <si>
    <t>2007 Sept # females</t>
  </si>
  <si>
    <t>2003 Jan # females</t>
  </si>
  <si>
    <t>2004 Jan # females</t>
  </si>
  <si>
    <t>2006 Jan # females</t>
  </si>
  <si>
    <t>2007 Jan # females</t>
  </si>
  <si>
    <t>2008 Jan # females</t>
  </si>
  <si>
    <t>2003 Jul # females</t>
  </si>
  <si>
    <t>2004 Jul # females</t>
  </si>
  <si>
    <t>2005 Jul # females</t>
  </si>
  <si>
    <t>2006 Jul # females</t>
  </si>
  <si>
    <t>2007 Jul # females</t>
  </si>
  <si>
    <t>2004 Dec # females</t>
  </si>
  <si>
    <t>2005 Dec # females</t>
  </si>
  <si>
    <t>2006 Dec # females</t>
  </si>
  <si>
    <t>2007 Dec # females</t>
  </si>
  <si>
    <t>January</t>
  </si>
  <si>
    <t>July</t>
  </si>
  <si>
    <t>September</t>
  </si>
  <si>
    <t>December</t>
  </si>
  <si>
    <t>2003 Oct # females</t>
  </si>
  <si>
    <t>2004 Oct # females</t>
  </si>
  <si>
    <t>2005 Oct # females</t>
  </si>
  <si>
    <t>2006 Oct # females</t>
  </si>
  <si>
    <t>2007 Oct # females</t>
  </si>
  <si>
    <t>October</t>
  </si>
  <si>
    <t>2003 Nov # females</t>
  </si>
  <si>
    <t>2004 Nov # females</t>
  </si>
  <si>
    <t>2005 Nov # females</t>
  </si>
  <si>
    <t>2006 Nov # females</t>
  </si>
  <si>
    <t>2007 Nov # females</t>
  </si>
  <si>
    <t>November</t>
  </si>
  <si>
    <t>2003 Feb # females</t>
  </si>
  <si>
    <t>2004 Feb # females</t>
  </si>
  <si>
    <t>2005 Feb # females</t>
  </si>
  <si>
    <t>2006 Feb # females</t>
  </si>
  <si>
    <t>2007 Feb # females</t>
  </si>
  <si>
    <t>2008 Feb # females</t>
  </si>
  <si>
    <t>February</t>
  </si>
  <si>
    <t>2003 Mar # females</t>
  </si>
  <si>
    <t>2004 Mar # females</t>
  </si>
  <si>
    <t>2005 Mar # females</t>
  </si>
  <si>
    <t>2006 Mar # females</t>
  </si>
  <si>
    <t>2007 Mar # females</t>
  </si>
  <si>
    <t>2008 Mar # females</t>
  </si>
  <si>
    <t>2003 Aug # females</t>
  </si>
  <si>
    <t>2004 Aug # females</t>
  </si>
  <si>
    <t>2005 Aug # females</t>
  </si>
  <si>
    <t>2006 Aug # females</t>
  </si>
  <si>
    <t>2007 Aug # females</t>
  </si>
  <si>
    <t>August</t>
  </si>
  <si>
    <t>March</t>
  </si>
  <si>
    <t>2003 Jun # females</t>
  </si>
  <si>
    <t>2004 Jun # females</t>
  </si>
  <si>
    <t>2005 Jun # females</t>
  </si>
  <si>
    <t>2006 Jun # females</t>
  </si>
  <si>
    <t>2007 Jun # females</t>
  </si>
  <si>
    <t>2008 Jun # females</t>
  </si>
  <si>
    <t>June</t>
  </si>
  <si>
    <t>Summary of monthly means</t>
  </si>
  <si>
    <t>top 3</t>
  </si>
  <si>
    <t>% top 8</t>
  </si>
  <si>
    <t>Sum top 8</t>
  </si>
  <si>
    <t>Sum top 6</t>
  </si>
  <si>
    <t>% top 6</t>
  </si>
  <si>
    <t>Odd year is greater during 11 months</t>
  </si>
  <si>
    <t>% top 7</t>
  </si>
  <si>
    <t>Sum top 7</t>
  </si>
  <si>
    <t>fish</t>
  </si>
  <si>
    <t>#</t>
  </si>
  <si>
    <t>Standard Error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</si>
  <si>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</si>
  <si>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</si>
  <si>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</si>
  <si>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</si>
  <si>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</si>
  <si>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</si>
  <si>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</si>
  <si>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</si>
  <si>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</si>
  <si>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</si>
  <si>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</si>
  <si>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</si>
  <si>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Outmigration</t>
  </si>
  <si>
    <t>Farm fish</t>
  </si>
  <si>
    <t>Production</t>
  </si>
  <si>
    <t>Ivermectin treatment</t>
  </si>
  <si>
    <t>sum</t>
  </si>
  <si>
    <t># Tx</t>
  </si>
  <si>
    <t>SL-yr</t>
  </si>
  <si>
    <t>1999-2000</t>
  </si>
  <si>
    <t>2000-2001</t>
  </si>
  <si>
    <t>2001-2002</t>
  </si>
  <si>
    <t>2002-2003</t>
  </si>
  <si>
    <t>2003-2004</t>
  </si>
  <si>
    <t>2004-2005</t>
  </si>
  <si>
    <t>2005-2006</t>
  </si>
  <si>
    <t>2006-2007</t>
  </si>
  <si>
    <t>2007-2008</t>
  </si>
  <si>
    <t># Fe L.s./farm</t>
  </si>
  <si>
    <t>Average of # Fe L.s./farm</t>
  </si>
  <si>
    <t>Total Average of # Fe L.s./farm</t>
  </si>
  <si>
    <t>Average of age (d in SW)</t>
  </si>
  <si>
    <t>Total Average of age (d in SW)</t>
  </si>
  <si>
    <t>treated farm averages</t>
  </si>
  <si>
    <t>mean fish age in SW</t>
  </si>
  <si>
    <t># motiles/fish</t>
  </si>
  <si>
    <t># motiles/farm</t>
  </si>
  <si>
    <t>motiles(#/fish)</t>
  </si>
  <si>
    <t>Average of # motiles/farm</t>
  </si>
  <si>
    <t>Total Average of # motiles/farm</t>
  </si>
  <si>
    <t>#motiles/farm</t>
  </si>
  <si>
    <t># fish/farm</t>
  </si>
  <si>
    <t>female L.s.</t>
  </si>
  <si>
    <t>% top 9</t>
  </si>
  <si>
    <t>Sum top 9</t>
  </si>
  <si>
    <t>transferring out</t>
  </si>
  <si>
    <t>Jan 1 09 count</t>
  </si>
  <si>
    <t>smolt entry?</t>
  </si>
  <si>
    <t>smolt entry (stocked 24 Oct 2008)</t>
  </si>
  <si>
    <t>2008-2009</t>
  </si>
  <si>
    <t># farm</t>
  </si>
  <si>
    <t>SEM</t>
  </si>
  <si>
    <t>less than 3 pens</t>
  </si>
  <si>
    <t>Empty Mar 4th</t>
  </si>
  <si>
    <t>started moving to other sites</t>
  </si>
  <si>
    <t>harvest; inventory March1 = 247,549, empty by March 21</t>
  </si>
  <si>
    <t>empty by end of month</t>
  </si>
  <si>
    <t>smolt stocking, no counts</t>
  </si>
  <si>
    <t># female L.s.</t>
  </si>
  <si>
    <t>max/min</t>
  </si>
  <si>
    <t>DFO data for late April = 31.3% and late May = 29.3%; value averaged to fit mid-May); from Jones and Hargreaves. 2009 (Dis Aquat Org 84:131-137)</t>
  </si>
  <si>
    <t>DFO data for late April = 12.5% and late May = 15.8%; value averaged to fit mid-May); from Jones and Hargreaves. 2009 (Dis Aquat Org 84:131-137)</t>
  </si>
  <si>
    <t>DFO data for late April = 27.1% and late May = 14.3%; value averaged to fit mid-May); from Jones and Hargreaves. 2009 (Dis Aquat Org 84:131-137)</t>
  </si>
  <si>
    <t>DFO data for late April = 3.8% and late May = 15.2%; value averaged to fit mid-May); from Jones and Hargreaves. 2009 (Dis Aquat Org 84:131-137)</t>
  </si>
  <si>
    <t>~July = 96.4</t>
  </si>
  <si>
    <t>Slice (and 2 ivermectin) treatments on production and brood fish</t>
  </si>
  <si>
    <t>&gt;600d in SW</t>
  </si>
  <si>
    <t>counted</t>
  </si>
  <si>
    <t>adjusted #1</t>
  </si>
  <si>
    <t>adjusted #2</t>
  </si>
  <si>
    <t># female L.s./</t>
  </si>
  <si>
    <t>old fish extra</t>
  </si>
  <si>
    <t>% top 2</t>
  </si>
  <si>
    <t>Sum top 2</t>
  </si>
  <si>
    <t># post-Tx</t>
  </si>
  <si>
    <t>Treatment</t>
  </si>
  <si>
    <t>Sum of Treatment</t>
  </si>
  <si>
    <t>Total Sum of Treatment</t>
  </si>
  <si>
    <t>Farm # on  Map</t>
  </si>
  <si>
    <t>2008 Jul # females</t>
  </si>
  <si>
    <t>2008 Aug # females</t>
  </si>
  <si>
    <t>2008 Sept # females</t>
  </si>
  <si>
    <t>2008 Oct # females</t>
  </si>
  <si>
    <t>2008 Nov # females</t>
  </si>
  <si>
    <t>2008 Dec # females</t>
  </si>
  <si>
    <t>no count  harvesting</t>
  </si>
  <si>
    <t>inventory as of Nov 1</t>
  </si>
  <si>
    <t>no  count</t>
  </si>
  <si>
    <t>Empty (no fish)</t>
  </si>
  <si>
    <t>transferred some from farm #1</t>
  </si>
  <si>
    <t>some fish moved from farm #1 (counts are from farm #1 for the same time period)</t>
  </si>
  <si>
    <t xml:space="preserve">moved to farm #1 </t>
  </si>
  <si>
    <t>moved 470,000 to farm #2</t>
  </si>
  <si>
    <t>some moved to farm #2</t>
  </si>
  <si>
    <t>fish moved from farm #2 (counts from there)</t>
  </si>
  <si>
    <t>some moved from farm #4 (counts estimated to be the same as farm #4 for the month)</t>
  </si>
  <si>
    <t>moved to farm #6?</t>
  </si>
  <si>
    <t>transferred to farm #6 by end of month</t>
  </si>
  <si>
    <t>fish transferred from farm #6 in late February, but inventory included only in farm #6 counts</t>
  </si>
  <si>
    <t>fish moved to farm #6</t>
  </si>
  <si>
    <t>180,000 transferred to farm #6</t>
  </si>
  <si>
    <t>Likely transferred from farm #8</t>
  </si>
  <si>
    <t>Transferred from farm #8</t>
  </si>
  <si>
    <t>Fish transferred in from farm #8</t>
  </si>
  <si>
    <t>Fish transferred from farm #8</t>
  </si>
  <si>
    <t>transferred from farm #8</t>
  </si>
  <si>
    <t>fish moved from farm #8 (counts for the month are at farm #8)</t>
  </si>
  <si>
    <t>transfer from farm #8</t>
  </si>
  <si>
    <t>moved from farm #8</t>
  </si>
  <si>
    <t>fish moved to farm #9</t>
  </si>
  <si>
    <t>fish moved  from farm #9</t>
  </si>
  <si>
    <t>additional fish moved from farm #9</t>
  </si>
  <si>
    <t>Fish moved to farm #9 in 3rd week of Feb</t>
  </si>
  <si>
    <t>transferred to farm #9</t>
  </si>
  <si>
    <t>about 1/2 fish moved to farm #9</t>
  </si>
  <si>
    <t>200,000+ moved to farm #11</t>
  </si>
  <si>
    <t>transferred to farm #11</t>
  </si>
  <si>
    <t>moved to farm #11</t>
  </si>
  <si>
    <t>moved from farm #12</t>
  </si>
  <si>
    <t>moved 318,696 to farm #13</t>
  </si>
  <si>
    <t>moved 318,696 from farm #14</t>
  </si>
  <si>
    <t xml:space="preserve">transferred from farm #14 </t>
  </si>
  <si>
    <t>Fish transferred from farm #15</t>
  </si>
  <si>
    <t>256K from farm #15</t>
  </si>
  <si>
    <t>moved from farm #15 Aug 1999</t>
  </si>
  <si>
    <t>transfer to farm #16</t>
  </si>
  <si>
    <t>Transferred from farm #17</t>
  </si>
  <si>
    <t>count estimated (receiving fish from farm #17; use farm #17 counts)</t>
  </si>
  <si>
    <t>transfer from farm #17 on 29 July</t>
  </si>
  <si>
    <t>Fish transferred in from farm #17</t>
  </si>
  <si>
    <t>fish from farm #17</t>
  </si>
  <si>
    <t>transferred from farm #17 24 July 2008</t>
  </si>
  <si>
    <t>transferred ~400K to farm #18</t>
  </si>
  <si>
    <t>remainder transferred to farm #18</t>
  </si>
  <si>
    <t>moved fish to farm #18</t>
  </si>
  <si>
    <t>~240K moved to farm #20 (remainder moved in October)</t>
  </si>
  <si>
    <t>Shipped to farm #21</t>
  </si>
  <si>
    <t>fish moved to farm #21</t>
  </si>
  <si>
    <t>moved 310K to farm #22</t>
  </si>
  <si>
    <t>transfer to farm #23 (484K) and farm #18 (303K)</t>
  </si>
  <si>
    <t>~581 K moved to farm #23</t>
  </si>
  <si>
    <t>moved fish to farm #23 Aug 3, 2008 and Aug 11, 2008; other to farm #13?</t>
  </si>
  <si>
    <t>fish transferred out to farm #13 and farm #24</t>
  </si>
  <si>
    <t>transfer 539,792 fish to farm #24</t>
  </si>
  <si>
    <t>115K moved from farm #15 (counts made while still at farm #15) and 303K from farm #25</t>
  </si>
  <si>
    <t>transferred from farm #25</t>
  </si>
  <si>
    <t>from farm #25</t>
  </si>
  <si>
    <t>fish moved from farm #25</t>
  </si>
  <si>
    <t>Transferred from farm #25 in Aug 2007</t>
  </si>
  <si>
    <t>some more fish from farm #25</t>
  </si>
  <si>
    <t>moved from farm #25</t>
  </si>
  <si>
    <t>No data on # of fish</t>
  </si>
  <si>
    <r>
      <t xml:space="preserve">Harvest, &lt; 3 pens </t>
    </r>
    <r>
      <rPr>
        <sz val="10"/>
        <color indexed="10"/>
        <rFont val="Arial"/>
        <family val="2"/>
      </rPr>
      <t xml:space="preserve"> (normally - &gt;20000 per pen)</t>
    </r>
  </si>
  <si>
    <t>From Emergency Drug Release information - most likely partial tx (i.e., treated fish not harvested until a few months later)</t>
  </si>
  <si>
    <t>counts from the British Columbia Ministry of Agriculture and Lands;</t>
  </si>
  <si>
    <t>Treatment split between May and July</t>
  </si>
  <si>
    <t>Harvest, &lt; 3 pens left</t>
  </si>
  <si>
    <t>started harvest</t>
  </si>
  <si>
    <t>moved from farm #7</t>
  </si>
  <si>
    <t>IHNV diagnosis</t>
  </si>
  <si>
    <t>Harvest completed end of March</t>
  </si>
  <si>
    <t>Smolts entered</t>
  </si>
  <si>
    <t>moved to farm #6; site no longer used (permanent fallow)</t>
  </si>
  <si>
    <t>fish were entered in farm #8 then moved to farm #11(?)</t>
  </si>
  <si>
    <t>transferred to farm #3 and farm #4</t>
  </si>
  <si>
    <t>IHNV Dx</t>
  </si>
  <si>
    <t>Culled (because of IHNV diagnosis)</t>
  </si>
  <si>
    <t>T (°C)</t>
  </si>
  <si>
    <t>Salinity (ppt)</t>
  </si>
  <si>
    <t>used counts from farm #17 for same month</t>
  </si>
  <si>
    <t>Transferred to farm #18</t>
  </si>
  <si>
    <t>empty by end of March</t>
  </si>
  <si>
    <t>moved 397,000 to farm #20 2nd week of Sept</t>
  </si>
  <si>
    <t>fish moved: ~250,000 to farm #13 and ~115,000 to farm #18; counts originally listed here are used at those farms</t>
  </si>
  <si>
    <t>IHNV Diagnosis</t>
  </si>
  <si>
    <t>transfer to farm #24</t>
  </si>
  <si>
    <t>Transfer to farm #13</t>
  </si>
  <si>
    <t>no count, fish health reasons</t>
  </si>
  <si>
    <t>Shipped last fish to farm #22 on Sept 20</t>
  </si>
  <si>
    <t>Transferred from farm #18 and farm #13</t>
  </si>
  <si>
    <t xml:space="preserve">transferred from farm #18 and farm #22 </t>
  </si>
  <si>
    <t>some fish moved outside Broughton</t>
  </si>
  <si>
    <t>harvesting; no counts (&lt;3 pens)</t>
  </si>
  <si>
    <t>stocking from farm #25 (counts are from June @ farm #25)</t>
  </si>
  <si>
    <t>stocking from farm #25</t>
  </si>
  <si>
    <t>Fish from farm #20; counts are based on Dec 2002 counts at farm #20</t>
  </si>
  <si>
    <t>transferred from farm #25; counts are from farm #25 counts for Oct 2004</t>
  </si>
  <si>
    <t>culled site (because of IHNV diagnosis)</t>
  </si>
  <si>
    <t>begin stocking Oct 11</t>
  </si>
  <si>
    <r>
      <t xml:space="preserve"># Female </t>
    </r>
    <r>
      <rPr>
        <i/>
        <sz val="10"/>
        <rFont val="Arial"/>
        <family val="2"/>
      </rPr>
      <t>L.salmonis</t>
    </r>
  </si>
  <si>
    <r>
      <t xml:space="preserve"># </t>
    </r>
    <r>
      <rPr>
        <i/>
        <sz val="10"/>
        <rFont val="Arial"/>
        <family val="2"/>
      </rPr>
      <t>Caligus spp</t>
    </r>
    <r>
      <rPr>
        <sz val="10"/>
        <rFont val="Arial"/>
        <family val="2"/>
      </rPr>
      <t>.</t>
    </r>
  </si>
  <si>
    <t>Count of # Female L.salmonis</t>
  </si>
  <si>
    <t>Total Count of # Female L.salmonis</t>
  </si>
  <si>
    <t>Sum of # Female L.salmonis</t>
  </si>
  <si>
    <t>Total Sum of # Female L.salmonis</t>
  </si>
  <si>
    <t>Count of Treatment</t>
  </si>
  <si>
    <t>Total Count of Treatment</t>
  </si>
  <si>
    <r>
      <t xml:space="preserve">0.4*(# </t>
    </r>
    <r>
      <rPr>
        <i/>
        <sz val="10"/>
        <rFont val="Arial"/>
        <family val="2"/>
      </rPr>
      <t>Caligus</t>
    </r>
    <r>
      <rPr>
        <sz val="10"/>
        <rFont val="Arial"/>
        <family val="2"/>
      </rPr>
      <t>/ farm)</t>
    </r>
  </si>
  <si>
    <t>Sum of 0.4*(# Caligus/ farm)</t>
  </si>
  <si>
    <t>Total Sum of 0.4*(# Caligus/ farm)</t>
  </si>
  <si>
    <t>Data for adjustment factors from 2000 - 2002</t>
  </si>
  <si>
    <t>ND = no data</t>
  </si>
  <si>
    <t>Summary of Slice and Ivermectin treatments (Tx)</t>
  </si>
  <si>
    <t>Fe = female</t>
  </si>
  <si>
    <r>
      <t xml:space="preserve">L.s. = </t>
    </r>
    <r>
      <rPr>
        <i/>
        <sz val="10"/>
        <rFont val="Arial"/>
        <family val="2"/>
      </rPr>
      <t>Lepeophtheirus salmonis</t>
    </r>
  </si>
  <si>
    <t>SW = sea water</t>
  </si>
  <si>
    <t>data from Morton et al. 2005 (N Am J Fish Manag 25:811-821)</t>
  </si>
  <si>
    <t>sampling did not begin until June; from Morton et al. 2003 Can Field-Nat (117:634-641)</t>
  </si>
  <si>
    <t>DFO data from late May samples (no earlier samples were collected); from Jones and Hargreaves 2007 (J. Paristol. 93:1324-1331)</t>
  </si>
  <si>
    <t>DFO data from mid-May; prevalence estimated from counts in week 11; from Jones and Nemec 2004 (“Pink salmon action plan: Sea lice on juvenile salmon and some non-salmonid species in the Broughton Archipelago in 2003”  (Canadian Science Advisory Secretariat Research Document 2004/105.  Fisheries and Oceans Canada, Ottawa, Ontario, Canada)</t>
  </si>
  <si>
    <t>Harvesting out</t>
  </si>
  <si>
    <t>moved out of Broughton</t>
  </si>
  <si>
    <t>not sampled</t>
  </si>
  <si>
    <t>Site stocking</t>
  </si>
  <si>
    <t>Color codes:</t>
  </si>
  <si>
    <t>= estimated data</t>
  </si>
  <si>
    <t>= fish &gt;600 d in the marine environment [These fish were handed differently for estimating total #s of sea lice on farm fish in the Broughton Archipelago, see supplementary online methods]</t>
  </si>
  <si>
    <t>SW = salt water</t>
  </si>
  <si>
    <r>
      <t># Motiles (</t>
    </r>
    <r>
      <rPr>
        <i/>
        <sz val="10"/>
        <rFont val="Arial"/>
        <family val="2"/>
      </rPr>
      <t>L.salmonis</t>
    </r>
    <r>
      <rPr>
        <sz val="10"/>
        <rFont val="Arial"/>
        <family val="2"/>
      </rPr>
      <t>)</t>
    </r>
  </si>
  <si>
    <t>Motile L.s./ fish</t>
  </si>
  <si>
    <t>Female L.s./ fish</t>
  </si>
  <si>
    <r>
      <rPr>
        <b/>
        <sz val="10"/>
        <rFont val="Arial"/>
        <family val="2"/>
      </rPr>
      <t>Motile L.s./fish</t>
    </r>
    <r>
      <rPr>
        <sz val="10"/>
        <rFont val="Arial"/>
        <family val="2"/>
      </rPr>
      <t xml:space="preserve"> (column K) - # of </t>
    </r>
    <r>
      <rPr>
        <i/>
        <sz val="10"/>
        <rFont val="Arial"/>
        <family val="2"/>
      </rPr>
      <t>Lepeophtheirus salmonis</t>
    </r>
    <r>
      <rPr>
        <sz val="10"/>
        <rFont val="Arial"/>
        <family val="2"/>
      </rPr>
      <t xml:space="preserve"> (male and female combined)</t>
    </r>
  </si>
  <si>
    <t>Sea lice life stages counted:</t>
  </si>
  <si>
    <r>
      <rPr>
        <b/>
        <sz val="10"/>
        <rFont val="Arial"/>
        <family val="2"/>
      </rPr>
      <t>Chalimus/fish</t>
    </r>
    <r>
      <rPr>
        <sz val="10"/>
        <rFont val="Arial"/>
        <family val="2"/>
      </rPr>
      <t xml:space="preserve"> (column J) - #s are counted, but species (</t>
    </r>
    <r>
      <rPr>
        <i/>
        <sz val="10"/>
        <rFont val="Arial"/>
        <family val="2"/>
      </rPr>
      <t>Lepeophtheirus salmonis</t>
    </r>
    <r>
      <rPr>
        <sz val="10"/>
        <rFont val="Arial"/>
        <family val="2"/>
      </rPr>
      <t xml:space="preserve"> vs. </t>
    </r>
    <r>
      <rPr>
        <i/>
        <sz val="10"/>
        <rFont val="Arial"/>
        <family val="2"/>
      </rPr>
      <t>Caligus spp</t>
    </r>
    <r>
      <rPr>
        <sz val="10"/>
        <rFont val="Arial"/>
        <family val="2"/>
      </rPr>
      <t>.) are not differentiated</t>
    </r>
  </si>
  <si>
    <t>= post-treatment fish (lice counts from these fish were not used for estimating total #s of sea lice on farm fish in the Broughton Archipelago)</t>
  </si>
  <si>
    <t>L salmonis</t>
  </si>
  <si>
    <t>Juvenile wild pink salmon</t>
  </si>
  <si>
    <t>in May</t>
  </si>
  <si>
    <t>Source</t>
  </si>
  <si>
    <t>DFO = Canadian Department of Fisheries and Oceans</t>
  </si>
  <si>
    <r>
      <t xml:space="preserve">prevalence of </t>
    </r>
    <r>
      <rPr>
        <i/>
        <sz val="10"/>
        <rFont val="Arial"/>
        <family val="2"/>
      </rPr>
      <t>L. salmonis</t>
    </r>
  </si>
  <si>
    <t>year</t>
  </si>
  <si>
    <t>NOT LAGGED</t>
  </si>
  <si>
    <t>9-river</t>
  </si>
  <si>
    <t>LAGGED</t>
  </si>
  <si>
    <t>Broughton</t>
  </si>
  <si>
    <t># female lice</t>
  </si>
  <si>
    <t>All years</t>
  </si>
  <si>
    <t>Odd years</t>
  </si>
  <si>
    <t>Even years</t>
  </si>
  <si>
    <t>Escapement</t>
  </si>
  <si>
    <t>Returns</t>
  </si>
  <si>
    <t>observed</t>
  </si>
  <si>
    <t>S_t-2 &amp; L_t-1</t>
  </si>
  <si>
    <t>S_t-2 &amp; P_t-1</t>
  </si>
  <si>
    <t>S_t</t>
  </si>
  <si>
    <t>L_t</t>
  </si>
  <si>
    <t>P_t</t>
  </si>
  <si>
    <t>t</t>
  </si>
  <si>
    <t>R_t</t>
  </si>
  <si>
    <t>S_t-2</t>
  </si>
  <si>
    <t>L_t-1</t>
  </si>
  <si>
    <t>P_t-1</t>
  </si>
  <si>
    <t>ln(R_t/S_t-2)</t>
  </si>
  <si>
    <t>Predicted</t>
  </si>
  <si>
    <t>Residual</t>
  </si>
  <si>
    <t>NA</t>
  </si>
  <si>
    <t>All, t=2001-2009</t>
  </si>
  <si>
    <t>Odd, t=2001-2009</t>
  </si>
  <si>
    <t>Even, t=2002-2008</t>
  </si>
  <si>
    <t>Regression using equation (2): R_t [i.e., ln(R_t/S_t-2)] vs S_t-2 and L_t-1</t>
  </si>
  <si>
    <t>SUMMARY OUTPUT</t>
  </si>
  <si>
    <t>Regression Statistics</t>
  </si>
  <si>
    <t>Multiple R</t>
  </si>
  <si>
    <t>R Square</t>
  </si>
  <si>
    <t>Adjusted R Square</t>
  </si>
  <si>
    <t>Observations</t>
  </si>
  <si>
    <t>ANOVA</t>
  </si>
  <si>
    <t>Regression</t>
  </si>
  <si>
    <t>Intercept</t>
  </si>
  <si>
    <t>parental escapement</t>
  </si>
  <si>
    <t>Density-dependence parameter is significant; lice coefficient is not.</t>
  </si>
  <si>
    <t>No parameters are significant.</t>
  </si>
  <si>
    <t>All, t=1991-2009</t>
  </si>
  <si>
    <t>Odd, t=1991-2009</t>
  </si>
  <si>
    <t>Even, t=1992-2008</t>
  </si>
  <si>
    <t>Regression using equation (2): R_t [i.e., ln(R_t/S_t-2)] vs S_t-2 and P_t-1</t>
  </si>
  <si>
    <t>Density-dependence parameter is highly significant; farm production coefficient is not.</t>
  </si>
  <si>
    <t>Density-dependence parameter is significant; farm production coefficient is not.</t>
  </si>
  <si>
    <t>Density-dependence parameter is almost significant; farm production coefficient is not.</t>
  </si>
  <si>
    <t>All, t=2001-2009 (Same time period as sea lice estimates)</t>
  </si>
  <si>
    <t>Odd, t=2001-2009 (Same time period as sea lice estimates)</t>
  </si>
  <si>
    <t>Even, t=2002-2008 (Same time period as sea lice estimates)</t>
  </si>
  <si>
    <t>Regression using equation (2): R_t [i.e., ln(R_t/S_t-2)] vs S_t-2, P_t-1 and L_t-1</t>
  </si>
  <si>
    <t>Density-dependence parameter is significant; lice and farm production coefficients are not.</t>
  </si>
  <si>
    <t>All, t=2000-2009</t>
  </si>
  <si>
    <t>Nothing is significant</t>
  </si>
  <si>
    <t>L.salmonis</t>
  </si>
  <si>
    <t># female</t>
  </si>
  <si>
    <r>
      <t xml:space="preserve">Year </t>
    </r>
    <r>
      <rPr>
        <i/>
        <sz val="11"/>
        <rFont val="Arial"/>
        <family val="2"/>
      </rPr>
      <t>t</t>
    </r>
  </si>
  <si>
    <r>
      <rPr>
        <b/>
        <sz val="11"/>
        <rFont val="Arial"/>
        <family val="2"/>
      </rPr>
      <t>S_t</t>
    </r>
    <r>
      <rPr>
        <sz val="11"/>
        <rFont val="Arial"/>
        <family val="2"/>
      </rPr>
      <t xml:space="preserve"> = summed escapement for 9 rivers in the Broughton Archipelago (see Fig. S1) in year </t>
    </r>
    <r>
      <rPr>
        <i/>
        <sz val="11"/>
        <rFont val="Arial"/>
        <family val="2"/>
      </rPr>
      <t>t</t>
    </r>
  </si>
  <si>
    <r>
      <rPr>
        <b/>
        <sz val="11"/>
        <rFont val="Arial"/>
        <family val="2"/>
      </rPr>
      <t>L_t</t>
    </r>
    <r>
      <rPr>
        <sz val="11"/>
        <rFont val="Arial"/>
        <family val="2"/>
      </rPr>
      <t xml:space="preserve"> = # of adult female L. salmonis on farm fish in April in year </t>
    </r>
    <r>
      <rPr>
        <i/>
        <sz val="11"/>
        <rFont val="Arial"/>
        <family val="2"/>
      </rPr>
      <t>t</t>
    </r>
  </si>
  <si>
    <t>April farm lice #s</t>
  </si>
  <si>
    <t>farm fish production</t>
  </si>
  <si>
    <t>April farm</t>
  </si>
  <si>
    <t>Abbreviations/Definitions:</t>
  </si>
  <si>
    <t>Escapement = the number of adult salmon that return to a river in the fall</t>
  </si>
  <si>
    <t>Returns = escapement plus commercial harvest</t>
  </si>
  <si>
    <t>Ahta River</t>
  </si>
  <si>
    <t>not in Knight inlet</t>
  </si>
  <si>
    <t>Kakweiken River</t>
  </si>
  <si>
    <t>Kingcome River</t>
  </si>
  <si>
    <t>Wakeman River</t>
  </si>
  <si>
    <t>ND = do data</t>
  </si>
  <si>
    <t>Viner River</t>
  </si>
  <si>
    <t>N.O. = none observed</t>
  </si>
  <si>
    <t>Lull River</t>
  </si>
  <si>
    <t>Knight inlet</t>
  </si>
  <si>
    <t>N.I. = not inspected</t>
  </si>
  <si>
    <t>Ahnuhati River</t>
  </si>
  <si>
    <t>Ahta</t>
  </si>
  <si>
    <t>Kakweiken</t>
  </si>
  <si>
    <t>Kingcome</t>
  </si>
  <si>
    <t>Wakeman</t>
  </si>
  <si>
    <t>Viner</t>
  </si>
  <si>
    <t>Lull</t>
  </si>
  <si>
    <t>Ahnuhati</t>
  </si>
  <si>
    <t>mean of 9-river</t>
  </si>
  <si>
    <t>% change</t>
  </si>
  <si>
    <t>(Area 12)</t>
  </si>
  <si>
    <t>even</t>
  </si>
  <si>
    <t>from previous</t>
  </si>
  <si>
    <t>status</t>
  </si>
  <si>
    <t>Glendale</t>
  </si>
  <si>
    <t>Embly</t>
  </si>
  <si>
    <r>
      <t>SUM (S</t>
    </r>
    <r>
      <rPr>
        <i/>
        <sz val="10"/>
        <rFont val="Arial"/>
        <family val="2"/>
      </rPr>
      <t>i</t>
    </r>
    <r>
      <rPr>
        <sz val="10"/>
        <rFont val="Arial"/>
        <family val="2"/>
      </rPr>
      <t>)</t>
    </r>
  </si>
  <si>
    <t>generation</t>
  </si>
  <si>
    <t>Catch</t>
  </si>
  <si>
    <t>not used</t>
  </si>
  <si>
    <t>pre_lice</t>
  </si>
  <si>
    <t>N.O.</t>
  </si>
  <si>
    <t>U.K.</t>
  </si>
  <si>
    <t>lice</t>
  </si>
  <si>
    <t>fallow</t>
  </si>
  <si>
    <t>N.I.</t>
  </si>
  <si>
    <t>minimum</t>
  </si>
  <si>
    <t>= median 9-river escapement (1950 - 2008)</t>
  </si>
  <si>
    <t>maximum</t>
  </si>
  <si>
    <t>= median 9-river escapement (1970 - 2008)</t>
  </si>
  <si>
    <t>most recent pre-2000 peak year:</t>
  </si>
  <si>
    <t>fraction of returns 2 years later:</t>
  </si>
  <si>
    <t>odd</t>
  </si>
  <si>
    <t>A/P</t>
  </si>
  <si>
    <t>= median 9-river escapement (1951 - 2009)</t>
  </si>
  <si>
    <t>= median 9-river escapement (1971 - 2009)</t>
  </si>
  <si>
    <t>Name</t>
  </si>
  <si>
    <t>General location</t>
  </si>
  <si>
    <t>7-river</t>
  </si>
  <si>
    <t>Pink salmon escapement data for rivers in the Broughton Archipelago (source: Canadian Department of Fisheries and Oceans).</t>
  </si>
  <si>
    <t xml:space="preserve">mean of </t>
  </si>
  <si>
    <t>= greatest # of returns</t>
  </si>
  <si>
    <t>= least # of returns</t>
  </si>
  <si>
    <r>
      <t>SUM (S</t>
    </r>
    <r>
      <rPr>
        <i/>
        <sz val="10"/>
        <rFont val="Arial"/>
        <family val="2"/>
      </rPr>
      <t>i</t>
    </r>
    <r>
      <rPr>
        <sz val="10"/>
        <rFont val="Arial"/>
        <family val="2"/>
      </rPr>
      <t>)</t>
    </r>
  </si>
  <si>
    <r>
      <t>sum (m</t>
    </r>
    <r>
      <rPr>
        <i/>
        <sz val="10"/>
        <rFont val="Arial"/>
        <family val="2"/>
      </rPr>
      <t>i</t>
    </r>
    <r>
      <rPr>
        <sz val="10"/>
        <rFont val="Arial"/>
        <family val="2"/>
      </rPr>
      <t>)</t>
    </r>
  </si>
  <si>
    <r>
      <t>ln (S</t>
    </r>
    <r>
      <rPr>
        <i/>
        <sz val="10"/>
        <rFont val="Arial"/>
        <family val="2"/>
      </rPr>
      <t>i</t>
    </r>
    <r>
      <rPr>
        <sz val="10"/>
        <rFont val="Arial"/>
        <family val="2"/>
      </rPr>
      <t>/m</t>
    </r>
    <r>
      <rPr>
        <i/>
        <sz val="10"/>
        <rFont val="Arial"/>
        <family val="2"/>
      </rPr>
      <t>i</t>
    </r>
    <r>
      <rPr>
        <sz val="10"/>
        <rFont val="Arial"/>
        <family val="2"/>
      </rPr>
      <t>)</t>
    </r>
  </si>
  <si>
    <t>previous</t>
  </si>
  <si>
    <t>analysis</t>
  </si>
  <si>
    <t>6-River Complete data 1999 - 2007</t>
  </si>
  <si>
    <t>6-river</t>
  </si>
  <si>
    <t>12-river</t>
  </si>
  <si>
    <t>% of 12-river</t>
  </si>
  <si>
    <t># of rivers</t>
  </si>
  <si>
    <t>DFO Area 7</t>
  </si>
  <si>
    <t>DFO Area 8</t>
  </si>
  <si>
    <t>DFO Area 9</t>
  </si>
  <si>
    <t>DFO area 10</t>
  </si>
  <si>
    <t>Reference</t>
  </si>
  <si>
    <t>total from extra</t>
  </si>
  <si>
    <t>with counts</t>
  </si>
  <si>
    <t xml:space="preserve">Year </t>
  </si>
  <si>
    <t>6 rivers</t>
  </si>
  <si>
    <t>N/O</t>
  </si>
  <si>
    <t>N/I</t>
  </si>
  <si>
    <t>N/R</t>
  </si>
  <si>
    <t>UNK</t>
  </si>
  <si>
    <t>FEW</t>
  </si>
  <si>
    <t>blank cell</t>
  </si>
  <si>
    <t xml:space="preserve">      N/O</t>
  </si>
  <si>
    <t>N/C</t>
  </si>
  <si>
    <t>Pine River</t>
  </si>
  <si>
    <t>Cheenis Creek</t>
  </si>
  <si>
    <t>Neekas Creek</t>
  </si>
  <si>
    <t>Tankeeah River</t>
  </si>
  <si>
    <t>Kwakusdis River</t>
  </si>
  <si>
    <t>Bullock Channel Creek</t>
  </si>
  <si>
    <t>Quartcha Creek</t>
  </si>
  <si>
    <t>Lee Creek</t>
  </si>
  <si>
    <t>Roscoe Creek</t>
  </si>
  <si>
    <t>Clatse Creek</t>
  </si>
  <si>
    <t>Walker Lake Creek</t>
  </si>
  <si>
    <t>Goat Bushu Creek</t>
  </si>
  <si>
    <t>Deer Pass Creek</t>
  </si>
  <si>
    <t>Sally Creek</t>
  </si>
  <si>
    <t>Scribner Creek</t>
  </si>
  <si>
    <t>Kunsoot River</t>
  </si>
  <si>
    <t>Kakushdish Creek</t>
  </si>
  <si>
    <t>Mclaughlin Bay Creek</t>
  </si>
  <si>
    <t>Cooper Inlet Creeks</t>
  </si>
  <si>
    <t>Kisameet River</t>
  </si>
  <si>
    <t>Sagar Creek</t>
  </si>
  <si>
    <t>Evans Inlet Creeks</t>
  </si>
  <si>
    <t>Hook Nose Creek</t>
  </si>
  <si>
    <t>Four Lakes Creek</t>
  </si>
  <si>
    <t>Martin River</t>
  </si>
  <si>
    <t>Jenny Bay Creeks</t>
  </si>
  <si>
    <t>Frenchman Creek</t>
  </si>
  <si>
    <t>Elcho Creek</t>
  </si>
  <si>
    <t>Green River</t>
  </si>
  <si>
    <t>Cascade River</t>
  </si>
  <si>
    <t>Eucott Bay Creek</t>
  </si>
  <si>
    <t>Deep Bay Creek</t>
  </si>
  <si>
    <t>Skowquiltz River</t>
  </si>
  <si>
    <t>Kimsquit River</t>
  </si>
  <si>
    <t>Dean River</t>
  </si>
  <si>
    <t>Nooseseck River</t>
  </si>
  <si>
    <t>Nieumiamus Creek</t>
  </si>
  <si>
    <t>Necleetsconnay River</t>
  </si>
  <si>
    <t>Larso Bay Creek</t>
  </si>
  <si>
    <t>Noeick River</t>
  </si>
  <si>
    <t>Taleomey River</t>
  </si>
  <si>
    <t>Asseek River</t>
  </si>
  <si>
    <t>Kwatna River</t>
  </si>
  <si>
    <t>Quatlena River</t>
  </si>
  <si>
    <t>Nootum River</t>
  </si>
  <si>
    <t>Namu River</t>
  </si>
  <si>
    <t>Koeye River</t>
  </si>
  <si>
    <t>Macnair Creek</t>
  </si>
  <si>
    <t>Milton River</t>
  </si>
  <si>
    <t>Clyak, Young &amp; Neil Creeks</t>
  </si>
  <si>
    <t>Kilbella River</t>
  </si>
  <si>
    <t>Chuckwalla River</t>
  </si>
  <si>
    <t>Wannock River &amp; Flats</t>
  </si>
  <si>
    <t>Nicknaqueet River</t>
  </si>
  <si>
    <t>Johnston Creek</t>
  </si>
  <si>
    <t>Allard Creek</t>
  </si>
  <si>
    <t>Lockhart-Gordon Creek</t>
  </si>
  <si>
    <t>Draney Creek</t>
  </si>
  <si>
    <t>Dallery Creek</t>
  </si>
  <si>
    <t>Amback Creek</t>
  </si>
  <si>
    <t>Ashlulm Creek</t>
  </si>
  <si>
    <t>Genesee Creek</t>
  </si>
  <si>
    <t>Nekite River</t>
  </si>
  <si>
    <t>Walkum Creek</t>
  </si>
  <si>
    <t>64-river</t>
  </si>
  <si>
    <t>Pink salmon escapement data for rivers in the reference area; source: Canadian Department of Fisheries and Oceans (DFO).</t>
  </si>
  <si>
    <t>= author estimate used for Fig. S3</t>
  </si>
  <si>
    <t>= DFO estimate used for Fig. S3</t>
  </si>
  <si>
    <t>12-River Complete data 1999 - 2007 (used in Fig. S3)</t>
  </si>
  <si>
    <t>Not Inspected</t>
  </si>
  <si>
    <t>Inspected with reasonable effort (during historical run timing) and None Observed</t>
  </si>
  <si>
    <t>No Record</t>
  </si>
  <si>
    <t>PST</t>
  </si>
  <si>
    <t xml:space="preserve">Species Present </t>
  </si>
  <si>
    <t>Adults Present (inspected and species present, but no estimate of escapement available)</t>
  </si>
  <si>
    <t>N/P</t>
  </si>
  <si>
    <t>No population present</t>
  </si>
  <si>
    <t>Inspected and species present, but no estimate of escapement available</t>
  </si>
  <si>
    <t>Abbreviation</t>
  </si>
  <si>
    <t>Explanation</t>
  </si>
  <si>
    <t>(females)</t>
  </si>
  <si>
    <t>(Final)</t>
  </si>
  <si>
    <t>DFO data for late April = 1.4% and late May = 2.7%; value averaged to fit mid-May); from http://www.pac.dfo-mpo.gc.ca/science/aquaculture/pinksalmon-saumonrose/results-resultats/2009/09biweekly-bimensuels-eng.htm#April_28_-_May_3,_2009 [assessed 23 July 2010]</t>
  </si>
  <si>
    <t>% of 12-river sum</t>
  </si>
  <si>
    <t>that was an estimate</t>
  </si>
  <si>
    <t># of counts</t>
  </si>
  <si>
    <t># of estimates</t>
  </si>
  <si>
    <t>% estimated</t>
  </si>
  <si>
    <t># = 0</t>
  </si>
  <si>
    <t># = 1</t>
  </si>
  <si>
    <t># = 2</t>
  </si>
  <si>
    <t>% = 0 or 2</t>
  </si>
  <si>
    <t>Fe L.s. 3-month series</t>
  </si>
  <si>
    <t>Farm # on Map</t>
  </si>
  <si>
    <t>Total production (tonnes) for all farms in the Broughton Archipelago</t>
  </si>
  <si>
    <t>TOTAL</t>
  </si>
  <si>
    <t>(tonnes)</t>
  </si>
  <si>
    <t>Production by species (tonnes)</t>
  </si>
  <si>
    <t>Coho</t>
  </si>
  <si>
    <t>Chinook</t>
  </si>
  <si>
    <t>Atlantic</t>
  </si>
  <si>
    <t>March farm</t>
  </si>
  <si>
    <t>March farm lice #s</t>
  </si>
  <si>
    <t>X Variable 1</t>
  </si>
  <si>
    <r>
      <t xml:space="preserve">Regression: 2000 - 2009 farm fish production vs. March or April female </t>
    </r>
    <r>
      <rPr>
        <b/>
        <i/>
        <sz val="11"/>
        <rFont val="Arial"/>
        <family val="2"/>
      </rPr>
      <t>L. salmonis</t>
    </r>
    <r>
      <rPr>
        <b/>
        <sz val="11"/>
        <rFont val="Arial"/>
        <family val="2"/>
      </rPr>
      <t xml:space="preserve"> numbers (on farms)</t>
    </r>
  </si>
  <si>
    <t>No relationship between farm fish production and March farm fish sea lice numbers</t>
  </si>
  <si>
    <t>No relationship between farm fish production and April farm fish sea lice numbers</t>
  </si>
  <si>
    <t>SL-yr = sea lice year (September 1 of first year - August 31 of second year)</t>
  </si>
  <si>
    <t>SL-yr TX</t>
  </si>
  <si>
    <t>Index - motiles</t>
  </si>
  <si>
    <t>Index - Fe L.s.</t>
  </si>
  <si>
    <t>Grand Total</t>
  </si>
  <si>
    <t>Row Labels</t>
  </si>
  <si>
    <t>Sum of # Tx</t>
  </si>
  <si>
    <t>month</t>
  </si>
  <si>
    <t>1999 - 2002</t>
  </si>
  <si>
    <t>#Tx - 99-02</t>
  </si>
  <si>
    <t>SL-yr = sea lice year (Sep 1 of first year - Aug 31 of second year)</t>
  </si>
  <si>
    <r>
      <rPr>
        <b/>
        <sz val="11"/>
        <rFont val="Arial"/>
        <family val="2"/>
      </rPr>
      <t>P_t</t>
    </r>
    <r>
      <rPr>
        <sz val="11"/>
        <rFont val="Arial"/>
        <family val="2"/>
      </rPr>
      <t xml:space="preserve"> = annual farm fish production (tonnes) during year </t>
    </r>
    <r>
      <rPr>
        <i/>
        <sz val="11"/>
        <rFont val="Arial"/>
        <family val="2"/>
      </rPr>
      <t>t</t>
    </r>
  </si>
  <si>
    <t>Density-dependence parameter and lice coefficient are significant, and the relation with lice #s is positive.</t>
  </si>
  <si>
    <t>Start Year</t>
  </si>
  <si>
    <t>Odd-year regression: Start year vs. Motiles (#/fish)</t>
  </si>
  <si>
    <t>Motiles(#/fish)</t>
  </si>
  <si>
    <t>Relationship is highly significant and negative, but it explains only ~25% of the variability</t>
  </si>
  <si>
    <t>Even-year regression: Start year vs. Motiles (#/fish)</t>
  </si>
  <si>
    <t>ODD Years</t>
  </si>
  <si>
    <t>EVEN Years</t>
  </si>
  <si>
    <t>X Variable 2</t>
  </si>
  <si>
    <t xml:space="preserve"> Jim Cave, Pacific Salmon Commission; estimate under review</t>
  </si>
  <si>
    <t>http://www.psc.org/pubs/FRP2005AnnualReport.pdf</t>
  </si>
  <si>
    <t>t-stat</t>
  </si>
  <si>
    <t>s(b_1-b_2)</t>
  </si>
  <si>
    <t>SE of diff</t>
  </si>
  <si>
    <t>b_1-b_2</t>
  </si>
  <si>
    <t>diff of b's</t>
  </si>
  <si>
    <r>
      <t>S</t>
    </r>
    <r>
      <rPr>
        <sz val="10"/>
        <rFont val="Arial"/>
        <family val="2"/>
      </rPr>
      <t xml:space="preserve"> x_2^2</t>
    </r>
  </si>
  <si>
    <t>squared x_dev's, #2</t>
  </si>
  <si>
    <t>Source (all accessed or received on 18 August 2010)</t>
  </si>
  <si>
    <t>(millions)</t>
  </si>
  <si>
    <r>
      <t>S</t>
    </r>
    <r>
      <rPr>
        <sz val="10"/>
        <rFont val="Arial"/>
        <family val="2"/>
      </rPr>
      <t xml:space="preserve"> x_1^2</t>
    </r>
  </si>
  <si>
    <t>squared x_dev's, #1</t>
  </si>
  <si>
    <t>s^2_p</t>
  </si>
  <si>
    <t>Pooled variance</t>
  </si>
  <si>
    <t>Fraser River Pink salmon returns</t>
  </si>
  <si>
    <t>Fraser River</t>
  </si>
  <si>
    <t>(t-2)</t>
  </si>
  <si>
    <t>(t-1)</t>
  </si>
  <si>
    <t>Relationship not significant</t>
  </si>
  <si>
    <t>ALL YEARS</t>
  </si>
  <si>
    <t>Test of slopes from Zar, J.H. 1999. Biostatistical Analysis, 4th edition. chapter 18, section 18.1</t>
  </si>
  <si>
    <r>
      <rPr>
        <b/>
        <sz val="10"/>
        <rFont val="Arial"/>
        <family val="2"/>
      </rPr>
      <t>Female L.s./fish</t>
    </r>
    <r>
      <rPr>
        <sz val="10"/>
        <rFont val="Arial"/>
        <family val="2"/>
      </rPr>
      <t xml:space="preserve"> (column L) - counts of adult female </t>
    </r>
    <r>
      <rPr>
        <i/>
        <sz val="10"/>
        <rFont val="Arial"/>
        <family val="2"/>
      </rPr>
      <t>L. salmonis</t>
    </r>
    <r>
      <rPr>
        <sz val="10"/>
        <rFont val="Arial"/>
        <family val="2"/>
      </rPr>
      <t xml:space="preserve">; is a subset of the count for # of motile </t>
    </r>
    <r>
      <rPr>
        <i/>
        <sz val="10"/>
        <rFont val="Arial"/>
        <family val="2"/>
      </rPr>
      <t>L. salmonis</t>
    </r>
  </si>
  <si>
    <r>
      <t>Dataset S1.  Data used for determining the relation of farmed Atlantic salmon, wild pink salmon, and sea lice (</t>
    </r>
    <r>
      <rPr>
        <b/>
        <i/>
        <sz val="10"/>
        <rFont val="Arial"/>
        <family val="2"/>
      </rPr>
      <t>Lepeophtheirus salmonis</t>
    </r>
    <r>
      <rPr>
        <b/>
        <sz val="10"/>
        <rFont val="Arial"/>
        <family val="2"/>
      </rPr>
      <t xml:space="preserve"> and </t>
    </r>
    <r>
      <rPr>
        <b/>
        <i/>
        <sz val="10"/>
        <rFont val="Arial"/>
        <family val="2"/>
      </rPr>
      <t>Caligus spp</t>
    </r>
    <r>
      <rPr>
        <b/>
        <sz val="10"/>
        <rFont val="Arial"/>
        <family val="2"/>
      </rPr>
      <t>.)</t>
    </r>
  </si>
  <si>
    <t># farms &gt;600d</t>
  </si>
  <si>
    <t>mean Fe L.s.</t>
  </si>
  <si>
    <t>of highest other 3</t>
  </si>
  <si>
    <t>highest other</t>
  </si>
  <si>
    <t>ratio highest other</t>
  </si>
  <si>
    <t>to 3 average</t>
  </si>
  <si>
    <t>Fe L.s. counts</t>
  </si>
  <si>
    <t>on highest 3</t>
  </si>
  <si>
    <t>adjustment</t>
  </si>
  <si>
    <t># fish &gt;600d</t>
  </si>
  <si>
    <t># fish counted</t>
  </si>
  <si>
    <t>highest 3</t>
  </si>
  <si>
    <t>actual</t>
  </si>
  <si>
    <t>count</t>
  </si>
  <si>
    <t>Fe L.s./fish</t>
  </si>
  <si>
    <t>% error</t>
  </si>
  <si>
    <t>sum =</t>
  </si>
  <si>
    <t>average =</t>
  </si>
  <si>
    <t>absolute value of error (%)=</t>
  </si>
  <si>
    <t># Fe L.s.</t>
  </si>
  <si>
    <t>error</t>
  </si>
  <si>
    <t>&lt;600d</t>
  </si>
  <si>
    <t>2003 - 2009</t>
  </si>
  <si>
    <t># months</t>
  </si>
  <si>
    <t>(for adjustment)</t>
  </si>
  <si>
    <r>
      <t xml:space="preserve">March farm fish production vs. </t>
    </r>
    <r>
      <rPr>
        <b/>
        <i/>
        <sz val="11"/>
        <rFont val="Arial"/>
        <family val="2"/>
      </rPr>
      <t>L. salmonis</t>
    </r>
  </si>
  <si>
    <r>
      <t xml:space="preserve">April farm fish production vs. </t>
    </r>
    <r>
      <rPr>
        <b/>
        <i/>
        <sz val="11"/>
        <rFont val="Arial"/>
        <family val="2"/>
      </rPr>
      <t>L. salmonis</t>
    </r>
  </si>
  <si>
    <r>
      <t>S</t>
    </r>
    <r>
      <rPr>
        <sz val="10"/>
        <rFont val="Arial"/>
        <family val="2"/>
      </rPr>
      <t xml:space="preserve"> x_1^2</t>
    </r>
  </si>
  <si>
    <r>
      <t>S</t>
    </r>
    <r>
      <rPr>
        <sz val="10"/>
        <rFont val="Arial"/>
        <family val="2"/>
      </rPr>
      <t xml:space="preserve"> x_2^2</t>
    </r>
  </si>
  <si>
    <t>Middle Years (2003 - 2006)</t>
  </si>
  <si>
    <t>Later Years (2007 - 2009)</t>
  </si>
  <si>
    <t>2003 - 2006</t>
  </si>
  <si>
    <t>#Tx - 03-06</t>
  </si>
  <si>
    <t>2007 - 2009</t>
  </si>
  <si>
    <t>#Tx - 07-09</t>
  </si>
  <si>
    <t># for Fig. 1</t>
  </si>
  <si>
    <t>&gt; Sep</t>
  </si>
  <si>
    <t>#Tx x #&gt;SEP</t>
  </si>
  <si>
    <t>Sum</t>
  </si>
  <si>
    <t>Mean # of Months after September for treatments</t>
  </si>
  <si>
    <t>(= April)</t>
  </si>
  <si>
    <t>(= February-March)</t>
  </si>
  <si>
    <t>(=January)</t>
  </si>
  <si>
    <t>all-river</t>
  </si>
  <si>
    <r>
      <t>All years - 1999 - 2008 Broughton and Fraser River returns (</t>
    </r>
    <r>
      <rPr>
        <b/>
        <i/>
        <sz val="10"/>
        <rFont val="Arial"/>
        <family val="2"/>
      </rPr>
      <t>t-2</t>
    </r>
    <r>
      <rPr>
        <b/>
        <sz val="10"/>
        <rFont val="Arial"/>
        <family val="2"/>
      </rPr>
      <t xml:space="preserve">) vs. MARCH farm fish </t>
    </r>
    <r>
      <rPr>
        <b/>
        <i/>
        <sz val="10"/>
        <rFont val="Arial"/>
        <family val="2"/>
      </rPr>
      <t>L. salmonis</t>
    </r>
    <r>
      <rPr>
        <b/>
        <sz val="10"/>
        <rFont val="Arial"/>
        <family val="2"/>
      </rPr>
      <t xml:space="preserve"> numbers (</t>
    </r>
    <r>
      <rPr>
        <b/>
        <i/>
        <sz val="10"/>
        <rFont val="Arial"/>
        <family val="2"/>
      </rPr>
      <t>t-1</t>
    </r>
    <r>
      <rPr>
        <b/>
        <sz val="10"/>
        <rFont val="Arial"/>
        <family val="2"/>
      </rPr>
      <t>)</t>
    </r>
  </si>
  <si>
    <t>Broughton and Fraser River returns are not significant</t>
  </si>
  <si>
    <t>Fraser River pink salmon returns (t-2)</t>
  </si>
  <si>
    <t>9-river Broughton pink salmon returns (t-2)</t>
  </si>
  <si>
    <t>Return</t>
  </si>
  <si>
    <t>ODD return years</t>
  </si>
  <si>
    <t>EVEN return years</t>
  </si>
  <si>
    <t>Fig. 3A regressions</t>
  </si>
  <si>
    <r>
      <t xml:space="preserve">1999 - 2008 Returns (t-2) vs. APRIL farm fish </t>
    </r>
    <r>
      <rPr>
        <b/>
        <i/>
        <sz val="10"/>
        <rFont val="Arial"/>
        <family val="2"/>
      </rPr>
      <t>L. salmonis</t>
    </r>
    <r>
      <rPr>
        <b/>
        <sz val="10"/>
        <rFont val="Arial"/>
        <family val="2"/>
      </rPr>
      <t xml:space="preserve"> numbers (t-1)</t>
    </r>
  </si>
  <si>
    <r>
      <t xml:space="preserve">Odd years - 1999 - 2007 Returns (t-2) vs. APRIL farm fish </t>
    </r>
    <r>
      <rPr>
        <b/>
        <i/>
        <sz val="10"/>
        <rFont val="Arial"/>
        <family val="2"/>
      </rPr>
      <t>L. salmonis</t>
    </r>
    <r>
      <rPr>
        <b/>
        <sz val="10"/>
        <rFont val="Arial"/>
        <family val="2"/>
      </rPr>
      <t xml:space="preserve"> numbers (t-1)</t>
    </r>
  </si>
  <si>
    <r>
      <t xml:space="preserve">Even years - 2000 - 2008 Returns (t-2) vs. APRIL farm fish </t>
    </r>
    <r>
      <rPr>
        <b/>
        <i/>
        <sz val="10"/>
        <rFont val="Arial"/>
        <family val="2"/>
      </rPr>
      <t>L. salmonis</t>
    </r>
    <r>
      <rPr>
        <b/>
        <sz val="10"/>
        <rFont val="Arial"/>
        <family val="2"/>
      </rPr>
      <t xml:space="preserve"> numbers (t-1)</t>
    </r>
  </si>
  <si>
    <r>
      <t xml:space="preserve">All years - 1999 - 2008 Broughton  and Fraser River Returns (t-2) vs. APRIL farm fish </t>
    </r>
    <r>
      <rPr>
        <b/>
        <i/>
        <sz val="10"/>
        <rFont val="Arial"/>
        <family val="2"/>
      </rPr>
      <t>L. salmonis</t>
    </r>
    <r>
      <rPr>
        <b/>
        <sz val="10"/>
        <rFont val="Arial"/>
        <family val="2"/>
      </rPr>
      <t xml:space="preserve"> numbers (t-1)</t>
    </r>
  </si>
  <si>
    <r>
      <t xml:space="preserve">Even years - 2000 - 2008 Returns (t-2) vs. MARCH farm fish </t>
    </r>
    <r>
      <rPr>
        <b/>
        <i/>
        <sz val="10"/>
        <rFont val="Arial"/>
        <family val="2"/>
      </rPr>
      <t>L. salmonis</t>
    </r>
    <r>
      <rPr>
        <b/>
        <sz val="10"/>
        <rFont val="Arial"/>
        <family val="2"/>
      </rPr>
      <t xml:space="preserve"> numbers (t-1)</t>
    </r>
  </si>
  <si>
    <r>
      <t xml:space="preserve">Odd years - 1999 - 2007 Returns (t-2) vs. MARCH farm fish </t>
    </r>
    <r>
      <rPr>
        <b/>
        <i/>
        <sz val="10"/>
        <rFont val="Arial"/>
        <family val="2"/>
      </rPr>
      <t>L. salmonis</t>
    </r>
    <r>
      <rPr>
        <b/>
        <sz val="10"/>
        <rFont val="Arial"/>
        <family val="2"/>
      </rPr>
      <t xml:space="preserve"> numbers (t-1)</t>
    </r>
  </si>
  <si>
    <r>
      <t xml:space="preserve">All years - 1999 - 2008 Returns (t-2) vs. MARCH farm fish </t>
    </r>
    <r>
      <rPr>
        <b/>
        <i/>
        <sz val="10"/>
        <rFont val="Arial"/>
        <family val="2"/>
      </rPr>
      <t>L. salmonis</t>
    </r>
    <r>
      <rPr>
        <b/>
        <sz val="10"/>
        <rFont val="Arial"/>
        <family val="2"/>
      </rPr>
      <t xml:space="preserve"> numbers (t-1)</t>
    </r>
  </si>
  <si>
    <t>Broughton and Fraser River returns are almost significant</t>
  </si>
  <si>
    <t>Relation between pink salmon returns in the fall and sea lice #s on farm fish the next April is almost significant.</t>
  </si>
  <si>
    <t>Sea lice #s on farm fish in March are significantly related to pink salmon returns the previous fall.</t>
  </si>
  <si>
    <t>Relation between Sea lice #s on farm fish in April and pink salmon returns the previous fall is highly significant</t>
  </si>
  <si>
    <t>Relation between Sea lice #s on farm fish in March and pink salmon returns the previous fall is almost significant</t>
  </si>
  <si>
    <r>
      <rPr>
        <i/>
        <sz val="10"/>
        <rFont val="Arial"/>
        <family val="2"/>
      </rPr>
      <t>L. salmonis</t>
    </r>
    <r>
      <rPr>
        <sz val="10"/>
        <rFont val="Arial"/>
        <family val="2"/>
      </rPr>
      <t xml:space="preserve"> estimate type</t>
    </r>
  </si>
  <si>
    <t>s</t>
  </si>
  <si>
    <t>h</t>
  </si>
  <si>
    <t>o</t>
  </si>
  <si>
    <t># = 3</t>
  </si>
  <si>
    <t># = 4</t>
  </si>
  <si>
    <t># = h</t>
  </si>
  <si>
    <t># = o</t>
  </si>
  <si>
    <t># = t</t>
  </si>
  <si>
    <t># = s</t>
  </si>
  <si>
    <t xml:space="preserve">SUM = </t>
  </si>
  <si>
    <t>%</t>
  </si>
  <si>
    <t>count estimates based on dilution of April count with new smolt entry (postcount treatment was delayed until June);</t>
  </si>
  <si>
    <t>Low</t>
  </si>
  <si>
    <t>High</t>
  </si>
  <si>
    <t>low estimate</t>
  </si>
  <si>
    <t>high estimate</t>
  </si>
  <si>
    <t>Final # female L.s.</t>
  </si>
  <si>
    <t>% of 9-river</t>
  </si>
  <si>
    <t>1997 - 2007</t>
  </si>
  <si>
    <t>SL-yr = Sep 1 - Aug 31</t>
  </si>
  <si>
    <t>Note: treatments for September - December 2009 are not included in this table because they do not represent a complete "sea lice year" (i.e., Sept. through August).</t>
  </si>
  <si>
    <r>
      <rPr>
        <sz val="10"/>
        <color rgb="FFFF0000"/>
        <rFont val="Arial"/>
        <family val="2"/>
      </rPr>
      <t>Worksheet</t>
    </r>
    <r>
      <rPr>
        <sz val="10"/>
        <rFont val="Arial"/>
        <family val="2"/>
      </rPr>
      <t xml:space="preserve"> '</t>
    </r>
    <r>
      <rPr>
        <b/>
        <sz val="10"/>
        <rFont val="Arial"/>
        <family val="2"/>
      </rPr>
      <t>Data for Broughton</t>
    </r>
    <r>
      <rPr>
        <sz val="10"/>
        <rFont val="Arial"/>
        <family val="2"/>
      </rPr>
      <t>' (used for other worksheets and for Fig. S4)</t>
    </r>
  </si>
  <si>
    <r>
      <rPr>
        <sz val="10"/>
        <color rgb="FFFF0000"/>
        <rFont val="Arial"/>
        <family val="2"/>
      </rPr>
      <t>Worksheet</t>
    </r>
    <r>
      <rPr>
        <sz val="10"/>
        <rFont val="Arial"/>
        <family val="2"/>
      </rPr>
      <t xml:space="preserve"> '</t>
    </r>
    <r>
      <rPr>
        <b/>
        <sz val="10"/>
        <rFont val="Arial"/>
        <family val="2"/>
      </rPr>
      <t>Farm fish production</t>
    </r>
    <r>
      <rPr>
        <sz val="10"/>
        <rFont val="Arial"/>
        <family val="2"/>
      </rPr>
      <t>' (used for Figs. 4B, and S2)</t>
    </r>
  </si>
  <si>
    <r>
      <rPr>
        <sz val="10"/>
        <color rgb="FFFF0000"/>
        <rFont val="Arial"/>
        <family val="2"/>
      </rPr>
      <t>Worksheet</t>
    </r>
    <r>
      <rPr>
        <sz val="10"/>
        <rFont val="Arial"/>
        <family val="2"/>
      </rPr>
      <t xml:space="preserve"> '</t>
    </r>
    <r>
      <rPr>
        <b/>
        <sz val="10"/>
        <rFont val="Arial"/>
        <family val="2"/>
      </rPr>
      <t>Reference Pink Salmon data</t>
    </r>
    <r>
      <rPr>
        <sz val="10"/>
        <rFont val="Arial"/>
        <family val="2"/>
      </rPr>
      <t>' (used for Fig. S3)</t>
    </r>
  </si>
  <si>
    <r>
      <rPr>
        <sz val="10"/>
        <color rgb="FFFF0000"/>
        <rFont val="Arial"/>
        <family val="2"/>
      </rPr>
      <t>Worksheet</t>
    </r>
    <r>
      <rPr>
        <sz val="10"/>
        <rFont val="Arial"/>
        <family val="2"/>
      </rPr>
      <t xml:space="preserve"> '</t>
    </r>
    <r>
      <rPr>
        <b/>
        <sz val="10"/>
        <rFont val="Arial"/>
        <family val="2"/>
      </rPr>
      <t>May L.s. Prev on pink salmon</t>
    </r>
    <r>
      <rPr>
        <sz val="10"/>
        <rFont val="Arial"/>
        <family val="2"/>
      </rPr>
      <t>' (used for Fig. 3B)</t>
    </r>
  </si>
  <si>
    <r>
      <rPr>
        <sz val="10"/>
        <color rgb="FFFF0000"/>
        <rFont val="Arial"/>
        <family val="2"/>
      </rPr>
      <t>Worksheet</t>
    </r>
    <r>
      <rPr>
        <sz val="10"/>
        <rFont val="Arial"/>
        <family val="2"/>
      </rPr>
      <t xml:space="preserve"> '</t>
    </r>
    <r>
      <rPr>
        <b/>
        <sz val="10"/>
        <rFont val="Arial"/>
        <family val="2"/>
      </rPr>
      <t>Broughton Pink Salmon data</t>
    </r>
    <r>
      <rPr>
        <sz val="10"/>
        <rFont val="Arial"/>
        <family val="2"/>
      </rPr>
      <t>' (used for Figs. 3A, 4, S2 and S3)</t>
    </r>
  </si>
  <si>
    <r>
      <rPr>
        <sz val="10"/>
        <color rgb="FFFF0000"/>
        <rFont val="Arial"/>
        <family val="2"/>
      </rPr>
      <t>Worksheet</t>
    </r>
    <r>
      <rPr>
        <sz val="10"/>
        <rFont val="Arial"/>
        <family val="2"/>
      </rPr>
      <t xml:space="preserve"> '</t>
    </r>
    <r>
      <rPr>
        <b/>
        <sz val="10"/>
        <rFont val="Arial"/>
        <family val="2"/>
      </rPr>
      <t>Fig. 4 regressions-March</t>
    </r>
    <r>
      <rPr>
        <sz val="10"/>
        <rFont val="Arial"/>
        <family val="2"/>
      </rPr>
      <t>' (used for Fig. 4)</t>
    </r>
  </si>
  <si>
    <r>
      <rPr>
        <sz val="10"/>
        <color rgb="FFFF0000"/>
        <rFont val="Arial"/>
        <family val="2"/>
      </rPr>
      <t>Worksheet</t>
    </r>
    <r>
      <rPr>
        <sz val="10"/>
        <rFont val="Arial"/>
        <family val="2"/>
      </rPr>
      <t xml:space="preserve"> '</t>
    </r>
    <r>
      <rPr>
        <b/>
        <sz val="10"/>
        <rFont val="Arial"/>
        <family val="2"/>
      </rPr>
      <t>Fig. 4 regressions-April</t>
    </r>
    <r>
      <rPr>
        <sz val="10"/>
        <rFont val="Arial"/>
        <family val="2"/>
      </rPr>
      <t>' (used to show that Fig. 4 trends for April data are similar to March data)</t>
    </r>
  </si>
  <si>
    <r>
      <rPr>
        <b/>
        <sz val="10"/>
        <rFont val="Arial"/>
        <family val="2"/>
      </rPr>
      <t>Caligus/fish</t>
    </r>
    <r>
      <rPr>
        <sz val="10"/>
        <rFont val="Arial"/>
        <family val="2"/>
      </rPr>
      <t xml:space="preserve"> (column O) - counts of adult </t>
    </r>
    <r>
      <rPr>
        <i/>
        <sz val="10"/>
        <rFont val="Arial"/>
        <family val="2"/>
      </rPr>
      <t>Caligus spp</t>
    </r>
    <r>
      <rPr>
        <sz val="10"/>
        <rFont val="Arial"/>
        <family val="2"/>
      </rPr>
      <t>.;</t>
    </r>
  </si>
  <si>
    <t>Conclusion:</t>
  </si>
  <si>
    <t>(Gg)</t>
  </si>
  <si>
    <r>
      <rPr>
        <sz val="10"/>
        <color rgb="FFFF0000"/>
        <rFont val="Arial"/>
        <family val="2"/>
      </rPr>
      <t>Worksheet</t>
    </r>
    <r>
      <rPr>
        <sz val="10"/>
        <rFont val="Arial"/>
        <family val="2"/>
      </rPr>
      <t xml:space="preserve"> '</t>
    </r>
    <r>
      <rPr>
        <b/>
        <sz val="10"/>
        <rFont val="Arial"/>
        <family val="2"/>
      </rPr>
      <t>Sea Lice Treatments</t>
    </r>
    <r>
      <rPr>
        <sz val="10"/>
        <rFont val="Arial"/>
        <family val="2"/>
      </rPr>
      <t>' (used for Figs. 2 and S4, and for calculating mean treatment month within each period)</t>
    </r>
  </si>
  <si>
    <r>
      <t xml:space="preserve"># Female </t>
    </r>
    <r>
      <rPr>
        <i/>
        <sz val="10"/>
        <rFont val="Arial"/>
        <family val="2"/>
      </rPr>
      <t>L.salmonis</t>
    </r>
    <r>
      <rPr>
        <sz val="10"/>
        <rFont val="Arial"/>
        <family val="2"/>
      </rPr>
      <t xml:space="preserve"> per farm</t>
    </r>
  </si>
  <si>
    <t>Early Years (Sep 1999-Aug 2002)</t>
  </si>
  <si>
    <t>returns</t>
  </si>
  <si>
    <t>alternate</t>
  </si>
  <si>
    <t>standard</t>
  </si>
  <si>
    <t>For 5/7 years, the standard adjustment method was better or the same;</t>
  </si>
  <si>
    <r>
      <rPr>
        <sz val="10"/>
        <color rgb="FFFF0000"/>
        <rFont val="Arial"/>
        <family val="2"/>
      </rPr>
      <t>Worksheet</t>
    </r>
    <r>
      <rPr>
        <sz val="10"/>
        <rFont val="Arial"/>
        <family val="2"/>
      </rPr>
      <t xml:space="preserve"> '</t>
    </r>
    <r>
      <rPr>
        <b/>
        <sz val="10"/>
        <rFont val="Arial"/>
        <family val="2"/>
      </rPr>
      <t>Adjustment accuracy assessment</t>
    </r>
    <r>
      <rPr>
        <sz val="10"/>
        <rFont val="Arial"/>
        <family val="2"/>
      </rPr>
      <t>' (assessment of accuracy of adjustments using standard and alternative methods for adjusting counts based on old fish in worksheet "BroughtonPivot")</t>
    </r>
  </si>
  <si>
    <r>
      <rPr>
        <sz val="10"/>
        <color rgb="FFFF0000"/>
        <rFont val="Arial"/>
        <family val="2"/>
      </rPr>
      <t>Worksheet</t>
    </r>
    <r>
      <rPr>
        <sz val="10"/>
        <rFont val="Arial"/>
        <family val="2"/>
      </rPr>
      <t xml:space="preserve"> '</t>
    </r>
    <r>
      <rPr>
        <b/>
        <sz val="10"/>
        <rFont val="Arial"/>
        <family val="2"/>
      </rPr>
      <t>BroughtonPivot</t>
    </r>
    <r>
      <rPr>
        <sz val="10"/>
        <rFont val="Arial"/>
        <family val="2"/>
      </rPr>
      <t>' (used for Figs. 1, 3B, 4A, S5, and Video S1)</t>
    </r>
  </si>
  <si>
    <r>
      <rPr>
        <sz val="10"/>
        <color rgb="FFFF0000"/>
        <rFont val="Arial"/>
        <family val="2"/>
      </rPr>
      <t>Worksheet</t>
    </r>
    <r>
      <rPr>
        <sz val="10"/>
        <rFont val="Arial"/>
        <family val="2"/>
      </rPr>
      <t xml:space="preserve"> '</t>
    </r>
    <r>
      <rPr>
        <b/>
        <sz val="10"/>
        <rFont val="Arial"/>
        <family val="2"/>
      </rPr>
      <t>Fig. 3A regressions</t>
    </r>
    <r>
      <rPr>
        <sz val="10"/>
        <rFont val="Arial"/>
        <family val="2"/>
      </rPr>
      <t>' (used to explain run-specific differences in Fig. 3A)</t>
    </r>
  </si>
  <si>
    <r>
      <rPr>
        <sz val="10"/>
        <color rgb="FFFF0000"/>
        <rFont val="Arial"/>
        <family val="2"/>
      </rPr>
      <t>Worksheet</t>
    </r>
    <r>
      <rPr>
        <sz val="10"/>
        <rFont val="Arial"/>
        <family val="2"/>
      </rPr>
      <t xml:space="preserve"> '</t>
    </r>
    <r>
      <rPr>
        <b/>
        <sz val="10"/>
        <rFont val="Arial"/>
        <family val="2"/>
      </rPr>
      <t>Lice vs. prod. Regression</t>
    </r>
    <r>
      <rPr>
        <sz val="10"/>
        <rFont val="Arial"/>
        <family val="2"/>
      </rPr>
      <t xml:space="preserve">' (used to show no relationship between April female </t>
    </r>
    <r>
      <rPr>
        <i/>
        <sz val="10"/>
        <rFont val="Arial"/>
        <family val="2"/>
      </rPr>
      <t>L. salmonis</t>
    </r>
    <r>
      <rPr>
        <sz val="10"/>
        <rFont val="Arial"/>
        <family val="2"/>
      </rPr>
      <t xml:space="preserve"> #s and annual farm fish production)</t>
    </r>
  </si>
  <si>
    <t>fallow on July 6</t>
  </si>
  <si>
    <t>on average, the standard adjustment method yielded estimates very similar to actual counts</t>
  </si>
  <si>
    <t>Escapement (# of fish returning to each river)</t>
  </si>
  <si>
    <t>To enhance comparisons, river numbers are the same as in previous analysis (Krkosek et al. 2007: Science 318:1772-1775; map included)</t>
  </si>
</sst>
</file>

<file path=xl/styles.xml><?xml version="1.0" encoding="utf-8"?>
<styleSheet xmlns="http://schemas.openxmlformats.org/spreadsheetml/2006/main">
  <numFmts count="7">
    <numFmt numFmtId="43" formatCode="_-* #,##0.00_-;\-* #,##0.00_-;_-* &quot;-&quot;??_-;_-@_-"/>
    <numFmt numFmtId="164" formatCode="mmm"/>
    <numFmt numFmtId="165" formatCode="0.0"/>
    <numFmt numFmtId="166" formatCode="0.0%"/>
    <numFmt numFmtId="167" formatCode="0.000"/>
    <numFmt numFmtId="168" formatCode="#,##0.0"/>
    <numFmt numFmtId="169" formatCode="[$-1009]d\-mmm\-yy;@"/>
  </numFmts>
  <fonts count="39">
    <font>
      <sz val="10"/>
      <name val="Arial"/>
    </font>
    <font>
      <sz val="11"/>
      <color theme="1"/>
      <name val="Arial"/>
      <family val="2"/>
    </font>
    <font>
      <sz val="11"/>
      <color theme="1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8"/>
      <name val="Arial"/>
      <family val="2"/>
    </font>
    <font>
      <sz val="10"/>
      <color indexed="8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0"/>
      <color indexed="10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i/>
      <sz val="10"/>
      <color indexed="10"/>
      <name val="Arial"/>
      <family val="2"/>
    </font>
    <font>
      <i/>
      <sz val="10"/>
      <name val="Arial"/>
      <family val="2"/>
    </font>
    <font>
      <b/>
      <i/>
      <sz val="10"/>
      <name val="Arial"/>
      <family val="2"/>
    </font>
    <font>
      <sz val="10"/>
      <color indexed="10"/>
      <name val="Arial"/>
      <family val="2"/>
    </font>
    <font>
      <sz val="8"/>
      <name val="Arial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rgb="FFFF0000"/>
      <name val="Arial"/>
      <family val="2"/>
    </font>
    <font>
      <sz val="12"/>
      <name val="Times New Roman"/>
      <family val="1"/>
    </font>
    <font>
      <sz val="11"/>
      <color indexed="8"/>
      <name val="Calibri"/>
      <family val="2"/>
    </font>
    <font>
      <sz val="11"/>
      <name val="Arial"/>
      <family val="2"/>
    </font>
    <font>
      <i/>
      <sz val="11"/>
      <name val="Arial"/>
      <family val="2"/>
    </font>
    <font>
      <sz val="11"/>
      <color indexed="8"/>
      <name val="Arial"/>
      <family val="2"/>
    </font>
    <font>
      <b/>
      <sz val="11"/>
      <name val="Arial"/>
      <family val="2"/>
    </font>
    <font>
      <b/>
      <sz val="11"/>
      <color indexed="12"/>
      <name val="Arial"/>
      <family val="2"/>
    </font>
    <font>
      <b/>
      <sz val="11"/>
      <color rgb="FFFF0000"/>
      <name val="Arial"/>
      <family val="2"/>
    </font>
    <font>
      <sz val="11"/>
      <color indexed="10"/>
      <name val="Arial"/>
      <family val="2"/>
    </font>
    <font>
      <sz val="9"/>
      <name val="Arial"/>
      <family val="2"/>
    </font>
    <font>
      <sz val="9"/>
      <color indexed="81"/>
      <name val="Tahoma"/>
      <family val="2"/>
    </font>
    <font>
      <b/>
      <sz val="10"/>
      <color rgb="FFFF0000"/>
      <name val="Arial"/>
      <family val="2"/>
    </font>
    <font>
      <b/>
      <i/>
      <sz val="11"/>
      <name val="Arial"/>
      <family val="2"/>
    </font>
    <font>
      <b/>
      <sz val="11"/>
      <color indexed="10"/>
      <name val="Arial"/>
      <family val="2"/>
    </font>
    <font>
      <b/>
      <sz val="10"/>
      <color rgb="FF0070C0"/>
      <name val="Arial"/>
      <family val="2"/>
    </font>
    <font>
      <b/>
      <sz val="10"/>
      <color theme="3"/>
      <name val="Arial"/>
      <family val="2"/>
    </font>
    <font>
      <u/>
      <sz val="10"/>
      <color theme="10"/>
      <name val="Arial"/>
      <family val="2"/>
    </font>
    <font>
      <sz val="11"/>
      <color indexed="8"/>
      <name val="Symbol"/>
      <family val="1"/>
      <charset val="2"/>
    </font>
    <font>
      <sz val="10"/>
      <color rgb="FFFF0000"/>
      <name val="Arial"/>
      <family val="2"/>
    </font>
  </fonts>
  <fills count="22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3"/>
        <bgColor indexed="8"/>
      </patternFill>
    </fill>
    <fill>
      <patternFill patternType="solid">
        <fgColor indexed="13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4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/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hair">
        <color auto="1"/>
      </bottom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5">
    <xf numFmtId="0" fontId="0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0" fillId="0" borderId="0"/>
    <xf numFmtId="0" fontId="6" fillId="0" borderId="0"/>
    <xf numFmtId="0" fontId="17" fillId="0" borderId="0"/>
    <xf numFmtId="0" fontId="2" fillId="0" borderId="0"/>
    <xf numFmtId="43" fontId="18" fillId="0" borderId="0" applyFont="0" applyFill="0" applyBorder="0" applyAlignment="0" applyProtection="0"/>
    <xf numFmtId="0" fontId="20" fillId="0" borderId="0"/>
    <xf numFmtId="0" fontId="21" fillId="0" borderId="0"/>
    <xf numFmtId="0" fontId="1" fillId="0" borderId="0"/>
    <xf numFmtId="0" fontId="3" fillId="0" borderId="0"/>
    <xf numFmtId="0" fontId="36" fillId="0" borderId="0" applyNumberFormat="0" applyFill="0" applyBorder="0" applyAlignment="0" applyProtection="0">
      <alignment vertical="top"/>
      <protection locked="0"/>
    </xf>
  </cellStyleXfs>
  <cellXfs count="556">
    <xf numFmtId="0" fontId="0" fillId="0" borderId="0" xfId="0"/>
    <xf numFmtId="17" fontId="0" fillId="0" borderId="0" xfId="0" applyNumberFormat="1"/>
    <xf numFmtId="0" fontId="0" fillId="0" borderId="0" xfId="0" applyFill="1"/>
    <xf numFmtId="0" fontId="0" fillId="0" borderId="0" xfId="0" applyFill="1" applyBorder="1"/>
    <xf numFmtId="17" fontId="0" fillId="0" borderId="0" xfId="0" applyNumberFormat="1" applyBorder="1"/>
    <xf numFmtId="0" fontId="0" fillId="0" borderId="0" xfId="0" applyBorder="1"/>
    <xf numFmtId="0" fontId="0" fillId="0" borderId="0" xfId="0" applyFill="1" applyBorder="1" applyAlignment="1"/>
    <xf numFmtId="0" fontId="0" fillId="0" borderId="0" xfId="0" applyNumberFormat="1" applyBorder="1"/>
    <xf numFmtId="0" fontId="3" fillId="0" borderId="0" xfId="0" applyNumberFormat="1" applyFont="1" applyBorder="1"/>
    <xf numFmtId="1" fontId="0" fillId="0" borderId="0" xfId="0" applyNumberFormat="1" applyBorder="1"/>
    <xf numFmtId="0" fontId="0" fillId="0" borderId="0" xfId="0" applyBorder="1" applyAlignment="1"/>
    <xf numFmtId="0" fontId="3" fillId="0" borderId="0" xfId="0" applyFont="1" applyBorder="1"/>
    <xf numFmtId="3" fontId="0" fillId="0" borderId="0" xfId="0" applyNumberFormat="1" applyBorder="1" applyAlignment="1">
      <alignment horizontal="center"/>
    </xf>
    <xf numFmtId="3" fontId="0" fillId="0" borderId="0" xfId="0" applyNumberFormat="1" applyBorder="1"/>
    <xf numFmtId="0" fontId="4" fillId="0" borderId="0" xfId="0" applyFont="1" applyBorder="1" applyAlignment="1"/>
    <xf numFmtId="2" fontId="3" fillId="0" borderId="0" xfId="0" applyNumberFormat="1" applyFont="1" applyBorder="1"/>
    <xf numFmtId="1" fontId="0" fillId="0" borderId="0" xfId="0" applyNumberFormat="1" applyFill="1" applyBorder="1"/>
    <xf numFmtId="0" fontId="4" fillId="0" borderId="0" xfId="0" applyFont="1" applyFill="1" applyAlignment="1">
      <alignment horizontal="left"/>
    </xf>
    <xf numFmtId="0" fontId="0" fillId="0" borderId="0" xfId="0" applyAlignment="1">
      <alignment horizontal="left"/>
    </xf>
    <xf numFmtId="0" fontId="4" fillId="0" borderId="0" xfId="0" applyFont="1" applyFill="1" applyBorder="1" applyAlignment="1">
      <alignment horizontal="left"/>
    </xf>
    <xf numFmtId="0" fontId="4" fillId="0" borderId="0" xfId="0" applyFont="1"/>
    <xf numFmtId="3" fontId="0" fillId="0" borderId="0" xfId="0" applyNumberFormat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3" xfId="0" pivotButton="1" applyBorder="1"/>
    <xf numFmtId="164" fontId="4" fillId="0" borderId="0" xfId="0" applyNumberFormat="1" applyFont="1" applyBorder="1" applyAlignment="1">
      <alignment horizontal="center"/>
    </xf>
    <xf numFmtId="164" fontId="0" fillId="0" borderId="0" xfId="0" applyNumberFormat="1" applyBorder="1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3" fontId="0" fillId="0" borderId="3" xfId="0" applyNumberFormat="1" applyBorder="1"/>
    <xf numFmtId="3" fontId="0" fillId="0" borderId="9" xfId="0" applyNumberFormat="1" applyBorder="1"/>
    <xf numFmtId="3" fontId="0" fillId="0" borderId="7" xfId="0" applyNumberFormat="1" applyBorder="1"/>
    <xf numFmtId="3" fontId="0" fillId="0" borderId="8" xfId="0" applyNumberFormat="1" applyBorder="1"/>
    <xf numFmtId="3" fontId="0" fillId="0" borderId="11" xfId="0" applyNumberFormat="1" applyBorder="1"/>
    <xf numFmtId="0" fontId="0" fillId="0" borderId="12" xfId="0" applyBorder="1"/>
    <xf numFmtId="3" fontId="0" fillId="0" borderId="13" xfId="0" applyNumberFormat="1" applyBorder="1"/>
    <xf numFmtId="3" fontId="0" fillId="0" borderId="14" xfId="0" applyNumberFormat="1" applyBorder="1"/>
    <xf numFmtId="3" fontId="0" fillId="0" borderId="12" xfId="0" applyNumberFormat="1" applyBorder="1"/>
    <xf numFmtId="0" fontId="4" fillId="0" borderId="0" xfId="0" applyFont="1" applyFill="1" applyBorder="1"/>
    <xf numFmtId="0" fontId="4" fillId="0" borderId="0" xfId="0" quotePrefix="1" applyFont="1"/>
    <xf numFmtId="166" fontId="0" fillId="0" borderId="0" xfId="0" applyNumberFormat="1"/>
    <xf numFmtId="0" fontId="0" fillId="5" borderId="0" xfId="0" applyFill="1"/>
    <xf numFmtId="3" fontId="0" fillId="0" borderId="0" xfId="0" applyNumberFormat="1" applyFill="1" applyBorder="1"/>
    <xf numFmtId="0" fontId="0" fillId="0" borderId="0" xfId="0" quotePrefix="1"/>
    <xf numFmtId="0" fontId="0" fillId="0" borderId="0" xfId="0" applyNumberFormat="1"/>
    <xf numFmtId="3" fontId="0" fillId="0" borderId="0" xfId="0" applyNumberFormat="1" applyFill="1"/>
    <xf numFmtId="0" fontId="4" fillId="0" borderId="0" xfId="0" applyFont="1" applyAlignment="1">
      <alignment horizontal="left"/>
    </xf>
    <xf numFmtId="0" fontId="4" fillId="0" borderId="15" xfId="0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5" xfId="0" applyBorder="1"/>
    <xf numFmtId="0" fontId="4" fillId="0" borderId="0" xfId="0" applyFont="1" applyAlignment="1">
      <alignment horizontal="center"/>
    </xf>
    <xf numFmtId="1" fontId="0" fillId="0" borderId="0" xfId="0" applyNumberFormat="1"/>
    <xf numFmtId="0" fontId="11" fillId="0" borderId="0" xfId="0" applyFont="1"/>
    <xf numFmtId="0" fontId="14" fillId="0" borderId="0" xfId="0" applyFont="1"/>
    <xf numFmtId="0" fontId="0" fillId="0" borderId="0" xfId="0" applyBorder="1" applyAlignment="1">
      <alignment horizontal="center"/>
    </xf>
    <xf numFmtId="0" fontId="0" fillId="5" borderId="3" xfId="0" applyFill="1" applyBorder="1"/>
    <xf numFmtId="0" fontId="4" fillId="5" borderId="0" xfId="0" applyFont="1" applyFill="1"/>
    <xf numFmtId="0" fontId="0" fillId="5" borderId="6" xfId="0" applyFill="1" applyBorder="1"/>
    <xf numFmtId="0" fontId="0" fillId="5" borderId="7" xfId="0" applyFill="1" applyBorder="1"/>
    <xf numFmtId="2" fontId="0" fillId="0" borderId="0" xfId="0" applyNumberFormat="1" applyAlignment="1">
      <alignment horizontal="center"/>
    </xf>
    <xf numFmtId="2" fontId="4" fillId="0" borderId="0" xfId="0" applyNumberFormat="1" applyFont="1" applyAlignment="1">
      <alignment horizontal="center"/>
    </xf>
    <xf numFmtId="0" fontId="4" fillId="0" borderId="0" xfId="0" applyFont="1" applyFill="1" applyBorder="1" applyAlignment="1">
      <alignment horizontal="center"/>
    </xf>
    <xf numFmtId="3" fontId="0" fillId="0" borderId="0" xfId="0" applyNumberFormat="1" applyAlignment="1">
      <alignment horizontal="center"/>
    </xf>
    <xf numFmtId="0" fontId="0" fillId="0" borderId="0" xfId="0" applyFill="1" applyAlignment="1">
      <alignment horizontal="center"/>
    </xf>
    <xf numFmtId="3" fontId="0" fillId="0" borderId="0" xfId="0" applyNumberFormat="1" applyFill="1" applyBorder="1" applyAlignment="1">
      <alignment horizontal="center"/>
    </xf>
    <xf numFmtId="166" fontId="0" fillId="0" borderId="0" xfId="0" applyNumberFormat="1" applyAlignment="1">
      <alignment horizontal="center"/>
    </xf>
    <xf numFmtId="0" fontId="4" fillId="0" borderId="16" xfId="0" applyFont="1" applyBorder="1" applyAlignment="1">
      <alignment horizontal="center"/>
    </xf>
    <xf numFmtId="0" fontId="4" fillId="5" borderId="0" xfId="0" applyFont="1" applyFill="1" applyAlignment="1">
      <alignment horizontal="left"/>
    </xf>
    <xf numFmtId="0" fontId="15" fillId="5" borderId="0" xfId="0" applyFont="1" applyFill="1" applyAlignment="1">
      <alignment horizontal="left"/>
    </xf>
    <xf numFmtId="0" fontId="15" fillId="0" borderId="0" xfId="0" applyFont="1" applyAlignment="1">
      <alignment horizontal="left"/>
    </xf>
    <xf numFmtId="0" fontId="0" fillId="0" borderId="17" xfId="0" applyFill="1" applyBorder="1" applyAlignment="1"/>
    <xf numFmtId="0" fontId="13" fillId="0" borderId="18" xfId="0" applyFont="1" applyFill="1" applyBorder="1" applyAlignment="1">
      <alignment horizontal="center"/>
    </xf>
    <xf numFmtId="0" fontId="11" fillId="7" borderId="0" xfId="0" applyFont="1" applyFill="1"/>
    <xf numFmtId="0" fontId="0" fillId="7" borderId="0" xfId="0" applyFill="1"/>
    <xf numFmtId="3" fontId="0" fillId="0" borderId="0" xfId="0" applyNumberFormat="1" applyAlignment="1"/>
    <xf numFmtId="3" fontId="0" fillId="0" borderId="0" xfId="0" applyNumberFormat="1" applyFill="1" applyAlignment="1"/>
    <xf numFmtId="0" fontId="0" fillId="0" borderId="0" xfId="0" applyFill="1" applyAlignment="1"/>
    <xf numFmtId="0" fontId="4" fillId="0" borderId="0" xfId="0" applyFont="1" applyBorder="1" applyAlignment="1">
      <alignment horizontal="center"/>
    </xf>
    <xf numFmtId="2" fontId="4" fillId="0" borderId="0" xfId="0" applyNumberFormat="1" applyFont="1" applyBorder="1" applyAlignment="1">
      <alignment horizontal="center"/>
    </xf>
    <xf numFmtId="0" fontId="0" fillId="6" borderId="0" xfId="0" applyFill="1" applyBorder="1" applyAlignment="1"/>
    <xf numFmtId="165" fontId="0" fillId="0" borderId="0" xfId="0" applyNumberFormat="1" applyFill="1"/>
    <xf numFmtId="0" fontId="0" fillId="0" borderId="19" xfId="0" applyFont="1" applyFill="1" applyBorder="1" applyAlignment="1">
      <alignment horizontal="left"/>
    </xf>
    <xf numFmtId="0" fontId="14" fillId="0" borderId="0" xfId="0" applyFont="1" applyAlignment="1">
      <alignment horizontal="left"/>
    </xf>
    <xf numFmtId="3" fontId="0" fillId="0" borderId="0" xfId="0" applyNumberFormat="1" applyAlignment="1">
      <alignment horizontal="left"/>
    </xf>
    <xf numFmtId="166" fontId="0" fillId="0" borderId="0" xfId="0" applyNumberFormat="1" applyAlignment="1">
      <alignment horizontal="left"/>
    </xf>
    <xf numFmtId="3" fontId="0" fillId="0" borderId="15" xfId="0" applyNumberFormat="1" applyBorder="1" applyAlignment="1">
      <alignment horizontal="center"/>
    </xf>
    <xf numFmtId="0" fontId="0" fillId="0" borderId="20" xfId="0" applyBorder="1"/>
    <xf numFmtId="3" fontId="0" fillId="0" borderId="20" xfId="0" applyNumberFormat="1" applyBorder="1"/>
    <xf numFmtId="3" fontId="0" fillId="0" borderId="21" xfId="0" applyNumberFormat="1" applyBorder="1"/>
    <xf numFmtId="165" fontId="0" fillId="0" borderId="0" xfId="0" applyNumberFormat="1"/>
    <xf numFmtId="165" fontId="0" fillId="0" borderId="21" xfId="0" applyNumberFormat="1" applyBorder="1"/>
    <xf numFmtId="0" fontId="11" fillId="0" borderId="0" xfId="0" applyFont="1" applyAlignment="1">
      <alignment horizontal="center"/>
    </xf>
    <xf numFmtId="165" fontId="0" fillId="0" borderId="20" xfId="0" applyNumberFormat="1" applyBorder="1"/>
    <xf numFmtId="0" fontId="0" fillId="0" borderId="20" xfId="0" applyNumberFormat="1" applyBorder="1"/>
    <xf numFmtId="165" fontId="4" fillId="0" borderId="15" xfId="0" applyNumberFormat="1" applyFont="1" applyBorder="1" applyAlignment="1">
      <alignment horizontal="center"/>
    </xf>
    <xf numFmtId="3" fontId="4" fillId="0" borderId="0" xfId="0" applyNumberFormat="1" applyFont="1" applyAlignment="1">
      <alignment horizontal="center"/>
    </xf>
    <xf numFmtId="3" fontId="4" fillId="0" borderId="15" xfId="0" applyNumberFormat="1" applyFont="1" applyBorder="1" applyAlignment="1">
      <alignment horizontal="center"/>
    </xf>
    <xf numFmtId="0" fontId="0" fillId="0" borderId="0" xfId="0" applyNumberFormat="1" applyFill="1" applyBorder="1" applyAlignment="1"/>
    <xf numFmtId="1" fontId="4" fillId="0" borderId="15" xfId="0" applyNumberFormat="1" applyFont="1" applyFill="1" applyBorder="1" applyAlignment="1">
      <alignment horizontal="center"/>
    </xf>
    <xf numFmtId="0" fontId="0" fillId="9" borderId="0" xfId="0" applyFill="1"/>
    <xf numFmtId="3" fontId="0" fillId="0" borderId="22" xfId="0" applyNumberFormat="1" applyBorder="1"/>
    <xf numFmtId="165" fontId="4" fillId="0" borderId="0" xfId="0" applyNumberFormat="1" applyFont="1" applyBorder="1" applyAlignment="1">
      <alignment horizontal="center"/>
    </xf>
    <xf numFmtId="17" fontId="4" fillId="0" borderId="0" xfId="0" applyNumberFormat="1" applyFont="1" applyBorder="1" applyAlignment="1">
      <alignment horizontal="center"/>
    </xf>
    <xf numFmtId="164" fontId="0" fillId="0" borderId="0" xfId="0" applyNumberFormat="1" applyFill="1" applyAlignment="1">
      <alignment horizontal="center"/>
    </xf>
    <xf numFmtId="0" fontId="11" fillId="0" borderId="0" xfId="0" applyFont="1" applyFill="1"/>
    <xf numFmtId="3" fontId="0" fillId="9" borderId="0" xfId="0" applyNumberFormat="1" applyFill="1"/>
    <xf numFmtId="0" fontId="13" fillId="0" borderId="0" xfId="0" applyFont="1" applyBorder="1" applyAlignment="1">
      <alignment horizontal="center"/>
    </xf>
    <xf numFmtId="1" fontId="4" fillId="0" borderId="0" xfId="0" applyNumberFormat="1" applyFont="1" applyFill="1" applyBorder="1" applyAlignment="1">
      <alignment horizontal="center"/>
    </xf>
    <xf numFmtId="3" fontId="4" fillId="0" borderId="0" xfId="0" applyNumberFormat="1" applyFont="1" applyBorder="1" applyAlignment="1"/>
    <xf numFmtId="3" fontId="0" fillId="0" borderId="0" xfId="0" applyNumberFormat="1" applyBorder="1" applyAlignment="1"/>
    <xf numFmtId="3" fontId="4" fillId="0" borderId="0" xfId="0" applyNumberFormat="1" applyFont="1" applyAlignment="1"/>
    <xf numFmtId="0" fontId="0" fillId="0" borderId="0" xfId="0" applyAlignment="1"/>
    <xf numFmtId="168" fontId="0" fillId="0" borderId="0" xfId="0" applyNumberFormat="1" applyAlignment="1">
      <alignment horizontal="center"/>
    </xf>
    <xf numFmtId="0" fontId="3" fillId="0" borderId="0" xfId="0" applyFont="1"/>
    <xf numFmtId="0" fontId="4" fillId="0" borderId="0" xfId="0" applyFont="1" applyAlignment="1">
      <alignment horizontal="center"/>
    </xf>
    <xf numFmtId="0" fontId="3" fillId="0" borderId="15" xfId="0" applyFont="1" applyBorder="1" applyAlignment="1">
      <alignment horizontal="center"/>
    </xf>
    <xf numFmtId="2" fontId="3" fillId="0" borderId="15" xfId="0" applyNumberFormat="1" applyFont="1" applyBorder="1" applyAlignment="1">
      <alignment horizontal="center"/>
    </xf>
    <xf numFmtId="2" fontId="0" fillId="0" borderId="0" xfId="0" applyNumberFormat="1" applyFill="1" applyAlignment="1"/>
    <xf numFmtId="2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3" fontId="3" fillId="0" borderId="0" xfId="0" applyNumberFormat="1" applyFont="1" applyAlignment="1">
      <alignment horizontal="center"/>
    </xf>
    <xf numFmtId="3" fontId="3" fillId="0" borderId="15" xfId="0" applyNumberFormat="1" applyFont="1" applyBorder="1" applyAlignment="1">
      <alignment horizontal="center"/>
    </xf>
    <xf numFmtId="0" fontId="3" fillId="0" borderId="0" xfId="0" applyFont="1" applyFill="1"/>
    <xf numFmtId="0" fontId="3" fillId="0" borderId="0" xfId="0" applyFont="1" applyFill="1" applyBorder="1"/>
    <xf numFmtId="0" fontId="3" fillId="0" borderId="0" xfId="0" applyFont="1" applyBorder="1" applyAlignment="1">
      <alignment horizontal="center"/>
    </xf>
    <xf numFmtId="0" fontId="3" fillId="0" borderId="15" xfId="0" applyFont="1" applyFill="1" applyBorder="1" applyAlignment="1">
      <alignment horizontal="center"/>
    </xf>
    <xf numFmtId="0" fontId="3" fillId="0" borderId="15" xfId="0" applyFont="1" applyBorder="1"/>
    <xf numFmtId="2" fontId="3" fillId="2" borderId="2" xfId="0" applyNumberFormat="1" applyFont="1" applyFill="1" applyBorder="1" applyAlignment="1">
      <alignment wrapText="1"/>
    </xf>
    <xf numFmtId="0" fontId="15" fillId="0" borderId="0" xfId="0" applyFont="1" applyFill="1" applyAlignment="1">
      <alignment horizontal="left"/>
    </xf>
    <xf numFmtId="0" fontId="4" fillId="0" borderId="0" xfId="0" applyFont="1" applyAlignment="1">
      <alignment horizontal="center"/>
    </xf>
    <xf numFmtId="166" fontId="0" fillId="8" borderId="0" xfId="0" applyNumberFormat="1" applyFill="1"/>
    <xf numFmtId="166" fontId="0" fillId="0" borderId="0" xfId="0" applyNumberFormat="1" applyFill="1"/>
    <xf numFmtId="0" fontId="4" fillId="0" borderId="0" xfId="0" applyFont="1" applyFill="1" applyAlignment="1">
      <alignment horizontal="center"/>
    </xf>
    <xf numFmtId="166" fontId="0" fillId="13" borderId="0" xfId="0" applyNumberFormat="1" applyFill="1"/>
    <xf numFmtId="3" fontId="3" fillId="0" borderId="0" xfId="9" applyNumberFormat="1" applyFont="1" applyAlignment="1" applyProtection="1">
      <alignment horizontal="center"/>
    </xf>
    <xf numFmtId="0" fontId="3" fillId="0" borderId="0" xfId="0" applyFont="1" applyFill="1" applyAlignment="1"/>
    <xf numFmtId="0" fontId="3" fillId="0" borderId="15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3" fontId="4" fillId="0" borderId="0" xfId="0" applyNumberFormat="1" applyFont="1" applyBorder="1" applyAlignment="1">
      <alignment horizontal="center"/>
    </xf>
    <xf numFmtId="3" fontId="0" fillId="0" borderId="0" xfId="0" applyNumberFormat="1" applyBorder="1" applyAlignment="1">
      <alignment horizontal="center"/>
    </xf>
    <xf numFmtId="2" fontId="3" fillId="2" borderId="2" xfId="0" applyNumberFormat="1" applyFont="1" applyFill="1" applyBorder="1" applyAlignment="1">
      <alignment horizontal="left"/>
    </xf>
    <xf numFmtId="0" fontId="3" fillId="3" borderId="0" xfId="0" applyFont="1" applyFill="1" applyBorder="1"/>
    <xf numFmtId="2" fontId="3" fillId="2" borderId="2" xfId="0" applyNumberFormat="1" applyFont="1" applyFill="1" applyBorder="1" applyAlignment="1"/>
    <xf numFmtId="164" fontId="3" fillId="2" borderId="2" xfId="0" applyNumberFormat="1" applyFont="1" applyFill="1" applyBorder="1" applyAlignment="1"/>
    <xf numFmtId="2" fontId="3" fillId="2" borderId="2" xfId="0" applyNumberFormat="1" applyFont="1" applyFill="1" applyBorder="1" applyAlignment="1">
      <alignment horizontal="left" wrapText="1"/>
    </xf>
    <xf numFmtId="3" fontId="3" fillId="2" borderId="2" xfId="0" applyNumberFormat="1" applyFont="1" applyFill="1" applyBorder="1" applyAlignment="1">
      <alignment horizontal="center"/>
    </xf>
    <xf numFmtId="0" fontId="3" fillId="2" borderId="2" xfId="0" applyNumberFormat="1" applyFont="1" applyFill="1" applyBorder="1" applyAlignment="1">
      <alignment horizontal="left"/>
    </xf>
    <xf numFmtId="3" fontId="3" fillId="2" borderId="2" xfId="0" applyNumberFormat="1" applyFont="1" applyFill="1" applyBorder="1" applyAlignment="1">
      <alignment horizontal="center" wrapText="1"/>
    </xf>
    <xf numFmtId="2" fontId="3" fillId="2" borderId="2" xfId="0" applyNumberFormat="1" applyFont="1" applyFill="1" applyBorder="1" applyAlignment="1">
      <alignment horizontal="center" wrapText="1"/>
    </xf>
    <xf numFmtId="2" fontId="3" fillId="2" borderId="0" xfId="0" applyNumberFormat="1" applyFont="1" applyFill="1" applyBorder="1" applyAlignment="1">
      <alignment horizontal="center" wrapText="1"/>
    </xf>
    <xf numFmtId="0" fontId="3" fillId="0" borderId="0" xfId="0" applyFont="1" applyBorder="1" applyAlignment="1"/>
    <xf numFmtId="17" fontId="3" fillId="0" borderId="0" xfId="0" applyNumberFormat="1" applyFont="1" applyBorder="1" applyAlignment="1"/>
    <xf numFmtId="164" fontId="3" fillId="0" borderId="0" xfId="0" applyNumberFormat="1" applyFont="1" applyBorder="1" applyAlignment="1">
      <alignment horizontal="center"/>
    </xf>
    <xf numFmtId="1" fontId="3" fillId="0" borderId="0" xfId="0" applyNumberFormat="1" applyFont="1" applyBorder="1"/>
    <xf numFmtId="17" fontId="3" fillId="3" borderId="0" xfId="0" applyNumberFormat="1" applyFont="1" applyFill="1" applyBorder="1"/>
    <xf numFmtId="3" fontId="3" fillId="0" borderId="0" xfId="0" applyNumberFormat="1" applyFont="1" applyFill="1" applyBorder="1" applyAlignment="1">
      <alignment horizontal="center"/>
    </xf>
    <xf numFmtId="3" fontId="3" fillId="0" borderId="0" xfId="0" applyNumberFormat="1" applyFont="1" applyBorder="1"/>
    <xf numFmtId="17" fontId="3" fillId="0" borderId="0" xfId="0" applyNumberFormat="1" applyFont="1" applyBorder="1"/>
    <xf numFmtId="3" fontId="3" fillId="0" borderId="0" xfId="0" applyNumberFormat="1" applyFont="1" applyBorder="1" applyAlignment="1">
      <alignment horizontal="center"/>
    </xf>
    <xf numFmtId="2" fontId="3" fillId="0" borderId="0" xfId="0" applyNumberFormat="1" applyFont="1"/>
    <xf numFmtId="2" fontId="3" fillId="3" borderId="0" xfId="0" applyNumberFormat="1" applyFont="1" applyFill="1" applyBorder="1"/>
    <xf numFmtId="164" fontId="3" fillId="0" borderId="0" xfId="0" applyNumberFormat="1" applyFont="1" applyBorder="1"/>
    <xf numFmtId="0" fontId="3" fillId="3" borderId="0" xfId="0" applyNumberFormat="1" applyFont="1" applyFill="1" applyBorder="1"/>
    <xf numFmtId="3" fontId="3" fillId="0" borderId="0" xfId="0" applyNumberFormat="1" applyFont="1" applyFill="1" applyAlignment="1">
      <alignment horizontal="center"/>
    </xf>
    <xf numFmtId="164" fontId="3" fillId="0" borderId="0" xfId="0" applyNumberFormat="1" applyFont="1" applyFill="1" applyBorder="1"/>
    <xf numFmtId="0" fontId="3" fillId="0" borderId="0" xfId="0" applyNumberFormat="1" applyFont="1" applyFill="1" applyBorder="1"/>
    <xf numFmtId="3" fontId="3" fillId="0" borderId="0" xfId="0" applyNumberFormat="1" applyFont="1" applyFill="1" applyBorder="1"/>
    <xf numFmtId="17" fontId="3" fillId="0" borderId="0" xfId="0" applyNumberFormat="1" applyFont="1" applyFill="1" applyBorder="1"/>
    <xf numFmtId="2" fontId="3" fillId="0" borderId="0" xfId="0" applyNumberFormat="1" applyFont="1" applyFill="1" applyBorder="1"/>
    <xf numFmtId="1" fontId="3" fillId="0" borderId="0" xfId="0" applyNumberFormat="1" applyFont="1" applyFill="1" applyBorder="1"/>
    <xf numFmtId="17" fontId="3" fillId="0" borderId="0" xfId="0" applyNumberFormat="1" applyFont="1" applyFill="1"/>
    <xf numFmtId="164" fontId="3" fillId="0" borderId="0" xfId="0" applyNumberFormat="1" applyFont="1" applyFill="1" applyAlignment="1">
      <alignment horizontal="center"/>
    </xf>
    <xf numFmtId="2" fontId="3" fillId="11" borderId="0" xfId="0" applyNumberFormat="1" applyFont="1" applyFill="1"/>
    <xf numFmtId="17" fontId="3" fillId="0" borderId="0" xfId="0" applyNumberFormat="1" applyFont="1"/>
    <xf numFmtId="3" fontId="3" fillId="3" borderId="0" xfId="0" applyNumberFormat="1" applyFont="1" applyFill="1" applyBorder="1" applyAlignment="1">
      <alignment horizontal="center"/>
    </xf>
    <xf numFmtId="0" fontId="3" fillId="0" borderId="0" xfId="0" applyFont="1" applyFill="1" applyBorder="1" applyAlignment="1"/>
    <xf numFmtId="17" fontId="3" fillId="0" borderId="0" xfId="0" applyNumberFormat="1" applyFont="1" applyFill="1" applyBorder="1" applyAlignment="1"/>
    <xf numFmtId="0" fontId="3" fillId="0" borderId="0" xfId="0" applyFont="1" applyBorder="1" applyAlignment="1" applyProtection="1">
      <protection locked="0"/>
    </xf>
    <xf numFmtId="17" fontId="3" fillId="0" borderId="0" xfId="0" applyNumberFormat="1" applyFont="1" applyBorder="1" applyAlignment="1" applyProtection="1">
      <protection locked="0"/>
    </xf>
    <xf numFmtId="164" fontId="3" fillId="0" borderId="0" xfId="0" applyNumberFormat="1" applyFont="1" applyBorder="1" applyAlignment="1" applyProtection="1">
      <alignment horizontal="center"/>
      <protection locked="0"/>
    </xf>
    <xf numFmtId="0" fontId="3" fillId="0" borderId="0" xfId="0" applyFont="1" applyFill="1" applyAlignment="1" applyProtection="1">
      <protection locked="0"/>
    </xf>
    <xf numFmtId="2" fontId="3" fillId="0" borderId="0" xfId="0" applyNumberFormat="1" applyFont="1" applyAlignment="1" applyProtection="1">
      <protection locked="0"/>
    </xf>
    <xf numFmtId="0" fontId="3" fillId="0" borderId="0" xfId="0" applyNumberFormat="1" applyFont="1" applyAlignment="1" applyProtection="1">
      <protection locked="0"/>
    </xf>
    <xf numFmtId="3" fontId="3" fillId="0" borderId="0" xfId="0" applyNumberFormat="1" applyFont="1" applyBorder="1" applyAlignment="1" applyProtection="1">
      <protection locked="0"/>
    </xf>
    <xf numFmtId="0" fontId="3" fillId="0" borderId="0" xfId="0" applyFont="1" applyAlignment="1" applyProtection="1">
      <protection locked="0"/>
    </xf>
    <xf numFmtId="17" fontId="3" fillId="0" borderId="0" xfId="0" applyNumberFormat="1" applyFont="1" applyFill="1" applyBorder="1" applyAlignment="1">
      <alignment horizontal="right"/>
    </xf>
    <xf numFmtId="2" fontId="3" fillId="0" borderId="0" xfId="0" applyNumberFormat="1" applyFont="1" applyFill="1"/>
    <xf numFmtId="0" fontId="3" fillId="0" borderId="0" xfId="0" applyNumberFormat="1" applyFont="1" applyFill="1"/>
    <xf numFmtId="1" fontId="3" fillId="0" borderId="0" xfId="0" applyNumberFormat="1" applyFont="1" applyFill="1"/>
    <xf numFmtId="3" fontId="3" fillId="0" borderId="0" xfId="3" applyNumberFormat="1" applyFont="1" applyFill="1" applyBorder="1" applyAlignment="1">
      <alignment horizontal="center"/>
    </xf>
    <xf numFmtId="2" fontId="3" fillId="3" borderId="0" xfId="0" applyNumberFormat="1" applyFont="1" applyFill="1"/>
    <xf numFmtId="1" fontId="3" fillId="0" borderId="0" xfId="0" applyNumberFormat="1" applyFont="1" applyBorder="1" applyAlignment="1">
      <alignment horizontal="right"/>
    </xf>
    <xf numFmtId="3" fontId="3" fillId="3" borderId="0" xfId="0" applyNumberFormat="1" applyFont="1" applyFill="1" applyAlignment="1">
      <alignment horizontal="center"/>
    </xf>
    <xf numFmtId="3" fontId="3" fillId="4" borderId="0" xfId="3" applyNumberFormat="1" applyFont="1" applyFill="1" applyBorder="1" applyAlignment="1">
      <alignment horizontal="center"/>
    </xf>
    <xf numFmtId="0" fontId="3" fillId="11" borderId="0" xfId="0" applyFont="1" applyFill="1" applyBorder="1"/>
    <xf numFmtId="0" fontId="3" fillId="0" borderId="0" xfId="0" applyNumberFormat="1" applyFont="1" applyBorder="1" applyAlignment="1"/>
    <xf numFmtId="0" fontId="3" fillId="11" borderId="0" xfId="0" applyNumberFormat="1" applyFont="1" applyFill="1" applyBorder="1" applyAlignment="1"/>
    <xf numFmtId="3" fontId="3" fillId="0" borderId="0" xfId="0" applyNumberFormat="1" applyFont="1" applyFill="1"/>
    <xf numFmtId="2" fontId="3" fillId="11" borderId="0" xfId="0" applyNumberFormat="1" applyFont="1" applyFill="1" applyBorder="1"/>
    <xf numFmtId="3" fontId="3" fillId="11" borderId="0" xfId="0" applyNumberFormat="1" applyFont="1" applyFill="1" applyAlignment="1" applyProtection="1">
      <alignment horizontal="center"/>
    </xf>
    <xf numFmtId="3" fontId="3" fillId="0" borderId="0" xfId="0" applyNumberFormat="1" applyFont="1" applyAlignment="1" applyProtection="1">
      <alignment horizontal="center"/>
    </xf>
    <xf numFmtId="16" fontId="3" fillId="0" borderId="0" xfId="0" applyNumberFormat="1" applyFont="1" applyFill="1"/>
    <xf numFmtId="0" fontId="3" fillId="0" borderId="0" xfId="0" applyNumberFormat="1" applyFont="1"/>
    <xf numFmtId="0" fontId="3" fillId="0" borderId="0" xfId="0" applyNumberFormat="1" applyFont="1" applyBorder="1" applyAlignment="1" applyProtection="1">
      <protection locked="0"/>
    </xf>
    <xf numFmtId="1" fontId="3" fillId="0" borderId="0" xfId="0" applyNumberFormat="1" applyFont="1" applyBorder="1" applyAlignment="1" applyProtection="1">
      <protection locked="0"/>
    </xf>
    <xf numFmtId="0" fontId="3" fillId="3" borderId="0" xfId="0" applyFont="1" applyFill="1"/>
    <xf numFmtId="3" fontId="3" fillId="11" borderId="0" xfId="0" applyNumberFormat="1" applyFont="1" applyFill="1" applyBorder="1" applyAlignment="1">
      <alignment horizontal="center"/>
    </xf>
    <xf numFmtId="3" fontId="3" fillId="11" borderId="0" xfId="0" applyNumberFormat="1" applyFont="1" applyFill="1" applyAlignment="1">
      <alignment horizontal="center"/>
    </xf>
    <xf numFmtId="2" fontId="3" fillId="11" borderId="0" xfId="0" applyNumberFormat="1" applyFont="1" applyFill="1" applyAlignment="1"/>
    <xf numFmtId="0" fontId="3" fillId="3" borderId="0" xfId="0" applyNumberFormat="1" applyFont="1" applyFill="1" applyBorder="1" applyAlignment="1">
      <alignment horizontal="right"/>
    </xf>
    <xf numFmtId="165" fontId="3" fillId="3" borderId="0" xfId="0" applyNumberFormat="1" applyFont="1" applyFill="1" applyBorder="1" applyAlignment="1">
      <alignment horizontal="right"/>
    </xf>
    <xf numFmtId="1" fontId="3" fillId="3" borderId="0" xfId="0" applyNumberFormat="1" applyFont="1" applyFill="1" applyBorder="1" applyAlignment="1">
      <alignment horizontal="right"/>
    </xf>
    <xf numFmtId="2" fontId="3" fillId="3" borderId="0" xfId="0" applyNumberFormat="1" applyFont="1" applyFill="1" applyBorder="1" applyAlignment="1">
      <alignment horizontal="right"/>
    </xf>
    <xf numFmtId="3" fontId="3" fillId="0" borderId="0" xfId="4" applyNumberFormat="1" applyFont="1" applyFill="1" applyBorder="1" applyAlignment="1">
      <alignment horizontal="center"/>
    </xf>
    <xf numFmtId="0" fontId="3" fillId="0" borderId="1" xfId="0" applyFont="1" applyBorder="1"/>
    <xf numFmtId="1" fontId="3" fillId="0" borderId="0" xfId="0" applyNumberFormat="1" applyFont="1"/>
    <xf numFmtId="0" fontId="3" fillId="0" borderId="0" xfId="0" applyFont="1" applyAlignment="1"/>
    <xf numFmtId="17" fontId="3" fillId="0" borderId="0" xfId="0" applyNumberFormat="1" applyFont="1" applyFill="1" applyAlignment="1"/>
    <xf numFmtId="17" fontId="3" fillId="0" borderId="0" xfId="0" applyNumberFormat="1" applyFont="1" applyFill="1" applyBorder="1" applyAlignment="1">
      <alignment horizontal="center"/>
    </xf>
    <xf numFmtId="164" fontId="3" fillId="0" borderId="0" xfId="0" applyNumberFormat="1" applyFont="1" applyFill="1" applyBorder="1" applyAlignment="1"/>
    <xf numFmtId="164" fontId="3" fillId="0" borderId="0" xfId="0" applyNumberFormat="1" applyFont="1" applyFill="1" applyBorder="1" applyAlignment="1">
      <alignment horizontal="center"/>
    </xf>
    <xf numFmtId="164" fontId="3" fillId="0" borderId="0" xfId="0" applyNumberFormat="1" applyFont="1" applyBorder="1" applyAlignment="1"/>
    <xf numFmtId="17" fontId="3" fillId="0" borderId="0" xfId="0" applyNumberFormat="1" applyFont="1" applyBorder="1" applyAlignment="1">
      <alignment horizontal="center"/>
    </xf>
    <xf numFmtId="2" fontId="3" fillId="2" borderId="0" xfId="0" applyNumberFormat="1" applyFont="1" applyFill="1" applyBorder="1" applyAlignment="1"/>
    <xf numFmtId="2" fontId="3" fillId="2" borderId="0" xfId="0" applyNumberFormat="1" applyFont="1" applyFill="1" applyBorder="1" applyAlignment="1">
      <alignment horizontal="center"/>
    </xf>
    <xf numFmtId="2" fontId="3" fillId="2" borderId="0" xfId="0" applyNumberFormat="1" applyFont="1" applyFill="1" applyBorder="1"/>
    <xf numFmtId="3" fontId="3" fillId="2" borderId="0" xfId="0" applyNumberFormat="1" applyFont="1" applyFill="1" applyBorder="1" applyAlignment="1">
      <alignment horizontal="center"/>
    </xf>
    <xf numFmtId="0" fontId="3" fillId="2" borderId="0" xfId="0" applyNumberFormat="1" applyFont="1" applyFill="1" applyBorder="1"/>
    <xf numFmtId="3" fontId="3" fillId="2" borderId="0" xfId="0" applyNumberFormat="1" applyFont="1" applyFill="1" applyBorder="1"/>
    <xf numFmtId="2" fontId="3" fillId="0" borderId="0" xfId="0" applyNumberFormat="1" applyFont="1" applyBorder="1" applyAlignment="1">
      <alignment horizontal="center"/>
    </xf>
    <xf numFmtId="164" fontId="3" fillId="0" borderId="0" xfId="0" applyNumberFormat="1" applyFont="1" applyFill="1" applyAlignment="1"/>
    <xf numFmtId="0" fontId="6" fillId="0" borderId="0" xfId="0" applyFont="1" applyFill="1" applyBorder="1" applyAlignment="1">
      <alignment vertical="top" wrapText="1"/>
    </xf>
    <xf numFmtId="0" fontId="11" fillId="0" borderId="0" xfId="0" applyFont="1" applyBorder="1" applyAlignment="1"/>
    <xf numFmtId="0" fontId="6" fillId="0" borderId="0" xfId="0" applyFont="1" applyFill="1" applyBorder="1" applyAlignment="1">
      <alignment vertical="top"/>
    </xf>
    <xf numFmtId="1" fontId="3" fillId="0" borderId="0" xfId="0" applyNumberFormat="1" applyFont="1" applyBorder="1" applyAlignment="1"/>
    <xf numFmtId="1" fontId="3" fillId="0" borderId="0" xfId="0" applyNumberFormat="1" applyFont="1" applyFill="1" applyAlignment="1"/>
    <xf numFmtId="0" fontId="3" fillId="10" borderId="0" xfId="0" applyFont="1" applyFill="1" applyBorder="1" applyAlignment="1"/>
    <xf numFmtId="0" fontId="6" fillId="0" borderId="0" xfId="6" applyFont="1" applyFill="1" applyBorder="1" applyAlignment="1"/>
    <xf numFmtId="3" fontId="3" fillId="0" borderId="0" xfId="0" applyNumberFormat="1" applyFont="1" applyFill="1" applyAlignment="1"/>
    <xf numFmtId="15" fontId="3" fillId="0" borderId="0" xfId="0" applyNumberFormat="1" applyFont="1" applyFill="1" applyAlignment="1"/>
    <xf numFmtId="3" fontId="3" fillId="0" borderId="0" xfId="0" applyNumberFormat="1" applyFont="1" applyFill="1" applyBorder="1" applyAlignment="1"/>
    <xf numFmtId="16" fontId="3" fillId="0" borderId="0" xfId="0" applyNumberFormat="1" applyFont="1" applyFill="1" applyAlignment="1"/>
    <xf numFmtId="17" fontId="3" fillId="0" borderId="0" xfId="0" quotePrefix="1" applyNumberFormat="1" applyFont="1" applyAlignment="1"/>
    <xf numFmtId="3" fontId="3" fillId="3" borderId="0" xfId="3" applyNumberFormat="1" applyFont="1" applyFill="1" applyBorder="1" applyAlignment="1">
      <alignment horizontal="center"/>
    </xf>
    <xf numFmtId="3" fontId="3" fillId="0" borderId="0" xfId="3" applyNumberFormat="1" applyFont="1" applyFill="1" applyBorder="1" applyAlignment="1" applyProtection="1">
      <alignment horizontal="center"/>
      <protection locked="0"/>
    </xf>
    <xf numFmtId="3" fontId="3" fillId="11" borderId="0" xfId="3" applyNumberFormat="1" applyFont="1" applyFill="1" applyBorder="1" applyAlignment="1">
      <alignment horizontal="center"/>
    </xf>
    <xf numFmtId="3" fontId="3" fillId="0" borderId="0" xfId="5" applyNumberFormat="1" applyFont="1" applyFill="1" applyBorder="1" applyAlignment="1">
      <alignment horizontal="center"/>
    </xf>
    <xf numFmtId="3" fontId="3" fillId="0" borderId="0" xfId="1" applyNumberFormat="1" applyFont="1" applyFill="1" applyBorder="1" applyAlignment="1">
      <alignment horizontal="center" wrapText="1"/>
    </xf>
    <xf numFmtId="3" fontId="3" fillId="4" borderId="0" xfId="4" applyNumberFormat="1" applyFont="1" applyFill="1" applyBorder="1" applyAlignment="1">
      <alignment horizontal="center"/>
    </xf>
    <xf numFmtId="1" fontId="3" fillId="0" borderId="0" xfId="2" applyNumberFormat="1" applyFont="1" applyFill="1" applyBorder="1" applyAlignment="1" applyProtection="1">
      <alignment horizontal="right" wrapText="1"/>
      <protection locked="0"/>
    </xf>
    <xf numFmtId="2" fontId="3" fillId="4" borderId="0" xfId="3" applyNumberFormat="1" applyFont="1" applyFill="1" applyBorder="1" applyAlignment="1">
      <alignment horizontal="right"/>
    </xf>
    <xf numFmtId="0" fontId="3" fillId="4" borderId="0" xfId="3" applyNumberFormat="1" applyFont="1" applyFill="1" applyBorder="1" applyAlignment="1">
      <alignment horizontal="right"/>
    </xf>
    <xf numFmtId="165" fontId="3" fillId="4" borderId="0" xfId="3" applyNumberFormat="1" applyFont="1" applyFill="1" applyBorder="1" applyAlignment="1">
      <alignment horizontal="right"/>
    </xf>
    <xf numFmtId="0" fontId="3" fillId="0" borderId="0" xfId="0" applyNumberFormat="1" applyFont="1" applyFill="1" applyBorder="1" applyAlignment="1">
      <alignment horizontal="right"/>
    </xf>
    <xf numFmtId="0" fontId="3" fillId="12" borderId="0" xfId="0" applyFont="1" applyFill="1" applyBorder="1"/>
    <xf numFmtId="0" fontId="3" fillId="8" borderId="0" xfId="0" applyFont="1" applyFill="1" applyBorder="1"/>
    <xf numFmtId="0" fontId="4" fillId="9" borderId="0" xfId="0" applyFont="1" applyFill="1" applyAlignment="1">
      <alignment horizontal="left"/>
    </xf>
    <xf numFmtId="0" fontId="15" fillId="9" borderId="0" xfId="0" applyFont="1" applyFill="1" applyAlignment="1">
      <alignment horizontal="left"/>
    </xf>
    <xf numFmtId="3" fontId="0" fillId="9" borderId="3" xfId="0" applyNumberFormat="1" applyFill="1" applyBorder="1"/>
    <xf numFmtId="3" fontId="0" fillId="9" borderId="9" xfId="0" applyNumberFormat="1" applyFill="1" applyBorder="1"/>
    <xf numFmtId="3" fontId="0" fillId="9" borderId="12" xfId="0" applyNumberFormat="1" applyFill="1" applyBorder="1"/>
    <xf numFmtId="3" fontId="0" fillId="9" borderId="7" xfId="0" applyNumberFormat="1" applyFill="1" applyBorder="1"/>
    <xf numFmtId="3" fontId="0" fillId="9" borderId="13" xfId="0" applyNumberFormat="1" applyFill="1" applyBorder="1"/>
    <xf numFmtId="0" fontId="0" fillId="9" borderId="7" xfId="0" applyFill="1" applyBorder="1"/>
    <xf numFmtId="3" fontId="3" fillId="0" borderId="0" xfId="0" applyNumberFormat="1" applyFont="1" applyAlignment="1"/>
    <xf numFmtId="2" fontId="0" fillId="0" borderId="0" xfId="0" applyNumberFormat="1" applyBorder="1" applyAlignment="1">
      <alignment horizontal="center"/>
    </xf>
    <xf numFmtId="166" fontId="0" fillId="0" borderId="0" xfId="0" applyNumberFormat="1" applyBorder="1" applyAlignment="1">
      <alignment horizontal="center"/>
    </xf>
    <xf numFmtId="0" fontId="4" fillId="0" borderId="15" xfId="0" applyFont="1" applyBorder="1" applyAlignment="1">
      <alignment horizontal="left"/>
    </xf>
    <xf numFmtId="3" fontId="3" fillId="0" borderId="0" xfId="0" applyNumberFormat="1" applyFont="1"/>
    <xf numFmtId="0" fontId="0" fillId="0" borderId="0" xfId="0" applyFill="1" applyBorder="1" applyAlignment="1">
      <alignment horizontal="center"/>
    </xf>
    <xf numFmtId="166" fontId="0" fillId="0" borderId="0" xfId="0" applyNumberFormat="1" applyFill="1" applyBorder="1"/>
    <xf numFmtId="0" fontId="4" fillId="0" borderId="0" xfId="0" applyFont="1" applyFill="1" applyBorder="1" applyAlignment="1">
      <alignment horizontal="center"/>
    </xf>
    <xf numFmtId="0" fontId="3" fillId="0" borderId="0" xfId="0" applyFont="1" applyAlignment="1">
      <alignment horizontal="center" wrapText="1"/>
    </xf>
    <xf numFmtId="0" fontId="3" fillId="0" borderId="0" xfId="0" quotePrefix="1" applyFont="1"/>
    <xf numFmtId="3" fontId="0" fillId="0" borderId="0" xfId="0" applyNumberFormat="1" applyFill="1" applyAlignment="1">
      <alignment horizontal="center"/>
    </xf>
    <xf numFmtId="0" fontId="4" fillId="0" borderId="0" xfId="0" applyFont="1" applyBorder="1"/>
    <xf numFmtId="3" fontId="13" fillId="0" borderId="0" xfId="0" applyNumberFormat="1" applyFont="1" applyBorder="1" applyAlignment="1">
      <alignment horizontal="center"/>
    </xf>
    <xf numFmtId="11" fontId="0" fillId="0" borderId="0" xfId="0" applyNumberFormat="1" applyFill="1" applyBorder="1" applyAlignment="1">
      <alignment horizontal="center"/>
    </xf>
    <xf numFmtId="0" fontId="0" fillId="0" borderId="0" xfId="0" applyNumberFormat="1" applyFill="1" applyBorder="1" applyAlignment="1">
      <alignment horizontal="center"/>
    </xf>
    <xf numFmtId="0" fontId="22" fillId="0" borderId="0" xfId="10" applyFont="1"/>
    <xf numFmtId="0" fontId="22" fillId="0" borderId="0" xfId="10" applyFont="1" applyAlignment="1">
      <alignment horizontal="center"/>
    </xf>
    <xf numFmtId="0" fontId="22" fillId="0" borderId="17" xfId="10" applyFont="1" applyBorder="1" applyAlignment="1">
      <alignment horizontal="center"/>
    </xf>
    <xf numFmtId="0" fontId="23" fillId="0" borderId="23" xfId="10" applyFont="1" applyFill="1" applyBorder="1" applyAlignment="1">
      <alignment horizontal="center"/>
    </xf>
    <xf numFmtId="0" fontId="23" fillId="0" borderId="0" xfId="10" applyFont="1" applyFill="1" applyBorder="1" applyAlignment="1">
      <alignment horizontal="center"/>
    </xf>
    <xf numFmtId="0" fontId="22" fillId="0" borderId="0" xfId="10" applyFont="1" applyBorder="1" applyAlignment="1">
      <alignment horizontal="center"/>
    </xf>
    <xf numFmtId="3" fontId="22" fillId="0" borderId="0" xfId="10" applyNumberFormat="1" applyFont="1"/>
    <xf numFmtId="0" fontId="22" fillId="0" borderId="0" xfId="10" applyFont="1" applyFill="1"/>
    <xf numFmtId="167" fontId="22" fillId="0" borderId="0" xfId="10" applyNumberFormat="1" applyFont="1"/>
    <xf numFmtId="4" fontId="22" fillId="0" borderId="0" xfId="10" applyNumberFormat="1" applyFont="1"/>
    <xf numFmtId="3" fontId="24" fillId="0" borderId="0" xfId="11" applyNumberFormat="1" applyFont="1" applyFill="1"/>
    <xf numFmtId="3" fontId="24" fillId="0" borderId="0" xfId="11" applyNumberFormat="1" applyFont="1" applyFill="1" applyBorder="1" applyAlignment="1"/>
    <xf numFmtId="0" fontId="25" fillId="0" borderId="0" xfId="10" applyFont="1"/>
    <xf numFmtId="3" fontId="22" fillId="0" borderId="0" xfId="10" applyNumberFormat="1" applyFont="1" applyFill="1"/>
    <xf numFmtId="0" fontId="26" fillId="0" borderId="0" xfId="10" applyFont="1"/>
    <xf numFmtId="0" fontId="26" fillId="0" borderId="0" xfId="10" applyFont="1" applyFill="1" applyAlignment="1">
      <alignment horizontal="left"/>
    </xf>
    <xf numFmtId="0" fontId="26" fillId="0" borderId="0" xfId="10" applyFont="1" applyFill="1"/>
    <xf numFmtId="0" fontId="25" fillId="0" borderId="0" xfId="10" applyFont="1" applyFill="1"/>
    <xf numFmtId="0" fontId="23" fillId="0" borderId="18" xfId="10" applyFont="1" applyFill="1" applyBorder="1" applyAlignment="1">
      <alignment horizontal="centerContinuous"/>
    </xf>
    <xf numFmtId="0" fontId="22" fillId="0" borderId="0" xfId="10" applyFont="1" applyFill="1" applyBorder="1" applyAlignment="1"/>
    <xf numFmtId="0" fontId="22" fillId="0" borderId="17" xfId="10" applyFont="1" applyFill="1" applyBorder="1" applyAlignment="1"/>
    <xf numFmtId="0" fontId="23" fillId="0" borderId="18" xfId="10" applyFont="1" applyFill="1" applyBorder="1" applyAlignment="1">
      <alignment horizontal="center"/>
    </xf>
    <xf numFmtId="0" fontId="27" fillId="0" borderId="0" xfId="10" applyFont="1" applyFill="1" applyBorder="1" applyAlignment="1"/>
    <xf numFmtId="0" fontId="22" fillId="0" borderId="0" xfId="10" applyFont="1" applyBorder="1"/>
    <xf numFmtId="0" fontId="23" fillId="0" borderId="0" xfId="10" applyFont="1" applyFill="1" applyBorder="1" applyAlignment="1">
      <alignment horizontal="left"/>
    </xf>
    <xf numFmtId="0" fontId="22" fillId="0" borderId="0" xfId="10" applyFont="1" applyBorder="1" applyAlignment="1">
      <alignment horizontal="right"/>
    </xf>
    <xf numFmtId="0" fontId="23" fillId="0" borderId="17" xfId="10" applyFont="1" applyFill="1" applyBorder="1" applyAlignment="1">
      <alignment horizontal="left"/>
    </xf>
    <xf numFmtId="0" fontId="23" fillId="0" borderId="17" xfId="10" applyFont="1" applyFill="1" applyBorder="1" applyAlignment="1">
      <alignment horizontal="center"/>
    </xf>
    <xf numFmtId="0" fontId="28" fillId="0" borderId="0" xfId="10" applyFont="1"/>
    <xf numFmtId="0" fontId="28" fillId="0" borderId="0" xfId="10" applyFont="1" applyFill="1"/>
    <xf numFmtId="0" fontId="22" fillId="0" borderId="0" xfId="10" applyFont="1" applyFill="1" applyBorder="1"/>
    <xf numFmtId="0" fontId="19" fillId="0" borderId="0" xfId="10" applyFont="1" applyFill="1" applyBorder="1" applyAlignment="1"/>
    <xf numFmtId="0" fontId="22" fillId="0" borderId="17" xfId="10" applyFont="1" applyFill="1" applyBorder="1" applyAlignment="1">
      <alignment horizontal="left"/>
    </xf>
    <xf numFmtId="0" fontId="22" fillId="0" borderId="15" xfId="10" applyFont="1" applyBorder="1" applyAlignment="1">
      <alignment horizontal="center"/>
    </xf>
    <xf numFmtId="0" fontId="23" fillId="0" borderId="15" xfId="11" applyFont="1" applyBorder="1" applyAlignment="1">
      <alignment horizontal="center"/>
    </xf>
    <xf numFmtId="0" fontId="22" fillId="0" borderId="0" xfId="10" applyFont="1" applyFill="1" applyBorder="1" applyAlignment="1">
      <alignment horizontal="right"/>
    </xf>
    <xf numFmtId="0" fontId="0" fillId="16" borderId="0" xfId="0" applyFill="1"/>
    <xf numFmtId="0" fontId="0" fillId="2" borderId="0" xfId="0" applyFill="1"/>
    <xf numFmtId="0" fontId="0" fillId="15" borderId="0" xfId="0" applyFill="1"/>
    <xf numFmtId="3" fontId="0" fillId="0" borderId="0" xfId="0" applyNumberFormat="1" applyFill="1" applyBorder="1" applyAlignment="1">
      <alignment horizontal="left"/>
    </xf>
    <xf numFmtId="165" fontId="3" fillId="0" borderId="0" xfId="0" applyNumberFormat="1" applyFont="1" applyAlignment="1">
      <alignment horizontal="center"/>
    </xf>
    <xf numFmtId="0" fontId="0" fillId="0" borderId="17" xfId="0" applyBorder="1" applyAlignment="1">
      <alignment horizontal="center"/>
    </xf>
    <xf numFmtId="0" fontId="0" fillId="0" borderId="17" xfId="0" applyBorder="1"/>
    <xf numFmtId="0" fontId="11" fillId="0" borderId="15" xfId="0" applyFont="1" applyBorder="1" applyAlignment="1">
      <alignment horizontal="center"/>
    </xf>
    <xf numFmtId="165" fontId="3" fillId="0" borderId="15" xfId="0" applyNumberFormat="1" applyFont="1" applyFill="1" applyBorder="1" applyAlignment="1">
      <alignment horizontal="center"/>
    </xf>
    <xf numFmtId="3" fontId="0" fillId="15" borderId="0" xfId="0" applyNumberFormat="1" applyFill="1" applyBorder="1"/>
    <xf numFmtId="3" fontId="3" fillId="0" borderId="0" xfId="0" applyNumberFormat="1" applyFont="1" applyBorder="1" applyAlignment="1">
      <alignment horizontal="right"/>
    </xf>
    <xf numFmtId="3" fontId="3" fillId="15" borderId="0" xfId="0" applyNumberFormat="1" applyFont="1" applyFill="1" applyBorder="1" applyAlignment="1">
      <alignment horizontal="right"/>
    </xf>
    <xf numFmtId="165" fontId="0" fillId="0" borderId="0" xfId="0" applyNumberFormat="1" applyFill="1" applyBorder="1" applyAlignment="1">
      <alignment horizontal="right"/>
    </xf>
    <xf numFmtId="3" fontId="0" fillId="0" borderId="0" xfId="0" applyNumberFormat="1" applyFill="1" applyBorder="1" applyAlignment="1">
      <alignment horizontal="right"/>
    </xf>
    <xf numFmtId="3" fontId="3" fillId="0" borderId="0" xfId="0" applyNumberFormat="1" applyFont="1" applyBorder="1" applyAlignment="1"/>
    <xf numFmtId="3" fontId="3" fillId="15" borderId="0" xfId="0" applyNumberFormat="1" applyFont="1" applyFill="1" applyAlignment="1"/>
    <xf numFmtId="3" fontId="0" fillId="15" borderId="0" xfId="0" applyNumberFormat="1" applyFill="1"/>
    <xf numFmtId="3" fontId="3" fillId="16" borderId="0" xfId="0" applyNumberFormat="1" applyFont="1" applyFill="1" applyAlignment="1"/>
    <xf numFmtId="3" fontId="3" fillId="17" borderId="0" xfId="0" applyNumberFormat="1" applyFont="1" applyFill="1" applyAlignment="1"/>
    <xf numFmtId="3" fontId="0" fillId="16" borderId="0" xfId="0" applyNumberFormat="1" applyFill="1"/>
    <xf numFmtId="3" fontId="0" fillId="0" borderId="0" xfId="0" applyNumberFormat="1" applyAlignment="1">
      <alignment horizontal="right"/>
    </xf>
    <xf numFmtId="1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2" fontId="0" fillId="0" borderId="0" xfId="0" applyNumberFormat="1"/>
    <xf numFmtId="3" fontId="0" fillId="0" borderId="0" xfId="0" quotePrefix="1" applyNumberFormat="1" applyFill="1" applyBorder="1" applyAlignment="1">
      <alignment horizontal="right"/>
    </xf>
    <xf numFmtId="3" fontId="0" fillId="0" borderId="0" xfId="0" applyNumberFormat="1" applyFill="1" applyAlignment="1">
      <alignment horizontal="right"/>
    </xf>
    <xf numFmtId="3" fontId="0" fillId="0" borderId="15" xfId="0" applyNumberFormat="1" applyBorder="1"/>
    <xf numFmtId="0" fontId="0" fillId="0" borderId="0" xfId="0" quotePrefix="1" applyNumberFormat="1"/>
    <xf numFmtId="0" fontId="0" fillId="0" borderId="17" xfId="0" applyFill="1" applyBorder="1"/>
    <xf numFmtId="0" fontId="0" fillId="0" borderId="0" xfId="0" applyNumberFormat="1" applyFill="1" applyBorder="1"/>
    <xf numFmtId="0" fontId="3" fillId="0" borderId="0" xfId="0" applyNumberFormat="1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11" fillId="0" borderId="0" xfId="0" applyNumberFormat="1" applyFont="1" applyFill="1" applyBorder="1" applyAlignment="1">
      <alignment horizontal="center"/>
    </xf>
    <xf numFmtId="1" fontId="0" fillId="0" borderId="0" xfId="0" applyNumberFormat="1" applyFill="1" applyBorder="1" applyAlignment="1">
      <alignment horizontal="right"/>
    </xf>
    <xf numFmtId="2" fontId="0" fillId="0" borderId="0" xfId="0" applyNumberFormat="1" applyFill="1" applyBorder="1"/>
    <xf numFmtId="3" fontId="3" fillId="0" borderId="0" xfId="0" applyNumberFormat="1" applyFont="1" applyFill="1" applyBorder="1" applyAlignment="1">
      <alignment horizontal="right"/>
    </xf>
    <xf numFmtId="3" fontId="0" fillId="0" borderId="24" xfId="0" applyNumberFormat="1" applyBorder="1" applyAlignment="1">
      <alignment horizontal="right"/>
    </xf>
    <xf numFmtId="0" fontId="3" fillId="0" borderId="25" xfId="0" quotePrefix="1" applyNumberFormat="1" applyFont="1" applyBorder="1" applyAlignment="1">
      <alignment horizontal="left"/>
    </xf>
    <xf numFmtId="165" fontId="0" fillId="0" borderId="25" xfId="0" applyNumberFormat="1" applyBorder="1"/>
    <xf numFmtId="3" fontId="0" fillId="0" borderId="25" xfId="0" applyNumberFormat="1" applyBorder="1"/>
    <xf numFmtId="0" fontId="0" fillId="0" borderId="26" xfId="0" applyBorder="1"/>
    <xf numFmtId="3" fontId="0" fillId="0" borderId="27" xfId="0" applyNumberFormat="1" applyBorder="1" applyAlignment="1">
      <alignment horizontal="right"/>
    </xf>
    <xf numFmtId="0" fontId="3" fillId="0" borderId="15" xfId="0" quotePrefix="1" applyNumberFormat="1" applyFont="1" applyBorder="1" applyAlignment="1">
      <alignment horizontal="left"/>
    </xf>
    <xf numFmtId="165" fontId="0" fillId="0" borderId="15" xfId="0" applyNumberFormat="1" applyBorder="1"/>
    <xf numFmtId="0" fontId="0" fillId="0" borderId="28" xfId="0" applyBorder="1"/>
    <xf numFmtId="0" fontId="3" fillId="0" borderId="0" xfId="0" applyFont="1" applyFill="1" applyAlignment="1">
      <alignment horizontal="center"/>
    </xf>
    <xf numFmtId="0" fontId="3" fillId="2" borderId="15" xfId="0" applyFont="1" applyFill="1" applyBorder="1"/>
    <xf numFmtId="0" fontId="3" fillId="2" borderId="28" xfId="0" applyFont="1" applyFill="1" applyBorder="1"/>
    <xf numFmtId="0" fontId="3" fillId="19" borderId="27" xfId="0" applyFont="1" applyFill="1" applyBorder="1"/>
    <xf numFmtId="0" fontId="3" fillId="19" borderId="15" xfId="0" applyFont="1" applyFill="1" applyBorder="1"/>
    <xf numFmtId="0" fontId="3" fillId="19" borderId="28" xfId="0" applyFont="1" applyFill="1" applyBorder="1"/>
    <xf numFmtId="0" fontId="3" fillId="14" borderId="27" xfId="0" applyFont="1" applyFill="1" applyBorder="1"/>
    <xf numFmtId="0" fontId="3" fillId="14" borderId="15" xfId="0" applyFont="1" applyFill="1" applyBorder="1"/>
    <xf numFmtId="0" fontId="3" fillId="14" borderId="28" xfId="0" applyFont="1" applyFill="1" applyBorder="1"/>
    <xf numFmtId="0" fontId="29" fillId="0" borderId="15" xfId="0" applyFont="1" applyBorder="1" applyAlignment="1">
      <alignment horizontal="center"/>
    </xf>
    <xf numFmtId="165" fontId="3" fillId="0" borderId="15" xfId="0" applyNumberFormat="1" applyFont="1" applyBorder="1"/>
    <xf numFmtId="165" fontId="3" fillId="0" borderId="15" xfId="0" applyNumberFormat="1" applyFont="1" applyFill="1" applyBorder="1"/>
    <xf numFmtId="0" fontId="29" fillId="0" borderId="0" xfId="0" applyFont="1" applyBorder="1" applyProtection="1"/>
    <xf numFmtId="3" fontId="29" fillId="0" borderId="0" xfId="0" applyNumberFormat="1" applyFont="1" applyAlignment="1" applyProtection="1">
      <alignment horizontal="right"/>
    </xf>
    <xf numFmtId="3" fontId="29" fillId="0" borderId="0" xfId="0" applyNumberFormat="1" applyFont="1" applyAlignment="1">
      <alignment horizontal="right"/>
    </xf>
    <xf numFmtId="165" fontId="3" fillId="0" borderId="0" xfId="0" applyNumberFormat="1" applyFont="1" applyFill="1"/>
    <xf numFmtId="3" fontId="29" fillId="12" borderId="0" xfId="0" applyNumberFormat="1" applyFont="1" applyFill="1" applyAlignment="1">
      <alignment horizontal="right"/>
    </xf>
    <xf numFmtId="3" fontId="29" fillId="0" borderId="0" xfId="0" applyNumberFormat="1" applyFont="1" applyFill="1" applyAlignment="1">
      <alignment horizontal="right"/>
    </xf>
    <xf numFmtId="3" fontId="29" fillId="0" borderId="0" xfId="0" applyNumberFormat="1" applyFont="1" applyFill="1" applyAlignment="1" applyProtection="1">
      <alignment horizontal="right"/>
    </xf>
    <xf numFmtId="3" fontId="29" fillId="12" borderId="0" xfId="0" applyNumberFormat="1" applyFont="1" applyFill="1" applyAlignment="1" applyProtection="1">
      <alignment horizontal="right"/>
    </xf>
    <xf numFmtId="3" fontId="29" fillId="9" borderId="0" xfId="0" applyNumberFormat="1" applyFont="1" applyFill="1" applyAlignment="1">
      <alignment horizontal="right"/>
    </xf>
    <xf numFmtId="165" fontId="3" fillId="0" borderId="0" xfId="0" applyNumberFormat="1" applyFont="1" applyFill="1" applyAlignment="1">
      <alignment horizontal="center"/>
    </xf>
    <xf numFmtId="9" fontId="3" fillId="0" borderId="0" xfId="0" applyNumberFormat="1" applyFont="1"/>
    <xf numFmtId="9" fontId="3" fillId="0" borderId="0" xfId="0" applyNumberFormat="1" applyFont="1" applyFill="1"/>
    <xf numFmtId="0" fontId="3" fillId="0" borderId="15" xfId="0" applyFont="1" applyFill="1" applyBorder="1"/>
    <xf numFmtId="0" fontId="3" fillId="0" borderId="0" xfId="0" applyFont="1" applyFill="1" applyAlignment="1">
      <alignment horizontal="right"/>
    </xf>
    <xf numFmtId="0" fontId="29" fillId="0" borderId="29" xfId="0" applyFont="1" applyBorder="1" applyProtection="1"/>
    <xf numFmtId="3" fontId="29" fillId="0" borderId="29" xfId="0" applyNumberFormat="1" applyFont="1" applyBorder="1" applyAlignment="1">
      <alignment horizontal="right"/>
    </xf>
    <xf numFmtId="3" fontId="29" fillId="12" borderId="29" xfId="0" applyNumberFormat="1" applyFont="1" applyFill="1" applyBorder="1" applyAlignment="1">
      <alignment horizontal="right"/>
    </xf>
    <xf numFmtId="3" fontId="29" fillId="0" borderId="29" xfId="0" applyNumberFormat="1" applyFont="1" applyFill="1" applyBorder="1" applyAlignment="1">
      <alignment horizontal="right"/>
    </xf>
    <xf numFmtId="3" fontId="29" fillId="0" borderId="29" xfId="0" applyNumberFormat="1" applyFont="1" applyFill="1" applyBorder="1" applyAlignment="1" applyProtection="1">
      <alignment horizontal="right"/>
    </xf>
    <xf numFmtId="3" fontId="29" fillId="0" borderId="29" xfId="0" applyNumberFormat="1" applyFont="1" applyBorder="1" applyAlignment="1" applyProtection="1">
      <alignment horizontal="right"/>
    </xf>
    <xf numFmtId="3" fontId="3" fillId="0" borderId="29" xfId="0" applyNumberFormat="1" applyFont="1" applyBorder="1"/>
    <xf numFmtId="3" fontId="3" fillId="0" borderId="29" xfId="0" applyNumberFormat="1" applyFont="1" applyBorder="1" applyAlignment="1">
      <alignment horizontal="center"/>
    </xf>
    <xf numFmtId="0" fontId="3" fillId="0" borderId="29" xfId="0" applyNumberFormat="1" applyFont="1" applyFill="1" applyBorder="1"/>
    <xf numFmtId="3" fontId="3" fillId="0" borderId="29" xfId="0" applyNumberFormat="1" applyFont="1" applyFill="1" applyBorder="1"/>
    <xf numFmtId="0" fontId="0" fillId="0" borderId="29" xfId="0" applyBorder="1"/>
    <xf numFmtId="0" fontId="3" fillId="0" borderId="29" xfId="0" applyFont="1" applyBorder="1" applyAlignment="1">
      <alignment horizontal="center"/>
    </xf>
    <xf numFmtId="3" fontId="0" fillId="0" borderId="29" xfId="0" applyNumberFormat="1" applyFill="1" applyBorder="1"/>
    <xf numFmtId="1" fontId="0" fillId="0" borderId="29" xfId="0" applyNumberFormat="1" applyBorder="1"/>
    <xf numFmtId="0" fontId="0" fillId="0" borderId="29" xfId="0" applyNumberFormat="1" applyBorder="1"/>
    <xf numFmtId="0" fontId="0" fillId="0" borderId="29" xfId="0" applyBorder="1" applyAlignment="1">
      <alignment horizontal="center"/>
    </xf>
    <xf numFmtId="3" fontId="0" fillId="0" borderId="29" xfId="0" applyNumberFormat="1" applyBorder="1"/>
    <xf numFmtId="3" fontId="0" fillId="18" borderId="29" xfId="0" applyNumberFormat="1" applyFill="1" applyBorder="1"/>
    <xf numFmtId="165" fontId="0" fillId="0" borderId="29" xfId="0" applyNumberFormat="1" applyBorder="1"/>
    <xf numFmtId="0" fontId="3" fillId="0" borderId="30" xfId="0" applyFont="1" applyBorder="1"/>
    <xf numFmtId="165" fontId="3" fillId="0" borderId="29" xfId="0" applyNumberFormat="1" applyFont="1" applyFill="1" applyBorder="1"/>
    <xf numFmtId="165" fontId="3" fillId="0" borderId="0" xfId="0" applyNumberFormat="1" applyFont="1" applyFill="1" applyBorder="1"/>
    <xf numFmtId="3" fontId="3" fillId="0" borderId="29" xfId="0" applyNumberFormat="1" applyFont="1" applyFill="1" applyBorder="1" applyAlignment="1">
      <alignment horizontal="center"/>
    </xf>
    <xf numFmtId="0" fontId="3" fillId="0" borderId="0" xfId="0" applyNumberFormat="1" applyFont="1" applyFill="1" applyAlignment="1">
      <alignment horizontal="center"/>
    </xf>
    <xf numFmtId="3" fontId="29" fillId="9" borderId="0" xfId="0" applyNumberFormat="1" applyFont="1" applyFill="1" applyBorder="1" applyAlignment="1">
      <alignment horizontal="right"/>
    </xf>
    <xf numFmtId="0" fontId="3" fillId="0" borderId="15" xfId="0" applyFont="1" applyBorder="1" applyAlignment="1">
      <alignment horizontal="right"/>
    </xf>
    <xf numFmtId="0" fontId="3" fillId="0" borderId="0" xfId="0" quotePrefix="1" applyFont="1" applyFill="1" applyBorder="1"/>
    <xf numFmtId="0" fontId="3" fillId="0" borderId="0" xfId="0" quotePrefix="1" applyFont="1" applyBorder="1"/>
    <xf numFmtId="0" fontId="3" fillId="0" borderId="0" xfId="0" applyNumberFormat="1" applyFont="1" applyFill="1" applyAlignment="1"/>
    <xf numFmtId="165" fontId="3" fillId="0" borderId="0" xfId="0" applyNumberFormat="1" applyFont="1" applyFill="1" applyAlignment="1"/>
    <xf numFmtId="2" fontId="3" fillId="0" borderId="29" xfId="0" applyNumberFormat="1" applyFont="1" applyFill="1" applyBorder="1"/>
    <xf numFmtId="2" fontId="3" fillId="0" borderId="0" xfId="0" applyNumberFormat="1" applyFont="1" applyFill="1" applyAlignment="1"/>
    <xf numFmtId="2" fontId="3" fillId="0" borderId="0" xfId="0" applyNumberFormat="1" applyFont="1" applyFill="1" applyAlignment="1">
      <alignment horizontal="center"/>
    </xf>
    <xf numFmtId="165" fontId="3" fillId="0" borderId="0" xfId="0" applyNumberFormat="1" applyFont="1" applyAlignment="1"/>
    <xf numFmtId="2" fontId="3" fillId="0" borderId="0" xfId="0" applyNumberFormat="1" applyFont="1" applyAlignment="1"/>
    <xf numFmtId="165" fontId="3" fillId="0" borderId="0" xfId="0" applyNumberFormat="1" applyFont="1"/>
    <xf numFmtId="2" fontId="0" fillId="0" borderId="0" xfId="0" quotePrefix="1" applyNumberFormat="1"/>
    <xf numFmtId="0" fontId="0" fillId="0" borderId="0" xfId="0" quotePrefix="1" applyAlignment="1">
      <alignment horizontal="right"/>
    </xf>
    <xf numFmtId="164" fontId="3" fillId="2" borderId="2" xfId="0" applyNumberFormat="1" applyFont="1" applyFill="1" applyBorder="1" applyAlignment="1">
      <alignment horizontal="left"/>
    </xf>
    <xf numFmtId="0" fontId="3" fillId="0" borderId="31" xfId="0" applyFont="1" applyBorder="1"/>
    <xf numFmtId="0" fontId="3" fillId="0" borderId="32" xfId="0" applyFont="1" applyBorder="1"/>
    <xf numFmtId="165" fontId="3" fillId="0" borderId="33" xfId="0" applyNumberFormat="1" applyFont="1" applyBorder="1"/>
    <xf numFmtId="165" fontId="3" fillId="0" borderId="32" xfId="0" applyNumberFormat="1" applyFont="1" applyBorder="1"/>
    <xf numFmtId="2" fontId="3" fillId="0" borderId="0" xfId="3" applyNumberFormat="1" applyFont="1" applyFill="1" applyBorder="1" applyAlignment="1">
      <alignment horizontal="right"/>
    </xf>
    <xf numFmtId="2" fontId="3" fillId="0" borderId="0" xfId="0" applyNumberFormat="1" applyFont="1" applyFill="1" applyBorder="1" applyAlignment="1">
      <alignment horizontal="right"/>
    </xf>
    <xf numFmtId="1" fontId="3" fillId="2" borderId="2" xfId="0" applyNumberFormat="1" applyFont="1" applyFill="1" applyBorder="1" applyAlignment="1">
      <alignment horizontal="left" wrapText="1"/>
    </xf>
    <xf numFmtId="1" fontId="3" fillId="0" borderId="0" xfId="0" applyNumberFormat="1" applyFont="1" applyFill="1" applyAlignment="1" applyProtection="1">
      <protection locked="0"/>
    </xf>
    <xf numFmtId="1" fontId="3" fillId="0" borderId="0" xfId="3" applyNumberFormat="1" applyFont="1" applyFill="1" applyBorder="1" applyAlignment="1">
      <alignment horizontal="right"/>
    </xf>
    <xf numFmtId="1" fontId="3" fillId="0" borderId="0" xfId="0" applyNumberFormat="1" applyFont="1" applyFill="1" applyBorder="1" applyAlignment="1">
      <alignment horizontal="right"/>
    </xf>
    <xf numFmtId="0" fontId="3" fillId="0" borderId="15" xfId="0" applyFont="1" applyBorder="1" applyAlignment="1">
      <alignment horizontal="center"/>
    </xf>
    <xf numFmtId="166" fontId="3" fillId="0" borderId="0" xfId="0" applyNumberFormat="1" applyFont="1" applyFill="1" applyBorder="1"/>
    <xf numFmtId="0" fontId="0" fillId="0" borderId="15" xfId="0" applyBorder="1" applyAlignment="1">
      <alignment horizontal="right"/>
    </xf>
    <xf numFmtId="0" fontId="25" fillId="0" borderId="0" xfId="0" applyFont="1" applyAlignment="1">
      <alignment horizontal="left"/>
    </xf>
    <xf numFmtId="0" fontId="22" fillId="0" borderId="0" xfId="0" applyFont="1" applyAlignment="1">
      <alignment horizontal="center"/>
    </xf>
    <xf numFmtId="0" fontId="22" fillId="0" borderId="15" xfId="0" applyFont="1" applyBorder="1" applyAlignment="1">
      <alignment horizontal="center"/>
    </xf>
    <xf numFmtId="0" fontId="22" fillId="0" borderId="15" xfId="10" applyFont="1" applyBorder="1"/>
    <xf numFmtId="0" fontId="23" fillId="0" borderId="15" xfId="10" applyFont="1" applyFill="1" applyBorder="1" applyAlignment="1">
      <alignment horizontal="center"/>
    </xf>
    <xf numFmtId="0" fontId="23" fillId="0" borderId="16" xfId="10" applyFont="1" applyFill="1" applyBorder="1" applyAlignment="1">
      <alignment horizontal="center"/>
    </xf>
    <xf numFmtId="0" fontId="13" fillId="0" borderId="18" xfId="0" applyFont="1" applyFill="1" applyBorder="1" applyAlignment="1">
      <alignment horizontal="centerContinuous"/>
    </xf>
    <xf numFmtId="0" fontId="31" fillId="0" borderId="0" xfId="0" applyFont="1" applyFill="1" applyBorder="1" applyAlignment="1"/>
    <xf numFmtId="0" fontId="31" fillId="0" borderId="17" xfId="0" applyFont="1" applyFill="1" applyBorder="1" applyAlignment="1"/>
    <xf numFmtId="0" fontId="22" fillId="0" borderId="0" xfId="0" applyFont="1"/>
    <xf numFmtId="3" fontId="22" fillId="0" borderId="0" xfId="10" applyNumberFormat="1" applyFont="1" applyBorder="1"/>
    <xf numFmtId="3" fontId="22" fillId="0" borderId="0" xfId="10" applyNumberFormat="1" applyFont="1" applyFill="1" applyBorder="1"/>
    <xf numFmtId="3" fontId="24" fillId="0" borderId="0" xfId="11" applyNumberFormat="1" applyFont="1" applyFill="1" applyBorder="1"/>
    <xf numFmtId="3" fontId="22" fillId="0" borderId="0" xfId="0" applyNumberFormat="1" applyFont="1"/>
    <xf numFmtId="0" fontId="23" fillId="0" borderId="0" xfId="11" applyFont="1" applyBorder="1" applyAlignment="1">
      <alignment horizontal="center"/>
    </xf>
    <xf numFmtId="0" fontId="22" fillId="0" borderId="0" xfId="0" applyFont="1" applyBorder="1" applyAlignment="1">
      <alignment horizontal="center"/>
    </xf>
    <xf numFmtId="0" fontId="25" fillId="0" borderId="0" xfId="0" applyFont="1"/>
    <xf numFmtId="0" fontId="23" fillId="0" borderId="15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3" fillId="0" borderId="15" xfId="0" applyFont="1" applyBorder="1" applyAlignment="1">
      <alignment horizontal="center"/>
    </xf>
    <xf numFmtId="0" fontId="0" fillId="0" borderId="15" xfId="0" applyBorder="1" applyAlignment="1">
      <alignment horizontal="center"/>
    </xf>
    <xf numFmtId="1" fontId="3" fillId="0" borderId="0" xfId="0" applyNumberFormat="1" applyFont="1" applyAlignment="1">
      <alignment horizontal="center"/>
    </xf>
    <xf numFmtId="17" fontId="4" fillId="0" borderId="15" xfId="0" applyNumberFormat="1" applyFont="1" applyBorder="1" applyAlignment="1">
      <alignment horizontal="center"/>
    </xf>
    <xf numFmtId="165" fontId="0" fillId="0" borderId="0" xfId="0" applyNumberFormat="1" applyAlignment="1">
      <alignment horizontal="center"/>
    </xf>
    <xf numFmtId="0" fontId="0" fillId="0" borderId="0" xfId="0" pivotButton="1"/>
    <xf numFmtId="0" fontId="3" fillId="0" borderId="0" xfId="0" applyFont="1" applyAlignment="1">
      <alignment horizontal="left"/>
    </xf>
    <xf numFmtId="0" fontId="33" fillId="0" borderId="0" xfId="10" applyFont="1"/>
    <xf numFmtId="0" fontId="33" fillId="0" borderId="0" xfId="10" applyFont="1" applyFill="1"/>
    <xf numFmtId="0" fontId="23" fillId="0" borderId="18" xfId="0" applyFont="1" applyFill="1" applyBorder="1" applyAlignment="1">
      <alignment horizontal="centerContinuous"/>
    </xf>
    <xf numFmtId="0" fontId="22" fillId="0" borderId="0" xfId="0" applyFont="1" applyFill="1" applyBorder="1" applyAlignment="1"/>
    <xf numFmtId="0" fontId="22" fillId="0" borderId="17" xfId="0" applyFont="1" applyFill="1" applyBorder="1" applyAlignment="1"/>
    <xf numFmtId="0" fontId="23" fillId="0" borderId="18" xfId="0" applyFont="1" applyFill="1" applyBorder="1" applyAlignment="1">
      <alignment horizontal="center"/>
    </xf>
    <xf numFmtId="0" fontId="27" fillId="0" borderId="0" xfId="0" applyFont="1" applyFill="1" applyBorder="1" applyAlignment="1"/>
    <xf numFmtId="0" fontId="27" fillId="0" borderId="17" xfId="0" applyFont="1" applyFill="1" applyBorder="1" applyAlignment="1"/>
    <xf numFmtId="0" fontId="22" fillId="0" borderId="0" xfId="0" applyFont="1" applyFill="1"/>
    <xf numFmtId="0" fontId="0" fillId="0" borderId="0" xfId="0" applyNumberFormat="1" applyAlignment="1"/>
    <xf numFmtId="0" fontId="3" fillId="0" borderId="0" xfId="0" applyNumberFormat="1" applyFont="1" applyAlignment="1"/>
    <xf numFmtId="0" fontId="0" fillId="0" borderId="0" xfId="0" applyNumberFormat="1" applyBorder="1" applyAlignment="1">
      <alignment horizontal="center"/>
    </xf>
    <xf numFmtId="0" fontId="3" fillId="0" borderId="15" xfId="0" applyNumberFormat="1" applyFont="1" applyBorder="1" applyAlignment="1">
      <alignment horizontal="center"/>
    </xf>
    <xf numFmtId="0" fontId="0" fillId="0" borderId="0" xfId="0" applyNumberFormat="1" applyBorder="1" applyAlignment="1"/>
    <xf numFmtId="0" fontId="34" fillId="0" borderId="0" xfId="0" applyFont="1"/>
    <xf numFmtId="0" fontId="0" fillId="0" borderId="15" xfId="0" applyBorder="1" applyAlignment="1">
      <alignment horizontal="center"/>
    </xf>
    <xf numFmtId="17" fontId="11" fillId="0" borderId="0" xfId="0" applyNumberFormat="1" applyFont="1" applyBorder="1"/>
    <xf numFmtId="17" fontId="0" fillId="0" borderId="15" xfId="0" applyNumberFormat="1" applyBorder="1"/>
    <xf numFmtId="164" fontId="0" fillId="0" borderId="15" xfId="0" applyNumberFormat="1" applyFill="1" applyBorder="1" applyAlignment="1">
      <alignment horizontal="center"/>
    </xf>
    <xf numFmtId="0" fontId="0" fillId="0" borderId="15" xfId="0" applyFill="1" applyBorder="1"/>
    <xf numFmtId="0" fontId="0" fillId="0" borderId="15" xfId="0" applyBorder="1" applyAlignment="1"/>
    <xf numFmtId="0" fontId="0" fillId="0" borderId="15" xfId="0" applyNumberFormat="1" applyBorder="1"/>
    <xf numFmtId="0" fontId="3" fillId="0" borderId="0" xfId="0" applyFont="1" applyBorder="1" applyAlignment="1">
      <alignment horizontal="center"/>
    </xf>
    <xf numFmtId="0" fontId="3" fillId="0" borderId="15" xfId="0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3" fillId="0" borderId="0" xfId="13"/>
    <xf numFmtId="0" fontId="31" fillId="0" borderId="0" xfId="13" applyFont="1" applyFill="1" applyBorder="1" applyAlignment="1"/>
    <xf numFmtId="0" fontId="35" fillId="0" borderId="0" xfId="13" applyFont="1" applyAlignment="1">
      <alignment horizontal="right"/>
    </xf>
    <xf numFmtId="0" fontId="11" fillId="0" borderId="0" xfId="13" applyFont="1"/>
    <xf numFmtId="0" fontId="36" fillId="0" borderId="0" xfId="14" applyAlignment="1" applyProtection="1"/>
    <xf numFmtId="0" fontId="3" fillId="5" borderId="0" xfId="13" applyFill="1"/>
    <xf numFmtId="0" fontId="37" fillId="5" borderId="0" xfId="13" applyFont="1" applyFill="1"/>
    <xf numFmtId="0" fontId="31" fillId="0" borderId="0" xfId="13" applyFont="1"/>
    <xf numFmtId="0" fontId="3" fillId="0" borderId="0" xfId="13" applyFill="1"/>
    <xf numFmtId="0" fontId="0" fillId="0" borderId="0" xfId="0" applyBorder="1" applyAlignment="1">
      <alignment horizontal="right"/>
    </xf>
    <xf numFmtId="0" fontId="3" fillId="0" borderId="0" xfId="0" applyFont="1" applyBorder="1" applyAlignment="1">
      <alignment horizontal="right"/>
    </xf>
    <xf numFmtId="3" fontId="0" fillId="0" borderId="15" xfId="0" applyNumberFormat="1" applyBorder="1" applyAlignment="1">
      <alignment horizontal="right"/>
    </xf>
    <xf numFmtId="3" fontId="13" fillId="0" borderId="15" xfId="0" applyNumberFormat="1" applyFont="1" applyBorder="1" applyAlignment="1">
      <alignment horizontal="right"/>
    </xf>
    <xf numFmtId="0" fontId="0" fillId="8" borderId="0" xfId="0" applyFill="1"/>
    <xf numFmtId="0" fontId="0" fillId="0" borderId="15" xfId="0" applyFont="1" applyFill="1" applyBorder="1" applyAlignment="1">
      <alignment horizontal="center"/>
    </xf>
    <xf numFmtId="166" fontId="0" fillId="20" borderId="0" xfId="0" applyNumberFormat="1" applyFill="1"/>
    <xf numFmtId="0" fontId="3" fillId="0" borderId="0" xfId="0" applyFont="1" applyAlignment="1">
      <alignment horizontal="right"/>
    </xf>
    <xf numFmtId="4" fontId="3" fillId="0" borderId="0" xfId="0" applyNumberFormat="1" applyFont="1" applyBorder="1" applyAlignment="1">
      <alignment horizontal="center"/>
    </xf>
    <xf numFmtId="0" fontId="0" fillId="0" borderId="0" xfId="0" applyNumberFormat="1" applyFill="1" applyAlignment="1"/>
    <xf numFmtId="0" fontId="37" fillId="5" borderId="0" xfId="0" applyFont="1" applyFill="1"/>
    <xf numFmtId="0" fontId="11" fillId="5" borderId="0" xfId="0" applyFont="1" applyFill="1"/>
    <xf numFmtId="0" fontId="3" fillId="0" borderId="15" xfId="0" applyFont="1" applyBorder="1" applyAlignment="1">
      <alignment horizontal="center"/>
    </xf>
    <xf numFmtId="0" fontId="3" fillId="0" borderId="0" xfId="0" applyFont="1" applyBorder="1" applyAlignment="1">
      <alignment horizontal="center"/>
    </xf>
    <xf numFmtId="3" fontId="11" fillId="0" borderId="0" xfId="0" applyNumberFormat="1" applyFont="1" applyAlignment="1">
      <alignment horizontal="right"/>
    </xf>
    <xf numFmtId="17" fontId="0" fillId="12" borderId="0" xfId="0" applyNumberFormat="1" applyFill="1"/>
    <xf numFmtId="0" fontId="3" fillId="0" borderId="15" xfId="0" applyFont="1" applyBorder="1" applyAlignment="1">
      <alignment horizontal="center"/>
    </xf>
    <xf numFmtId="0" fontId="3" fillId="0" borderId="0" xfId="0" applyFont="1" applyBorder="1" applyAlignment="1">
      <alignment horizontal="left"/>
    </xf>
    <xf numFmtId="165" fontId="0" fillId="0" borderId="0" xfId="0" applyNumberFormat="1" applyBorder="1"/>
    <xf numFmtId="165" fontId="3" fillId="0" borderId="0" xfId="0" applyNumberFormat="1" applyFont="1" applyBorder="1" applyAlignment="1">
      <alignment horizontal="center"/>
    </xf>
    <xf numFmtId="165" fontId="11" fillId="0" borderId="0" xfId="0" applyNumberFormat="1" applyFont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11" fillId="9" borderId="0" xfId="13" applyFont="1" applyFill="1"/>
    <xf numFmtId="0" fontId="3" fillId="9" borderId="0" xfId="13" applyFill="1"/>
    <xf numFmtId="1" fontId="3" fillId="2" borderId="2" xfId="0" applyNumberFormat="1" applyFont="1" applyFill="1" applyBorder="1" applyAlignment="1">
      <alignment horizontal="center" wrapText="1"/>
    </xf>
    <xf numFmtId="1" fontId="3" fillId="0" borderId="0" xfId="0" applyNumberFormat="1" applyFont="1" applyFill="1" applyBorder="1" applyAlignment="1">
      <alignment horizontal="center"/>
    </xf>
    <xf numFmtId="1" fontId="3" fillId="0" borderId="0" xfId="0" applyNumberFormat="1" applyFont="1" applyFill="1" applyAlignment="1">
      <alignment horizontal="center"/>
    </xf>
    <xf numFmtId="1" fontId="3" fillId="0" borderId="0" xfId="0" applyNumberFormat="1" applyFont="1" applyFill="1" applyAlignment="1" applyProtection="1">
      <alignment horizontal="center"/>
      <protection locked="0"/>
    </xf>
    <xf numFmtId="1" fontId="3" fillId="0" borderId="0" xfId="3" applyNumberFormat="1" applyFont="1" applyFill="1" applyBorder="1" applyAlignment="1">
      <alignment horizontal="center"/>
    </xf>
    <xf numFmtId="166" fontId="3" fillId="0" borderId="0" xfId="0" applyNumberFormat="1" applyFont="1" applyFill="1" applyBorder="1" applyAlignment="1">
      <alignment horizontal="center"/>
    </xf>
    <xf numFmtId="1" fontId="3" fillId="0" borderId="0" xfId="0" applyNumberFormat="1" applyFont="1" applyFill="1" applyBorder="1" applyAlignment="1"/>
    <xf numFmtId="0" fontId="3" fillId="0" borderId="15" xfId="0" applyNumberFormat="1" applyFont="1" applyFill="1" applyBorder="1"/>
    <xf numFmtId="0" fontId="3" fillId="0" borderId="15" xfId="0" applyFont="1" applyBorder="1" applyAlignment="1">
      <alignment horizontal="center"/>
    </xf>
    <xf numFmtId="0" fontId="0" fillId="0" borderId="0" xfId="0" applyFont="1" applyFill="1" applyBorder="1" applyAlignment="1">
      <alignment horizontal="left"/>
    </xf>
    <xf numFmtId="0" fontId="3" fillId="0" borderId="15" xfId="0" applyFont="1" applyBorder="1" applyAlignment="1">
      <alignment horizontal="left"/>
    </xf>
    <xf numFmtId="3" fontId="3" fillId="21" borderId="0" xfId="0" applyNumberFormat="1" applyFont="1" applyFill="1" applyBorder="1" applyAlignment="1"/>
    <xf numFmtId="3" fontId="0" fillId="21" borderId="0" xfId="0" applyNumberFormat="1" applyFill="1" applyAlignment="1"/>
    <xf numFmtId="0" fontId="0" fillId="0" borderId="0" xfId="0" applyFill="1" applyAlignment="1">
      <alignment horizontal="left"/>
    </xf>
    <xf numFmtId="0" fontId="11" fillId="0" borderId="0" xfId="0" applyFont="1" applyAlignment="1">
      <alignment horizontal="right"/>
    </xf>
    <xf numFmtId="0" fontId="11" fillId="0" borderId="0" xfId="0" applyFont="1" applyBorder="1" applyAlignment="1">
      <alignment horizontal="center"/>
    </xf>
    <xf numFmtId="0" fontId="3" fillId="0" borderId="15" xfId="13" applyBorder="1"/>
    <xf numFmtId="17" fontId="3" fillId="10" borderId="0" xfId="0" applyNumberFormat="1" applyFont="1" applyFill="1" applyBorder="1" applyProtection="1">
      <protection locked="0"/>
    </xf>
    <xf numFmtId="3" fontId="3" fillId="10" borderId="0" xfId="0" applyNumberFormat="1" applyFont="1" applyFill="1" applyBorder="1" applyAlignment="1" applyProtection="1">
      <alignment horizontal="center"/>
      <protection locked="0"/>
    </xf>
    <xf numFmtId="0" fontId="3" fillId="0" borderId="0" xfId="0" applyFont="1" applyBorder="1" applyAlignment="1">
      <alignment horizontal="center"/>
    </xf>
    <xf numFmtId="169" fontId="3" fillId="2" borderId="2" xfId="0" applyNumberFormat="1" applyFont="1" applyFill="1" applyBorder="1" applyAlignment="1">
      <alignment horizontal="left" wrapText="1"/>
    </xf>
    <xf numFmtId="169" fontId="0" fillId="0" borderId="0" xfId="0" applyNumberFormat="1"/>
    <xf numFmtId="2" fontId="0" fillId="8" borderId="0" xfId="0" applyNumberFormat="1" applyFill="1"/>
    <xf numFmtId="166" fontId="0" fillId="0" borderId="32" xfId="0" applyNumberFormat="1" applyBorder="1"/>
    <xf numFmtId="0" fontId="3" fillId="0" borderId="15" xfId="0" applyFont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3" fillId="19" borderId="27" xfId="0" applyFont="1" applyFill="1" applyBorder="1" applyAlignment="1">
      <alignment horizontal="center"/>
    </xf>
  </cellXfs>
  <cellStyles count="15">
    <cellStyle name="Comma" xfId="9" builtinId="3"/>
    <cellStyle name="Hyperlink" xfId="14" builtinId="8"/>
    <cellStyle name="Normal" xfId="0" builtinId="0"/>
    <cellStyle name="Normal 2" xfId="7"/>
    <cellStyle name="Normal 2 2" xfId="11"/>
    <cellStyle name="Normal 3" xfId="8"/>
    <cellStyle name="Normal 4" xfId="10"/>
    <cellStyle name="Normal 5" xfId="12"/>
    <cellStyle name="Normal 6" xfId="13"/>
    <cellStyle name="Normal_Counts for Sonja" xfId="1"/>
    <cellStyle name="Normal_Env for Sonja" xfId="2"/>
    <cellStyle name="Normal_Sheet1_April06" xfId="3"/>
    <cellStyle name="Normal_Sheet1_April06_Data for broughton" xfId="4"/>
    <cellStyle name="Normal_Sheet1_April06_Sheet1" xfId="5"/>
    <cellStyle name="Normal_Sheet1_May 2006" xfId="6"/>
  </cellStyles>
  <dxfs count="33">
    <dxf>
      <numFmt numFmtId="3" formatCode="#,##0"/>
    </dxf>
    <dxf>
      <numFmt numFmtId="165" formatCode="0.0"/>
    </dxf>
    <dxf>
      <numFmt numFmtId="165" formatCode="0.0"/>
    </dxf>
    <dxf>
      <numFmt numFmtId="3" formatCode="#,##0"/>
    </dxf>
    <dxf>
      <numFmt numFmtId="3" formatCode="#,##0"/>
    </dxf>
    <dxf>
      <numFmt numFmtId="3" formatCode="#,##0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numFmt numFmtId="3" formatCode="#,##0"/>
    </dxf>
  </dxfs>
  <tableStyles count="0" defaultTableStyle="TableStyleMedium9" defaultPivotStyle="PivotStyleLight16"/>
  <colors>
    <mruColors>
      <color rgb="FFFFFF99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5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scatterChart>
        <c:scatterStyle val="lineMarker"/>
        <c:ser>
          <c:idx val="0"/>
          <c:order val="0"/>
          <c:tx>
            <c:v>Odd years</c:v>
          </c:tx>
          <c:errBars>
            <c:errDir val="y"/>
            <c:errBarType val="both"/>
            <c:errValType val="cust"/>
            <c:plus>
              <c:numRef>
                <c:f>'Sea Lice Treatments'!$AG$8:$AG$12</c:f>
                <c:numCache>
                  <c:formatCode>General</c:formatCode>
                  <c:ptCount val="5"/>
                  <c:pt idx="0">
                    <c:v>7.684477576271755</c:v>
                  </c:pt>
                  <c:pt idx="1">
                    <c:v>3.3584326141009253</c:v>
                  </c:pt>
                  <c:pt idx="2">
                    <c:v>2.52960946179831</c:v>
                  </c:pt>
                  <c:pt idx="3">
                    <c:v>1.3856277078410499</c:v>
                  </c:pt>
                  <c:pt idx="4">
                    <c:v>0.4847011638669419</c:v>
                  </c:pt>
                </c:numCache>
              </c:numRef>
            </c:plus>
            <c:minus>
              <c:numRef>
                <c:f>'Sea Lice Treatments'!$AG$8:$AG$12</c:f>
                <c:numCache>
                  <c:formatCode>General</c:formatCode>
                  <c:ptCount val="5"/>
                  <c:pt idx="0">
                    <c:v>7.684477576271755</c:v>
                  </c:pt>
                  <c:pt idx="1">
                    <c:v>3.3584326141009253</c:v>
                  </c:pt>
                  <c:pt idx="2">
                    <c:v>2.52960946179831</c:v>
                  </c:pt>
                  <c:pt idx="3">
                    <c:v>1.3856277078410499</c:v>
                  </c:pt>
                  <c:pt idx="4">
                    <c:v>0.4847011638669419</c:v>
                  </c:pt>
                </c:numCache>
              </c:numRef>
            </c:minus>
          </c:errBars>
          <c:xVal>
            <c:numRef>
              <c:f>'Sea Lice Treatments'!$AL$8:$AL$12</c:f>
              <c:numCache>
                <c:formatCode>General</c:formatCode>
                <c:ptCount val="5"/>
                <c:pt idx="0">
                  <c:v>1999</c:v>
                </c:pt>
                <c:pt idx="1">
                  <c:v>2001</c:v>
                </c:pt>
                <c:pt idx="2">
                  <c:v>2003</c:v>
                </c:pt>
                <c:pt idx="3">
                  <c:v>2005</c:v>
                </c:pt>
                <c:pt idx="4">
                  <c:v>2007</c:v>
                </c:pt>
              </c:numCache>
            </c:numRef>
          </c:xVal>
          <c:yVal>
            <c:numRef>
              <c:f>'Sea Lice Treatments'!$AF$8:$AF$12</c:f>
              <c:numCache>
                <c:formatCode>0.0</c:formatCode>
                <c:ptCount val="5"/>
                <c:pt idx="0">
                  <c:v>21.501527777777774</c:v>
                </c:pt>
                <c:pt idx="1">
                  <c:v>16.879458333333332</c:v>
                </c:pt>
                <c:pt idx="2">
                  <c:v>11.647368421052633</c:v>
                </c:pt>
                <c:pt idx="3">
                  <c:v>8.1999999999999975</c:v>
                </c:pt>
                <c:pt idx="4">
                  <c:v>1.9308333333333336</c:v>
                </c:pt>
              </c:numCache>
            </c:numRef>
          </c:yVal>
        </c:ser>
        <c:ser>
          <c:idx val="1"/>
          <c:order val="1"/>
          <c:tx>
            <c:v>Even years</c:v>
          </c:tx>
          <c:errBars>
            <c:errDir val="y"/>
            <c:errBarType val="both"/>
            <c:errValType val="cust"/>
            <c:plus>
              <c:numRef>
                <c:f>'Sea Lice Treatments'!$AG$14:$AG$18</c:f>
                <c:numCache>
                  <c:formatCode>General</c:formatCode>
                  <c:ptCount val="5"/>
                  <c:pt idx="0">
                    <c:v>1.9875482925381922</c:v>
                  </c:pt>
                  <c:pt idx="1">
                    <c:v>1.8100320439152462</c:v>
                  </c:pt>
                  <c:pt idx="2">
                    <c:v>1.6778431558634008</c:v>
                  </c:pt>
                  <c:pt idx="3">
                    <c:v>1.5677553339026631</c:v>
                  </c:pt>
                  <c:pt idx="4">
                    <c:v>0.48586000004198937</c:v>
                  </c:pt>
                </c:numCache>
              </c:numRef>
            </c:plus>
            <c:minus>
              <c:numRef>
                <c:f>'Sea Lice Treatments'!$AG$14:$AG$18</c:f>
                <c:numCache>
                  <c:formatCode>General</c:formatCode>
                  <c:ptCount val="5"/>
                  <c:pt idx="0">
                    <c:v>1.9875482925381922</c:v>
                  </c:pt>
                  <c:pt idx="1">
                    <c:v>1.8100320439152462</c:v>
                  </c:pt>
                  <c:pt idx="2">
                    <c:v>1.6778431558634008</c:v>
                  </c:pt>
                  <c:pt idx="3">
                    <c:v>1.5677553339026631</c:v>
                  </c:pt>
                  <c:pt idx="4">
                    <c:v>0.48586000004198937</c:v>
                  </c:pt>
                </c:numCache>
              </c:numRef>
            </c:minus>
          </c:errBars>
          <c:xVal>
            <c:numRef>
              <c:f>'Sea Lice Treatments'!$AL$14:$AL$18</c:f>
              <c:numCache>
                <c:formatCode>General</c:formatCode>
                <c:ptCount val="5"/>
                <c:pt idx="0">
                  <c:v>2000</c:v>
                </c:pt>
                <c:pt idx="1">
                  <c:v>2002</c:v>
                </c:pt>
                <c:pt idx="2">
                  <c:v>2004</c:v>
                </c:pt>
                <c:pt idx="3">
                  <c:v>2006</c:v>
                </c:pt>
                <c:pt idx="4">
                  <c:v>2008</c:v>
                </c:pt>
              </c:numCache>
            </c:numRef>
          </c:xVal>
          <c:yVal>
            <c:numRef>
              <c:f>'Sea Lice Treatments'!$AF$14:$AF$18</c:f>
              <c:numCache>
                <c:formatCode>0.0</c:formatCode>
                <c:ptCount val="5"/>
                <c:pt idx="0">
                  <c:v>8.8788988095238093</c:v>
                </c:pt>
                <c:pt idx="1">
                  <c:v>6.653999999999999</c:v>
                </c:pt>
                <c:pt idx="2">
                  <c:v>7.2746666666666648</c:v>
                </c:pt>
                <c:pt idx="3">
                  <c:v>6.2188888833333325</c:v>
                </c:pt>
                <c:pt idx="4">
                  <c:v>1.7851388833333335</c:v>
                </c:pt>
              </c:numCache>
            </c:numRef>
          </c:yVal>
        </c:ser>
        <c:axId val="118136832"/>
        <c:axId val="118139136"/>
      </c:scatterChart>
      <c:valAx>
        <c:axId val="11813683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</c:title>
        <c:numFmt formatCode="General" sourceLinked="1"/>
        <c:tickLblPos val="nextTo"/>
        <c:crossAx val="118139136"/>
        <c:crosses val="autoZero"/>
        <c:crossBetween val="midCat"/>
      </c:valAx>
      <c:valAx>
        <c:axId val="118139136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# motiles/fish</a:t>
                </a:r>
              </a:p>
            </c:rich>
          </c:tx>
        </c:title>
        <c:numFmt formatCode="0.0" sourceLinked="1"/>
        <c:tickLblPos val="nextTo"/>
        <c:crossAx val="118136832"/>
        <c:crosses val="autoZero"/>
        <c:crossBetween val="midCat"/>
      </c:valAx>
    </c:plotArea>
    <c:legend>
      <c:legendPos val="r"/>
    </c:legend>
    <c:plotVisOnly val="1"/>
  </c:chart>
  <c:printSettings>
    <c:headerFooter/>
    <c:pageMargins b="0.75000000000000466" l="0.70000000000000062" r="0.70000000000000062" t="0.75000000000000466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38</xdr:col>
      <xdr:colOff>373380</xdr:colOff>
      <xdr:row>5</xdr:row>
      <xdr:rowOff>140970</xdr:rowOff>
    </xdr:from>
    <xdr:to>
      <xdr:col>45</xdr:col>
      <xdr:colOff>535305</xdr:colOff>
      <xdr:row>22</xdr:row>
      <xdr:rowOff>24765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23600</xdr:colOff>
      <xdr:row>79</xdr:row>
      <xdr:rowOff>28575</xdr:rowOff>
    </xdr:from>
    <xdr:to>
      <xdr:col>15</xdr:col>
      <xdr:colOff>505233</xdr:colOff>
      <xdr:row>82</xdr:row>
      <xdr:rowOff>95250</xdr:rowOff>
    </xdr:to>
    <xdr:sp macro="" textlink="">
      <xdr:nvSpPr>
        <xdr:cNvPr id="2" name="Text Box 1"/>
        <xdr:cNvSpPr txBox="1">
          <a:spLocks noChangeArrowheads="1"/>
        </xdr:cNvSpPr>
      </xdr:nvSpPr>
      <xdr:spPr bwMode="auto">
        <a:xfrm>
          <a:off x="8463578" y="13313879"/>
          <a:ext cx="3363981" cy="563632"/>
        </a:xfrm>
        <a:prstGeom prst="rect">
          <a:avLst/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According to Zar, if the slopes are significantly different, then the populations are different, so there is no need to test the intercept.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Nelly Speelman" refreshedDate="40406.404902314818" createdVersion="3" refreshedVersion="3" minRefreshableVersion="3" recordCount="37">
  <cacheSource type="worksheet">
    <worksheetSource ref="U6:V39" sheet="Sea Lice Treatments"/>
  </cacheSource>
  <cacheFields count="2">
    <cacheField name="Month" numFmtId="0">
      <sharedItems count="12">
        <s v="Nov"/>
        <s v="Jan"/>
        <s v="Feb"/>
        <s v="Mar"/>
        <s v="Apr"/>
        <s v="May"/>
        <s v="Jun"/>
        <s v="Jul"/>
        <s v="Aug"/>
        <s v="Sep"/>
        <s v="Oct"/>
        <s v="Dec"/>
      </sharedItems>
    </cacheField>
    <cacheField name="# Tx" numFmtId="0">
      <sharedItems containsSemiMixedTypes="0" containsString="0" containsNumber="1" containsInteger="1" minValue="0" maxValue="3"/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 Gary D. Marty" refreshedDate="40413.362075347221" createdVersion="3" refreshedVersion="3" minRefreshableVersion="3" recordCount="103">
  <cacheSource type="worksheet">
    <worksheetSource ref="E6:M109" sheet="Sea Lice Treatments"/>
  </cacheSource>
  <cacheFields count="9">
    <cacheField name="Year" numFmtId="0">
      <sharedItems containsSemiMixedTypes="0" containsString="0" containsNumber="1" containsInteger="1" minValue="1999" maxValue="2009"/>
    </cacheField>
    <cacheField name="SL-yr" numFmtId="0">
      <sharedItems count="10">
        <s v="1999-2000"/>
        <s v="2000-2001"/>
        <s v="2001-2002"/>
        <s v="2002-2003"/>
        <s v="2003-2004"/>
        <s v="2004-2005"/>
        <s v="2005-2006"/>
        <s v="2006-2007"/>
        <s v="2007-2008"/>
        <s v="2008-2009"/>
      </sharedItems>
    </cacheField>
    <cacheField name="# fish/farm" numFmtId="3">
      <sharedItems containsSemiMixedTypes="0" containsString="0" containsNumber="1" minValue="1000" maxValue="1153953"/>
    </cacheField>
    <cacheField name="age (d in SW)" numFmtId="0">
      <sharedItems containsMixedTypes="1" containsNumber="1" containsInteger="1" minValue="61" maxValue="881"/>
    </cacheField>
    <cacheField name="Treatment" numFmtId="0">
      <sharedItems containsSemiMixedTypes="0" containsString="0" containsNumber="1" minValue="0.5" maxValue="1"/>
    </cacheField>
    <cacheField name="# motiles/farm" numFmtId="3">
      <sharedItems containsSemiMixedTypes="0" containsString="0" containsNumber="1" minValue="20700" maxValue="23069845.5"/>
    </cacheField>
    <cacheField name="# Fe L.s./farm" numFmtId="3">
      <sharedItems containsSemiMixedTypes="0" containsString="0" containsNumber="1" minValue="0" maxValue="12431575.25"/>
    </cacheField>
    <cacheField name="Start Year" numFmtId="0">
      <sharedItems containsSemiMixedTypes="0" containsString="0" containsNumber="1" containsInteger="1" minValue="1999" maxValue="2008"/>
    </cacheField>
    <cacheField name="motiles(#/fish)" numFmtId="165">
      <sharedItems containsSemiMixedTypes="0" containsString="0" containsNumber="1" minValue="0.23333330000000002" maxValue="35.4"/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 Gary D. Marty" refreshedDate="40443.33621898148" createdVersion="3" refreshedVersion="3" minRefreshableVersion="3" recordCount="36">
  <cacheSource type="worksheet">
    <worksheetSource ref="U113:V153" sheet="Sea Lice Treatments"/>
  </cacheSource>
  <cacheFields count="2">
    <cacheField name="Month" numFmtId="0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# Tx" numFmtId="0">
      <sharedItems containsSemiMixedTypes="0" containsString="0" containsNumber="1" containsInteger="1" minValue="0" maxValue="5"/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 Gary D. Marty" refreshedDate="40466.860629513889" createdVersion="3" refreshedVersion="3" minRefreshableVersion="3" recordCount="48">
  <cacheSource type="worksheet">
    <worksheetSource ref="U58:V106" sheet="Sea Lice Treatments"/>
  </cacheSource>
  <cacheFields count="2">
    <cacheField name="Month" numFmtId="0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# Tx" numFmtId="0">
      <sharedItems containsSemiMixedTypes="0" containsString="0" containsNumber="1" containsInteger="1" minValue="0" maxValue="5"/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 Gary D. Marty" refreshedDate="40469.264812384259" createdVersion="3" refreshedVersion="3" minRefreshableVersion="3" recordCount="2506">
  <cacheSource type="worksheet">
    <worksheetSource ref="B1:W2507" sheet="Data for broughton"/>
  </cacheSource>
  <cacheFields count="22">
    <cacheField name="Farm # on  Map" numFmtId="0">
      <sharedItems containsSemiMixedTypes="0" containsString="0" containsNumber="1" containsInteger="1" minValue="1" maxValue="26"/>
    </cacheField>
    <cacheField name="Date" numFmtId="17">
      <sharedItems containsSemiMixedTypes="0" containsNonDate="0" containsDate="1" containsString="0" minDate="1999-09-01T00:00:00" maxDate="2009-12-02T00:00:00"/>
    </cacheField>
    <cacheField name="Month" numFmtId="164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Year" numFmtId="0">
      <sharedItems containsSemiMixedTypes="0" containsString="0" containsNumber="1" containsInteger="1" minValue="1999" maxValue="2009" count="11">
        <n v="2000"/>
        <n v="2001"/>
        <n v="2002"/>
        <n v="2003"/>
        <n v="2004"/>
        <n v="2005"/>
        <n v="2006"/>
        <n v="2007"/>
        <n v="2008"/>
        <n v="2009"/>
        <n v="1999"/>
      </sharedItems>
    </cacheField>
    <cacheField name="age (d in SW)" numFmtId="0">
      <sharedItems containsBlank="1" containsMixedTypes="1" containsNumber="1" containsInteger="1" minValue="0" maxValue="1065"/>
    </cacheField>
    <cacheField name="Year class" numFmtId="0">
      <sharedItems containsString="0" containsBlank="1" containsNumber="1" containsInteger="1" minValue="1" maxValue="3"/>
    </cacheField>
    <cacheField name="SW entry date" numFmtId="0">
      <sharedItems containsDate="1" containsBlank="1" containsMixedTypes="1" minDate="1998-02-01T00:00:00" maxDate="2009-12-02T00:00:00"/>
    </cacheField>
    <cacheField name="# fish" numFmtId="3">
      <sharedItems containsString="0" containsBlank="1" containsNumber="1" minValue="1000" maxValue="1608232"/>
    </cacheField>
    <cacheField name="Chalimus/ fish" numFmtId="0">
      <sharedItems containsString="0" containsBlank="1" containsNumber="1" minValue="0" maxValue="38.1"/>
    </cacheField>
    <cacheField name="Motile L.s./ fish" numFmtId="0">
      <sharedItems containsString="0" containsBlank="1" containsNumber="1" minValue="0" maxValue="36.637500000000003"/>
    </cacheField>
    <cacheField name="Female L.s./ fish" numFmtId="0">
      <sharedItems containsString="0" containsBlank="1" containsNumber="1" minValue="0" maxValue="22.45"/>
    </cacheField>
    <cacheField name="Fe L.s. 3-month series" numFmtId="1">
      <sharedItems containsString="0" containsBlank="1" containsNumber="1" containsInteger="1" minValue="0" maxValue="2"/>
    </cacheField>
    <cacheField name="L. salmonis estimate type" numFmtId="1">
      <sharedItems containsBlank="1" containsMixedTypes="1" containsNumber="1" containsInteger="1" minValue="1" maxValue="3"/>
    </cacheField>
    <cacheField name="Caligus/ fish" numFmtId="0">
      <sharedItems containsString="0" containsBlank="1" containsNumber="1" minValue="0" maxValue="28.9"/>
    </cacheField>
    <cacheField name="Treatment" numFmtId="0">
      <sharedItems containsString="0" containsBlank="1" containsNumber="1" minValue="0.5" maxValue="1"/>
    </cacheField>
    <cacheField name="T (°C)" numFmtId="0">
      <sharedItems containsString="0" containsBlank="1" containsNumber="1" minValue="5.0999999999999996" maxValue="14.8"/>
    </cacheField>
    <cacheField name="Salinity (ppt)" numFmtId="0">
      <sharedItems containsBlank="1" containsMixedTypes="1" containsNumber="1" minValue="7.31" maxValue="34.799999999999997"/>
    </cacheField>
    <cacheField name="Comments" numFmtId="0">
      <sharedItems containsBlank="1"/>
    </cacheField>
    <cacheField name="# Motiles (L.salmonis)" numFmtId="0">
      <sharedItems containsString="0" containsBlank="1" containsNumber="1" minValue="0" maxValue="23069845.5"/>
    </cacheField>
    <cacheField name="# Female L.salmonis" numFmtId="0">
      <sharedItems containsString="0" containsBlank="1" containsNumber="1" minValue="0" maxValue="12431575.25"/>
    </cacheField>
    <cacheField name="# Caligus spp." numFmtId="0">
      <sharedItems containsString="0" containsBlank="1" containsNumber="1" minValue="0" maxValue="7339514"/>
    </cacheField>
    <cacheField name="0.4*(# Caligus/ farm)" numFmtId="0">
      <sharedItems containsString="0" containsBlank="1" containsNumber="1" minValue="0" maxValue="2935805.6"/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7">
  <r>
    <x v="0"/>
    <n v="1"/>
  </r>
  <r>
    <x v="1"/>
    <n v="0"/>
  </r>
  <r>
    <x v="2"/>
    <n v="0"/>
  </r>
  <r>
    <x v="3"/>
    <n v="0"/>
  </r>
  <r>
    <x v="4"/>
    <n v="0"/>
  </r>
  <r>
    <x v="5"/>
    <n v="1"/>
  </r>
  <r>
    <x v="6"/>
    <n v="1"/>
  </r>
  <r>
    <x v="7"/>
    <n v="1"/>
  </r>
  <r>
    <x v="8"/>
    <n v="0"/>
  </r>
  <r>
    <x v="9"/>
    <n v="0"/>
  </r>
  <r>
    <x v="10"/>
    <n v="0"/>
  </r>
  <r>
    <x v="0"/>
    <n v="1"/>
  </r>
  <r>
    <x v="11"/>
    <n v="0"/>
  </r>
  <r>
    <x v="1"/>
    <n v="0"/>
  </r>
  <r>
    <x v="2"/>
    <n v="0"/>
  </r>
  <r>
    <x v="3"/>
    <n v="1"/>
  </r>
  <r>
    <x v="4"/>
    <n v="0"/>
  </r>
  <r>
    <x v="5"/>
    <n v="2"/>
  </r>
  <r>
    <x v="6"/>
    <n v="3"/>
  </r>
  <r>
    <x v="7"/>
    <n v="1"/>
  </r>
  <r>
    <x v="8"/>
    <n v="0"/>
  </r>
  <r>
    <x v="9"/>
    <n v="0"/>
  </r>
  <r>
    <x v="10"/>
    <n v="0"/>
  </r>
  <r>
    <x v="0"/>
    <n v="0"/>
  </r>
  <r>
    <x v="11"/>
    <n v="1"/>
  </r>
  <r>
    <x v="1"/>
    <n v="0"/>
  </r>
  <r>
    <x v="2"/>
    <n v="1"/>
  </r>
  <r>
    <x v="3"/>
    <n v="2"/>
  </r>
  <r>
    <x v="4"/>
    <n v="2"/>
  </r>
  <r>
    <x v="5"/>
    <n v="1"/>
  </r>
  <r>
    <x v="6"/>
    <n v="1"/>
  </r>
  <r>
    <x v="7"/>
    <n v="0"/>
  </r>
  <r>
    <x v="8"/>
    <n v="0"/>
  </r>
  <r>
    <x v="9"/>
    <n v="0"/>
  </r>
  <r>
    <x v="10"/>
    <n v="0"/>
  </r>
  <r>
    <x v="0"/>
    <n v="0"/>
  </r>
  <r>
    <x v="11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03">
  <r>
    <n v="1999"/>
    <x v="0"/>
    <n v="493149.75238095201"/>
    <n v="214"/>
    <n v="1"/>
    <n v="3131500.9276190451"/>
    <n v="1257531.8685714274"/>
    <n v="1999"/>
    <n v="6.35"/>
  </r>
  <r>
    <n v="2000"/>
    <x v="0"/>
    <n v="368740"/>
    <n v="578"/>
    <n v="0.5"/>
    <n v="12822933.5"/>
    <n v="5743125.5"/>
    <n v="1999"/>
    <n v="34.774999999999999"/>
  </r>
  <r>
    <n v="2000"/>
    <x v="0"/>
    <n v="379585"/>
    <n v="517"/>
    <n v="1"/>
    <n v="9228133.1111111101"/>
    <n v="4829164.722222222"/>
    <n v="1999"/>
    <n v="24.31111111111111"/>
  </r>
  <r>
    <n v="2000"/>
    <x v="0"/>
    <n v="455173"/>
    <n v="457"/>
    <n v="1"/>
    <n v="9362908.6099999994"/>
    <n v="3855315.3100000005"/>
    <n v="1999"/>
    <n v="20.57"/>
  </r>
  <r>
    <n v="2000"/>
    <x v="1"/>
    <n v="583351"/>
    <n v="336"/>
    <n v="1"/>
    <n v="5998792.7833333332"/>
    <n v="2984812.6166666672"/>
    <n v="2000"/>
    <n v="10.283333333333333"/>
  </r>
  <r>
    <n v="2001"/>
    <x v="1"/>
    <n v="1065999"/>
    <n v="151"/>
    <n v="1"/>
    <n v="6513253.8900000006"/>
    <n v="1140618.9300000002"/>
    <n v="2000"/>
    <n v="6.11"/>
  </r>
  <r>
    <n v="2001"/>
    <x v="1"/>
    <n v="265362"/>
    <n v="547"/>
    <n v="1"/>
    <n v="793432.38"/>
    <n v="235508.77499999999"/>
    <n v="2000"/>
    <n v="2.99"/>
  </r>
  <r>
    <n v="2001"/>
    <x v="1"/>
    <n v="1106770"/>
    <n v="212"/>
    <n v="1"/>
    <n v="4928288.7"/>
    <n v="1826170.5"/>
    <n v="2000"/>
    <n v="4.4528571428571428"/>
  </r>
  <r>
    <n v="2001"/>
    <x v="1"/>
    <n v="408909"/>
    <n v="92"/>
    <n v="1"/>
    <n v="3383721.9750000001"/>
    <n v="143118.15"/>
    <n v="2000"/>
    <n v="8.2750000000000004"/>
  </r>
  <r>
    <n v="2001"/>
    <x v="1"/>
    <n v="349468"/>
    <n v="61"/>
    <n v="1"/>
    <n v="3704360.8"/>
    <n v="209680.8"/>
    <n v="2000"/>
    <n v="10.6"/>
  </r>
  <r>
    <n v="2001"/>
    <x v="1"/>
    <n v="1153953"/>
    <n v="120"/>
    <n v="1"/>
    <n v="5273565.21"/>
    <n v="1534757.49"/>
    <n v="2000"/>
    <n v="4.57"/>
  </r>
  <r>
    <n v="2001"/>
    <x v="1"/>
    <n v="498493"/>
    <n v="426"/>
    <n v="1"/>
    <n v="11839208.75"/>
    <n v="4087642.5999999996"/>
    <n v="2000"/>
    <n v="23.75"/>
  </r>
  <r>
    <n v="2001"/>
    <x v="2"/>
    <n v="585965"/>
    <n v="275"/>
    <n v="1"/>
    <n v="6387018.4999999991"/>
    <n v="2636842.5"/>
    <n v="2001"/>
    <n v="10.899999999999999"/>
  </r>
  <r>
    <n v="2002"/>
    <x v="2"/>
    <n v="1078273"/>
    <n v="488"/>
    <n v="0.5"/>
    <n v="6775867.5319999997"/>
    <n v="2766848.5179999997"/>
    <n v="2001"/>
    <n v="6.2839999999999998"/>
  </r>
  <r>
    <n v="2002"/>
    <x v="2"/>
    <n v="483799"/>
    <n v="516"/>
    <n v="1"/>
    <n v="13401232.299999999"/>
    <n v="3471257.8249999997"/>
    <n v="2001"/>
    <n v="27.7"/>
  </r>
  <r>
    <n v="2002"/>
    <x v="2"/>
    <n v="1077375"/>
    <n v="516"/>
    <n v="0.5"/>
    <n v="9434213.7500000019"/>
    <n v="3663075"/>
    <n v="2001"/>
    <n v="8.7566666666666677"/>
  </r>
  <r>
    <n v="2002"/>
    <x v="2"/>
    <n v="414064"/>
    <n v="396"/>
    <n v="1"/>
    <n v="4202749.6000000006"/>
    <n v="1378833.12"/>
    <n v="2001"/>
    <n v="10.150000000000002"/>
  </r>
  <r>
    <n v="2002"/>
    <x v="2"/>
    <n v="939900"/>
    <n v="424"/>
    <n v="1"/>
    <n v="23069845.5"/>
    <n v="9283079"/>
    <n v="2001"/>
    <n v="24.545000000000002"/>
  </r>
  <r>
    <n v="2002"/>
    <x v="2"/>
    <n v="114376"/>
    <n v="485"/>
    <n v="1"/>
    <n v="3351216.8000000003"/>
    <n v="1807140.8"/>
    <n v="2001"/>
    <n v="29.3"/>
  </r>
  <r>
    <n v="2002"/>
    <x v="2"/>
    <n v="584156"/>
    <n v="426"/>
    <n v="1"/>
    <n v="10164314.399999999"/>
    <n v="2073753.7999999998"/>
    <n v="2001"/>
    <n v="17.399999999999999"/>
  </r>
  <r>
    <n v="2003"/>
    <x v="3"/>
    <n v="215709"/>
    <n v="396"/>
    <n v="1"/>
    <n v="2006093.7000000002"/>
    <n v="862836"/>
    <n v="2002"/>
    <n v="9.3000000000000007"/>
  </r>
  <r>
    <n v="2003"/>
    <x v="3"/>
    <n v="574017"/>
    <n v="275"/>
    <n v="1"/>
    <n v="918427.20000000007"/>
    <n v="344410.2"/>
    <n v="2002"/>
    <n v="1.6"/>
  </r>
  <r>
    <n v="2003"/>
    <x v="3"/>
    <n v="570429"/>
    <n v="306"/>
    <n v="1"/>
    <n v="1768329.9000000001"/>
    <n v="570429"/>
    <n v="2002"/>
    <n v="3.1"/>
  </r>
  <r>
    <n v="2003"/>
    <x v="3"/>
    <n v="26322"/>
    <s v="Brood"/>
    <n v="1"/>
    <n v="223737"/>
    <n v="113184.59999999999"/>
    <n v="2002"/>
    <n v="8.5"/>
  </r>
  <r>
    <n v="2003"/>
    <x v="3"/>
    <n v="293723"/>
    <n v="881"/>
    <n v="1"/>
    <n v="3163396.71"/>
    <n v="1503861.76"/>
    <n v="2002"/>
    <n v="10.77"/>
  </r>
  <r>
    <n v="2003"/>
    <x v="4"/>
    <n v="653000"/>
    <n v="335"/>
    <n v="1"/>
    <n v="3049510"/>
    <n v="1371300"/>
    <n v="2003"/>
    <n v="4.67"/>
  </r>
  <r>
    <n v="2003"/>
    <x v="4"/>
    <n v="664749"/>
    <n v="303"/>
    <n v="1"/>
    <n v="1415915.3699999999"/>
    <n v="930648.6"/>
    <n v="2003"/>
    <n v="2.13"/>
  </r>
  <r>
    <n v="2004"/>
    <x v="4"/>
    <n v="420226"/>
    <n v="334"/>
    <n v="1"/>
    <n v="1680904"/>
    <n v="533687.02"/>
    <n v="2003"/>
    <n v="4"/>
  </r>
  <r>
    <n v="2004"/>
    <x v="4"/>
    <n v="1745"/>
    <s v="Brood"/>
    <n v="0.5"/>
    <n v="61685.75"/>
    <n v="33853"/>
    <n v="2003"/>
    <n v="35.4"/>
  </r>
  <r>
    <n v="2004"/>
    <x v="4"/>
    <n v="231784"/>
    <n v="640"/>
    <n v="1"/>
    <n v="2341018.4"/>
    <n v="1147330.8"/>
    <n v="2003"/>
    <n v="10.1"/>
  </r>
  <r>
    <n v="2004"/>
    <x v="4"/>
    <n v="348700"/>
    <n v="640"/>
    <n v="1"/>
    <n v="7277369"/>
    <n v="3602071"/>
    <n v="2003"/>
    <n v="20.87"/>
  </r>
  <r>
    <n v="2004"/>
    <x v="4"/>
    <n v="38000"/>
    <s v="Brood"/>
    <n v="0.5"/>
    <n v="410400"/>
    <n v="247000"/>
    <n v="2003"/>
    <n v="10.8"/>
  </r>
  <r>
    <n v="2004"/>
    <x v="4"/>
    <n v="19743"/>
    <s v="Brood"/>
    <n v="0.5"/>
    <n v="94766.399999999994"/>
    <n v="41460.300000000003"/>
    <n v="2003"/>
    <n v="4.8"/>
  </r>
  <r>
    <n v="2004"/>
    <x v="4"/>
    <n v="20919"/>
    <s v="Brood"/>
    <n v="0.5"/>
    <n v="26357.94"/>
    <n v="13388.16"/>
    <n v="2003"/>
    <n v="1.26"/>
  </r>
  <r>
    <n v="2004"/>
    <x v="4"/>
    <n v="603918"/>
    <n v="366"/>
    <n v="1"/>
    <n v="4070407.3200000003"/>
    <n v="875681.1"/>
    <n v="2003"/>
    <n v="6.74"/>
  </r>
  <r>
    <n v="2004"/>
    <x v="4"/>
    <n v="762157"/>
    <n v="397"/>
    <n v="1"/>
    <n v="4931155.79"/>
    <n v="1105127.6499999999"/>
    <n v="2003"/>
    <n v="6.47"/>
  </r>
  <r>
    <n v="2004"/>
    <x v="4"/>
    <n v="553745"/>
    <n v="608"/>
    <n v="1"/>
    <n v="19242638.75"/>
    <n v="12431575.25"/>
    <n v="2003"/>
    <n v="34.75"/>
  </r>
  <r>
    <n v="2004"/>
    <x v="4"/>
    <n v="473021"/>
    <n v="546"/>
    <n v="1"/>
    <n v="10642972.5"/>
    <n v="6243877.1999999993"/>
    <n v="2003"/>
    <n v="22.5"/>
  </r>
  <r>
    <n v="2004"/>
    <x v="4"/>
    <n v="483726"/>
    <n v="455"/>
    <n v="1"/>
    <n v="7546125.5999999996"/>
    <n v="3773062.8"/>
    <n v="2003"/>
    <n v="15.6"/>
  </r>
  <r>
    <n v="2004"/>
    <x v="4"/>
    <n v="402222"/>
    <n v="366"/>
    <n v="1"/>
    <n v="6435552"/>
    <n v="2936220.6"/>
    <n v="2003"/>
    <n v="16"/>
  </r>
  <r>
    <n v="2004"/>
    <x v="4"/>
    <n v="662975"/>
    <n v="152"/>
    <n v="1"/>
    <n v="2917090.0000000005"/>
    <n v="165743.75"/>
    <n v="2003"/>
    <n v="4.4000000000000004"/>
  </r>
  <r>
    <n v="2004"/>
    <x v="4"/>
    <n v="671000"/>
    <n v="61"/>
    <n v="1"/>
    <n v="2751099.9999999995"/>
    <n v="1140700"/>
    <n v="2003"/>
    <n v="4.0999999999999996"/>
  </r>
  <r>
    <n v="2004"/>
    <x v="4"/>
    <n v="646794"/>
    <n v="548"/>
    <n v="1"/>
    <n v="6661978.2000000002"/>
    <n v="1875702.5999999999"/>
    <n v="2003"/>
    <n v="10.3"/>
  </r>
  <r>
    <n v="2004"/>
    <x v="4"/>
    <n v="611960"/>
    <n v="305"/>
    <n v="1"/>
    <n v="3953261.6"/>
    <n v="1291235.5999999999"/>
    <n v="2003"/>
    <n v="6.46"/>
  </r>
  <r>
    <n v="2004"/>
    <x v="5"/>
    <n v="150000"/>
    <n v="639"/>
    <n v="1"/>
    <n v="2239500"/>
    <n v="1548000"/>
    <n v="2004"/>
    <n v="14.93"/>
  </r>
  <r>
    <n v="2004"/>
    <x v="5"/>
    <n v="651500"/>
    <n v="366"/>
    <n v="1"/>
    <n v="4677770"/>
    <n v="1355120"/>
    <n v="2004"/>
    <n v="7.18"/>
  </r>
  <r>
    <n v="2005"/>
    <x v="5"/>
    <n v="532979"/>
    <n v="641"/>
    <n v="1"/>
    <n v="1902735.03"/>
    <n v="1518990.1500000001"/>
    <n v="2004"/>
    <n v="3.57"/>
  </r>
  <r>
    <n v="2005"/>
    <x v="5"/>
    <n v="409675"/>
    <n v="700"/>
    <n v="1"/>
    <n v="8717884"/>
    <n v="3871428.7499999995"/>
    <n v="2004"/>
    <n v="21.28"/>
  </r>
  <r>
    <n v="2005"/>
    <x v="5"/>
    <n v="1000"/>
    <s v="Brood"/>
    <n v="1"/>
    <n v="20700"/>
    <n v="14900"/>
    <n v="2004"/>
    <n v="20.7"/>
  </r>
  <r>
    <n v="2005"/>
    <x v="5"/>
    <n v="536340"/>
    <n v="366"/>
    <n v="1"/>
    <n v="4596433.8"/>
    <n v="2896236"/>
    <n v="2004"/>
    <n v="8.57"/>
  </r>
  <r>
    <n v="2005"/>
    <x v="5"/>
    <n v="450000"/>
    <n v="731"/>
    <n v="1"/>
    <n v="2461500"/>
    <n v="1620000"/>
    <n v="2004"/>
    <n v="5.47"/>
  </r>
  <r>
    <n v="2005"/>
    <x v="5"/>
    <n v="551000"/>
    <n v="306"/>
    <n v="1"/>
    <n v="1157100"/>
    <n v="369170"/>
    <n v="2004"/>
    <n v="2.1"/>
  </r>
  <r>
    <n v="2005"/>
    <x v="5"/>
    <n v="520163.5"/>
    <n v="366"/>
    <n v="1"/>
    <n v="2897310.6950000003"/>
    <n v="988310.64999999991"/>
    <n v="2004"/>
    <n v="5.57"/>
  </r>
  <r>
    <n v="2005"/>
    <x v="5"/>
    <n v="729301"/>
    <n v="181"/>
    <n v="1"/>
    <n v="1589876.1800000002"/>
    <n v="816817.12000000011"/>
    <n v="2004"/>
    <n v="2.1800000000000002"/>
  </r>
  <r>
    <n v="2005"/>
    <x v="5"/>
    <n v="772971"/>
    <n v="61"/>
    <n v="1"/>
    <n v="1143997.08"/>
    <n v="363296.37"/>
    <n v="2004"/>
    <n v="1.4800000000000002"/>
  </r>
  <r>
    <n v="2005"/>
    <x v="5"/>
    <n v="579191"/>
    <n v="578"/>
    <n v="1"/>
    <n v="2727989.61"/>
    <n v="1378474.5799999998"/>
    <n v="2004"/>
    <n v="4.71"/>
  </r>
  <r>
    <n v="2005"/>
    <x v="5"/>
    <n v="646758"/>
    <n v="517"/>
    <n v="1"/>
    <n v="3544233.8400000003"/>
    <n v="1248242.94"/>
    <n v="2004"/>
    <n v="5.48"/>
  </r>
  <r>
    <n v="2005"/>
    <x v="5"/>
    <n v="600000"/>
    <n v="212"/>
    <n v="1"/>
    <n v="810000"/>
    <n v="132000"/>
    <n v="2004"/>
    <n v="1.35"/>
  </r>
  <r>
    <n v="2005"/>
    <x v="5"/>
    <n v="20000"/>
    <s v="Brood"/>
    <n v="1"/>
    <n v="91000"/>
    <n v="16000"/>
    <n v="2004"/>
    <n v="4.55"/>
  </r>
  <r>
    <n v="2005"/>
    <x v="6"/>
    <n v="136350"/>
    <n v="273"/>
    <n v="1"/>
    <n v="906727.5"/>
    <n v="388597.5"/>
    <n v="2005"/>
    <n v="6.65"/>
  </r>
  <r>
    <n v="2005"/>
    <x v="6"/>
    <n v="352936"/>
    <n v="669"/>
    <n v="1"/>
    <n v="6995191.5200000005"/>
    <n v="5241099.5999999996"/>
    <n v="2005"/>
    <n v="19.82"/>
  </r>
  <r>
    <n v="2005"/>
    <x v="6"/>
    <n v="660000"/>
    <n v="275"/>
    <n v="1"/>
    <n v="1537800"/>
    <n v="891000.00000000012"/>
    <n v="2005"/>
    <n v="2.33"/>
  </r>
  <r>
    <n v="2005"/>
    <x v="6"/>
    <n v="497827"/>
    <n v="669"/>
    <n v="1"/>
    <n v="8876255.4099999983"/>
    <n v="5491031.8099999996"/>
    <n v="2005"/>
    <n v="17.829999999999998"/>
  </r>
  <r>
    <n v="2006"/>
    <x v="6"/>
    <n v="723758"/>
    <n v="426"/>
    <n v="1"/>
    <n v="4255697.04"/>
    <n v="2511440.2600000002"/>
    <n v="2005"/>
    <n v="5.88"/>
  </r>
  <r>
    <n v="2006"/>
    <x v="6"/>
    <n v="636000"/>
    <n v="457"/>
    <n v="1"/>
    <n v="5615880"/>
    <n v="2575800"/>
    <n v="2005"/>
    <n v="8.83"/>
  </r>
  <r>
    <n v="2006"/>
    <x v="6"/>
    <n v="645000"/>
    <n v="396"/>
    <n v="0.5"/>
    <n v="8501100"/>
    <n v="2805750"/>
    <n v="2005"/>
    <n v="13.18"/>
  </r>
  <r>
    <n v="2006"/>
    <x v="6"/>
    <n v="20000"/>
    <s v="Brood"/>
    <n v="1"/>
    <n v="291600"/>
    <n v="70000"/>
    <n v="2005"/>
    <n v="14.58"/>
  </r>
  <r>
    <n v="2006"/>
    <x v="6"/>
    <n v="706322"/>
    <n v="365"/>
    <n v="1"/>
    <n v="3623431.86"/>
    <n v="1850563.6400000001"/>
    <n v="2005"/>
    <n v="5.13"/>
  </r>
  <r>
    <n v="2006"/>
    <x v="6"/>
    <n v="645000"/>
    <n v="427"/>
    <n v="0.5"/>
    <n v="10094250"/>
    <n v="5398649.9999999991"/>
    <n v="2005"/>
    <n v="15.65"/>
  </r>
  <r>
    <n v="2006"/>
    <x v="6"/>
    <n v="614000"/>
    <n v="427"/>
    <n v="1"/>
    <n v="1185020"/>
    <n v="472780"/>
    <n v="2005"/>
    <n v="1.93"/>
  </r>
  <r>
    <n v="2006"/>
    <x v="6"/>
    <n v="737000"/>
    <n v="337"/>
    <n v="0.5"/>
    <n v="3942949.9999999995"/>
    <n v="980210"/>
    <n v="2005"/>
    <n v="5.35"/>
  </r>
  <r>
    <n v="2006"/>
    <x v="6"/>
    <n v="734574"/>
    <n v="365"/>
    <n v="0.5"/>
    <n v="4054848.4799999995"/>
    <n v="1285504.5"/>
    <n v="2005"/>
    <n v="5.52"/>
  </r>
  <r>
    <n v="2006"/>
    <x v="6"/>
    <n v="566012"/>
    <n v="90"/>
    <n v="1"/>
    <n v="4601677.5600000005"/>
    <n v="1528232.4000000001"/>
    <n v="2005"/>
    <n v="8.1300000000000008"/>
  </r>
  <r>
    <n v="2006"/>
    <x v="6"/>
    <n v="728391"/>
    <n v="182"/>
    <n v="1"/>
    <n v="1602460.2000000002"/>
    <n v="437034.6"/>
    <n v="2005"/>
    <n v="2.2000000000000002"/>
  </r>
  <r>
    <n v="2006"/>
    <x v="6"/>
    <n v="39104"/>
    <s v="Brood"/>
    <n v="1"/>
    <n v="243617.92000000001"/>
    <n v="110664.32000000001"/>
    <n v="2005"/>
    <n v="6.23"/>
  </r>
  <r>
    <n v="2006"/>
    <x v="6"/>
    <n v="631392"/>
    <n v="426"/>
    <n v="1"/>
    <n v="2134104.96"/>
    <n v="896576.6399999999"/>
    <n v="2005"/>
    <n v="3.38"/>
  </r>
  <r>
    <n v="2006"/>
    <x v="6"/>
    <n v="199936"/>
    <n v="454"/>
    <n v="1"/>
    <n v="995681.28000000003"/>
    <n v="469849.60000000003"/>
    <n v="2005"/>
    <n v="4.9800000000000004"/>
  </r>
  <r>
    <n v="2006"/>
    <x v="7"/>
    <n v="559300"/>
    <n v="304"/>
    <n v="1"/>
    <n v="2365839.0000000005"/>
    <n v="1465366"/>
    <n v="2006"/>
    <n v="4.2300000000000004"/>
  </r>
  <r>
    <n v="2006"/>
    <x v="7"/>
    <n v="552521"/>
    <n v="334"/>
    <n v="1"/>
    <n v="4641176.4000000004"/>
    <n v="1370252.08"/>
    <n v="2006"/>
    <n v="8.4"/>
  </r>
  <r>
    <n v="2007"/>
    <x v="7"/>
    <n v="578871"/>
    <n v="365"/>
    <n v="1"/>
    <n v="839362.95"/>
    <n v="395561.83070430002"/>
    <n v="2006"/>
    <n v="1.45"/>
  </r>
  <r>
    <n v="2007"/>
    <x v="7"/>
    <n v="3066"/>
    <s v="Brood"/>
    <n v="1"/>
    <n v="36792"/>
    <n v="22995"/>
    <n v="2006"/>
    <n v="12"/>
  </r>
  <r>
    <n v="2007"/>
    <x v="7"/>
    <n v="545161"/>
    <n v="360"/>
    <n v="1"/>
    <n v="1962579.6"/>
    <n v="731424.30532259995"/>
    <n v="2006"/>
    <n v="3.6"/>
  </r>
  <r>
    <n v="2007"/>
    <x v="7"/>
    <n v="574401"/>
    <n v="426"/>
    <n v="1"/>
    <n v="4384594.2808533004"/>
    <n v="2048696.8617066001"/>
    <n v="2006"/>
    <n v="7.6333333000000003"/>
  </r>
  <r>
    <n v="2008"/>
    <x v="8"/>
    <n v="680546"/>
    <n v="396"/>
    <n v="1"/>
    <n v="319856.62"/>
    <n v="217774.72"/>
    <n v="2007"/>
    <n v="0.47"/>
  </r>
  <r>
    <n v="2008"/>
    <x v="8"/>
    <n v="553541"/>
    <n v="426"/>
    <n v="1"/>
    <n v="1372781.68"/>
    <n v="525863.94999999995"/>
    <n v="2007"/>
    <n v="2.48"/>
  </r>
  <r>
    <n v="2008"/>
    <x v="8"/>
    <n v="655368"/>
    <n v="396"/>
    <n v="1"/>
    <n v="380113.44"/>
    <n v="144180.96"/>
    <n v="2007"/>
    <n v="0.57999999999999996"/>
  </r>
  <r>
    <n v="2008"/>
    <x v="8"/>
    <n v="614889"/>
    <n v="426"/>
    <n v="1"/>
    <n v="922333.5"/>
    <n v="633335.67000000004"/>
    <n v="2007"/>
    <n v="1.5"/>
  </r>
  <r>
    <n v="2008"/>
    <x v="8"/>
    <n v="598331"/>
    <n v="444"/>
    <n v="1"/>
    <n v="418831.69999999995"/>
    <n v="89749.65"/>
    <n v="2007"/>
    <n v="0.7"/>
  </r>
  <r>
    <n v="2008"/>
    <x v="8"/>
    <n v="564703"/>
    <n v="388"/>
    <n v="1"/>
    <n v="1581168.4"/>
    <n v="451762.4"/>
    <n v="2007"/>
    <n v="2.8"/>
  </r>
  <r>
    <n v="2008"/>
    <x v="8"/>
    <n v="35800"/>
    <s v="Brood"/>
    <n v="1"/>
    <n v="157520"/>
    <n v="110980"/>
    <n v="2007"/>
    <n v="4.4000000000000004"/>
  </r>
  <r>
    <n v="2008"/>
    <x v="8"/>
    <n v="597803"/>
    <n v="427"/>
    <n v="1"/>
    <n v="1504470.8833333333"/>
    <n v="667546.68333333323"/>
    <n v="2007"/>
    <n v="2.5166666666666666"/>
  </r>
  <r>
    <n v="2008"/>
    <x v="9"/>
    <n v="678000"/>
    <n v="366"/>
    <n v="1"/>
    <n v="1762800"/>
    <n v="786480"/>
    <n v="2008"/>
    <n v="2.6"/>
  </r>
  <r>
    <n v="2008"/>
    <x v="9"/>
    <n v="500000"/>
    <n v="761"/>
    <n v="1"/>
    <n v="2545833.3333333335"/>
    <n v="1120833.3333333333"/>
    <n v="2008"/>
    <n v="5.0916666666666668"/>
  </r>
  <r>
    <n v="2008"/>
    <x v="9"/>
    <n v="620000"/>
    <n v="396"/>
    <n v="1"/>
    <n v="2114200"/>
    <n v="558000"/>
    <n v="2008"/>
    <n v="3.41"/>
  </r>
  <r>
    <n v="2009"/>
    <x v="9"/>
    <n v="23147"/>
    <s v="Brood"/>
    <n v="1"/>
    <n v="92588"/>
    <n v="64811.6"/>
    <n v="2008"/>
    <n v="4"/>
  </r>
  <r>
    <n v="2009"/>
    <x v="9"/>
    <n v="522214"/>
    <n v="397"/>
    <n v="1"/>
    <n v="208885.6"/>
    <n v="67887.820000000007"/>
    <n v="2008"/>
    <n v="0.4"/>
  </r>
  <r>
    <n v="2009"/>
    <x v="9"/>
    <n v="573294"/>
    <n v="397"/>
    <n v="1"/>
    <n v="470101.07999999996"/>
    <n v="235050.53999999998"/>
    <n v="2008"/>
    <n v="0.82"/>
  </r>
  <r>
    <n v="2009"/>
    <x v="9"/>
    <n v="656000"/>
    <n v="245"/>
    <n v="1"/>
    <n v="328000"/>
    <n v="0"/>
    <n v="2008"/>
    <n v="0.5"/>
  </r>
  <r>
    <n v="2009"/>
    <x v="9"/>
    <n v="344170"/>
    <n v="306"/>
    <n v="1"/>
    <n v="378587.00000000006"/>
    <n v="120459.49999999999"/>
    <n v="2008"/>
    <n v="1.1000000000000001"/>
  </r>
  <r>
    <n v="2009"/>
    <x v="9"/>
    <n v="282705"/>
    <n v="92"/>
    <n v="1"/>
    <n v="461751.50000000006"/>
    <n v="183758.25"/>
    <n v="2008"/>
    <n v="1.6333333333333335"/>
  </r>
  <r>
    <n v="2009"/>
    <x v="9"/>
    <n v="277936"/>
    <n v="62"/>
    <n v="1"/>
    <n v="301097.32406880002"/>
    <n v="115806.6481376"/>
    <n v="2008"/>
    <n v="1.0833333000000001"/>
  </r>
  <r>
    <n v="2009"/>
    <x v="9"/>
    <n v="714079"/>
    <n v="123"/>
    <n v="1"/>
    <n v="166618.40953070001"/>
    <n v="47605.219061400006"/>
    <n v="2008"/>
    <n v="0.23333330000000002"/>
  </r>
  <r>
    <n v="2009"/>
    <x v="9"/>
    <n v="41965"/>
    <s v="Brood"/>
    <n v="1"/>
    <n v="23080.750000000004"/>
    <n v="9442.125"/>
    <n v="2008"/>
    <n v="0.5500000000000000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36">
  <r>
    <x v="0"/>
    <n v="4"/>
  </r>
  <r>
    <x v="1"/>
    <n v="0"/>
  </r>
  <r>
    <x v="2"/>
    <n v="0"/>
  </r>
  <r>
    <x v="3"/>
    <n v="0"/>
  </r>
  <r>
    <x v="4"/>
    <n v="0"/>
  </r>
  <r>
    <x v="5"/>
    <n v="0"/>
  </r>
  <r>
    <x v="6"/>
    <n v="0"/>
  </r>
  <r>
    <x v="7"/>
    <n v="0"/>
  </r>
  <r>
    <x v="8"/>
    <n v="0"/>
  </r>
  <r>
    <x v="9"/>
    <n v="0"/>
  </r>
  <r>
    <x v="10"/>
    <n v="0"/>
  </r>
  <r>
    <x v="11"/>
    <n v="0"/>
  </r>
  <r>
    <x v="0"/>
    <n v="4"/>
  </r>
  <r>
    <x v="1"/>
    <n v="1"/>
  </r>
  <r>
    <x v="2"/>
    <n v="2"/>
  </r>
  <r>
    <x v="3"/>
    <n v="0"/>
  </r>
  <r>
    <x v="4"/>
    <n v="1"/>
  </r>
  <r>
    <x v="5"/>
    <n v="0"/>
  </r>
  <r>
    <x v="6"/>
    <n v="0"/>
  </r>
  <r>
    <x v="7"/>
    <n v="0"/>
  </r>
  <r>
    <x v="8"/>
    <n v="0"/>
  </r>
  <r>
    <x v="9"/>
    <n v="0"/>
  </r>
  <r>
    <x v="10"/>
    <n v="1"/>
  </r>
  <r>
    <x v="11"/>
    <n v="2"/>
  </r>
  <r>
    <x v="0"/>
    <n v="4"/>
  </r>
  <r>
    <x v="1"/>
    <n v="4"/>
  </r>
  <r>
    <x v="2"/>
    <n v="0"/>
  </r>
  <r>
    <x v="3"/>
    <n v="1"/>
  </r>
  <r>
    <x v="4"/>
    <n v="0"/>
  </r>
  <r>
    <x v="5"/>
    <n v="0"/>
  </r>
  <r>
    <x v="6"/>
    <n v="0"/>
  </r>
  <r>
    <x v="7"/>
    <n v="0"/>
  </r>
  <r>
    <x v="8"/>
    <n v="0"/>
  </r>
  <r>
    <x v="9"/>
    <n v="0"/>
  </r>
  <r>
    <x v="10"/>
    <n v="5"/>
  </r>
  <r>
    <x v="11"/>
    <n v="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48">
  <r>
    <x v="0"/>
    <n v="2"/>
  </r>
  <r>
    <x v="1"/>
    <n v="1"/>
  </r>
  <r>
    <x v="2"/>
    <n v="2"/>
  </r>
  <r>
    <x v="3"/>
    <n v="0"/>
  </r>
  <r>
    <x v="4"/>
    <n v="0"/>
  </r>
  <r>
    <x v="5"/>
    <n v="0"/>
  </r>
  <r>
    <x v="6"/>
    <n v="0"/>
  </r>
  <r>
    <x v="7"/>
    <n v="0"/>
  </r>
  <r>
    <x v="8"/>
    <n v="0"/>
  </r>
  <r>
    <x v="9"/>
    <n v="0"/>
  </r>
  <r>
    <x v="10"/>
    <n v="1"/>
  </r>
  <r>
    <x v="11"/>
    <n v="1"/>
  </r>
  <r>
    <x v="0"/>
    <n v="4"/>
  </r>
  <r>
    <x v="1"/>
    <n v="1"/>
  </r>
  <r>
    <x v="2"/>
    <n v="1"/>
  </r>
  <r>
    <x v="3"/>
    <n v="3"/>
  </r>
  <r>
    <x v="4"/>
    <n v="5"/>
  </r>
  <r>
    <x v="5"/>
    <n v="2"/>
  </r>
  <r>
    <x v="6"/>
    <n v="0"/>
  </r>
  <r>
    <x v="7"/>
    <n v="1"/>
  </r>
  <r>
    <x v="8"/>
    <n v="0"/>
  </r>
  <r>
    <x v="9"/>
    <n v="0"/>
  </r>
  <r>
    <x v="10"/>
    <n v="1"/>
  </r>
  <r>
    <x v="11"/>
    <n v="1"/>
  </r>
  <r>
    <x v="0"/>
    <n v="3"/>
  </r>
  <r>
    <x v="1"/>
    <n v="4"/>
  </r>
  <r>
    <x v="2"/>
    <n v="0"/>
  </r>
  <r>
    <x v="3"/>
    <n v="0"/>
  </r>
  <r>
    <x v="4"/>
    <n v="4"/>
  </r>
  <r>
    <x v="5"/>
    <n v="0"/>
  </r>
  <r>
    <x v="6"/>
    <n v="1"/>
  </r>
  <r>
    <x v="7"/>
    <n v="1"/>
  </r>
  <r>
    <x v="8"/>
    <n v="0"/>
  </r>
  <r>
    <x v="9"/>
    <n v="0"/>
  </r>
  <r>
    <x v="10"/>
    <n v="1"/>
  </r>
  <r>
    <x v="11"/>
    <n v="3"/>
  </r>
  <r>
    <x v="0"/>
    <n v="4"/>
  </r>
  <r>
    <x v="1"/>
    <n v="4"/>
  </r>
  <r>
    <x v="2"/>
    <n v="2"/>
  </r>
  <r>
    <x v="3"/>
    <n v="2"/>
  </r>
  <r>
    <x v="4"/>
    <n v="2"/>
  </r>
  <r>
    <x v="5"/>
    <n v="0"/>
  </r>
  <r>
    <x v="6"/>
    <n v="0"/>
  </r>
  <r>
    <x v="7"/>
    <n v="0"/>
  </r>
  <r>
    <x v="8"/>
    <n v="0"/>
  </r>
  <r>
    <x v="9"/>
    <n v="2"/>
  </r>
  <r>
    <x v="10"/>
    <n v="0"/>
  </r>
  <r>
    <x v="11"/>
    <n v="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2506">
  <r>
    <n v="1"/>
    <d v="2000-01-01T00:00:00"/>
    <x v="0"/>
    <x v="0"/>
    <n v="640"/>
    <n v="2"/>
    <d v="1998-04-01T00:00:00"/>
    <n v="200000"/>
    <m/>
    <m/>
    <m/>
    <m/>
    <m/>
    <m/>
    <m/>
    <m/>
    <m/>
    <s v="No data on # of fish"/>
    <m/>
    <m/>
    <m/>
    <m/>
  </r>
  <r>
    <n v="1"/>
    <d v="2000-02-01T00:00:00"/>
    <x v="1"/>
    <x v="0"/>
    <n v="671"/>
    <n v="2"/>
    <d v="1998-04-01T00:00:00"/>
    <n v="100000"/>
    <m/>
    <m/>
    <m/>
    <m/>
    <m/>
    <m/>
    <m/>
    <m/>
    <m/>
    <m/>
    <m/>
    <m/>
    <m/>
    <m/>
  </r>
  <r>
    <n v="1"/>
    <d v="2000-03-01T00:00:00"/>
    <x v="2"/>
    <x v="0"/>
    <n v="700"/>
    <n v="2"/>
    <d v="1998-04-01T00:00:00"/>
    <n v="50000"/>
    <m/>
    <m/>
    <m/>
    <m/>
    <m/>
    <m/>
    <m/>
    <m/>
    <m/>
    <s v="Harvest sized fish"/>
    <m/>
    <m/>
    <m/>
    <m/>
  </r>
  <r>
    <n v="1"/>
    <d v="2000-04-01T00:00:00"/>
    <x v="3"/>
    <x v="0"/>
    <m/>
    <m/>
    <m/>
    <m/>
    <m/>
    <m/>
    <m/>
    <m/>
    <m/>
    <m/>
    <m/>
    <m/>
    <m/>
    <s v="Empty (no fish)"/>
    <m/>
    <m/>
    <m/>
    <m/>
  </r>
  <r>
    <n v="1"/>
    <d v="2000-05-01T00:00:00"/>
    <x v="4"/>
    <x v="0"/>
    <m/>
    <m/>
    <m/>
    <m/>
    <m/>
    <m/>
    <m/>
    <m/>
    <m/>
    <m/>
    <m/>
    <m/>
    <m/>
    <m/>
    <m/>
    <m/>
    <m/>
    <m/>
  </r>
  <r>
    <n v="1"/>
    <d v="2000-06-01T00:00:00"/>
    <x v="5"/>
    <x v="0"/>
    <m/>
    <m/>
    <m/>
    <m/>
    <m/>
    <m/>
    <m/>
    <m/>
    <m/>
    <m/>
    <m/>
    <m/>
    <m/>
    <m/>
    <m/>
    <m/>
    <m/>
    <m/>
  </r>
  <r>
    <n v="1"/>
    <d v="2000-07-01T00:00:00"/>
    <x v="6"/>
    <x v="0"/>
    <m/>
    <m/>
    <m/>
    <m/>
    <m/>
    <m/>
    <m/>
    <m/>
    <m/>
    <m/>
    <m/>
    <m/>
    <m/>
    <m/>
    <m/>
    <m/>
    <m/>
    <m/>
  </r>
  <r>
    <n v="1"/>
    <d v="2000-08-01T00:00:00"/>
    <x v="7"/>
    <x v="0"/>
    <m/>
    <m/>
    <m/>
    <m/>
    <m/>
    <m/>
    <m/>
    <m/>
    <m/>
    <m/>
    <m/>
    <m/>
    <m/>
    <m/>
    <m/>
    <m/>
    <m/>
    <m/>
  </r>
  <r>
    <n v="1"/>
    <d v="2000-09-01T00:00:00"/>
    <x v="8"/>
    <x v="0"/>
    <m/>
    <m/>
    <m/>
    <m/>
    <m/>
    <m/>
    <m/>
    <m/>
    <m/>
    <m/>
    <m/>
    <m/>
    <m/>
    <m/>
    <m/>
    <m/>
    <m/>
    <m/>
  </r>
  <r>
    <n v="1"/>
    <d v="2000-10-01T00:00:00"/>
    <x v="9"/>
    <x v="0"/>
    <n v="0"/>
    <n v="1"/>
    <d v="2000-10-01T00:00:00"/>
    <n v="126496"/>
    <m/>
    <m/>
    <m/>
    <m/>
    <m/>
    <m/>
    <m/>
    <m/>
    <m/>
    <m/>
    <m/>
    <m/>
    <m/>
    <m/>
  </r>
  <r>
    <n v="1"/>
    <d v="2000-11-01T00:00:00"/>
    <x v="10"/>
    <x v="0"/>
    <n v="31"/>
    <n v="1"/>
    <d v="2000-10-01T00:00:00"/>
    <n v="285626"/>
    <m/>
    <m/>
    <m/>
    <m/>
    <m/>
    <m/>
    <m/>
    <m/>
    <m/>
    <m/>
    <m/>
    <m/>
    <m/>
    <m/>
  </r>
  <r>
    <n v="1"/>
    <d v="2000-12-01T00:00:00"/>
    <x v="11"/>
    <x v="0"/>
    <n v="61"/>
    <n v="1"/>
    <d v="2000-10-01T00:00:00"/>
    <n v="279610"/>
    <m/>
    <m/>
    <m/>
    <m/>
    <m/>
    <m/>
    <m/>
    <m/>
    <m/>
    <m/>
    <m/>
    <m/>
    <m/>
    <m/>
  </r>
  <r>
    <n v="1"/>
    <d v="2001-01-01T00:00:00"/>
    <x v="0"/>
    <x v="1"/>
    <n v="92"/>
    <n v="1"/>
    <d v="2000-10-01T00:00:00"/>
    <n v="907334"/>
    <m/>
    <m/>
    <m/>
    <m/>
    <m/>
    <m/>
    <m/>
    <m/>
    <m/>
    <m/>
    <m/>
    <m/>
    <m/>
    <m/>
  </r>
  <r>
    <n v="1"/>
    <d v="2001-02-01T00:00:00"/>
    <x v="1"/>
    <x v="1"/>
    <n v="123"/>
    <n v="1"/>
    <d v="2000-10-01T00:00:00"/>
    <n v="1085128"/>
    <m/>
    <m/>
    <m/>
    <m/>
    <m/>
    <m/>
    <m/>
    <m/>
    <m/>
    <m/>
    <m/>
    <m/>
    <m/>
    <m/>
  </r>
  <r>
    <n v="1"/>
    <d v="2001-03-01T00:00:00"/>
    <x v="2"/>
    <x v="1"/>
    <n v="151"/>
    <n v="1"/>
    <d v="2000-10-01T00:00:00"/>
    <n v="1079261"/>
    <m/>
    <m/>
    <m/>
    <m/>
    <m/>
    <m/>
    <m/>
    <m/>
    <m/>
    <m/>
    <m/>
    <m/>
    <m/>
    <m/>
  </r>
  <r>
    <n v="1"/>
    <d v="2001-04-01T00:00:00"/>
    <x v="3"/>
    <x v="1"/>
    <n v="182"/>
    <n v="1"/>
    <d v="2000-10-01T00:00:00"/>
    <n v="1111684"/>
    <n v="3.7166666666666663"/>
    <n v="2.9633333333333334"/>
    <n v="0.8833333333333333"/>
    <m/>
    <m/>
    <n v="2"/>
    <m/>
    <m/>
    <m/>
    <m/>
    <n v="3294290.2533333334"/>
    <n v="981987.53333333333"/>
    <n v="2223368"/>
    <n v="889347.20000000007"/>
  </r>
  <r>
    <n v="1"/>
    <d v="2001-05-01T00:00:00"/>
    <x v="4"/>
    <x v="1"/>
    <n v="212"/>
    <n v="1"/>
    <d v="2000-10-01T00:00:00"/>
    <n v="1106770"/>
    <n v="0.82857142857142851"/>
    <n v="4.4528571428571428"/>
    <n v="1.65"/>
    <m/>
    <m/>
    <n v="0"/>
    <n v="1"/>
    <m/>
    <m/>
    <m/>
    <n v="4928288.7"/>
    <n v="1826170.5"/>
    <n v="0"/>
    <n v="0"/>
  </r>
  <r>
    <n v="1"/>
    <d v="2001-06-01T00:00:00"/>
    <x v="5"/>
    <x v="1"/>
    <n v="243"/>
    <n v="1"/>
    <d v="2000-10-01T00:00:00"/>
    <n v="1101246"/>
    <m/>
    <m/>
    <m/>
    <m/>
    <m/>
    <m/>
    <m/>
    <m/>
    <m/>
    <m/>
    <m/>
    <m/>
    <m/>
    <m/>
  </r>
  <r>
    <n v="1"/>
    <d v="2001-07-01T00:00:00"/>
    <x v="6"/>
    <x v="1"/>
    <n v="273"/>
    <n v="1"/>
    <d v="2000-10-01T00:00:00"/>
    <n v="1092686"/>
    <m/>
    <m/>
    <m/>
    <m/>
    <m/>
    <m/>
    <m/>
    <m/>
    <m/>
    <m/>
    <m/>
    <m/>
    <m/>
    <m/>
  </r>
  <r>
    <n v="1"/>
    <d v="2001-08-01T00:00:00"/>
    <x v="7"/>
    <x v="1"/>
    <n v="304"/>
    <n v="1"/>
    <d v="2000-10-01T00:00:00"/>
    <n v="1084737"/>
    <m/>
    <m/>
    <m/>
    <m/>
    <m/>
    <m/>
    <m/>
    <m/>
    <m/>
    <m/>
    <m/>
    <m/>
    <m/>
    <m/>
  </r>
  <r>
    <n v="1"/>
    <d v="2001-09-01T00:00:00"/>
    <x v="8"/>
    <x v="1"/>
    <n v="335"/>
    <n v="1"/>
    <d v="2000-10-01T00:00:00"/>
    <n v="1083209"/>
    <n v="1"/>
    <n v="1"/>
    <n v="0"/>
    <m/>
    <m/>
    <n v="0"/>
    <m/>
    <m/>
    <m/>
    <m/>
    <n v="1083209"/>
    <n v="0"/>
    <n v="0"/>
    <n v="0"/>
  </r>
  <r>
    <n v="1"/>
    <d v="2001-10-01T00:00:00"/>
    <x v="9"/>
    <x v="1"/>
    <n v="365"/>
    <n v="2"/>
    <d v="2000-10-01T00:00:00"/>
    <n v="1081913"/>
    <n v="0.5"/>
    <n v="3.6"/>
    <n v="1.2"/>
    <n v="0"/>
    <m/>
    <n v="1.1000000000000001"/>
    <m/>
    <m/>
    <m/>
    <m/>
    <n v="3894886.8000000003"/>
    <n v="1298295.5999999999"/>
    <n v="1190104.3"/>
    <n v="476041.72000000003"/>
  </r>
  <r>
    <n v="1"/>
    <d v="2001-11-01T00:00:00"/>
    <x v="10"/>
    <x v="1"/>
    <n v="396"/>
    <n v="2"/>
    <d v="2000-10-01T00:00:00"/>
    <n v="1080830"/>
    <n v="0.5"/>
    <n v="6.9"/>
    <n v="4"/>
    <n v="1"/>
    <m/>
    <n v="0.6"/>
    <m/>
    <m/>
    <m/>
    <m/>
    <n v="7457727"/>
    <n v="4323320"/>
    <n v="648498"/>
    <n v="259399.2"/>
  </r>
  <r>
    <n v="1"/>
    <d v="2001-12-01T00:00:00"/>
    <x v="11"/>
    <x v="1"/>
    <n v="426"/>
    <n v="2"/>
    <d v="2000-10-01T00:00:00"/>
    <n v="1080176"/>
    <n v="1.55"/>
    <n v="6.61"/>
    <n v="3.45"/>
    <m/>
    <m/>
    <n v="0"/>
    <m/>
    <m/>
    <m/>
    <m/>
    <n v="7139963.3600000003"/>
    <n v="3726607.2"/>
    <n v="0"/>
    <n v="0"/>
  </r>
  <r>
    <n v="1"/>
    <d v="2002-01-01T00:00:00"/>
    <x v="0"/>
    <x v="2"/>
    <n v="457"/>
    <n v="2"/>
    <d v="2000-10-01T00:00:00"/>
    <n v="1079348"/>
    <m/>
    <m/>
    <n v="4"/>
    <m/>
    <n v="1"/>
    <n v="0"/>
    <m/>
    <m/>
    <m/>
    <m/>
    <n v="0"/>
    <n v="4317392"/>
    <n v="0"/>
    <n v="0"/>
  </r>
  <r>
    <n v="1"/>
    <d v="2002-02-01T00:00:00"/>
    <x v="1"/>
    <x v="2"/>
    <n v="488"/>
    <n v="2"/>
    <d v="2000-10-01T00:00:00"/>
    <n v="1078273"/>
    <n v="0.59"/>
    <n v="6.2839999999999998"/>
    <n v="2.5659999999999998"/>
    <m/>
    <m/>
    <n v="0"/>
    <n v="0.5"/>
    <m/>
    <m/>
    <s v="Partial farm tx"/>
    <n v="6775867.5319999997"/>
    <n v="2766848.5179999997"/>
    <n v="0"/>
    <n v="0"/>
  </r>
  <r>
    <n v="1"/>
    <d v="2002-03-01T00:00:00"/>
    <x v="2"/>
    <x v="2"/>
    <n v="516"/>
    <n v="2"/>
    <d v="2000-10-01T00:00:00"/>
    <n v="1077375"/>
    <n v="1.2"/>
    <n v="8.7566666666666677"/>
    <n v="3.4"/>
    <m/>
    <m/>
    <n v="0"/>
    <n v="0.5"/>
    <m/>
    <m/>
    <s v="Partial farm tx"/>
    <n v="9434213.7500000019"/>
    <n v="3663075"/>
    <n v="0"/>
    <n v="0"/>
  </r>
  <r>
    <n v="1"/>
    <d v="2002-04-01T00:00:00"/>
    <x v="3"/>
    <x v="2"/>
    <n v="547"/>
    <n v="2"/>
    <d v="2000-10-01T00:00:00"/>
    <n v="1075954"/>
    <m/>
    <m/>
    <m/>
    <m/>
    <m/>
    <m/>
    <m/>
    <m/>
    <m/>
    <m/>
    <m/>
    <m/>
    <m/>
    <m/>
  </r>
  <r>
    <n v="1"/>
    <d v="2002-05-01T00:00:00"/>
    <x v="4"/>
    <x v="2"/>
    <n v="577"/>
    <n v="2"/>
    <d v="2000-10-01T00:00:00"/>
    <n v="1073211"/>
    <m/>
    <m/>
    <m/>
    <m/>
    <m/>
    <m/>
    <m/>
    <m/>
    <m/>
    <m/>
    <m/>
    <m/>
    <m/>
    <m/>
  </r>
  <r>
    <n v="1"/>
    <d v="2002-06-01T00:00:00"/>
    <x v="5"/>
    <x v="2"/>
    <n v="608"/>
    <n v="2"/>
    <d v="2000-10-01T00:00:00"/>
    <n v="602421"/>
    <n v="0.3"/>
    <n v="0.25"/>
    <n v="0"/>
    <m/>
    <m/>
    <n v="0"/>
    <m/>
    <m/>
    <m/>
    <s v="moved 470,000 to farm #2"/>
    <n v="150605.25"/>
    <n v="0"/>
    <n v="0"/>
    <n v="0"/>
  </r>
  <r>
    <n v="1"/>
    <d v="2002-07-01T00:00:00"/>
    <x v="6"/>
    <x v="2"/>
    <n v="638"/>
    <n v="2"/>
    <d v="2000-10-01T00:00:00"/>
    <n v="597562"/>
    <m/>
    <m/>
    <m/>
    <m/>
    <m/>
    <m/>
    <m/>
    <m/>
    <m/>
    <s v="harvest started"/>
    <m/>
    <m/>
    <m/>
    <m/>
  </r>
  <r>
    <n v="1"/>
    <d v="2002-08-01T00:00:00"/>
    <x v="7"/>
    <x v="2"/>
    <n v="669"/>
    <n v="2"/>
    <d v="2000-10-01T00:00:00"/>
    <n v="571729"/>
    <m/>
    <m/>
    <m/>
    <m/>
    <m/>
    <m/>
    <m/>
    <m/>
    <m/>
    <m/>
    <m/>
    <m/>
    <m/>
    <m/>
  </r>
  <r>
    <n v="1"/>
    <d v="2002-09-01T00:00:00"/>
    <x v="8"/>
    <x v="2"/>
    <n v="700"/>
    <n v="2"/>
    <d v="2000-10-01T00:00:00"/>
    <n v="488926"/>
    <m/>
    <m/>
    <m/>
    <m/>
    <m/>
    <m/>
    <m/>
    <m/>
    <m/>
    <m/>
    <m/>
    <m/>
    <m/>
    <m/>
  </r>
  <r>
    <n v="1"/>
    <d v="2002-10-01T00:00:00"/>
    <x v="9"/>
    <x v="2"/>
    <n v="730"/>
    <n v="3"/>
    <d v="2000-10-01T00:00:00"/>
    <n v="403562"/>
    <m/>
    <m/>
    <m/>
    <m/>
    <m/>
    <m/>
    <m/>
    <m/>
    <m/>
    <m/>
    <m/>
    <m/>
    <m/>
    <m/>
  </r>
  <r>
    <n v="1"/>
    <d v="2002-11-01T00:00:00"/>
    <x v="10"/>
    <x v="2"/>
    <n v="761"/>
    <n v="3"/>
    <d v="2000-10-01T00:00:00"/>
    <n v="196819"/>
    <m/>
    <m/>
    <m/>
    <m/>
    <m/>
    <m/>
    <m/>
    <m/>
    <m/>
    <m/>
    <m/>
    <m/>
    <m/>
    <m/>
  </r>
  <r>
    <n v="1"/>
    <d v="2002-12-01T00:00:00"/>
    <x v="11"/>
    <x v="2"/>
    <n v="791"/>
    <n v="3"/>
    <d v="2000-10-01T00:00:00"/>
    <n v="24975"/>
    <m/>
    <m/>
    <m/>
    <m/>
    <m/>
    <m/>
    <m/>
    <m/>
    <m/>
    <m/>
    <m/>
    <m/>
    <m/>
    <m/>
  </r>
  <r>
    <n v="1"/>
    <d v="2003-01-01T00:00:00"/>
    <x v="0"/>
    <x v="3"/>
    <m/>
    <m/>
    <m/>
    <m/>
    <m/>
    <m/>
    <m/>
    <m/>
    <m/>
    <m/>
    <m/>
    <m/>
    <m/>
    <s v="smolt entry"/>
    <m/>
    <m/>
    <m/>
    <m/>
  </r>
  <r>
    <n v="1"/>
    <d v="2003-02-01T00:00:00"/>
    <x v="1"/>
    <x v="3"/>
    <n v="0"/>
    <n v="1"/>
    <d v="2003-02-01T00:00:00"/>
    <n v="9785"/>
    <m/>
    <m/>
    <n v="0"/>
    <m/>
    <s v="s"/>
    <n v="0"/>
    <m/>
    <m/>
    <m/>
    <m/>
    <m/>
    <n v="0"/>
    <n v="0"/>
    <n v="0"/>
  </r>
  <r>
    <n v="1"/>
    <d v="2003-03-01T00:00:00"/>
    <x v="2"/>
    <x v="3"/>
    <n v="28"/>
    <n v="1"/>
    <d v="2003-02-01T00:00:00"/>
    <n v="735000"/>
    <m/>
    <m/>
    <n v="0"/>
    <m/>
    <s v="s"/>
    <n v="0"/>
    <m/>
    <n v="7.52"/>
    <n v="32.61"/>
    <s v="smolt entry"/>
    <m/>
    <n v="0"/>
    <n v="0"/>
    <n v="0"/>
  </r>
  <r>
    <n v="1"/>
    <d v="2003-04-01T00:00:00"/>
    <x v="3"/>
    <x v="3"/>
    <n v="59"/>
    <n v="1"/>
    <d v="2003-02-01T00:00:00"/>
    <n v="723711"/>
    <n v="1.55"/>
    <n v="2.31"/>
    <n v="0"/>
    <m/>
    <m/>
    <n v="0.33"/>
    <m/>
    <n v="8.06"/>
    <n v="31.8"/>
    <m/>
    <n v="1671772.4100000001"/>
    <n v="0"/>
    <n v="238824.63"/>
    <n v="95529.852000000014"/>
  </r>
  <r>
    <n v="1"/>
    <d v="2003-05-01T00:00:00"/>
    <x v="4"/>
    <x v="3"/>
    <n v="89"/>
    <n v="1"/>
    <d v="2003-02-01T00:00:00"/>
    <n v="970982"/>
    <n v="1.79"/>
    <n v="2.41"/>
    <n v="0.14000000000000001"/>
    <n v="0"/>
    <m/>
    <n v="0.22"/>
    <m/>
    <n v="9.1300000000000008"/>
    <n v="27.77"/>
    <m/>
    <n v="2340066.62"/>
    <n v="135937.48000000001"/>
    <n v="213616.04"/>
    <n v="85446.416000000012"/>
  </r>
  <r>
    <n v="1"/>
    <d v="2003-06-01T00:00:00"/>
    <x v="5"/>
    <x v="3"/>
    <n v="120"/>
    <n v="1"/>
    <d v="2003-02-01T00:00:00"/>
    <n v="1060101"/>
    <n v="4.37"/>
    <n v="0.74"/>
    <n v="0.12"/>
    <n v="0"/>
    <m/>
    <n v="1.1299999999999999"/>
    <m/>
    <n v="10.53"/>
    <n v="26.13"/>
    <m/>
    <n v="784474.74"/>
    <n v="127212.12"/>
    <n v="1197914.1299999999"/>
    <n v="479165.652"/>
  </r>
  <r>
    <n v="1"/>
    <d v="2003-07-01T00:00:00"/>
    <x v="6"/>
    <x v="3"/>
    <n v="150"/>
    <n v="1"/>
    <d v="2003-02-01T00:00:00"/>
    <n v="1025047"/>
    <n v="2.1"/>
    <n v="1.43"/>
    <n v="0.47"/>
    <n v="1"/>
    <m/>
    <n v="2.33"/>
    <m/>
    <n v="11.1"/>
    <n v="25.24"/>
    <m/>
    <n v="1465817.21"/>
    <n v="481772.08999999997"/>
    <n v="2388359.5100000002"/>
    <n v="955343.80400000012"/>
  </r>
  <r>
    <n v="1"/>
    <d v="2003-08-01T00:00:00"/>
    <x v="7"/>
    <x v="3"/>
    <n v="181"/>
    <n v="1"/>
    <d v="2003-02-01T00:00:00"/>
    <n v="1016703"/>
    <n v="0.67"/>
    <n v="1"/>
    <n v="0.18"/>
    <n v="1"/>
    <m/>
    <n v="1.1299999999999999"/>
    <m/>
    <n v="11.26"/>
    <n v="27.27"/>
    <m/>
    <n v="1016703"/>
    <n v="183006.53999999998"/>
    <n v="1148874.3899999999"/>
    <n v="459549.75599999999"/>
  </r>
  <r>
    <n v="1"/>
    <d v="2003-09-01T00:00:00"/>
    <x v="8"/>
    <x v="3"/>
    <n v="212"/>
    <n v="1"/>
    <d v="2003-02-01T00:00:00"/>
    <n v="1014202"/>
    <n v="4.17"/>
    <n v="2.57"/>
    <n v="0.78"/>
    <n v="1"/>
    <m/>
    <n v="0.6"/>
    <m/>
    <n v="11.12"/>
    <n v="27.57"/>
    <m/>
    <n v="2606499.1399999997"/>
    <n v="791077.56"/>
    <n v="608521.19999999995"/>
    <n v="243408.47999999998"/>
  </r>
  <r>
    <n v="1"/>
    <d v="2003-10-01T00:00:00"/>
    <x v="9"/>
    <x v="3"/>
    <n v="242"/>
    <n v="1"/>
    <d v="2003-02-01T00:00:00"/>
    <n v="1012627"/>
    <n v="3.12"/>
    <n v="1.6"/>
    <n v="0.6"/>
    <n v="0"/>
    <m/>
    <n v="0.82"/>
    <m/>
    <n v="10.8"/>
    <m/>
    <m/>
    <n v="1620203.2000000002"/>
    <n v="607576.19999999995"/>
    <n v="830354.1399999999"/>
    <n v="332141.65599999996"/>
  </r>
  <r>
    <n v="1"/>
    <d v="2003-11-01T00:00:00"/>
    <x v="10"/>
    <x v="3"/>
    <n v="273"/>
    <n v="1"/>
    <d v="2003-02-01T00:00:00"/>
    <n v="1010825"/>
    <n v="0.12"/>
    <n v="0.88"/>
    <n v="0.59"/>
    <n v="0"/>
    <m/>
    <n v="0.24"/>
    <m/>
    <m/>
    <n v="30"/>
    <m/>
    <n v="889526"/>
    <n v="596386.75"/>
    <n v="242598"/>
    <n v="97039.200000000012"/>
  </r>
  <r>
    <n v="1"/>
    <d v="2003-12-01T00:00:00"/>
    <x v="11"/>
    <x v="3"/>
    <n v="303"/>
    <n v="1"/>
    <d v="2003-02-01T00:00:00"/>
    <n v="1009714"/>
    <n v="0.49"/>
    <n v="1.84"/>
    <n v="1.53"/>
    <m/>
    <m/>
    <n v="1.29"/>
    <m/>
    <n v="7.3"/>
    <n v="29"/>
    <m/>
    <n v="1857873.76"/>
    <n v="1544862.42"/>
    <n v="1302531.06"/>
    <n v="521012.42400000006"/>
  </r>
  <r>
    <n v="1"/>
    <d v="2004-01-01T00:00:00"/>
    <x v="0"/>
    <x v="4"/>
    <n v="334"/>
    <n v="1"/>
    <d v="2003-02-01T00:00:00"/>
    <n v="664857"/>
    <m/>
    <m/>
    <n v="1.55"/>
    <m/>
    <n v="2"/>
    <n v="1.1499999999999999"/>
    <m/>
    <m/>
    <m/>
    <s v="some moved to farm #2"/>
    <m/>
    <n v="1030528.35"/>
    <n v="764585.54999999993"/>
    <n v="305834.21999999997"/>
  </r>
  <r>
    <n v="1"/>
    <d v="2004-02-01T00:00:00"/>
    <x v="1"/>
    <x v="4"/>
    <n v="365"/>
    <n v="2"/>
    <d v="2003-02-01T00:00:00"/>
    <n v="664500"/>
    <m/>
    <m/>
    <n v="1.58"/>
    <m/>
    <n v="2"/>
    <n v="1"/>
    <m/>
    <m/>
    <m/>
    <m/>
    <m/>
    <n v="1049910"/>
    <n v="664500"/>
    <n v="265800"/>
  </r>
  <r>
    <n v="1"/>
    <d v="2004-03-01T00:00:00"/>
    <x v="2"/>
    <x v="4"/>
    <n v="394"/>
    <n v="2"/>
    <d v="2003-02-01T00:00:00"/>
    <n v="666175"/>
    <n v="0.5"/>
    <n v="3.7"/>
    <n v="1.6"/>
    <m/>
    <m/>
    <n v="0.8"/>
    <m/>
    <n v="8.08"/>
    <n v="29.43"/>
    <m/>
    <n v="2464847.5"/>
    <n v="1065880"/>
    <n v="532940"/>
    <n v="213176"/>
  </r>
  <r>
    <n v="1"/>
    <d v="2004-04-01T00:00:00"/>
    <x v="3"/>
    <x v="4"/>
    <n v="425"/>
    <n v="2"/>
    <d v="2003-02-01T00:00:00"/>
    <n v="665669"/>
    <n v="2.0099999999999998"/>
    <n v="6.39"/>
    <n v="0.92"/>
    <n v="1"/>
    <m/>
    <n v="0.34"/>
    <m/>
    <n v="9"/>
    <n v="30.7"/>
    <m/>
    <n v="4253624.91"/>
    <n v="612415.48"/>
    <n v="226327.46000000002"/>
    <n v="90530.984000000011"/>
  </r>
  <r>
    <n v="1"/>
    <d v="2004-05-01T00:00:00"/>
    <x v="4"/>
    <x v="4"/>
    <n v="455"/>
    <n v="2"/>
    <d v="2003-02-01T00:00:00"/>
    <n v="483726"/>
    <n v="1.55"/>
    <n v="15.6"/>
    <n v="7.8"/>
    <n v="2"/>
    <m/>
    <n v="0.25"/>
    <n v="1"/>
    <n v="9.98"/>
    <n v="30.32"/>
    <m/>
    <n v="7546125.5999999996"/>
    <n v="3773062.8"/>
    <n v="120931.5"/>
    <n v="48372.600000000006"/>
  </r>
  <r>
    <n v="1"/>
    <d v="2004-06-01T00:00:00"/>
    <x v="5"/>
    <x v="4"/>
    <n v="486"/>
    <n v="2"/>
    <d v="2003-02-01T00:00:00"/>
    <n v="398036"/>
    <n v="0"/>
    <n v="0.4"/>
    <n v="0.3"/>
    <n v="0"/>
    <m/>
    <n v="0"/>
    <m/>
    <n v="10.28"/>
    <n v="28.26"/>
    <m/>
    <n v="159214.40000000002"/>
    <n v="119410.79999999999"/>
    <n v="0"/>
    <n v="0"/>
  </r>
  <r>
    <n v="1"/>
    <d v="2004-07-01T00:00:00"/>
    <x v="6"/>
    <x v="4"/>
    <n v="516"/>
    <n v="2"/>
    <d v="2003-02-01T00:00:00"/>
    <n v="357340"/>
    <n v="0.1"/>
    <n v="0.4"/>
    <n v="0.1"/>
    <n v="2"/>
    <m/>
    <n v="0"/>
    <m/>
    <n v="12.01"/>
    <n v="26.03"/>
    <s v="harvesting"/>
    <n v="142936"/>
    <n v="35734"/>
    <n v="0"/>
    <n v="0"/>
  </r>
  <r>
    <n v="1"/>
    <d v="2004-08-01T00:00:00"/>
    <x v="7"/>
    <x v="4"/>
    <n v="547"/>
    <n v="2"/>
    <d v="2003-02-01T00:00:00"/>
    <n v="300000"/>
    <n v="0.08"/>
    <n v="2.17"/>
    <n v="0.9"/>
    <n v="1"/>
    <m/>
    <n v="0.1"/>
    <m/>
    <n v="12.27"/>
    <n v="26.26"/>
    <s v="harvesting"/>
    <n v="651000"/>
    <n v="270000"/>
    <n v="30000"/>
    <n v="12000"/>
  </r>
  <r>
    <n v="1"/>
    <d v="2004-09-01T00:00:00"/>
    <x v="8"/>
    <x v="4"/>
    <n v="578"/>
    <n v="2"/>
    <d v="2003-02-01T00:00:00"/>
    <n v="250000"/>
    <n v="0.2"/>
    <n v="2.9"/>
    <n v="0.8"/>
    <n v="1"/>
    <m/>
    <n v="0"/>
    <m/>
    <n v="11.1"/>
    <n v="30"/>
    <s v="harvesting"/>
    <n v="725000"/>
    <n v="200000"/>
    <n v="0"/>
    <n v="0"/>
  </r>
  <r>
    <n v="1"/>
    <d v="2004-10-01T00:00:00"/>
    <x v="9"/>
    <x v="4"/>
    <n v="608"/>
    <n v="2"/>
    <d v="2003-02-01T00:00:00"/>
    <n v="200000"/>
    <n v="0.06"/>
    <n v="5.3"/>
    <n v="3.79"/>
    <n v="0"/>
    <m/>
    <n v="0.7"/>
    <m/>
    <n v="10.199999999999999"/>
    <n v="27"/>
    <s v="harvesting"/>
    <n v="1060000"/>
    <n v="758000"/>
    <n v="140000"/>
    <n v="56000"/>
  </r>
  <r>
    <n v="1"/>
    <d v="2004-11-01T00:00:00"/>
    <x v="10"/>
    <x v="4"/>
    <n v="639"/>
    <n v="2"/>
    <d v="2003-02-01T00:00:00"/>
    <n v="150000"/>
    <n v="0.94"/>
    <n v="14.93"/>
    <n v="10.32"/>
    <m/>
    <m/>
    <n v="0.11"/>
    <n v="1"/>
    <n v="9.01"/>
    <n v="25.26"/>
    <s v="harvesting"/>
    <n v="2239500"/>
    <n v="1548000"/>
    <n v="16500"/>
    <n v="6600"/>
  </r>
  <r>
    <n v="1"/>
    <d v="2004-12-01T00:00:00"/>
    <x v="11"/>
    <x v="4"/>
    <n v="669"/>
    <n v="2"/>
    <d v="2003-02-01T00:00:00"/>
    <n v="100000"/>
    <m/>
    <m/>
    <n v="5"/>
    <m/>
    <s v="h"/>
    <n v="0.1"/>
    <m/>
    <m/>
    <m/>
    <s v="harvesting"/>
    <m/>
    <n v="500000"/>
    <n v="10000"/>
    <n v="4000"/>
  </r>
  <r>
    <n v="1"/>
    <d v="2005-01-01T00:00:00"/>
    <x v="0"/>
    <x v="5"/>
    <n v="700"/>
    <n v="2"/>
    <d v="2003-02-01T00:00:00"/>
    <n v="50000"/>
    <m/>
    <m/>
    <n v="0.5"/>
    <m/>
    <s v="h"/>
    <n v="0"/>
    <m/>
    <m/>
    <m/>
    <s v="Harvest, &lt; 3 pens  (normally - &gt;20000 per pen)"/>
    <m/>
    <n v="25000"/>
    <n v="0"/>
    <n v="0"/>
  </r>
  <r>
    <n v="1"/>
    <d v="2005-02-01T00:00:00"/>
    <x v="1"/>
    <x v="5"/>
    <m/>
    <m/>
    <m/>
    <m/>
    <m/>
    <m/>
    <m/>
    <m/>
    <m/>
    <m/>
    <m/>
    <m/>
    <m/>
    <m/>
    <m/>
    <m/>
    <m/>
    <m/>
  </r>
  <r>
    <n v="1"/>
    <d v="2005-03-01T00:00:00"/>
    <x v="2"/>
    <x v="5"/>
    <m/>
    <m/>
    <m/>
    <m/>
    <m/>
    <m/>
    <m/>
    <m/>
    <m/>
    <m/>
    <m/>
    <m/>
    <m/>
    <m/>
    <m/>
    <m/>
    <m/>
    <m/>
  </r>
  <r>
    <n v="1"/>
    <d v="2005-04-01T00:00:00"/>
    <x v="3"/>
    <x v="5"/>
    <n v="31"/>
    <n v="1"/>
    <d v="2005-03-01T00:00:00"/>
    <n v="774581"/>
    <n v="2.27"/>
    <n v="3"/>
    <n v="0.73"/>
    <m/>
    <m/>
    <n v="0.02"/>
    <m/>
    <n v="9"/>
    <n v="29"/>
    <s v="smolts"/>
    <n v="2323743"/>
    <n v="565444.13"/>
    <n v="15491.62"/>
    <n v="6196.648000000001"/>
  </r>
  <r>
    <n v="1"/>
    <d v="2005-05-01T00:00:00"/>
    <x v="4"/>
    <x v="5"/>
    <n v="61"/>
    <n v="1"/>
    <d v="2005-03-01T00:00:00"/>
    <n v="772971"/>
    <n v="2.1800000000000002"/>
    <n v="1.48"/>
    <n v="0.47"/>
    <n v="0"/>
    <m/>
    <n v="0.24"/>
    <n v="1"/>
    <n v="10"/>
    <n v="26"/>
    <m/>
    <n v="1143997.08"/>
    <n v="363296.37"/>
    <n v="185513.03999999998"/>
    <n v="74205.216"/>
  </r>
  <r>
    <n v="1"/>
    <d v="2005-06-01T00:00:00"/>
    <x v="5"/>
    <x v="5"/>
    <n v="92"/>
    <n v="1"/>
    <d v="2005-03-01T00:00:00"/>
    <n v="762760"/>
    <n v="0.28999999999999998"/>
    <n v="0.49"/>
    <n v="0.06"/>
    <n v="2"/>
    <m/>
    <n v="1.65"/>
    <m/>
    <n v="11"/>
    <n v="26"/>
    <m/>
    <n v="373752.39999999997"/>
    <n v="45765.599999999999"/>
    <n v="1258554"/>
    <n v="503421.60000000003"/>
  </r>
  <r>
    <n v="1"/>
    <d v="2005-07-01T00:00:00"/>
    <x v="6"/>
    <x v="5"/>
    <n v="122"/>
    <n v="1"/>
    <d v="2005-03-01T00:00:00"/>
    <n v="857130"/>
    <n v="0.25"/>
    <n v="0.78"/>
    <n v="0.1"/>
    <n v="1"/>
    <m/>
    <n v="0.4"/>
    <m/>
    <n v="11"/>
    <n v="19"/>
    <m/>
    <n v="668561.4"/>
    <n v="85713"/>
    <n v="342852"/>
    <n v="137140.80000000002"/>
  </r>
  <r>
    <n v="1"/>
    <d v="2005-08-01T00:00:00"/>
    <x v="7"/>
    <x v="5"/>
    <n v="153"/>
    <n v="1"/>
    <d v="2005-03-01T00:00:00"/>
    <n v="800000"/>
    <n v="1.05"/>
    <n v="0.38"/>
    <n v="0.05"/>
    <m/>
    <m/>
    <n v="1.02"/>
    <m/>
    <n v="12"/>
    <n v="25"/>
    <m/>
    <n v="304000"/>
    <n v="40000"/>
    <n v="816000"/>
    <n v="326400"/>
  </r>
  <r>
    <n v="1"/>
    <d v="2005-09-01T00:00:00"/>
    <x v="8"/>
    <x v="5"/>
    <n v="184"/>
    <n v="1"/>
    <d v="2005-03-01T00:00:00"/>
    <n v="750000"/>
    <m/>
    <n v="3.39"/>
    <n v="1.7749999999999999"/>
    <m/>
    <n v="1"/>
    <n v="1.625"/>
    <m/>
    <n v="11"/>
    <n v="25"/>
    <m/>
    <n v="2542500"/>
    <n v="1331250"/>
    <n v="1218750"/>
    <n v="487500"/>
  </r>
  <r>
    <n v="1"/>
    <d v="2005-10-01T00:00:00"/>
    <x v="9"/>
    <x v="5"/>
    <n v="214"/>
    <n v="1"/>
    <d v="2005-03-01T00:00:00"/>
    <n v="700000"/>
    <n v="0.47"/>
    <n v="6.4"/>
    <n v="3.5"/>
    <m/>
    <m/>
    <n v="2.23"/>
    <m/>
    <n v="10"/>
    <n v="26"/>
    <m/>
    <n v="4480000"/>
    <n v="2450000"/>
    <n v="1561000"/>
    <n v="624400"/>
  </r>
  <r>
    <n v="1"/>
    <d v="2005-11-01T00:00:00"/>
    <x v="10"/>
    <x v="5"/>
    <n v="245"/>
    <n v="1"/>
    <d v="2005-03-01T00:00:00"/>
    <n v="680000"/>
    <n v="0.15"/>
    <n v="3.25"/>
    <n v="1.97"/>
    <n v="0"/>
    <m/>
    <n v="0.55000000000000004"/>
    <m/>
    <n v="9"/>
    <n v="29"/>
    <m/>
    <n v="2210000"/>
    <n v="1339600"/>
    <n v="374000.00000000006"/>
    <n v="149600.00000000003"/>
  </r>
  <r>
    <n v="1"/>
    <d v="2005-12-01T00:00:00"/>
    <x v="11"/>
    <x v="5"/>
    <n v="275"/>
    <n v="1"/>
    <d v="2005-03-01T00:00:00"/>
    <n v="660000"/>
    <n v="0.13"/>
    <n v="2.33"/>
    <n v="1.35"/>
    <n v="0"/>
    <m/>
    <n v="0.33"/>
    <n v="1"/>
    <n v="8"/>
    <n v="29"/>
    <m/>
    <n v="1537800"/>
    <n v="891000.00000000012"/>
    <n v="217800"/>
    <n v="87120"/>
  </r>
  <r>
    <n v="1"/>
    <d v="2006-01-01T00:00:00"/>
    <x v="0"/>
    <x v="6"/>
    <n v="306"/>
    <n v="1"/>
    <d v="2005-03-01T00:00:00"/>
    <n v="640000"/>
    <n v="0.02"/>
    <n v="0.18"/>
    <n v="0.1"/>
    <n v="0"/>
    <m/>
    <n v="0"/>
    <m/>
    <n v="8"/>
    <n v="29"/>
    <m/>
    <n v="115200"/>
    <n v="64000"/>
    <n v="0"/>
    <n v="0"/>
  </r>
  <r>
    <n v="1"/>
    <d v="2006-02-01T00:00:00"/>
    <x v="1"/>
    <x v="6"/>
    <n v="337"/>
    <n v="1"/>
    <d v="2005-03-01T00:00:00"/>
    <n v="636000"/>
    <n v="0"/>
    <n v="0.02"/>
    <n v="0"/>
    <n v="0"/>
    <m/>
    <n v="0.02"/>
    <m/>
    <n v="8"/>
    <n v="30"/>
    <m/>
    <n v="12720"/>
    <n v="0"/>
    <n v="12720"/>
    <n v="5088"/>
  </r>
  <r>
    <n v="1"/>
    <d v="2006-03-01T00:00:00"/>
    <x v="2"/>
    <x v="6"/>
    <n v="365"/>
    <n v="2"/>
    <d v="2005-03-01T00:00:00"/>
    <n v="632465"/>
    <n v="0"/>
    <n v="0"/>
    <n v="0"/>
    <n v="0"/>
    <m/>
    <n v="0"/>
    <m/>
    <n v="8"/>
    <n v="31"/>
    <m/>
    <n v="0"/>
    <n v="0"/>
    <n v="0"/>
    <n v="0"/>
  </r>
  <r>
    <n v="1"/>
    <d v="2006-04-01T00:00:00"/>
    <x v="3"/>
    <x v="6"/>
    <n v="396"/>
    <n v="2"/>
    <d v="2005-03-01T00:00:00"/>
    <n v="631880"/>
    <n v="1.08"/>
    <n v="0.23"/>
    <n v="0"/>
    <n v="0"/>
    <m/>
    <n v="0.47"/>
    <m/>
    <n v="8"/>
    <n v="30"/>
    <m/>
    <n v="145332.4"/>
    <n v="0"/>
    <n v="296983.59999999998"/>
    <n v="118793.44"/>
  </r>
  <r>
    <n v="1"/>
    <d v="2006-05-01T00:00:00"/>
    <x v="4"/>
    <x v="6"/>
    <n v="426"/>
    <n v="2"/>
    <d v="2005-03-01T00:00:00"/>
    <n v="631392"/>
    <n v="0.15"/>
    <n v="3.38"/>
    <n v="1.42"/>
    <n v="2"/>
    <m/>
    <n v="0.35"/>
    <n v="1"/>
    <n v="9"/>
    <n v="30"/>
    <m/>
    <n v="2134104.96"/>
    <n v="896576.6399999999"/>
    <n v="220987.19999999998"/>
    <n v="88394.880000000005"/>
  </r>
  <r>
    <n v="1"/>
    <d v="2006-06-01T00:00:00"/>
    <x v="5"/>
    <x v="6"/>
    <n v="457"/>
    <n v="2"/>
    <d v="2005-03-01T00:00:00"/>
    <n v="630772"/>
    <n v="0.08"/>
    <n v="1.22"/>
    <n v="0.56999999999999995"/>
    <n v="0"/>
    <m/>
    <n v="0"/>
    <m/>
    <n v="11"/>
    <n v="26"/>
    <m/>
    <n v="769541.84"/>
    <n v="359540.04"/>
    <n v="0"/>
    <n v="0"/>
  </r>
  <r>
    <n v="1"/>
    <d v="2006-07-01T00:00:00"/>
    <x v="6"/>
    <x v="6"/>
    <n v="487"/>
    <n v="2"/>
    <d v="2005-03-01T00:00:00"/>
    <n v="589996"/>
    <n v="0.02"/>
    <n v="0.05"/>
    <n v="0.02"/>
    <n v="0"/>
    <m/>
    <n v="0"/>
    <m/>
    <n v="12"/>
    <n v="27"/>
    <m/>
    <n v="29499.800000000003"/>
    <n v="11799.92"/>
    <n v="0"/>
    <n v="0"/>
  </r>
  <r>
    <n v="1"/>
    <d v="2006-08-01T00:00:00"/>
    <x v="7"/>
    <x v="6"/>
    <n v="518"/>
    <n v="2"/>
    <d v="2005-03-01T00:00:00"/>
    <n v="459685"/>
    <n v="0.1"/>
    <n v="0.1166666"/>
    <n v="0.05"/>
    <m/>
    <m/>
    <n v="0.05"/>
    <m/>
    <n v="11"/>
    <n v="28"/>
    <m/>
    <n v="53629.886020999998"/>
    <n v="22984.25"/>
    <n v="22984.25"/>
    <n v="9193.7000000000007"/>
  </r>
  <r>
    <n v="1"/>
    <d v="2006-09-01T00:00:00"/>
    <x v="8"/>
    <x v="6"/>
    <n v="549"/>
    <n v="2"/>
    <d v="2005-03-01T00:00:00"/>
    <n v="201390"/>
    <m/>
    <m/>
    <n v="0.1"/>
    <m/>
    <s v="h"/>
    <n v="0.1"/>
    <m/>
    <m/>
    <m/>
    <m/>
    <m/>
    <n v="20139"/>
    <n v="20139"/>
    <n v="8055.6"/>
  </r>
  <r>
    <n v="1"/>
    <d v="2006-10-01T00:00:00"/>
    <x v="9"/>
    <x v="6"/>
    <m/>
    <m/>
    <m/>
    <m/>
    <m/>
    <m/>
    <m/>
    <m/>
    <m/>
    <m/>
    <m/>
    <m/>
    <m/>
    <m/>
    <m/>
    <m/>
    <m/>
    <m/>
  </r>
  <r>
    <n v="1"/>
    <d v="2006-11-01T00:00:00"/>
    <x v="10"/>
    <x v="6"/>
    <m/>
    <m/>
    <m/>
    <m/>
    <m/>
    <m/>
    <m/>
    <m/>
    <m/>
    <m/>
    <m/>
    <m/>
    <m/>
    <m/>
    <m/>
    <m/>
    <m/>
    <m/>
  </r>
  <r>
    <n v="1"/>
    <d v="2006-12-01T00:00:00"/>
    <x v="11"/>
    <x v="6"/>
    <m/>
    <m/>
    <m/>
    <m/>
    <m/>
    <m/>
    <m/>
    <m/>
    <m/>
    <m/>
    <m/>
    <m/>
    <m/>
    <m/>
    <m/>
    <m/>
    <m/>
    <m/>
  </r>
  <r>
    <n v="1"/>
    <d v="2007-01-01T00:00:00"/>
    <x v="0"/>
    <x v="7"/>
    <m/>
    <m/>
    <m/>
    <m/>
    <m/>
    <m/>
    <m/>
    <m/>
    <m/>
    <m/>
    <m/>
    <m/>
    <m/>
    <m/>
    <m/>
    <m/>
    <m/>
    <m/>
  </r>
  <r>
    <n v="1"/>
    <d v="2007-02-01T00:00:00"/>
    <x v="1"/>
    <x v="7"/>
    <m/>
    <m/>
    <m/>
    <m/>
    <m/>
    <m/>
    <m/>
    <m/>
    <m/>
    <m/>
    <m/>
    <m/>
    <m/>
    <m/>
    <m/>
    <m/>
    <m/>
    <m/>
  </r>
  <r>
    <n v="1"/>
    <d v="2007-03-01T00:00:00"/>
    <x v="2"/>
    <x v="7"/>
    <m/>
    <m/>
    <m/>
    <m/>
    <m/>
    <m/>
    <m/>
    <m/>
    <m/>
    <m/>
    <m/>
    <m/>
    <m/>
    <m/>
    <m/>
    <m/>
    <m/>
    <m/>
  </r>
  <r>
    <n v="1"/>
    <d v="2007-04-01T00:00:00"/>
    <x v="3"/>
    <x v="7"/>
    <m/>
    <m/>
    <m/>
    <m/>
    <m/>
    <m/>
    <m/>
    <m/>
    <m/>
    <m/>
    <m/>
    <m/>
    <m/>
    <m/>
    <m/>
    <m/>
    <m/>
    <m/>
  </r>
  <r>
    <n v="1"/>
    <d v="2007-05-01T00:00:00"/>
    <x v="4"/>
    <x v="7"/>
    <m/>
    <m/>
    <m/>
    <m/>
    <m/>
    <m/>
    <m/>
    <m/>
    <m/>
    <m/>
    <m/>
    <m/>
    <m/>
    <m/>
    <m/>
    <m/>
    <m/>
    <m/>
  </r>
  <r>
    <n v="1"/>
    <d v="2007-06-01T00:00:00"/>
    <x v="5"/>
    <x v="7"/>
    <m/>
    <m/>
    <m/>
    <m/>
    <m/>
    <m/>
    <m/>
    <m/>
    <m/>
    <m/>
    <m/>
    <m/>
    <m/>
    <m/>
    <m/>
    <m/>
    <m/>
    <m/>
  </r>
  <r>
    <n v="1"/>
    <d v="2007-07-01T00:00:00"/>
    <x v="6"/>
    <x v="7"/>
    <m/>
    <m/>
    <m/>
    <m/>
    <m/>
    <m/>
    <m/>
    <m/>
    <m/>
    <m/>
    <m/>
    <m/>
    <m/>
    <m/>
    <m/>
    <m/>
    <m/>
    <m/>
  </r>
  <r>
    <n v="1"/>
    <d v="2007-08-01T00:00:00"/>
    <x v="7"/>
    <x v="7"/>
    <m/>
    <m/>
    <m/>
    <m/>
    <m/>
    <m/>
    <m/>
    <m/>
    <m/>
    <m/>
    <m/>
    <m/>
    <m/>
    <m/>
    <m/>
    <m/>
    <m/>
    <m/>
  </r>
  <r>
    <n v="1"/>
    <d v="2007-09-01T00:00:00"/>
    <x v="8"/>
    <x v="7"/>
    <m/>
    <m/>
    <m/>
    <m/>
    <m/>
    <m/>
    <m/>
    <m/>
    <m/>
    <m/>
    <m/>
    <m/>
    <m/>
    <m/>
    <m/>
    <m/>
    <m/>
    <m/>
  </r>
  <r>
    <n v="1"/>
    <d v="2007-10-01T00:00:00"/>
    <x v="9"/>
    <x v="7"/>
    <m/>
    <m/>
    <m/>
    <m/>
    <m/>
    <m/>
    <m/>
    <m/>
    <m/>
    <m/>
    <m/>
    <m/>
    <m/>
    <m/>
    <m/>
    <m/>
    <m/>
    <m/>
  </r>
  <r>
    <n v="1"/>
    <d v="2007-11-01T00:00:00"/>
    <x v="10"/>
    <x v="7"/>
    <m/>
    <m/>
    <m/>
    <m/>
    <m/>
    <m/>
    <m/>
    <m/>
    <m/>
    <m/>
    <m/>
    <m/>
    <m/>
    <m/>
    <m/>
    <m/>
    <m/>
    <m/>
  </r>
  <r>
    <n v="1"/>
    <d v="2007-12-01T00:00:00"/>
    <x v="11"/>
    <x v="7"/>
    <m/>
    <m/>
    <m/>
    <m/>
    <m/>
    <m/>
    <m/>
    <m/>
    <m/>
    <m/>
    <m/>
    <m/>
    <m/>
    <m/>
    <m/>
    <m/>
    <m/>
    <m/>
  </r>
  <r>
    <n v="1"/>
    <d v="2008-01-01T00:00:00"/>
    <x v="0"/>
    <x v="8"/>
    <m/>
    <m/>
    <m/>
    <m/>
    <m/>
    <m/>
    <m/>
    <m/>
    <m/>
    <m/>
    <m/>
    <m/>
    <m/>
    <m/>
    <m/>
    <m/>
    <m/>
    <m/>
  </r>
  <r>
    <n v="1"/>
    <d v="2008-02-01T00:00:00"/>
    <x v="1"/>
    <x v="8"/>
    <m/>
    <m/>
    <m/>
    <m/>
    <m/>
    <m/>
    <m/>
    <m/>
    <m/>
    <m/>
    <m/>
    <m/>
    <m/>
    <m/>
    <m/>
    <m/>
    <m/>
    <m/>
  </r>
  <r>
    <n v="1"/>
    <d v="2008-03-01T00:00:00"/>
    <x v="2"/>
    <x v="8"/>
    <m/>
    <m/>
    <m/>
    <m/>
    <m/>
    <m/>
    <m/>
    <m/>
    <m/>
    <m/>
    <m/>
    <m/>
    <m/>
    <m/>
    <m/>
    <m/>
    <m/>
    <m/>
  </r>
  <r>
    <n v="1"/>
    <d v="2008-04-01T00:00:00"/>
    <x v="3"/>
    <x v="8"/>
    <m/>
    <m/>
    <m/>
    <m/>
    <m/>
    <m/>
    <m/>
    <m/>
    <m/>
    <m/>
    <m/>
    <m/>
    <m/>
    <m/>
    <m/>
    <m/>
    <m/>
    <m/>
  </r>
  <r>
    <n v="1"/>
    <d v="2008-05-01T00:00:00"/>
    <x v="4"/>
    <x v="8"/>
    <n v="121"/>
    <n v="1"/>
    <d v="2008-01-01T00:00:00"/>
    <n v="581502"/>
    <n v="0.4"/>
    <n v="0.97499999999999998"/>
    <n v="0.25"/>
    <m/>
    <m/>
    <n v="0"/>
    <m/>
    <n v="9"/>
    <n v="29"/>
    <s v="Fish transferred from farm #8"/>
    <n v="566964.44999999995"/>
    <n v="145375.5"/>
    <n v="0"/>
    <n v="0"/>
  </r>
  <r>
    <n v="1"/>
    <d v="2008-06-01T00:00:00"/>
    <x v="5"/>
    <x v="8"/>
    <n v="152"/>
    <n v="1"/>
    <d v="2008-01-01T00:00:00"/>
    <n v="575893"/>
    <n v="0"/>
    <n v="0.31666666666666665"/>
    <n v="0.23333333333333336"/>
    <n v="0"/>
    <m/>
    <n v="0.18333333333333335"/>
    <m/>
    <m/>
    <m/>
    <m/>
    <n v="182366.11666666667"/>
    <n v="134375.03333333335"/>
    <n v="105580.38333333335"/>
    <n v="42232.153333333343"/>
  </r>
  <r>
    <n v="1"/>
    <d v="2008-07-01T00:00:00"/>
    <x v="6"/>
    <x v="8"/>
    <n v="182"/>
    <n v="1"/>
    <d v="2008-01-01T00:00:00"/>
    <n v="575000"/>
    <n v="0"/>
    <n v="0.4"/>
    <n v="0.25"/>
    <n v="0"/>
    <m/>
    <n v="0.43"/>
    <m/>
    <m/>
    <m/>
    <m/>
    <n v="230000"/>
    <n v="143750"/>
    <n v="247250"/>
    <n v="98900"/>
  </r>
  <r>
    <n v="1"/>
    <d v="2008-08-01T00:00:00"/>
    <x v="7"/>
    <x v="8"/>
    <n v="213"/>
    <n v="1"/>
    <d v="2008-01-01T00:00:00"/>
    <n v="574000"/>
    <n v="0"/>
    <n v="0.33"/>
    <n v="0.28000000000000003"/>
    <n v="0"/>
    <m/>
    <n v="0.22"/>
    <m/>
    <m/>
    <m/>
    <m/>
    <n v="189420"/>
    <n v="160720.00000000003"/>
    <n v="126280"/>
    <n v="50512"/>
  </r>
  <r>
    <n v="1"/>
    <d v="2008-09-01T00:00:00"/>
    <x v="8"/>
    <x v="8"/>
    <n v="244"/>
    <n v="1"/>
    <d v="2008-01-01T00:00:00"/>
    <n v="573000"/>
    <n v="0.2"/>
    <n v="1.3"/>
    <n v="0.4"/>
    <n v="0"/>
    <m/>
    <n v="0.1"/>
    <m/>
    <m/>
    <m/>
    <m/>
    <n v="744900"/>
    <n v="229200"/>
    <n v="57300"/>
    <n v="22920"/>
  </r>
  <r>
    <n v="1"/>
    <d v="2008-10-01T00:00:00"/>
    <x v="9"/>
    <x v="8"/>
    <n v="274"/>
    <n v="1"/>
    <d v="2008-01-01T00:00:00"/>
    <n v="572000"/>
    <n v="0.4"/>
    <n v="0.93"/>
    <n v="0.57999999999999996"/>
    <n v="0"/>
    <m/>
    <n v="0.22"/>
    <m/>
    <m/>
    <m/>
    <s v="harvesting"/>
    <n v="531960"/>
    <n v="331760"/>
    <n v="125840"/>
    <n v="50336"/>
  </r>
  <r>
    <n v="1"/>
    <d v="2008-11-01T00:00:00"/>
    <x v="10"/>
    <x v="8"/>
    <n v="305"/>
    <n v="1"/>
    <d v="2008-01-01T00:00:00"/>
    <n v="318000"/>
    <n v="0.16666666666666666"/>
    <n v="0.93333333333333346"/>
    <n v="0.58333333333333337"/>
    <m/>
    <m/>
    <n v="0.13333333333333333"/>
    <m/>
    <m/>
    <m/>
    <m/>
    <n v="296800.00000000006"/>
    <n v="185500"/>
    <n v="42400"/>
    <n v="16960"/>
  </r>
  <r>
    <n v="1"/>
    <d v="2008-12-01T00:00:00"/>
    <x v="11"/>
    <x v="8"/>
    <n v="335"/>
    <n v="1"/>
    <d v="2008-01-01T00:00:00"/>
    <n v="47000"/>
    <m/>
    <n v="0.93666666666666698"/>
    <n v="0.586666666666667"/>
    <m/>
    <s v="h"/>
    <n v="4.6666666666667002E-2"/>
    <m/>
    <m/>
    <m/>
    <m/>
    <n v="44023.33333333335"/>
    <n v="27573.33333333335"/>
    <n v="2193.3333333333489"/>
    <n v="877.33333333333962"/>
  </r>
  <r>
    <n v="1"/>
    <d v="2009-01-01T00:00:00"/>
    <x v="0"/>
    <x v="9"/>
    <m/>
    <m/>
    <m/>
    <m/>
    <m/>
    <m/>
    <m/>
    <m/>
    <m/>
    <m/>
    <m/>
    <m/>
    <m/>
    <m/>
    <m/>
    <m/>
    <m/>
    <m/>
  </r>
  <r>
    <n v="1"/>
    <d v="2009-02-01T00:00:00"/>
    <x v="1"/>
    <x v="9"/>
    <m/>
    <m/>
    <m/>
    <m/>
    <m/>
    <m/>
    <m/>
    <m/>
    <m/>
    <m/>
    <m/>
    <m/>
    <m/>
    <m/>
    <m/>
    <m/>
    <m/>
    <m/>
  </r>
  <r>
    <n v="1"/>
    <d v="2009-03-01T00:00:00"/>
    <x v="2"/>
    <x v="9"/>
    <n v="0"/>
    <n v="1"/>
    <d v="2009-03-01T00:00:00"/>
    <n v="655784"/>
    <m/>
    <m/>
    <n v="0"/>
    <m/>
    <s v="s"/>
    <n v="0"/>
    <m/>
    <m/>
    <m/>
    <s v="smolt stocking, no counts"/>
    <m/>
    <n v="0"/>
    <n v="0"/>
    <n v="0"/>
  </r>
  <r>
    <n v="1"/>
    <d v="2009-04-01T00:00:00"/>
    <x v="3"/>
    <x v="9"/>
    <n v="31"/>
    <n v="1"/>
    <d v="2009-03-01T00:00:00"/>
    <n v="653988"/>
    <n v="0.33"/>
    <n v="0.18"/>
    <n v="0"/>
    <m/>
    <m/>
    <n v="0.2"/>
    <m/>
    <m/>
    <m/>
    <m/>
    <n v="117717.84"/>
    <n v="0"/>
    <n v="130797.6"/>
    <n v="52319.040000000008"/>
  </r>
  <r>
    <n v="1"/>
    <d v="2009-05-01T00:00:00"/>
    <x v="4"/>
    <x v="9"/>
    <n v="61"/>
    <n v="1"/>
    <d v="2009-03-01T00:00:00"/>
    <n v="652907"/>
    <n v="0.35"/>
    <n v="0.1"/>
    <n v="1.66666E-2"/>
    <n v="0"/>
    <m/>
    <n v="1.66666E-2"/>
    <m/>
    <m/>
    <m/>
    <m/>
    <n v="65290.700000000004"/>
    <n v="10881.739806199999"/>
    <n v="10881.739806199999"/>
    <n v="4352.6959224800003"/>
  </r>
  <r>
    <n v="1"/>
    <d v="2009-06-01T00:00:00"/>
    <x v="5"/>
    <x v="9"/>
    <n v="92"/>
    <n v="1"/>
    <d v="2009-03-01T00:00:00"/>
    <n v="651916"/>
    <n v="0.62"/>
    <n v="0.1"/>
    <n v="0"/>
    <n v="0"/>
    <m/>
    <n v="0.13"/>
    <m/>
    <m/>
    <m/>
    <m/>
    <n v="65191.600000000006"/>
    <n v="0"/>
    <n v="84749.08"/>
    <n v="33899.632000000005"/>
  </r>
  <r>
    <n v="1"/>
    <d v="2009-07-01T00:00:00"/>
    <x v="6"/>
    <x v="9"/>
    <n v="122"/>
    <n v="1"/>
    <d v="2009-03-01T00:00:00"/>
    <n v="652124"/>
    <n v="2.3333333333333335"/>
    <n v="0.46666666666666667"/>
    <n v="8.3333333333333332E-3"/>
    <n v="0"/>
    <m/>
    <n v="0.29166666666666669"/>
    <m/>
    <m/>
    <m/>
    <m/>
    <n v="304324.53333333333"/>
    <n v="5434.3666666666668"/>
    <n v="190202.83333333334"/>
    <n v="76081.133333333346"/>
  </r>
  <r>
    <n v="1"/>
    <d v="2009-08-01T00:00:00"/>
    <x v="7"/>
    <x v="9"/>
    <n v="153"/>
    <n v="1"/>
    <d v="2009-03-01T00:00:00"/>
    <n v="644827"/>
    <n v="0.58333333333333337"/>
    <n v="0.45833333333333331"/>
    <n v="0.13333333333333333"/>
    <n v="0"/>
    <m/>
    <n v="0.29166666666666669"/>
    <m/>
    <m/>
    <m/>
    <m/>
    <n v="295545.70833333331"/>
    <n v="85976.933333333334"/>
    <n v="188074.54166666669"/>
    <n v="75229.81666666668"/>
  </r>
  <r>
    <n v="1"/>
    <d v="2009-09-01T00:00:00"/>
    <x v="8"/>
    <x v="9"/>
    <n v="184"/>
    <n v="1"/>
    <d v="2009-03-01T00:00:00"/>
    <n v="642076"/>
    <n v="8.3333333333333329E-2"/>
    <n v="0.56666666666666665"/>
    <n v="0.1"/>
    <n v="0"/>
    <m/>
    <n v="0.13333333333333333"/>
    <m/>
    <m/>
    <m/>
    <m/>
    <n v="363843.06666666665"/>
    <n v="64207.600000000006"/>
    <n v="85610.133333333331"/>
    <n v="34244.053333333337"/>
  </r>
  <r>
    <n v="1"/>
    <d v="2009-10-01T00:00:00"/>
    <x v="9"/>
    <x v="9"/>
    <n v="214"/>
    <n v="1"/>
    <d v="2009-03-01T00:00:00"/>
    <n v="640771"/>
    <n v="0.35"/>
    <n v="0.83750000000000002"/>
    <n v="0.35"/>
    <n v="0"/>
    <m/>
    <n v="8.7499999999999994E-2"/>
    <m/>
    <m/>
    <m/>
    <m/>
    <n v="536645.71250000002"/>
    <n v="224269.84999999998"/>
    <n v="56067.462499999994"/>
    <n v="22426.985000000001"/>
  </r>
  <r>
    <n v="1"/>
    <d v="2009-11-01T00:00:00"/>
    <x v="10"/>
    <x v="9"/>
    <n v="245"/>
    <n v="1"/>
    <d v="2009-03-01T00:00:00"/>
    <n v="639147"/>
    <n v="0.28333333333333333"/>
    <n v="0.65"/>
    <n v="0.36666666666666664"/>
    <m/>
    <m/>
    <n v="0.16666666666666666"/>
    <m/>
    <m/>
    <m/>
    <m/>
    <n v="415445.55"/>
    <n v="234353.9"/>
    <n v="106524.5"/>
    <n v="42609.8"/>
  </r>
  <r>
    <n v="1"/>
    <d v="2009-12-01T00:00:00"/>
    <x v="11"/>
    <x v="9"/>
    <m/>
    <m/>
    <m/>
    <m/>
    <m/>
    <m/>
    <m/>
    <m/>
    <m/>
    <m/>
    <m/>
    <m/>
    <m/>
    <s v="moved out of Broughton"/>
    <m/>
    <m/>
    <m/>
    <m/>
  </r>
  <r>
    <n v="2"/>
    <d v="1999-09-01T00:00:00"/>
    <x v="8"/>
    <x v="10"/>
    <n v="153"/>
    <n v="1"/>
    <d v="1999-04-01T00:00:00"/>
    <n v="502917.123809524"/>
    <n v="0.4"/>
    <n v="4.0999999999999996"/>
    <n v="1.5"/>
    <m/>
    <m/>
    <n v="0.1"/>
    <m/>
    <m/>
    <m/>
    <m/>
    <m/>
    <n v="754375.68571428605"/>
    <n v="50291.712380952406"/>
    <n v="20116.684952380965"/>
  </r>
  <r>
    <n v="2"/>
    <d v="1999-10-01T00:00:00"/>
    <x v="9"/>
    <x v="10"/>
    <n v="183"/>
    <n v="1"/>
    <d v="1999-04-01T00:00:00"/>
    <n v="498033.438095238"/>
    <n v="0.66473684210526318"/>
    <n v="3.2868421052631573"/>
    <n v="1.0321052631578949"/>
    <n v="1"/>
    <m/>
    <n v="1.4494736842105262"/>
    <m/>
    <m/>
    <m/>
    <m/>
    <m/>
    <n v="514022.93268671678"/>
    <n v="721886.36237593973"/>
    <n v="288754.54495037592"/>
  </r>
  <r>
    <n v="2"/>
    <d v="1999-11-01T00:00:00"/>
    <x v="10"/>
    <x v="10"/>
    <n v="214"/>
    <n v="1"/>
    <d v="1999-04-01T00:00:00"/>
    <n v="493149.75238095201"/>
    <n v="0.85"/>
    <n v="6.35"/>
    <n v="2.5499999999999998"/>
    <n v="0"/>
    <m/>
    <n v="1.4"/>
    <n v="1"/>
    <m/>
    <m/>
    <s v="Ivermectin treatment"/>
    <n v="3131500.9276190451"/>
    <n v="1257531.8685714274"/>
    <n v="690409.65333333274"/>
    <n v="276163.86133333313"/>
  </r>
  <r>
    <n v="2"/>
    <d v="1999-12-01T00:00:00"/>
    <x v="11"/>
    <x v="10"/>
    <n v="244"/>
    <n v="1"/>
    <d v="1999-04-01T00:00:00"/>
    <n v="488266.066666667"/>
    <n v="0.28333333333333333"/>
    <n v="5.3888888888888893"/>
    <n v="2.7527777777777778"/>
    <n v="0"/>
    <m/>
    <n v="2.5122222222222224"/>
    <m/>
    <m/>
    <m/>
    <m/>
    <m/>
    <n v="1344087.977962964"/>
    <n v="1226632.8630370379"/>
    <n v="490653.14521481516"/>
  </r>
  <r>
    <n v="2"/>
    <d v="2000-01-01T00:00:00"/>
    <x v="0"/>
    <x v="0"/>
    <n v="275"/>
    <n v="1"/>
    <d v="1999-04-01T00:00:00"/>
    <n v="488099"/>
    <n v="0.67500000000000004"/>
    <n v="5.5049999999999999"/>
    <n v="2.4"/>
    <m/>
    <m/>
    <n v="0.75"/>
    <m/>
    <m/>
    <m/>
    <m/>
    <m/>
    <n v="1171437.5999999999"/>
    <n v="366074.25"/>
    <n v="146429.70000000001"/>
  </r>
  <r>
    <n v="2"/>
    <d v="2000-02-01T00:00:00"/>
    <x v="1"/>
    <x v="0"/>
    <n v="306"/>
    <n v="1"/>
    <d v="1999-04-01T00:00:00"/>
    <n v="473865"/>
    <m/>
    <m/>
    <m/>
    <m/>
    <m/>
    <m/>
    <m/>
    <m/>
    <m/>
    <m/>
    <m/>
    <m/>
    <m/>
    <m/>
  </r>
  <r>
    <n v="2"/>
    <d v="2000-03-01T00:00:00"/>
    <x v="2"/>
    <x v="0"/>
    <n v="335"/>
    <n v="1"/>
    <d v="1999-04-01T00:00:00"/>
    <n v="471525"/>
    <m/>
    <m/>
    <m/>
    <m/>
    <m/>
    <m/>
    <m/>
    <m/>
    <m/>
    <m/>
    <m/>
    <m/>
    <m/>
    <m/>
  </r>
  <r>
    <n v="2"/>
    <d v="2000-04-01T00:00:00"/>
    <x v="3"/>
    <x v="0"/>
    <n v="366"/>
    <n v="2"/>
    <d v="1999-04-01T00:00:00"/>
    <n v="467711"/>
    <m/>
    <m/>
    <m/>
    <m/>
    <m/>
    <m/>
    <m/>
    <m/>
    <m/>
    <m/>
    <m/>
    <m/>
    <m/>
    <m/>
  </r>
  <r>
    <n v="2"/>
    <d v="2000-05-01T00:00:00"/>
    <x v="4"/>
    <x v="0"/>
    <n v="396"/>
    <n v="2"/>
    <d v="1999-04-01T00:00:00"/>
    <n v="467110"/>
    <n v="3.33"/>
    <n v="1.03"/>
    <n v="0.05"/>
    <m/>
    <m/>
    <n v="2.62"/>
    <m/>
    <m/>
    <m/>
    <m/>
    <n v="481123.3"/>
    <n v="23355.5"/>
    <n v="1223828.2"/>
    <n v="489531.28"/>
  </r>
  <r>
    <n v="2"/>
    <d v="2000-06-01T00:00:00"/>
    <x v="5"/>
    <x v="0"/>
    <n v="427"/>
    <n v="2"/>
    <d v="1999-04-01T00:00:00"/>
    <n v="458729"/>
    <n v="6.73"/>
    <n v="12.28"/>
    <n v="3.72"/>
    <n v="0"/>
    <m/>
    <n v="0.53"/>
    <m/>
    <m/>
    <m/>
    <m/>
    <n v="5633192.1200000001"/>
    <n v="1706471.8800000001"/>
    <n v="243126.37000000002"/>
    <n v="97250.54800000001"/>
  </r>
  <r>
    <n v="2"/>
    <d v="2000-07-01T00:00:00"/>
    <x v="6"/>
    <x v="0"/>
    <n v="457"/>
    <n v="2"/>
    <d v="1999-04-01T00:00:00"/>
    <n v="455173"/>
    <n v="7.02"/>
    <n v="20.57"/>
    <n v="8.4700000000000006"/>
    <n v="2"/>
    <m/>
    <n v="1.1200000000000001"/>
    <n v="1"/>
    <m/>
    <m/>
    <m/>
    <n v="9362908.6099999994"/>
    <n v="3855315.3100000005"/>
    <n v="509793.76000000007"/>
    <n v="203917.50400000004"/>
  </r>
  <r>
    <n v="2"/>
    <d v="2000-08-01T00:00:00"/>
    <x v="7"/>
    <x v="0"/>
    <n v="488"/>
    <n v="2"/>
    <d v="1999-04-01T00:00:00"/>
    <n v="433173"/>
    <n v="0.53"/>
    <n v="8.2799999999999994"/>
    <n v="5.4"/>
    <n v="0"/>
    <m/>
    <n v="0.04"/>
    <m/>
    <m/>
    <m/>
    <s v="Harvesting "/>
    <n v="3586672.44"/>
    <n v="2339134.2000000002"/>
    <n v="17326.920000000002"/>
    <n v="6930.7680000000009"/>
  </r>
  <r>
    <n v="2"/>
    <d v="2000-09-01T00:00:00"/>
    <x v="8"/>
    <x v="0"/>
    <n v="519"/>
    <n v="2"/>
    <d v="1999-04-01T00:00:00"/>
    <n v="300000"/>
    <n v="0.27500000000000002"/>
    <n v="3.9750000000000001"/>
    <n v="2.2250000000000001"/>
    <m/>
    <m/>
    <n v="0"/>
    <m/>
    <m/>
    <m/>
    <s v="Harvesting "/>
    <n v="1192500"/>
    <n v="667500"/>
    <n v="0"/>
    <n v="0"/>
  </r>
  <r>
    <n v="2"/>
    <d v="2000-10-01T00:00:00"/>
    <x v="9"/>
    <x v="0"/>
    <n v="549"/>
    <n v="2"/>
    <d v="1999-04-01T00:00:00"/>
    <n v="200000"/>
    <m/>
    <m/>
    <m/>
    <m/>
    <m/>
    <m/>
    <m/>
    <m/>
    <m/>
    <s v="Harvesting "/>
    <m/>
    <m/>
    <m/>
    <m/>
  </r>
  <r>
    <n v="2"/>
    <d v="2000-11-01T00:00:00"/>
    <x v="10"/>
    <x v="0"/>
    <n v="580"/>
    <n v="2"/>
    <d v="1999-04-01T00:00:00"/>
    <n v="100000"/>
    <m/>
    <m/>
    <m/>
    <m/>
    <m/>
    <m/>
    <m/>
    <m/>
    <m/>
    <s v="Harvesting "/>
    <m/>
    <m/>
    <m/>
    <m/>
  </r>
  <r>
    <n v="2"/>
    <d v="2000-12-01T00:00:00"/>
    <x v="11"/>
    <x v="0"/>
    <n v="610"/>
    <n v="2"/>
    <d v="1999-04-01T00:00:00"/>
    <n v="50000"/>
    <m/>
    <m/>
    <m/>
    <m/>
    <m/>
    <m/>
    <m/>
    <m/>
    <m/>
    <s v="Harvesting "/>
    <m/>
    <m/>
    <m/>
    <m/>
  </r>
  <r>
    <n v="2"/>
    <d v="2001-01-01T00:00:00"/>
    <x v="0"/>
    <x v="1"/>
    <m/>
    <m/>
    <m/>
    <m/>
    <m/>
    <m/>
    <m/>
    <m/>
    <m/>
    <m/>
    <m/>
    <m/>
    <m/>
    <m/>
    <m/>
    <m/>
    <m/>
    <m/>
  </r>
  <r>
    <n v="2"/>
    <d v="2001-02-01T00:00:00"/>
    <x v="1"/>
    <x v="1"/>
    <m/>
    <m/>
    <m/>
    <m/>
    <m/>
    <m/>
    <m/>
    <m/>
    <m/>
    <m/>
    <m/>
    <m/>
    <m/>
    <m/>
    <m/>
    <m/>
    <m/>
    <m/>
  </r>
  <r>
    <n v="2"/>
    <d v="2001-03-01T00:00:00"/>
    <x v="2"/>
    <x v="1"/>
    <m/>
    <m/>
    <m/>
    <m/>
    <m/>
    <m/>
    <m/>
    <m/>
    <m/>
    <m/>
    <m/>
    <m/>
    <m/>
    <m/>
    <m/>
    <m/>
    <m/>
    <m/>
  </r>
  <r>
    <n v="2"/>
    <d v="2001-04-01T00:00:00"/>
    <x v="3"/>
    <x v="1"/>
    <m/>
    <m/>
    <m/>
    <m/>
    <m/>
    <m/>
    <m/>
    <m/>
    <m/>
    <m/>
    <m/>
    <m/>
    <m/>
    <m/>
    <m/>
    <m/>
    <m/>
    <m/>
  </r>
  <r>
    <n v="2"/>
    <d v="2001-05-01T00:00:00"/>
    <x v="4"/>
    <x v="1"/>
    <m/>
    <m/>
    <m/>
    <m/>
    <m/>
    <m/>
    <m/>
    <m/>
    <m/>
    <m/>
    <m/>
    <m/>
    <m/>
    <m/>
    <m/>
    <m/>
    <m/>
    <m/>
  </r>
  <r>
    <n v="2"/>
    <d v="2001-06-01T00:00:00"/>
    <x v="5"/>
    <x v="1"/>
    <m/>
    <m/>
    <m/>
    <m/>
    <m/>
    <m/>
    <m/>
    <m/>
    <m/>
    <m/>
    <m/>
    <m/>
    <m/>
    <m/>
    <m/>
    <m/>
    <m/>
    <m/>
  </r>
  <r>
    <n v="2"/>
    <d v="2001-07-01T00:00:00"/>
    <x v="6"/>
    <x v="1"/>
    <m/>
    <m/>
    <m/>
    <m/>
    <m/>
    <m/>
    <m/>
    <m/>
    <m/>
    <m/>
    <m/>
    <m/>
    <m/>
    <m/>
    <m/>
    <m/>
    <m/>
    <m/>
  </r>
  <r>
    <n v="2"/>
    <d v="2001-08-01T00:00:00"/>
    <x v="7"/>
    <x v="1"/>
    <m/>
    <m/>
    <m/>
    <m/>
    <m/>
    <m/>
    <m/>
    <m/>
    <m/>
    <m/>
    <m/>
    <m/>
    <m/>
    <m/>
    <m/>
    <m/>
    <m/>
    <m/>
  </r>
  <r>
    <n v="2"/>
    <d v="2001-09-01T00:00:00"/>
    <x v="8"/>
    <x v="1"/>
    <m/>
    <m/>
    <m/>
    <m/>
    <m/>
    <m/>
    <m/>
    <m/>
    <m/>
    <m/>
    <m/>
    <m/>
    <m/>
    <m/>
    <m/>
    <m/>
    <m/>
    <m/>
  </r>
  <r>
    <n v="2"/>
    <d v="2001-10-01T00:00:00"/>
    <x v="9"/>
    <x v="1"/>
    <m/>
    <m/>
    <m/>
    <m/>
    <m/>
    <m/>
    <m/>
    <m/>
    <m/>
    <m/>
    <m/>
    <m/>
    <m/>
    <m/>
    <m/>
    <m/>
    <m/>
    <m/>
  </r>
  <r>
    <n v="2"/>
    <d v="2001-11-01T00:00:00"/>
    <x v="10"/>
    <x v="1"/>
    <m/>
    <m/>
    <m/>
    <m/>
    <m/>
    <m/>
    <m/>
    <m/>
    <m/>
    <m/>
    <m/>
    <m/>
    <m/>
    <m/>
    <m/>
    <m/>
    <m/>
    <m/>
  </r>
  <r>
    <n v="2"/>
    <d v="2001-12-01T00:00:00"/>
    <x v="11"/>
    <x v="1"/>
    <m/>
    <m/>
    <m/>
    <m/>
    <m/>
    <m/>
    <m/>
    <m/>
    <m/>
    <m/>
    <m/>
    <m/>
    <m/>
    <m/>
    <m/>
    <m/>
    <m/>
    <m/>
  </r>
  <r>
    <n v="2"/>
    <d v="2002-01-01T00:00:00"/>
    <x v="0"/>
    <x v="2"/>
    <m/>
    <m/>
    <m/>
    <m/>
    <m/>
    <m/>
    <m/>
    <m/>
    <m/>
    <m/>
    <m/>
    <m/>
    <m/>
    <m/>
    <m/>
    <m/>
    <m/>
    <m/>
  </r>
  <r>
    <n v="2"/>
    <d v="2002-02-01T00:00:00"/>
    <x v="1"/>
    <x v="2"/>
    <m/>
    <m/>
    <m/>
    <m/>
    <m/>
    <m/>
    <m/>
    <m/>
    <m/>
    <m/>
    <m/>
    <m/>
    <m/>
    <m/>
    <m/>
    <m/>
    <m/>
    <m/>
  </r>
  <r>
    <n v="2"/>
    <d v="2002-03-01T00:00:00"/>
    <x v="2"/>
    <x v="2"/>
    <m/>
    <m/>
    <m/>
    <m/>
    <m/>
    <m/>
    <m/>
    <m/>
    <m/>
    <m/>
    <m/>
    <m/>
    <m/>
    <m/>
    <m/>
    <m/>
    <m/>
    <m/>
  </r>
  <r>
    <n v="2"/>
    <d v="2002-04-01T00:00:00"/>
    <x v="3"/>
    <x v="2"/>
    <m/>
    <m/>
    <m/>
    <m/>
    <m/>
    <m/>
    <m/>
    <m/>
    <m/>
    <m/>
    <m/>
    <m/>
    <m/>
    <m/>
    <m/>
    <m/>
    <m/>
    <m/>
  </r>
  <r>
    <n v="2"/>
    <d v="2002-05-01T00:00:00"/>
    <x v="4"/>
    <x v="2"/>
    <m/>
    <m/>
    <m/>
    <m/>
    <m/>
    <m/>
    <m/>
    <m/>
    <m/>
    <m/>
    <m/>
    <m/>
    <m/>
    <m/>
    <m/>
    <m/>
    <m/>
    <m/>
  </r>
  <r>
    <n v="2"/>
    <d v="2002-06-01T00:00:00"/>
    <x v="5"/>
    <x v="2"/>
    <n v="608"/>
    <n v="2"/>
    <d v="2000-10-01T00:00:00"/>
    <n v="469182"/>
    <n v="1.2575000000000001"/>
    <n v="0.82250000000000001"/>
    <n v="0.32500000000000001"/>
    <m/>
    <m/>
    <n v="0"/>
    <m/>
    <m/>
    <m/>
    <s v="transferred some from farm #1"/>
    <n v="385902.19500000001"/>
    <n v="152484.15"/>
    <n v="0"/>
    <n v="0"/>
  </r>
  <r>
    <n v="2"/>
    <d v="2002-07-01T00:00:00"/>
    <x v="6"/>
    <x v="2"/>
    <n v="638"/>
    <n v="2"/>
    <d v="2000-10-01T00:00:00"/>
    <n v="468050"/>
    <n v="1.34"/>
    <n v="1.425"/>
    <n v="0.39500000000000002"/>
    <n v="0"/>
    <m/>
    <n v="0"/>
    <m/>
    <m/>
    <m/>
    <m/>
    <n v="666971.25"/>
    <n v="184879.75"/>
    <n v="0"/>
    <n v="0"/>
  </r>
  <r>
    <n v="2"/>
    <d v="2002-08-01T00:00:00"/>
    <x v="7"/>
    <x v="2"/>
    <n v="669"/>
    <n v="2"/>
    <d v="2000-10-01T00:00:00"/>
    <n v="466792"/>
    <n v="0.1"/>
    <n v="3.416666666666667"/>
    <n v="2.2999999999999998"/>
    <m/>
    <m/>
    <n v="0.05"/>
    <m/>
    <m/>
    <m/>
    <m/>
    <n v="1594872.6666666667"/>
    <n v="1073621.5999999999"/>
    <n v="23339.600000000002"/>
    <n v="9335.840000000002"/>
  </r>
  <r>
    <n v="2"/>
    <d v="2002-09-01T00:00:00"/>
    <x v="8"/>
    <x v="2"/>
    <n v="700"/>
    <n v="2"/>
    <d v="2000-10-01T00:00:00"/>
    <n v="465490"/>
    <m/>
    <m/>
    <n v="3.4"/>
    <m/>
    <n v="3"/>
    <n v="0.04"/>
    <m/>
    <m/>
    <m/>
    <m/>
    <m/>
    <n v="1582666"/>
    <n v="18619.600000000002"/>
    <n v="7447.8400000000011"/>
  </r>
  <r>
    <n v="2"/>
    <d v="2002-10-01T00:00:00"/>
    <x v="9"/>
    <x v="2"/>
    <n v="730"/>
    <n v="3"/>
    <d v="2000-10-01T00:00:00"/>
    <n v="464425"/>
    <m/>
    <m/>
    <n v="4.5"/>
    <m/>
    <n v="3"/>
    <n v="0.03"/>
    <m/>
    <m/>
    <m/>
    <m/>
    <m/>
    <n v="2089912.5"/>
    <n v="13932.75"/>
    <n v="5573.1"/>
  </r>
  <r>
    <n v="2"/>
    <d v="2002-11-01T00:00:00"/>
    <x v="10"/>
    <x v="2"/>
    <n v="761"/>
    <n v="3"/>
    <d v="2000-10-01T00:00:00"/>
    <n v="463513"/>
    <m/>
    <m/>
    <n v="5.6"/>
    <m/>
    <n v="3"/>
    <n v="0.02"/>
    <m/>
    <m/>
    <m/>
    <m/>
    <m/>
    <n v="2595672.7999999998"/>
    <n v="9270.26"/>
    <n v="3708.1040000000003"/>
  </r>
  <r>
    <n v="2"/>
    <d v="2002-12-01T00:00:00"/>
    <x v="11"/>
    <x v="2"/>
    <n v="791"/>
    <n v="3"/>
    <d v="2000-10-01T00:00:00"/>
    <n v="443972"/>
    <n v="0.3775"/>
    <n v="10.3575"/>
    <n v="6.93"/>
    <m/>
    <m/>
    <n v="0"/>
    <m/>
    <m/>
    <m/>
    <m/>
    <n v="4598439.99"/>
    <n v="3076725.96"/>
    <n v="0"/>
    <n v="0"/>
  </r>
  <r>
    <n v="2"/>
    <d v="2003-01-01T00:00:00"/>
    <x v="0"/>
    <x v="3"/>
    <n v="822"/>
    <n v="3"/>
    <d v="2000-10-01T00:00:00"/>
    <n v="443972"/>
    <n v="0.3833333333333333"/>
    <n v="13.7"/>
    <n v="8.9"/>
    <n v="1"/>
    <m/>
    <n v="0"/>
    <m/>
    <m/>
    <m/>
    <m/>
    <n v="6082416.3999999994"/>
    <n v="3951350.8000000003"/>
    <n v="0"/>
    <n v="0"/>
  </r>
  <r>
    <n v="2"/>
    <d v="2003-02-01T00:00:00"/>
    <x v="1"/>
    <x v="3"/>
    <n v="853"/>
    <n v="3"/>
    <d v="2000-10-01T00:00:00"/>
    <n v="443972"/>
    <n v="0.64"/>
    <n v="8.16"/>
    <n v="4.5"/>
    <n v="1"/>
    <m/>
    <n v="0.06"/>
    <m/>
    <m/>
    <m/>
    <m/>
    <n v="3622811.52"/>
    <n v="1997874"/>
    <n v="26638.32"/>
    <n v="10655.328000000001"/>
  </r>
  <r>
    <n v="2"/>
    <d v="2003-03-01T00:00:00"/>
    <x v="2"/>
    <x v="3"/>
    <n v="881"/>
    <n v="3"/>
    <d v="2000-10-01T00:00:00"/>
    <n v="293723"/>
    <n v="0.7"/>
    <n v="10.77"/>
    <n v="5.12"/>
    <n v="2"/>
    <m/>
    <n v="0.47"/>
    <n v="1"/>
    <m/>
    <m/>
    <s v="start harvesting"/>
    <n v="3163396.71"/>
    <n v="1503861.76"/>
    <n v="138049.81"/>
    <n v="55219.923999999999"/>
  </r>
  <r>
    <n v="2"/>
    <d v="2003-04-01T00:00:00"/>
    <x v="3"/>
    <x v="3"/>
    <n v="912"/>
    <n v="3"/>
    <d v="2000-10-01T00:00:00"/>
    <n v="292286"/>
    <n v="0.51"/>
    <n v="2.2599999999999998"/>
    <n v="0.53"/>
    <n v="0"/>
    <m/>
    <n v="0.35"/>
    <m/>
    <m/>
    <m/>
    <m/>
    <n v="660566.36"/>
    <n v="154911.58000000002"/>
    <n v="102300.09999999999"/>
    <n v="40920.04"/>
  </r>
  <r>
    <n v="2"/>
    <d v="2003-05-01T00:00:00"/>
    <x v="4"/>
    <x v="3"/>
    <n v="942"/>
    <n v="3"/>
    <d v="2000-10-01T00:00:00"/>
    <n v="117624"/>
    <n v="0"/>
    <n v="0.4"/>
    <n v="0"/>
    <n v="0"/>
    <m/>
    <n v="0.03"/>
    <m/>
    <n v="9.4"/>
    <n v="31.55"/>
    <m/>
    <n v="47049.600000000006"/>
    <n v="0"/>
    <n v="3528.72"/>
    <n v="1411.4880000000001"/>
  </r>
  <r>
    <n v="2"/>
    <d v="2003-06-01T00:00:00"/>
    <x v="5"/>
    <x v="3"/>
    <n v="973"/>
    <n v="3"/>
    <d v="2000-10-01T00:00:00"/>
    <n v="34865"/>
    <n v="0"/>
    <n v="0.09"/>
    <n v="0.03"/>
    <n v="0"/>
    <m/>
    <n v="1.03"/>
    <m/>
    <n v="10.64"/>
    <n v="29.63"/>
    <m/>
    <n v="3137.85"/>
    <n v="1045.95"/>
    <n v="35910.950000000004"/>
    <n v="14364.380000000003"/>
  </r>
  <r>
    <n v="2"/>
    <d v="2003-07-01T00:00:00"/>
    <x v="6"/>
    <x v="3"/>
    <n v="1003"/>
    <n v="3"/>
    <d v="2000-10-01T00:00:00"/>
    <n v="20000"/>
    <n v="0.05"/>
    <n v="1"/>
    <n v="0.05"/>
    <m/>
    <m/>
    <n v="0.15"/>
    <m/>
    <n v="11.24"/>
    <n v="27.32"/>
    <m/>
    <n v="20000"/>
    <n v="1000"/>
    <n v="3000"/>
    <n v="1200"/>
  </r>
  <r>
    <n v="2"/>
    <d v="2003-08-01T00:00:00"/>
    <x v="7"/>
    <x v="3"/>
    <n v="1034"/>
    <n v="3"/>
    <d v="2000-10-01T00:00:00"/>
    <n v="10000"/>
    <m/>
    <n v="1.1499999999999999"/>
    <n v="2.5000000000000001E-2"/>
    <m/>
    <n v="1"/>
    <n v="2.4500000000000002"/>
    <m/>
    <m/>
    <m/>
    <m/>
    <n v="11500"/>
    <n v="250"/>
    <n v="24500"/>
    <n v="9800"/>
  </r>
  <r>
    <n v="2"/>
    <d v="2003-09-01T00:00:00"/>
    <x v="8"/>
    <x v="3"/>
    <n v="1065"/>
    <n v="3"/>
    <d v="2000-10-01T00:00:00"/>
    <n v="5000"/>
    <n v="1.5"/>
    <n v="1.3"/>
    <n v="0"/>
    <m/>
    <m/>
    <n v="4.75"/>
    <m/>
    <n v="11.4"/>
    <n v="28.1"/>
    <s v="complete harvesting"/>
    <n v="6500"/>
    <n v="0"/>
    <n v="23750"/>
    <n v="9500"/>
  </r>
  <r>
    <n v="2"/>
    <d v="2003-10-01T00:00:00"/>
    <x v="9"/>
    <x v="3"/>
    <m/>
    <m/>
    <m/>
    <m/>
    <m/>
    <m/>
    <m/>
    <m/>
    <m/>
    <m/>
    <m/>
    <m/>
    <m/>
    <m/>
    <m/>
    <m/>
    <m/>
    <m/>
  </r>
  <r>
    <n v="2"/>
    <d v="2003-11-01T00:00:00"/>
    <x v="10"/>
    <x v="3"/>
    <m/>
    <m/>
    <m/>
    <m/>
    <m/>
    <m/>
    <m/>
    <m/>
    <m/>
    <m/>
    <m/>
    <m/>
    <m/>
    <m/>
    <m/>
    <m/>
    <m/>
    <m/>
  </r>
  <r>
    <n v="2"/>
    <d v="2003-12-01T00:00:00"/>
    <x v="11"/>
    <x v="3"/>
    <m/>
    <m/>
    <m/>
    <m/>
    <m/>
    <m/>
    <m/>
    <m/>
    <m/>
    <m/>
    <m/>
    <m/>
    <m/>
    <m/>
    <m/>
    <m/>
    <m/>
    <m/>
  </r>
  <r>
    <n v="2"/>
    <d v="2004-01-01T00:00:00"/>
    <x v="0"/>
    <x v="4"/>
    <n v="245"/>
    <n v="1"/>
    <d v="2003-05-01T00:00:00"/>
    <n v="273325"/>
    <m/>
    <m/>
    <n v="1.5"/>
    <m/>
    <s v="t"/>
    <n v="1.29"/>
    <m/>
    <m/>
    <m/>
    <s v="some fish moved from farm #1 (counts are from farm #1 for the same time period)"/>
    <m/>
    <n v="409987.5"/>
    <n v="352589.25"/>
    <n v="141035.70000000001"/>
  </r>
  <r>
    <n v="2"/>
    <d v="2004-02-01T00:00:00"/>
    <x v="1"/>
    <x v="4"/>
    <n v="276"/>
    <n v="1"/>
    <d v="2003-05-01T00:00:00"/>
    <n v="260000"/>
    <m/>
    <m/>
    <n v="1.5"/>
    <m/>
    <s v="t"/>
    <n v="0.7"/>
    <m/>
    <m/>
    <m/>
    <m/>
    <m/>
    <n v="390000"/>
    <n v="182000"/>
    <n v="72800"/>
  </r>
  <r>
    <n v="2"/>
    <d v="2004-03-01T00:00:00"/>
    <x v="2"/>
    <x v="4"/>
    <n v="305"/>
    <n v="1"/>
    <d v="2003-05-01T00:00:00"/>
    <n v="248827"/>
    <n v="1.6"/>
    <n v="3.6"/>
    <n v="1"/>
    <m/>
    <m/>
    <n v="0.1"/>
    <m/>
    <n v="7.35"/>
    <n v="31.79"/>
    <m/>
    <n v="895777.20000000007"/>
    <n v="248827"/>
    <n v="24882.7"/>
    <n v="9953.0800000000017"/>
  </r>
  <r>
    <n v="2"/>
    <d v="2004-04-01T00:00:00"/>
    <x v="3"/>
    <x v="4"/>
    <n v="336"/>
    <n v="1"/>
    <d v="2003-05-01T00:00:00"/>
    <n v="248582"/>
    <n v="3.82"/>
    <n v="9.61"/>
    <n v="1.81"/>
    <n v="0"/>
    <m/>
    <n v="0"/>
    <m/>
    <n v="8.4"/>
    <n v="31"/>
    <m/>
    <n v="2388873.02"/>
    <n v="449933.42000000004"/>
    <n v="0"/>
    <n v="0"/>
  </r>
  <r>
    <n v="2"/>
    <d v="2004-05-01T00:00:00"/>
    <x v="4"/>
    <x v="4"/>
    <n v="366"/>
    <n v="2"/>
    <d v="2003-05-01T00:00:00"/>
    <n v="402222"/>
    <n v="3.8"/>
    <n v="16"/>
    <n v="7.3"/>
    <n v="2"/>
    <m/>
    <n v="0"/>
    <n v="1"/>
    <n v="9.4600000000000009"/>
    <n v="29.28"/>
    <m/>
    <n v="6435552"/>
    <n v="2936220.6"/>
    <n v="0"/>
    <n v="0"/>
  </r>
  <r>
    <n v="2"/>
    <d v="2004-06-01T00:00:00"/>
    <x v="5"/>
    <x v="4"/>
    <n v="397"/>
    <n v="2"/>
    <d v="2003-05-01T00:00:00"/>
    <n v="401686"/>
    <n v="0.75"/>
    <n v="3.7"/>
    <n v="1.6"/>
    <n v="0"/>
    <m/>
    <n v="0"/>
    <m/>
    <n v="10.18"/>
    <n v="28.58"/>
    <m/>
    <n v="1486238.2000000002"/>
    <n v="642697.60000000009"/>
    <n v="0"/>
    <n v="0"/>
  </r>
  <r>
    <n v="2"/>
    <d v="2004-07-01T00:00:00"/>
    <x v="6"/>
    <x v="4"/>
    <n v="427"/>
    <n v="2"/>
    <d v="2003-05-01T00:00:00"/>
    <n v="401166"/>
    <n v="0"/>
    <n v="0.8"/>
    <n v="0.3"/>
    <n v="0"/>
    <m/>
    <n v="0"/>
    <m/>
    <n v="11.25"/>
    <n v="28.25"/>
    <m/>
    <n v="320932.80000000005"/>
    <n v="120349.79999999999"/>
    <n v="0"/>
    <n v="0"/>
  </r>
  <r>
    <n v="2"/>
    <d v="2004-08-01T00:00:00"/>
    <x v="7"/>
    <x v="4"/>
    <n v="458"/>
    <n v="2"/>
    <d v="2003-05-01T00:00:00"/>
    <n v="400000"/>
    <n v="0.12"/>
    <n v="0.6"/>
    <n v="0.12"/>
    <n v="2"/>
    <m/>
    <n v="0"/>
    <m/>
    <n v="11.38"/>
    <n v="27.77"/>
    <m/>
    <n v="240000"/>
    <n v="48000"/>
    <n v="0"/>
    <n v="0"/>
  </r>
  <r>
    <n v="2"/>
    <d v="2004-09-01T00:00:00"/>
    <x v="8"/>
    <x v="4"/>
    <n v="489"/>
    <n v="2"/>
    <d v="2003-05-01T00:00:00"/>
    <n v="399000"/>
    <n v="0.5"/>
    <n v="2.2000000000000002"/>
    <n v="0.6"/>
    <n v="0"/>
    <m/>
    <n v="0"/>
    <m/>
    <n v="10.63"/>
    <n v="26.1"/>
    <m/>
    <n v="877800.00000000012"/>
    <n v="239400"/>
    <n v="0"/>
    <n v="0"/>
  </r>
  <r>
    <n v="2"/>
    <d v="2004-10-01T00:00:00"/>
    <x v="9"/>
    <x v="4"/>
    <n v="519"/>
    <n v="2"/>
    <d v="2003-05-01T00:00:00"/>
    <n v="398000"/>
    <n v="1.65"/>
    <n v="2.64"/>
    <n v="1.51"/>
    <n v="0"/>
    <m/>
    <n v="0"/>
    <m/>
    <n v="9.6"/>
    <n v="28.7"/>
    <m/>
    <n v="1050720"/>
    <n v="600980"/>
    <n v="0"/>
    <n v="0"/>
  </r>
  <r>
    <n v="2"/>
    <d v="2004-11-01T00:00:00"/>
    <x v="10"/>
    <x v="4"/>
    <n v="550"/>
    <n v="2"/>
    <d v="2003-05-01T00:00:00"/>
    <n v="397000"/>
    <n v="2.75"/>
    <n v="7.21"/>
    <n v="3.6"/>
    <n v="0"/>
    <m/>
    <n v="0.19"/>
    <m/>
    <n v="8.11"/>
    <n v="25.78"/>
    <m/>
    <n v="2862370"/>
    <n v="1429200"/>
    <n v="75430"/>
    <n v="30172"/>
  </r>
  <r>
    <n v="2"/>
    <d v="2004-12-01T00:00:00"/>
    <x v="11"/>
    <x v="4"/>
    <n v="580"/>
    <n v="2"/>
    <d v="2003-05-01T00:00:00"/>
    <n v="396000"/>
    <n v="0"/>
    <n v="9.93"/>
    <n v="5.87"/>
    <n v="0"/>
    <m/>
    <n v="1.52"/>
    <m/>
    <n v="7"/>
    <n v="27"/>
    <m/>
    <n v="3932280"/>
    <n v="2324520"/>
    <n v="601920"/>
    <n v="240768"/>
  </r>
  <r>
    <n v="2"/>
    <d v="2005-01-01T00:00:00"/>
    <x v="0"/>
    <x v="5"/>
    <n v="611"/>
    <n v="2"/>
    <d v="2003-05-01T00:00:00"/>
    <n v="300000"/>
    <n v="0.23"/>
    <n v="9.93"/>
    <n v="6.05"/>
    <m/>
    <m/>
    <n v="0.33"/>
    <m/>
    <n v="7"/>
    <n v="26"/>
    <s v="start harvesting"/>
    <n v="2979000"/>
    <n v="1815000"/>
    <n v="99000"/>
    <n v="39600"/>
  </r>
  <r>
    <n v="2"/>
    <d v="2005-02-01T00:00:00"/>
    <x v="1"/>
    <x v="5"/>
    <n v="642"/>
    <n v="2"/>
    <d v="2003-05-01T00:00:00"/>
    <n v="200000"/>
    <m/>
    <m/>
    <n v="8"/>
    <m/>
    <s v="h"/>
    <n v="0.4"/>
    <m/>
    <m/>
    <m/>
    <m/>
    <m/>
    <n v="1600000"/>
    <n v="80000"/>
    <n v="32000"/>
  </r>
  <r>
    <n v="2"/>
    <d v="2005-03-01T00:00:00"/>
    <x v="2"/>
    <x v="5"/>
    <n v="670"/>
    <n v="2"/>
    <d v="2003-05-01T00:00:00"/>
    <n v="100000"/>
    <m/>
    <m/>
    <n v="10"/>
    <m/>
    <s v="h"/>
    <n v="0.5"/>
    <m/>
    <m/>
    <m/>
    <s v="Harvest, &lt; 3 pens"/>
    <m/>
    <n v="1000000"/>
    <n v="50000"/>
    <n v="20000"/>
  </r>
  <r>
    <n v="2"/>
    <d v="2005-04-01T00:00:00"/>
    <x v="3"/>
    <x v="5"/>
    <n v="701"/>
    <n v="2"/>
    <d v="2003-05-01T00:00:00"/>
    <n v="80000"/>
    <m/>
    <m/>
    <n v="12"/>
    <m/>
    <s v="h"/>
    <n v="0.6"/>
    <m/>
    <m/>
    <m/>
    <s v="Harvest, &lt; 3 pens"/>
    <m/>
    <n v="960000"/>
    <n v="48000"/>
    <n v="19200"/>
  </r>
  <r>
    <n v="2"/>
    <d v="2005-05-01T00:00:00"/>
    <x v="4"/>
    <x v="5"/>
    <n v="731"/>
    <n v="2"/>
    <d v="2003-05-01T00:00:00"/>
    <n v="60000"/>
    <m/>
    <m/>
    <n v="13"/>
    <m/>
    <s v="h"/>
    <n v="0.7"/>
    <m/>
    <m/>
    <m/>
    <s v="Harvest, &lt; 3 pens"/>
    <m/>
    <n v="780000"/>
    <n v="42000"/>
    <n v="16800"/>
  </r>
  <r>
    <n v="2"/>
    <d v="2005-06-01T00:00:00"/>
    <x v="5"/>
    <x v="5"/>
    <n v="762"/>
    <n v="2"/>
    <d v="2003-05-01T00:00:00"/>
    <n v="40000"/>
    <m/>
    <m/>
    <n v="14"/>
    <m/>
    <s v="h"/>
    <n v="0.8"/>
    <m/>
    <m/>
    <m/>
    <s v="Harvest, &lt; 3 pens"/>
    <m/>
    <n v="560000"/>
    <n v="32000"/>
    <n v="12800"/>
  </r>
  <r>
    <n v="2"/>
    <d v="2005-07-01T00:00:00"/>
    <x v="6"/>
    <x v="5"/>
    <n v="792"/>
    <n v="2"/>
    <d v="2003-05-01T00:00:00"/>
    <n v="20000"/>
    <m/>
    <m/>
    <n v="15"/>
    <m/>
    <s v="h"/>
    <n v="0.9"/>
    <m/>
    <m/>
    <m/>
    <s v="Harvest, &lt; 3 pens"/>
    <m/>
    <n v="300000"/>
    <n v="18000"/>
    <n v="7200"/>
  </r>
  <r>
    <n v="2"/>
    <d v="2005-08-01T00:00:00"/>
    <x v="7"/>
    <x v="5"/>
    <m/>
    <m/>
    <m/>
    <m/>
    <m/>
    <m/>
    <m/>
    <m/>
    <m/>
    <m/>
    <m/>
    <m/>
    <m/>
    <m/>
    <m/>
    <m/>
    <m/>
    <m/>
  </r>
  <r>
    <n v="2"/>
    <d v="2005-09-01T00:00:00"/>
    <x v="8"/>
    <x v="5"/>
    <m/>
    <m/>
    <m/>
    <m/>
    <m/>
    <m/>
    <m/>
    <m/>
    <m/>
    <m/>
    <m/>
    <m/>
    <m/>
    <m/>
    <m/>
    <m/>
    <m/>
    <m/>
  </r>
  <r>
    <n v="2"/>
    <d v="2005-10-01T00:00:00"/>
    <x v="9"/>
    <x v="5"/>
    <m/>
    <m/>
    <m/>
    <m/>
    <m/>
    <m/>
    <m/>
    <m/>
    <m/>
    <m/>
    <m/>
    <m/>
    <m/>
    <m/>
    <m/>
    <m/>
    <m/>
    <m/>
  </r>
  <r>
    <n v="2"/>
    <d v="2005-11-01T00:00:00"/>
    <x v="10"/>
    <x v="5"/>
    <m/>
    <m/>
    <m/>
    <m/>
    <m/>
    <m/>
    <m/>
    <m/>
    <m/>
    <m/>
    <m/>
    <m/>
    <m/>
    <m/>
    <m/>
    <m/>
    <m/>
    <m/>
  </r>
  <r>
    <n v="2"/>
    <d v="2005-12-01T00:00:00"/>
    <x v="11"/>
    <x v="5"/>
    <m/>
    <m/>
    <m/>
    <m/>
    <m/>
    <m/>
    <m/>
    <m/>
    <m/>
    <m/>
    <m/>
    <m/>
    <m/>
    <m/>
    <m/>
    <m/>
    <m/>
    <m/>
  </r>
  <r>
    <n v="2"/>
    <d v="2006-01-01T00:00:00"/>
    <x v="0"/>
    <x v="6"/>
    <m/>
    <m/>
    <m/>
    <m/>
    <m/>
    <m/>
    <m/>
    <m/>
    <m/>
    <m/>
    <m/>
    <m/>
    <m/>
    <m/>
    <m/>
    <m/>
    <m/>
    <m/>
  </r>
  <r>
    <n v="2"/>
    <d v="2006-02-01T00:00:00"/>
    <x v="1"/>
    <x v="6"/>
    <n v="365"/>
    <n v="2"/>
    <d v="2005-02-01T00:00:00"/>
    <m/>
    <m/>
    <m/>
    <m/>
    <m/>
    <m/>
    <m/>
    <m/>
    <m/>
    <m/>
    <m/>
    <m/>
    <m/>
    <m/>
    <m/>
  </r>
  <r>
    <n v="2"/>
    <d v="2006-03-01T00:00:00"/>
    <x v="2"/>
    <x v="6"/>
    <n v="393"/>
    <n v="2"/>
    <d v="2005-02-01T00:00:00"/>
    <n v="200270"/>
    <n v="0.05"/>
    <n v="0.03"/>
    <n v="0.03"/>
    <m/>
    <m/>
    <n v="0"/>
    <m/>
    <n v="7"/>
    <n v="31"/>
    <s v="fish moved?"/>
    <n v="6008.0999999999995"/>
    <n v="6008.0999999999995"/>
    <n v="0"/>
    <n v="0"/>
  </r>
  <r>
    <n v="2"/>
    <d v="2006-04-01T00:00:00"/>
    <x v="3"/>
    <x v="6"/>
    <n v="424"/>
    <n v="2"/>
    <d v="2005-02-01T00:00:00"/>
    <n v="200145"/>
    <n v="2.0499999999999998"/>
    <n v="0.57999999999999996"/>
    <n v="0.02"/>
    <n v="0"/>
    <m/>
    <n v="0.57999999999999996"/>
    <m/>
    <n v="8"/>
    <n v="31"/>
    <m/>
    <n v="116084.09999999999"/>
    <n v="4002.9"/>
    <n v="116084.09999999999"/>
    <n v="46433.64"/>
  </r>
  <r>
    <n v="2"/>
    <d v="2006-05-01T00:00:00"/>
    <x v="4"/>
    <x v="6"/>
    <n v="454"/>
    <n v="2"/>
    <d v="2005-02-01T00:00:00"/>
    <n v="199936"/>
    <n v="0"/>
    <n v="4.9800000000000004"/>
    <n v="2.35"/>
    <n v="2"/>
    <m/>
    <n v="1.22"/>
    <n v="1"/>
    <n v="9"/>
    <n v="34"/>
    <m/>
    <n v="995681.28000000003"/>
    <n v="469849.60000000003"/>
    <n v="243921.91999999998"/>
    <n v="97568.767999999996"/>
  </r>
  <r>
    <n v="2"/>
    <d v="2006-06-01T00:00:00"/>
    <x v="5"/>
    <x v="6"/>
    <n v="485"/>
    <n v="2"/>
    <d v="2005-02-01T00:00:00"/>
    <n v="199860"/>
    <n v="0"/>
    <n v="1.82"/>
    <n v="0.95"/>
    <n v="0"/>
    <m/>
    <n v="0.02"/>
    <m/>
    <n v="10"/>
    <n v="26"/>
    <m/>
    <n v="363745.2"/>
    <n v="189867"/>
    <n v="3997.2000000000003"/>
    <n v="1598.88"/>
  </r>
  <r>
    <n v="2"/>
    <d v="2006-07-01T00:00:00"/>
    <x v="6"/>
    <x v="6"/>
    <n v="515"/>
    <n v="2"/>
    <d v="2005-02-01T00:00:00"/>
    <n v="199743"/>
    <n v="0.02"/>
    <n v="0.13"/>
    <n v="0.1"/>
    <n v="0"/>
    <m/>
    <n v="0"/>
    <m/>
    <n v="11"/>
    <n v="29"/>
    <m/>
    <n v="25966.59"/>
    <n v="19974.300000000003"/>
    <n v="0"/>
    <n v="0"/>
  </r>
  <r>
    <n v="2"/>
    <d v="2006-08-01T00:00:00"/>
    <x v="7"/>
    <x v="6"/>
    <n v="546"/>
    <n v="2"/>
    <d v="2005-02-01T00:00:00"/>
    <n v="238924"/>
    <n v="0.53333330000000001"/>
    <n v="0.25"/>
    <n v="0.2"/>
    <n v="0"/>
    <m/>
    <n v="0.1833333"/>
    <m/>
    <n v="11"/>
    <n v="29"/>
    <m/>
    <n v="59731"/>
    <n v="47784.800000000003"/>
    <n v="43802.725369200001"/>
    <n v="17521.090147680003"/>
  </r>
  <r>
    <n v="2"/>
    <d v="2006-09-01T00:00:00"/>
    <x v="8"/>
    <x v="6"/>
    <n v="577"/>
    <n v="2"/>
    <d v="2005-02-01T00:00:00"/>
    <n v="199310"/>
    <n v="0.95"/>
    <n v="0.83"/>
    <n v="0.3"/>
    <m/>
    <m/>
    <n v="1.33"/>
    <m/>
    <n v="10"/>
    <n v="29"/>
    <s v="start harvesting"/>
    <n v="165427.29999999999"/>
    <n v="59793"/>
    <n v="265082.3"/>
    <n v="106032.92"/>
  </r>
  <r>
    <n v="2"/>
    <d v="2006-10-01T00:00:00"/>
    <x v="9"/>
    <x v="6"/>
    <n v="607"/>
    <n v="2"/>
    <d v="2005-02-01T00:00:00"/>
    <n v="155664"/>
    <m/>
    <m/>
    <n v="0.4"/>
    <m/>
    <s v="h"/>
    <n v="1.8"/>
    <m/>
    <m/>
    <m/>
    <m/>
    <m/>
    <n v="62265.600000000006"/>
    <n v="280195.20000000001"/>
    <n v="112078.08000000002"/>
  </r>
  <r>
    <n v="2"/>
    <d v="2006-11-01T00:00:00"/>
    <x v="10"/>
    <x v="6"/>
    <m/>
    <m/>
    <m/>
    <m/>
    <m/>
    <m/>
    <m/>
    <m/>
    <m/>
    <m/>
    <m/>
    <m/>
    <m/>
    <s v="empty"/>
    <m/>
    <m/>
    <m/>
    <m/>
  </r>
  <r>
    <n v="2"/>
    <d v="2006-12-01T00:00:00"/>
    <x v="11"/>
    <x v="6"/>
    <m/>
    <m/>
    <m/>
    <m/>
    <m/>
    <m/>
    <m/>
    <m/>
    <m/>
    <m/>
    <m/>
    <m/>
    <m/>
    <m/>
    <m/>
    <m/>
    <m/>
    <m/>
  </r>
  <r>
    <n v="2"/>
    <d v="2007-01-01T00:00:00"/>
    <x v="0"/>
    <x v="7"/>
    <m/>
    <m/>
    <m/>
    <m/>
    <m/>
    <m/>
    <m/>
    <m/>
    <m/>
    <m/>
    <m/>
    <m/>
    <m/>
    <m/>
    <m/>
    <m/>
    <m/>
    <m/>
  </r>
  <r>
    <n v="2"/>
    <d v="2007-02-01T00:00:00"/>
    <x v="1"/>
    <x v="7"/>
    <m/>
    <m/>
    <m/>
    <m/>
    <m/>
    <m/>
    <m/>
    <m/>
    <m/>
    <m/>
    <m/>
    <m/>
    <m/>
    <m/>
    <m/>
    <m/>
    <m/>
    <m/>
  </r>
  <r>
    <n v="2"/>
    <d v="2007-03-01T00:00:00"/>
    <x v="2"/>
    <x v="7"/>
    <m/>
    <m/>
    <m/>
    <m/>
    <m/>
    <m/>
    <m/>
    <m/>
    <m/>
    <m/>
    <m/>
    <m/>
    <m/>
    <m/>
    <m/>
    <m/>
    <m/>
    <m/>
  </r>
  <r>
    <n v="2"/>
    <d v="2007-04-01T00:00:00"/>
    <x v="3"/>
    <x v="7"/>
    <m/>
    <m/>
    <m/>
    <m/>
    <m/>
    <m/>
    <m/>
    <m/>
    <m/>
    <m/>
    <m/>
    <m/>
    <m/>
    <m/>
    <m/>
    <m/>
    <m/>
    <m/>
  </r>
  <r>
    <n v="2"/>
    <d v="2007-05-01T00:00:00"/>
    <x v="4"/>
    <x v="7"/>
    <m/>
    <m/>
    <m/>
    <m/>
    <m/>
    <m/>
    <m/>
    <m/>
    <m/>
    <m/>
    <m/>
    <m/>
    <m/>
    <m/>
    <m/>
    <m/>
    <m/>
    <m/>
  </r>
  <r>
    <n v="2"/>
    <d v="2007-06-01T00:00:00"/>
    <x v="5"/>
    <x v="7"/>
    <m/>
    <m/>
    <m/>
    <m/>
    <m/>
    <m/>
    <m/>
    <m/>
    <m/>
    <m/>
    <m/>
    <m/>
    <m/>
    <m/>
    <m/>
    <m/>
    <m/>
    <m/>
  </r>
  <r>
    <n v="2"/>
    <d v="2007-07-01T00:00:00"/>
    <x v="6"/>
    <x v="7"/>
    <m/>
    <m/>
    <m/>
    <m/>
    <m/>
    <m/>
    <m/>
    <m/>
    <m/>
    <m/>
    <m/>
    <m/>
    <m/>
    <m/>
    <m/>
    <m/>
    <m/>
    <m/>
  </r>
  <r>
    <n v="2"/>
    <d v="2007-08-01T00:00:00"/>
    <x v="7"/>
    <x v="7"/>
    <m/>
    <m/>
    <m/>
    <m/>
    <m/>
    <m/>
    <m/>
    <m/>
    <m/>
    <m/>
    <m/>
    <m/>
    <m/>
    <m/>
    <m/>
    <m/>
    <m/>
    <m/>
  </r>
  <r>
    <n v="2"/>
    <d v="2007-09-01T00:00:00"/>
    <x v="8"/>
    <x v="7"/>
    <m/>
    <m/>
    <m/>
    <m/>
    <m/>
    <m/>
    <m/>
    <m/>
    <m/>
    <m/>
    <m/>
    <m/>
    <m/>
    <m/>
    <m/>
    <m/>
    <m/>
    <m/>
  </r>
  <r>
    <n v="2"/>
    <d v="2007-10-01T00:00:00"/>
    <x v="9"/>
    <x v="7"/>
    <m/>
    <m/>
    <m/>
    <m/>
    <m/>
    <m/>
    <m/>
    <m/>
    <m/>
    <m/>
    <m/>
    <m/>
    <m/>
    <m/>
    <m/>
    <m/>
    <m/>
    <m/>
  </r>
  <r>
    <n v="2"/>
    <d v="2007-11-01T00:00:00"/>
    <x v="10"/>
    <x v="7"/>
    <m/>
    <m/>
    <m/>
    <m/>
    <m/>
    <m/>
    <m/>
    <m/>
    <m/>
    <m/>
    <m/>
    <m/>
    <m/>
    <m/>
    <m/>
    <m/>
    <m/>
    <m/>
  </r>
  <r>
    <n v="2"/>
    <d v="2007-12-01T00:00:00"/>
    <x v="11"/>
    <x v="7"/>
    <m/>
    <m/>
    <m/>
    <m/>
    <m/>
    <m/>
    <m/>
    <m/>
    <m/>
    <m/>
    <m/>
    <m/>
    <m/>
    <m/>
    <m/>
    <m/>
    <m/>
    <m/>
  </r>
  <r>
    <n v="2"/>
    <d v="2008-01-01T00:00:00"/>
    <x v="0"/>
    <x v="8"/>
    <m/>
    <m/>
    <m/>
    <m/>
    <m/>
    <m/>
    <m/>
    <m/>
    <m/>
    <m/>
    <m/>
    <m/>
    <m/>
    <m/>
    <m/>
    <m/>
    <m/>
    <m/>
  </r>
  <r>
    <n v="2"/>
    <d v="2008-02-01T00:00:00"/>
    <x v="1"/>
    <x v="8"/>
    <m/>
    <m/>
    <m/>
    <m/>
    <m/>
    <m/>
    <m/>
    <m/>
    <m/>
    <m/>
    <m/>
    <m/>
    <m/>
    <m/>
    <m/>
    <m/>
    <m/>
    <m/>
  </r>
  <r>
    <n v="2"/>
    <d v="2008-03-01T00:00:00"/>
    <x v="2"/>
    <x v="8"/>
    <m/>
    <m/>
    <m/>
    <m/>
    <m/>
    <m/>
    <m/>
    <m/>
    <m/>
    <m/>
    <m/>
    <m/>
    <m/>
    <m/>
    <m/>
    <m/>
    <m/>
    <m/>
  </r>
  <r>
    <n v="2"/>
    <d v="2008-04-01T00:00:00"/>
    <x v="3"/>
    <x v="8"/>
    <n v="0"/>
    <n v="1"/>
    <d v="2008-04-01T00:00:00"/>
    <n v="493088"/>
    <m/>
    <m/>
    <n v="0"/>
    <m/>
    <s v="s"/>
    <n v="0"/>
    <m/>
    <m/>
    <m/>
    <s v="fish stocked"/>
    <m/>
    <n v="0"/>
    <n v="0"/>
    <n v="0"/>
  </r>
  <r>
    <n v="2"/>
    <d v="2008-05-01T00:00:00"/>
    <x v="4"/>
    <x v="8"/>
    <n v="30"/>
    <n v="1"/>
    <d v="2008-04-01T00:00:00"/>
    <n v="565474"/>
    <n v="0.05"/>
    <n v="0.3"/>
    <n v="0.11666666666666665"/>
    <m/>
    <m/>
    <n v="6.6666666666666666E-2"/>
    <m/>
    <n v="9"/>
    <n v="29"/>
    <m/>
    <n v="169642.19999999998"/>
    <n v="65971.96666666666"/>
    <n v="37698.266666666663"/>
    <n v="15079.306666666665"/>
  </r>
  <r>
    <n v="2"/>
    <d v="2008-06-01T00:00:00"/>
    <x v="5"/>
    <x v="8"/>
    <n v="61"/>
    <n v="1"/>
    <d v="2008-04-01T00:00:00"/>
    <n v="564003"/>
    <n v="0.1"/>
    <n v="0.26666666666666666"/>
    <n v="0.1"/>
    <n v="0"/>
    <m/>
    <n v="0.05"/>
    <m/>
    <m/>
    <m/>
    <m/>
    <n v="150400.79999999999"/>
    <n v="56400.3"/>
    <n v="28200.15"/>
    <n v="11280.060000000001"/>
  </r>
  <r>
    <n v="2"/>
    <d v="2008-07-01T00:00:00"/>
    <x v="6"/>
    <x v="8"/>
    <n v="91"/>
    <n v="1"/>
    <d v="2008-04-01T00:00:00"/>
    <n v="471000"/>
    <n v="0.27"/>
    <n v="7.0000000000000007E-2"/>
    <n v="0"/>
    <n v="0"/>
    <m/>
    <n v="0.05"/>
    <m/>
    <m/>
    <m/>
    <m/>
    <n v="32970"/>
    <n v="0"/>
    <n v="23550"/>
    <n v="9420"/>
  </r>
  <r>
    <n v="2"/>
    <d v="2008-08-01T00:00:00"/>
    <x v="7"/>
    <x v="8"/>
    <n v="122"/>
    <n v="1"/>
    <d v="2008-04-01T00:00:00"/>
    <n v="471000"/>
    <n v="0.25"/>
    <n v="0.63"/>
    <n v="0.12"/>
    <n v="0"/>
    <m/>
    <n v="0.08"/>
    <m/>
    <m/>
    <m/>
    <m/>
    <n v="296730"/>
    <n v="56520"/>
    <n v="37680"/>
    <n v="15072"/>
  </r>
  <r>
    <n v="2"/>
    <d v="2008-09-01T00:00:00"/>
    <x v="8"/>
    <x v="8"/>
    <n v="153"/>
    <n v="1"/>
    <d v="2008-04-01T00:00:00"/>
    <n v="460000"/>
    <n v="0.1"/>
    <n v="0.6"/>
    <n v="0.2"/>
    <n v="0"/>
    <m/>
    <n v="0.1"/>
    <m/>
    <m/>
    <m/>
    <m/>
    <n v="276000"/>
    <n v="92000"/>
    <n v="46000"/>
    <n v="18400"/>
  </r>
  <r>
    <n v="2"/>
    <d v="2008-10-01T00:00:00"/>
    <x v="9"/>
    <x v="8"/>
    <n v="183"/>
    <n v="1"/>
    <d v="2008-04-01T00:00:00"/>
    <n v="450000"/>
    <n v="1"/>
    <n v="0.87"/>
    <n v="0.47"/>
    <n v="0"/>
    <m/>
    <n v="0.4"/>
    <m/>
    <m/>
    <m/>
    <m/>
    <n v="391500"/>
    <n v="211500"/>
    <n v="180000"/>
    <n v="72000"/>
  </r>
  <r>
    <n v="2"/>
    <d v="2008-11-01T00:00:00"/>
    <x v="10"/>
    <x v="8"/>
    <n v="214"/>
    <n v="1"/>
    <d v="2008-04-01T00:00:00"/>
    <n v="450000"/>
    <n v="0.81666666666666676"/>
    <n v="1.6333333333333331"/>
    <n v="0.5"/>
    <n v="0"/>
    <m/>
    <n v="0.33333333333333331"/>
    <m/>
    <m/>
    <m/>
    <m/>
    <n v="734999.99999999988"/>
    <n v="225000"/>
    <n v="150000"/>
    <n v="60000"/>
  </r>
  <r>
    <n v="2"/>
    <d v="2008-12-01T00:00:00"/>
    <x v="11"/>
    <x v="8"/>
    <n v="244"/>
    <n v="1"/>
    <d v="2008-04-01T00:00:00"/>
    <n v="449000"/>
    <n v="2.95"/>
    <n v="1.9750000000000001"/>
    <n v="0.5"/>
    <n v="0"/>
    <m/>
    <n v="1.9"/>
    <m/>
    <m/>
    <m/>
    <m/>
    <n v="886775"/>
    <n v="224500"/>
    <n v="853100"/>
    <n v="341240"/>
  </r>
  <r>
    <n v="2"/>
    <d v="2009-01-01T00:00:00"/>
    <x v="0"/>
    <x v="9"/>
    <n v="275"/>
    <n v="1"/>
    <d v="2008-04-01T00:00:00"/>
    <n v="447776"/>
    <n v="1.5166666666666666"/>
    <n v="1.8833333333333335"/>
    <n v="0.45"/>
    <n v="0"/>
    <m/>
    <n v="0.28333333333333338"/>
    <m/>
    <m/>
    <m/>
    <m/>
    <n v="843311.46666666679"/>
    <n v="201499.2"/>
    <n v="126869.86666666668"/>
    <n v="50747.946666666678"/>
  </r>
  <r>
    <n v="2"/>
    <d v="2009-02-01T00:00:00"/>
    <x v="1"/>
    <x v="9"/>
    <n v="306"/>
    <n v="1"/>
    <d v="2008-04-01T00:00:00"/>
    <n v="344170"/>
    <n v="0.05"/>
    <n v="1.1000000000000001"/>
    <n v="0.35"/>
    <n v="2"/>
    <m/>
    <n v="0"/>
    <n v="1"/>
    <m/>
    <m/>
    <m/>
    <n v="378587.00000000006"/>
    <n v="120459.49999999999"/>
    <n v="0"/>
    <n v="0"/>
  </r>
  <r>
    <n v="2"/>
    <d v="2009-03-01T00:00:00"/>
    <x v="2"/>
    <x v="9"/>
    <n v="334"/>
    <n v="1"/>
    <d v="2008-04-01T00:00:00"/>
    <n v="172085"/>
    <n v="0.16666666666666666"/>
    <n v="0.13333333333333333"/>
    <n v="8.3333333333333329E-2"/>
    <m/>
    <m/>
    <n v="1.6666666666666666E-2"/>
    <m/>
    <m/>
    <m/>
    <s v="fish moved to farm #6"/>
    <n v="22944.666666666668"/>
    <n v="14340.416666666666"/>
    <n v="2868.0833333333335"/>
    <n v="1147.2333333333333"/>
  </r>
  <r>
    <n v="2"/>
    <d v="2009-04-01T00:00:00"/>
    <x v="3"/>
    <x v="9"/>
    <m/>
    <m/>
    <m/>
    <m/>
    <m/>
    <m/>
    <m/>
    <m/>
    <m/>
    <m/>
    <m/>
    <m/>
    <m/>
    <m/>
    <m/>
    <m/>
    <m/>
    <m/>
  </r>
  <r>
    <n v="2"/>
    <d v="2009-05-01T00:00:00"/>
    <x v="4"/>
    <x v="9"/>
    <m/>
    <m/>
    <m/>
    <m/>
    <m/>
    <m/>
    <m/>
    <m/>
    <m/>
    <m/>
    <m/>
    <m/>
    <m/>
    <m/>
    <m/>
    <m/>
    <m/>
    <m/>
  </r>
  <r>
    <n v="2"/>
    <d v="2009-06-01T00:00:00"/>
    <x v="5"/>
    <x v="9"/>
    <m/>
    <m/>
    <m/>
    <m/>
    <m/>
    <m/>
    <m/>
    <m/>
    <m/>
    <m/>
    <m/>
    <m/>
    <m/>
    <m/>
    <m/>
    <m/>
    <m/>
    <m/>
  </r>
  <r>
    <n v="2"/>
    <d v="2009-07-01T00:00:00"/>
    <x v="6"/>
    <x v="9"/>
    <m/>
    <m/>
    <m/>
    <m/>
    <m/>
    <m/>
    <m/>
    <m/>
    <m/>
    <m/>
    <m/>
    <m/>
    <m/>
    <m/>
    <m/>
    <m/>
    <m/>
    <m/>
  </r>
  <r>
    <n v="2"/>
    <d v="2009-08-01T00:00:00"/>
    <x v="7"/>
    <x v="9"/>
    <m/>
    <m/>
    <m/>
    <m/>
    <m/>
    <m/>
    <m/>
    <m/>
    <m/>
    <m/>
    <m/>
    <m/>
    <m/>
    <m/>
    <m/>
    <m/>
    <m/>
    <m/>
  </r>
  <r>
    <n v="2"/>
    <d v="2009-09-01T00:00:00"/>
    <x v="8"/>
    <x v="9"/>
    <m/>
    <m/>
    <m/>
    <m/>
    <m/>
    <m/>
    <m/>
    <m/>
    <m/>
    <m/>
    <m/>
    <m/>
    <m/>
    <m/>
    <m/>
    <m/>
    <m/>
    <m/>
  </r>
  <r>
    <n v="2"/>
    <d v="2009-10-01T00:00:00"/>
    <x v="9"/>
    <x v="9"/>
    <m/>
    <m/>
    <m/>
    <m/>
    <m/>
    <m/>
    <m/>
    <m/>
    <m/>
    <m/>
    <m/>
    <m/>
    <m/>
    <m/>
    <m/>
    <m/>
    <m/>
    <m/>
  </r>
  <r>
    <n v="2"/>
    <d v="2009-11-01T00:00:00"/>
    <x v="10"/>
    <x v="9"/>
    <m/>
    <m/>
    <m/>
    <m/>
    <m/>
    <m/>
    <m/>
    <m/>
    <m/>
    <m/>
    <m/>
    <m/>
    <m/>
    <m/>
    <m/>
    <m/>
    <m/>
    <m/>
  </r>
  <r>
    <n v="2"/>
    <d v="2009-12-01T00:00:00"/>
    <x v="11"/>
    <x v="9"/>
    <m/>
    <m/>
    <m/>
    <m/>
    <m/>
    <m/>
    <m/>
    <m/>
    <m/>
    <m/>
    <m/>
    <m/>
    <m/>
    <m/>
    <m/>
    <m/>
    <m/>
    <m/>
  </r>
  <r>
    <n v="3"/>
    <d v="2000-01-01T00:00:00"/>
    <x v="0"/>
    <x v="0"/>
    <n v="457"/>
    <n v="2"/>
    <d v="1998-10-01T00:00:00"/>
    <n v="385025"/>
    <m/>
    <m/>
    <m/>
    <m/>
    <m/>
    <m/>
    <m/>
    <m/>
    <m/>
    <m/>
    <m/>
    <m/>
    <m/>
    <m/>
  </r>
  <r>
    <n v="3"/>
    <d v="2000-02-01T00:00:00"/>
    <x v="1"/>
    <x v="0"/>
    <n v="488"/>
    <n v="2"/>
    <d v="1998-10-01T00:00:00"/>
    <n v="376945"/>
    <m/>
    <m/>
    <m/>
    <m/>
    <m/>
    <m/>
    <m/>
    <m/>
    <m/>
    <m/>
    <m/>
    <m/>
    <m/>
    <m/>
  </r>
  <r>
    <n v="3"/>
    <d v="2000-03-01T00:00:00"/>
    <x v="2"/>
    <x v="0"/>
    <n v="517"/>
    <n v="2"/>
    <d v="1998-10-01T00:00:00"/>
    <n v="373346"/>
    <m/>
    <m/>
    <m/>
    <m/>
    <m/>
    <m/>
    <m/>
    <m/>
    <m/>
    <m/>
    <m/>
    <m/>
    <m/>
    <m/>
  </r>
  <r>
    <n v="3"/>
    <d v="2000-04-01T00:00:00"/>
    <x v="3"/>
    <x v="0"/>
    <n v="548"/>
    <n v="2"/>
    <d v="1998-10-01T00:00:00"/>
    <n v="371803"/>
    <n v="2.6749999999999998"/>
    <n v="18.75"/>
    <n v="7.125"/>
    <m/>
    <m/>
    <n v="1.45"/>
    <m/>
    <m/>
    <m/>
    <m/>
    <n v="6971306.25"/>
    <n v="2649096.375"/>
    <n v="539114.35"/>
    <n v="215645.74"/>
  </r>
  <r>
    <n v="3"/>
    <d v="2000-05-01T00:00:00"/>
    <x v="4"/>
    <x v="0"/>
    <n v="578"/>
    <n v="2"/>
    <d v="1998-10-01T00:00:00"/>
    <n v="368740"/>
    <n v="2.6166666666666667"/>
    <n v="34.774999999999999"/>
    <n v="15.574999999999999"/>
    <n v="0"/>
    <m/>
    <n v="0.11666666666666665"/>
    <n v="0.5"/>
    <m/>
    <m/>
    <s v="From Emergency Drug Release information - most likely partial tx (i.e., treated fish not harvested until a few months later)"/>
    <n v="12822933.5"/>
    <n v="5743125.5"/>
    <n v="43019.666666666664"/>
    <n v="17207.866666666665"/>
  </r>
  <r>
    <n v="3"/>
    <d v="2000-06-01T00:00:00"/>
    <x v="5"/>
    <x v="0"/>
    <n v="609"/>
    <n v="2"/>
    <d v="1998-10-01T00:00:00"/>
    <n v="309874"/>
    <n v="2.2999999999999998"/>
    <n v="36.637500000000003"/>
    <n v="17.535"/>
    <n v="2"/>
    <m/>
    <n v="7.4999999999999997E-2"/>
    <m/>
    <m/>
    <m/>
    <s v="harvest"/>
    <n v="11353008.675000001"/>
    <n v="5433640.5899999999"/>
    <n v="23240.55"/>
    <n v="9296.2199999999993"/>
  </r>
  <r>
    <n v="3"/>
    <d v="2000-07-01T00:00:00"/>
    <x v="6"/>
    <x v="0"/>
    <n v="639"/>
    <n v="2"/>
    <d v="1998-10-01T00:00:00"/>
    <n v="232438"/>
    <n v="0.42499999999999999"/>
    <n v="10.75"/>
    <n v="6.2374999999999998"/>
    <n v="0"/>
    <m/>
    <n v="0"/>
    <m/>
    <m/>
    <m/>
    <m/>
    <n v="2498708.5"/>
    <n v="1449832.0249999999"/>
    <n v="0"/>
    <n v="0"/>
  </r>
  <r>
    <n v="3"/>
    <d v="2000-08-01T00:00:00"/>
    <x v="7"/>
    <x v="0"/>
    <n v="670"/>
    <n v="2"/>
    <d v="1998-10-01T00:00:00"/>
    <n v="179965"/>
    <n v="0.28999999999999998"/>
    <n v="2.75"/>
    <n v="1.81"/>
    <m/>
    <m/>
    <n v="0"/>
    <m/>
    <m/>
    <m/>
    <m/>
    <n v="494903.75"/>
    <n v="325736.65000000002"/>
    <n v="0"/>
    <n v="0"/>
  </r>
  <r>
    <n v="3"/>
    <d v="2000-09-01T00:00:00"/>
    <x v="8"/>
    <x v="0"/>
    <n v="701"/>
    <n v="2"/>
    <d v="1998-10-01T00:00:00"/>
    <n v="109308"/>
    <m/>
    <m/>
    <m/>
    <m/>
    <m/>
    <m/>
    <m/>
    <m/>
    <m/>
    <m/>
    <m/>
    <m/>
    <m/>
    <m/>
  </r>
  <r>
    <n v="3"/>
    <d v="2000-10-01T00:00:00"/>
    <x v="9"/>
    <x v="0"/>
    <n v="731"/>
    <n v="2"/>
    <d v="1998-10-01T00:00:00"/>
    <n v="19450"/>
    <m/>
    <m/>
    <m/>
    <m/>
    <m/>
    <m/>
    <m/>
    <m/>
    <m/>
    <m/>
    <m/>
    <m/>
    <m/>
    <m/>
  </r>
  <r>
    <n v="3"/>
    <d v="2000-11-01T00:00:00"/>
    <x v="10"/>
    <x v="0"/>
    <m/>
    <m/>
    <m/>
    <m/>
    <m/>
    <m/>
    <m/>
    <m/>
    <m/>
    <m/>
    <m/>
    <m/>
    <m/>
    <m/>
    <m/>
    <m/>
    <m/>
    <m/>
  </r>
  <r>
    <n v="3"/>
    <d v="2000-12-01T00:00:00"/>
    <x v="11"/>
    <x v="0"/>
    <m/>
    <m/>
    <m/>
    <m/>
    <m/>
    <m/>
    <m/>
    <m/>
    <m/>
    <m/>
    <m/>
    <m/>
    <m/>
    <m/>
    <m/>
    <m/>
    <m/>
    <m/>
  </r>
  <r>
    <n v="3"/>
    <d v="2001-01-01T00:00:00"/>
    <x v="0"/>
    <x v="1"/>
    <m/>
    <m/>
    <m/>
    <m/>
    <m/>
    <m/>
    <m/>
    <m/>
    <m/>
    <m/>
    <m/>
    <m/>
    <m/>
    <m/>
    <m/>
    <m/>
    <m/>
    <m/>
  </r>
  <r>
    <n v="3"/>
    <d v="2001-02-01T00:00:00"/>
    <x v="1"/>
    <x v="1"/>
    <m/>
    <m/>
    <m/>
    <m/>
    <m/>
    <m/>
    <m/>
    <m/>
    <m/>
    <m/>
    <m/>
    <m/>
    <m/>
    <m/>
    <m/>
    <m/>
    <m/>
    <m/>
  </r>
  <r>
    <n v="3"/>
    <d v="2001-03-01T00:00:00"/>
    <x v="2"/>
    <x v="1"/>
    <m/>
    <m/>
    <m/>
    <m/>
    <m/>
    <m/>
    <m/>
    <m/>
    <m/>
    <m/>
    <m/>
    <m/>
    <m/>
    <m/>
    <m/>
    <m/>
    <m/>
    <m/>
  </r>
  <r>
    <n v="3"/>
    <d v="2001-04-01T00:00:00"/>
    <x v="3"/>
    <x v="1"/>
    <m/>
    <m/>
    <m/>
    <m/>
    <m/>
    <m/>
    <m/>
    <m/>
    <m/>
    <m/>
    <m/>
    <m/>
    <m/>
    <m/>
    <m/>
    <m/>
    <m/>
    <m/>
  </r>
  <r>
    <n v="3"/>
    <d v="2001-05-01T00:00:00"/>
    <x v="4"/>
    <x v="1"/>
    <m/>
    <m/>
    <m/>
    <m/>
    <m/>
    <m/>
    <m/>
    <m/>
    <m/>
    <m/>
    <m/>
    <m/>
    <m/>
    <m/>
    <m/>
    <m/>
    <m/>
    <m/>
  </r>
  <r>
    <n v="3"/>
    <d v="2001-06-01T00:00:00"/>
    <x v="5"/>
    <x v="1"/>
    <m/>
    <m/>
    <m/>
    <m/>
    <m/>
    <m/>
    <m/>
    <m/>
    <m/>
    <m/>
    <m/>
    <m/>
    <m/>
    <m/>
    <m/>
    <m/>
    <m/>
    <m/>
  </r>
  <r>
    <n v="3"/>
    <d v="2001-07-01T00:00:00"/>
    <x v="6"/>
    <x v="1"/>
    <n v="273"/>
    <n v="1"/>
    <d v="2000-10-01T00:00:00"/>
    <n v="512868"/>
    <m/>
    <m/>
    <m/>
    <m/>
    <m/>
    <m/>
    <m/>
    <m/>
    <m/>
    <s v="transferred from farm #8"/>
    <m/>
    <m/>
    <m/>
    <m/>
  </r>
  <r>
    <n v="3"/>
    <d v="2001-08-01T00:00:00"/>
    <x v="7"/>
    <x v="1"/>
    <n v="304"/>
    <n v="1"/>
    <d v="2000-10-01T00:00:00"/>
    <n v="512743"/>
    <m/>
    <m/>
    <m/>
    <m/>
    <m/>
    <m/>
    <m/>
    <m/>
    <m/>
    <m/>
    <m/>
    <m/>
    <m/>
    <m/>
  </r>
  <r>
    <n v="3"/>
    <d v="2001-09-01T00:00:00"/>
    <x v="8"/>
    <x v="1"/>
    <n v="335"/>
    <n v="1"/>
    <d v="2000-10-01T00:00:00"/>
    <n v="512500"/>
    <m/>
    <m/>
    <m/>
    <m/>
    <m/>
    <m/>
    <m/>
    <m/>
    <m/>
    <m/>
    <m/>
    <m/>
    <m/>
    <m/>
  </r>
  <r>
    <n v="3"/>
    <d v="2001-10-01T00:00:00"/>
    <x v="9"/>
    <x v="1"/>
    <n v="365"/>
    <n v="2"/>
    <d v="2000-10-01T00:00:00"/>
    <n v="512237"/>
    <m/>
    <m/>
    <m/>
    <m/>
    <m/>
    <m/>
    <m/>
    <m/>
    <m/>
    <m/>
    <m/>
    <m/>
    <m/>
    <m/>
  </r>
  <r>
    <n v="3"/>
    <d v="2001-11-01T00:00:00"/>
    <x v="10"/>
    <x v="1"/>
    <n v="396"/>
    <n v="2"/>
    <d v="2000-10-01T00:00:00"/>
    <n v="512761"/>
    <m/>
    <m/>
    <m/>
    <m/>
    <m/>
    <m/>
    <m/>
    <m/>
    <m/>
    <m/>
    <m/>
    <m/>
    <m/>
    <m/>
  </r>
  <r>
    <n v="3"/>
    <d v="2001-12-01T00:00:00"/>
    <x v="11"/>
    <x v="1"/>
    <n v="426"/>
    <n v="2"/>
    <d v="2000-10-01T00:00:00"/>
    <n v="512527"/>
    <m/>
    <m/>
    <m/>
    <m/>
    <m/>
    <m/>
    <m/>
    <m/>
    <m/>
    <m/>
    <m/>
    <m/>
    <m/>
    <m/>
  </r>
  <r>
    <n v="3"/>
    <d v="2002-01-01T00:00:00"/>
    <x v="0"/>
    <x v="2"/>
    <n v="457"/>
    <n v="2"/>
    <d v="2000-10-01T00:00:00"/>
    <n v="512142"/>
    <m/>
    <m/>
    <m/>
    <m/>
    <m/>
    <m/>
    <m/>
    <m/>
    <m/>
    <m/>
    <m/>
    <m/>
    <m/>
    <m/>
  </r>
  <r>
    <n v="3"/>
    <d v="2002-02-01T00:00:00"/>
    <x v="1"/>
    <x v="2"/>
    <n v="488"/>
    <n v="2"/>
    <d v="2000-10-01T00:00:00"/>
    <n v="511705"/>
    <m/>
    <m/>
    <m/>
    <m/>
    <m/>
    <m/>
    <m/>
    <m/>
    <m/>
    <m/>
    <m/>
    <m/>
    <m/>
    <m/>
  </r>
  <r>
    <n v="3"/>
    <d v="2002-03-01T00:00:00"/>
    <x v="2"/>
    <x v="2"/>
    <n v="516"/>
    <n v="2"/>
    <d v="2000-10-01T00:00:00"/>
    <n v="511169"/>
    <m/>
    <m/>
    <m/>
    <m/>
    <m/>
    <m/>
    <m/>
    <m/>
    <m/>
    <m/>
    <m/>
    <m/>
    <m/>
    <m/>
  </r>
  <r>
    <n v="3"/>
    <d v="2002-04-01T00:00:00"/>
    <x v="3"/>
    <x v="2"/>
    <n v="547"/>
    <n v="2"/>
    <d v="2000-10-01T00:00:00"/>
    <n v="510486"/>
    <m/>
    <m/>
    <m/>
    <m/>
    <m/>
    <m/>
    <m/>
    <m/>
    <m/>
    <m/>
    <m/>
    <m/>
    <m/>
    <m/>
  </r>
  <r>
    <n v="3"/>
    <d v="2002-05-01T00:00:00"/>
    <x v="4"/>
    <x v="2"/>
    <n v="577"/>
    <n v="2"/>
    <d v="2000-10-01T00:00:00"/>
    <n v="407565"/>
    <m/>
    <m/>
    <m/>
    <m/>
    <m/>
    <m/>
    <m/>
    <m/>
    <m/>
    <s v="harvesting"/>
    <m/>
    <m/>
    <m/>
    <m/>
  </r>
  <r>
    <n v="3"/>
    <d v="2002-06-01T00:00:00"/>
    <x v="5"/>
    <x v="2"/>
    <n v="608"/>
    <n v="2"/>
    <d v="2000-10-01T00:00:00"/>
    <n v="326963"/>
    <m/>
    <m/>
    <m/>
    <m/>
    <m/>
    <m/>
    <m/>
    <m/>
    <m/>
    <s v="harvesting"/>
    <m/>
    <m/>
    <m/>
    <m/>
  </r>
  <r>
    <n v="3"/>
    <d v="2002-07-01T00:00:00"/>
    <x v="6"/>
    <x v="2"/>
    <n v="638"/>
    <n v="2"/>
    <d v="2000-10-01T00:00:00"/>
    <n v="226598"/>
    <m/>
    <m/>
    <m/>
    <m/>
    <m/>
    <m/>
    <m/>
    <m/>
    <m/>
    <s v="harvesting"/>
    <m/>
    <m/>
    <m/>
    <m/>
  </r>
  <r>
    <n v="3"/>
    <d v="2002-08-01T00:00:00"/>
    <x v="7"/>
    <x v="2"/>
    <n v="669"/>
    <n v="2"/>
    <d v="2000-10-01T00:00:00"/>
    <n v="143628"/>
    <m/>
    <m/>
    <m/>
    <m/>
    <m/>
    <m/>
    <m/>
    <m/>
    <m/>
    <s v="harvesting"/>
    <m/>
    <m/>
    <m/>
    <m/>
  </r>
  <r>
    <n v="3"/>
    <d v="2002-09-01T00:00:00"/>
    <x v="8"/>
    <x v="2"/>
    <n v="700"/>
    <n v="2"/>
    <d v="2000-10-01T00:00:00"/>
    <n v="68667"/>
    <m/>
    <m/>
    <m/>
    <m/>
    <m/>
    <m/>
    <m/>
    <m/>
    <m/>
    <s v="harvesting"/>
    <m/>
    <m/>
    <m/>
    <m/>
  </r>
  <r>
    <n v="3"/>
    <d v="2002-10-01T00:00:00"/>
    <x v="9"/>
    <x v="2"/>
    <m/>
    <m/>
    <m/>
    <m/>
    <m/>
    <m/>
    <m/>
    <m/>
    <m/>
    <m/>
    <m/>
    <m/>
    <m/>
    <m/>
    <m/>
    <m/>
    <m/>
    <m/>
  </r>
  <r>
    <n v="3"/>
    <d v="2002-11-01T00:00:00"/>
    <x v="10"/>
    <x v="2"/>
    <n v="0"/>
    <n v="1"/>
    <d v="2002-11-02T00:00:00"/>
    <n v="188884"/>
    <m/>
    <m/>
    <m/>
    <m/>
    <m/>
    <m/>
    <m/>
    <m/>
    <m/>
    <s v="smolt entry"/>
    <m/>
    <m/>
    <m/>
    <m/>
  </r>
  <r>
    <n v="3"/>
    <d v="2002-12-01T00:00:00"/>
    <x v="11"/>
    <x v="2"/>
    <n v="29"/>
    <n v="1"/>
    <d v="2002-11-02T00:00:00"/>
    <n v="475022"/>
    <m/>
    <m/>
    <m/>
    <m/>
    <m/>
    <m/>
    <m/>
    <m/>
    <m/>
    <s v="smolt entry"/>
    <m/>
    <m/>
    <m/>
    <m/>
  </r>
  <r>
    <n v="3"/>
    <d v="2003-01-01T00:00:00"/>
    <x v="0"/>
    <x v="3"/>
    <n v="60"/>
    <n v="1"/>
    <d v="2002-11-02T00:00:00"/>
    <n v="578708"/>
    <n v="0.05"/>
    <n v="0.3"/>
    <n v="0.1"/>
    <m/>
    <m/>
    <n v="0.25"/>
    <m/>
    <n v="6.8"/>
    <n v="28.5"/>
    <m/>
    <n v="173612.4"/>
    <n v="57870.8"/>
    <n v="144677"/>
    <n v="57870.8"/>
  </r>
  <r>
    <n v="3"/>
    <d v="2003-02-01T00:00:00"/>
    <x v="1"/>
    <x v="3"/>
    <n v="91"/>
    <n v="1"/>
    <d v="2002-11-02T00:00:00"/>
    <n v="553111"/>
    <n v="0.35"/>
    <n v="0.55000000000000004"/>
    <n v="0.125"/>
    <n v="0"/>
    <m/>
    <n v="2.5000000000000001E-2"/>
    <m/>
    <n v="6.8"/>
    <n v="28.5"/>
    <m/>
    <n v="304211.05000000005"/>
    <n v="69138.875"/>
    <n v="13827.775000000001"/>
    <n v="5531.1100000000006"/>
  </r>
  <r>
    <n v="3"/>
    <d v="2003-03-01T00:00:00"/>
    <x v="2"/>
    <x v="3"/>
    <n v="119"/>
    <n v="1"/>
    <d v="2002-11-02T00:00:00"/>
    <n v="551691"/>
    <n v="0.31"/>
    <n v="0.79"/>
    <n v="0.158"/>
    <n v="0"/>
    <m/>
    <n v="0.13"/>
    <m/>
    <n v="7.64"/>
    <n v="31.71"/>
    <m/>
    <n v="435835.89"/>
    <n v="87167.178"/>
    <n v="71719.83"/>
    <n v="28687.932000000001"/>
  </r>
  <r>
    <n v="3"/>
    <d v="2003-04-01T00:00:00"/>
    <x v="3"/>
    <x v="3"/>
    <n v="150"/>
    <n v="1"/>
    <d v="2002-11-02T00:00:00"/>
    <n v="550651"/>
    <n v="0.28999999999999998"/>
    <n v="0.5"/>
    <n v="7.4999999999999997E-2"/>
    <n v="0"/>
    <m/>
    <n v="0.4"/>
    <m/>
    <n v="8.25"/>
    <n v="29.37"/>
    <m/>
    <n v="275325.5"/>
    <n v="41298.824999999997"/>
    <n v="220260.40000000002"/>
    <n v="88104.160000000018"/>
  </r>
  <r>
    <n v="3"/>
    <d v="2003-05-01T00:00:00"/>
    <x v="4"/>
    <x v="3"/>
    <n v="180"/>
    <n v="1"/>
    <d v="2002-11-02T00:00:00"/>
    <n v="548831"/>
    <n v="0.24"/>
    <n v="0.46"/>
    <n v="4.2000000000000003E-2"/>
    <n v="0"/>
    <m/>
    <n v="0.28999999999999998"/>
    <m/>
    <n v="9.77"/>
    <n v="24.38"/>
    <m/>
    <n v="252462.26"/>
    <n v="23050.902000000002"/>
    <n v="159160.99"/>
    <n v="63664.396000000001"/>
  </r>
  <r>
    <n v="3"/>
    <d v="2003-06-01T00:00:00"/>
    <x v="5"/>
    <x v="3"/>
    <n v="211"/>
    <n v="1"/>
    <d v="2002-11-02T00:00:00"/>
    <n v="547185"/>
    <n v="0.01"/>
    <n v="0.2"/>
    <n v="2.5000000000000001E-2"/>
    <n v="0"/>
    <m/>
    <n v="0.02"/>
    <m/>
    <n v="10.38"/>
    <n v="18.899999999999999"/>
    <m/>
    <n v="109437"/>
    <n v="13679.625"/>
    <n v="10943.7"/>
    <n v="4377.4800000000005"/>
  </r>
  <r>
    <n v="3"/>
    <d v="2003-07-01T00:00:00"/>
    <x v="6"/>
    <x v="3"/>
    <n v="241"/>
    <n v="1"/>
    <d v="2002-11-02T00:00:00"/>
    <n v="545755"/>
    <n v="0.02"/>
    <n v="0.23"/>
    <n v="0.1"/>
    <n v="0"/>
    <m/>
    <n v="0"/>
    <m/>
    <n v="11.5"/>
    <n v="16.16"/>
    <m/>
    <n v="125523.65000000001"/>
    <n v="54575.5"/>
    <n v="0"/>
    <n v="0"/>
  </r>
  <r>
    <n v="3"/>
    <d v="2003-08-01T00:00:00"/>
    <x v="7"/>
    <x v="3"/>
    <n v="272"/>
    <n v="1"/>
    <d v="2002-11-02T00:00:00"/>
    <n v="545386"/>
    <n v="0"/>
    <n v="0.43"/>
    <n v="0.3"/>
    <m/>
    <m/>
    <n v="0"/>
    <m/>
    <n v="11.63"/>
    <n v="18.87"/>
    <m/>
    <n v="234515.98"/>
    <n v="163615.79999999999"/>
    <n v="0"/>
    <n v="0"/>
  </r>
  <r>
    <n v="3"/>
    <d v="2003-09-01T00:00:00"/>
    <x v="8"/>
    <x v="3"/>
    <n v="303"/>
    <n v="1"/>
    <d v="2002-11-02T00:00:00"/>
    <n v="544952"/>
    <m/>
    <n v="0.35"/>
    <n v="0.25"/>
    <m/>
    <n v="1"/>
    <n v="2.5000000000000001E-2"/>
    <m/>
    <n v="10.87"/>
    <n v="20.5"/>
    <m/>
    <n v="190733.19999999998"/>
    <n v="136238"/>
    <n v="13623.800000000001"/>
    <n v="5449.52"/>
  </r>
  <r>
    <n v="3"/>
    <d v="2003-10-01T00:00:00"/>
    <x v="9"/>
    <x v="3"/>
    <n v="333"/>
    <n v="1"/>
    <d v="2002-11-02T00:00:00"/>
    <n v="544458"/>
    <n v="0.08"/>
    <n v="0.27"/>
    <n v="0.2"/>
    <m/>
    <m/>
    <n v="0.05"/>
    <m/>
    <n v="9.4"/>
    <m/>
    <m/>
    <n v="147003.66"/>
    <n v="108891.6"/>
    <n v="27222.9"/>
    <n v="10889.160000000002"/>
  </r>
  <r>
    <n v="3"/>
    <d v="2003-11-01T00:00:00"/>
    <x v="10"/>
    <x v="3"/>
    <n v="364"/>
    <n v="1"/>
    <d v="2002-11-02T00:00:00"/>
    <n v="556797"/>
    <n v="0"/>
    <n v="0.45"/>
    <n v="0.13"/>
    <n v="0"/>
    <m/>
    <n v="0.03"/>
    <m/>
    <n v="8.4"/>
    <n v="30"/>
    <m/>
    <n v="250558.65"/>
    <n v="72383.61"/>
    <n v="16703.91"/>
    <n v="6681.5640000000003"/>
  </r>
  <r>
    <n v="3"/>
    <d v="2003-12-01T00:00:00"/>
    <x v="11"/>
    <x v="3"/>
    <n v="394"/>
    <n v="2"/>
    <d v="2002-11-02T00:00:00"/>
    <n v="556103"/>
    <n v="0"/>
    <n v="0.14000000000000001"/>
    <n v="0.06"/>
    <n v="0"/>
    <m/>
    <n v="0"/>
    <m/>
    <n v="6.9"/>
    <n v="30"/>
    <m/>
    <n v="77854.420000000013"/>
    <n v="33366.18"/>
    <n v="0"/>
    <n v="0"/>
  </r>
  <r>
    <n v="3"/>
    <d v="2004-01-01T00:00:00"/>
    <x v="0"/>
    <x v="4"/>
    <n v="425"/>
    <n v="2"/>
    <d v="2002-11-02T00:00:00"/>
    <n v="556103"/>
    <n v="0.02"/>
    <n v="0.33"/>
    <n v="0.15"/>
    <n v="0"/>
    <m/>
    <n v="7.0000000000000007E-2"/>
    <m/>
    <n v="6.24"/>
    <n v="32.119999999999997"/>
    <m/>
    <n v="183513.99000000002"/>
    <n v="83415.45"/>
    <n v="38927.210000000006"/>
    <n v="15570.884000000004"/>
  </r>
  <r>
    <n v="3"/>
    <d v="2004-02-01T00:00:00"/>
    <x v="1"/>
    <x v="4"/>
    <n v="456"/>
    <n v="2"/>
    <d v="2002-11-02T00:00:00"/>
    <n v="556103"/>
    <n v="0.3"/>
    <n v="2.5"/>
    <n v="1.3"/>
    <n v="0"/>
    <m/>
    <n v="0"/>
    <m/>
    <n v="6.63"/>
    <n v="32.43"/>
    <m/>
    <n v="1390257.5"/>
    <n v="722933.9"/>
    <n v="0"/>
    <n v="0"/>
  </r>
  <r>
    <n v="3"/>
    <d v="2004-03-01T00:00:00"/>
    <x v="2"/>
    <x v="4"/>
    <n v="485"/>
    <n v="2"/>
    <d v="2002-11-02T00:00:00"/>
    <n v="553816"/>
    <n v="0.7"/>
    <n v="4.0999999999999996"/>
    <n v="2.1"/>
    <n v="0"/>
    <m/>
    <n v="0"/>
    <m/>
    <n v="7.31"/>
    <n v="29.44"/>
    <m/>
    <n v="2270645.5999999996"/>
    <n v="1163013.6000000001"/>
    <n v="0"/>
    <n v="0"/>
  </r>
  <r>
    <n v="3"/>
    <d v="2004-04-01T00:00:00"/>
    <x v="3"/>
    <x v="4"/>
    <n v="516"/>
    <n v="2"/>
    <d v="2002-11-02T00:00:00"/>
    <n v="552829"/>
    <n v="1.89"/>
    <n v="17.43"/>
    <n v="4.6500000000000004"/>
    <n v="0"/>
    <m/>
    <n v="0.14000000000000001"/>
    <m/>
    <n v="8.4"/>
    <n v="27.3"/>
    <m/>
    <n v="9635809.4700000007"/>
    <n v="2570654.85"/>
    <n v="77396.060000000012"/>
    <n v="30958.424000000006"/>
  </r>
  <r>
    <n v="3"/>
    <d v="2004-05-01T00:00:00"/>
    <x v="4"/>
    <x v="4"/>
    <n v="546"/>
    <n v="2"/>
    <d v="2002-11-02T00:00:00"/>
    <n v="473021"/>
    <n v="1.45"/>
    <n v="22.5"/>
    <n v="13.2"/>
    <n v="2"/>
    <m/>
    <n v="0.15"/>
    <n v="1"/>
    <n v="9.66"/>
    <n v="23.68"/>
    <m/>
    <n v="10642972.5"/>
    <n v="6243877.1999999993"/>
    <n v="70953.149999999994"/>
    <n v="28381.26"/>
  </r>
  <r>
    <n v="3"/>
    <d v="2004-06-01T00:00:00"/>
    <x v="5"/>
    <x v="4"/>
    <n v="577"/>
    <n v="2"/>
    <d v="2002-11-02T00:00:00"/>
    <n v="326518"/>
    <n v="0.2"/>
    <n v="3.4"/>
    <n v="1.8"/>
    <n v="0"/>
    <m/>
    <n v="0"/>
    <m/>
    <n v="10.67"/>
    <n v="18.53"/>
    <m/>
    <n v="1110161.2"/>
    <n v="587732.4"/>
    <n v="0"/>
    <n v="0"/>
  </r>
  <r>
    <n v="3"/>
    <d v="2004-07-01T00:00:00"/>
    <x v="6"/>
    <x v="4"/>
    <n v="607"/>
    <n v="2"/>
    <d v="2002-11-02T00:00:00"/>
    <n v="325063"/>
    <n v="0.1"/>
    <n v="2.7"/>
    <n v="1.4"/>
    <n v="0"/>
    <m/>
    <n v="0"/>
    <m/>
    <n v="11.71"/>
    <n v="17.059999999999999"/>
    <m/>
    <n v="877670.10000000009"/>
    <n v="455088.19999999995"/>
    <n v="0"/>
    <n v="0"/>
  </r>
  <r>
    <n v="3"/>
    <d v="2004-08-01T00:00:00"/>
    <x v="7"/>
    <x v="4"/>
    <n v="638"/>
    <n v="2"/>
    <d v="2002-11-02T00:00:00"/>
    <n v="150000"/>
    <n v="0.21"/>
    <n v="1.94"/>
    <n v="0.54"/>
    <m/>
    <m/>
    <n v="0"/>
    <m/>
    <n v="12.49"/>
    <n v="15.68"/>
    <m/>
    <n v="291000"/>
    <n v="81000"/>
    <n v="0"/>
    <n v="0"/>
  </r>
  <r>
    <n v="3"/>
    <d v="2004-09-01T00:00:00"/>
    <x v="8"/>
    <x v="4"/>
    <n v="669"/>
    <n v="2"/>
    <d v="2002-11-02T00:00:00"/>
    <n v="50000"/>
    <m/>
    <m/>
    <n v="0.25"/>
    <m/>
    <s v="h"/>
    <n v="0"/>
    <m/>
    <m/>
    <m/>
    <m/>
    <m/>
    <n v="12500"/>
    <n v="0"/>
    <n v="0"/>
  </r>
  <r>
    <n v="3"/>
    <d v="2004-10-01T00:00:00"/>
    <x v="9"/>
    <x v="4"/>
    <m/>
    <m/>
    <m/>
    <m/>
    <m/>
    <m/>
    <m/>
    <m/>
    <m/>
    <m/>
    <m/>
    <m/>
    <m/>
    <m/>
    <m/>
    <m/>
    <m/>
    <m/>
  </r>
  <r>
    <n v="3"/>
    <d v="2004-11-01T00:00:00"/>
    <x v="10"/>
    <x v="4"/>
    <m/>
    <m/>
    <m/>
    <m/>
    <m/>
    <m/>
    <m/>
    <m/>
    <m/>
    <m/>
    <m/>
    <m/>
    <m/>
    <m/>
    <m/>
    <m/>
    <m/>
    <m/>
  </r>
  <r>
    <n v="3"/>
    <d v="2004-12-01T00:00:00"/>
    <x v="11"/>
    <x v="4"/>
    <m/>
    <m/>
    <m/>
    <m/>
    <m/>
    <m/>
    <m/>
    <m/>
    <m/>
    <m/>
    <m/>
    <m/>
    <m/>
    <m/>
    <m/>
    <m/>
    <m/>
    <m/>
  </r>
  <r>
    <n v="3"/>
    <d v="2005-01-01T00:00:00"/>
    <x v="0"/>
    <x v="5"/>
    <n v="31"/>
    <n v="1"/>
    <d v="2004-12-01T00:00:00"/>
    <n v="660000"/>
    <n v="0.13"/>
    <n v="0.57999999999999996"/>
    <n v="0.15"/>
    <m/>
    <m/>
    <n v="0"/>
    <m/>
    <n v="8"/>
    <n v="24"/>
    <m/>
    <n v="382800"/>
    <n v="99000"/>
    <n v="0"/>
    <n v="0"/>
  </r>
  <r>
    <n v="3"/>
    <d v="2005-02-01T00:00:00"/>
    <x v="1"/>
    <x v="5"/>
    <n v="62"/>
    <n v="1"/>
    <d v="2004-12-01T00:00:00"/>
    <n v="656000"/>
    <n v="0.15"/>
    <n v="0.98"/>
    <n v="0.28000000000000003"/>
    <n v="0"/>
    <m/>
    <n v="0"/>
    <m/>
    <n v="9"/>
    <n v="22"/>
    <m/>
    <n v="642880"/>
    <n v="183680.00000000003"/>
    <n v="0"/>
    <n v="0"/>
  </r>
  <r>
    <n v="3"/>
    <d v="2005-03-01T00:00:00"/>
    <x v="2"/>
    <x v="5"/>
    <n v="90"/>
    <n v="1"/>
    <d v="2004-12-01T00:00:00"/>
    <n v="653851"/>
    <n v="1.38"/>
    <n v="1.48"/>
    <n v="0.27"/>
    <n v="0"/>
    <m/>
    <n v="1.42"/>
    <m/>
    <n v="9"/>
    <n v="27"/>
    <m/>
    <n v="967699.48"/>
    <n v="176539.77000000002"/>
    <n v="928468.41999999993"/>
    <n v="371387.36800000002"/>
  </r>
  <r>
    <n v="3"/>
    <d v="2005-04-01T00:00:00"/>
    <x v="3"/>
    <x v="5"/>
    <n v="121"/>
    <n v="1"/>
    <d v="2004-12-01T00:00:00"/>
    <n v="652347"/>
    <n v="0.48"/>
    <n v="1.08"/>
    <n v="0.41"/>
    <n v="1"/>
    <m/>
    <n v="0.42"/>
    <m/>
    <n v="9"/>
    <n v="25"/>
    <m/>
    <n v="704534.76"/>
    <n v="267462.26999999996"/>
    <n v="273985.74"/>
    <n v="109594.296"/>
  </r>
  <r>
    <n v="3"/>
    <d v="2005-05-01T00:00:00"/>
    <x v="4"/>
    <x v="5"/>
    <n v="151"/>
    <n v="1"/>
    <d v="2004-12-01T00:00:00"/>
    <n v="649271"/>
    <n v="0.18"/>
    <n v="0.88"/>
    <n v="0.3"/>
    <n v="1"/>
    <m/>
    <n v="0.02"/>
    <m/>
    <n v="11"/>
    <n v="22"/>
    <m/>
    <n v="571358.48"/>
    <n v="194781.3"/>
    <n v="12985.42"/>
    <n v="5194.1680000000006"/>
  </r>
  <r>
    <n v="3"/>
    <d v="2005-06-01T00:00:00"/>
    <x v="5"/>
    <x v="5"/>
    <n v="182"/>
    <n v="1"/>
    <d v="2004-12-01T00:00:00"/>
    <n v="646814"/>
    <n v="0"/>
    <n v="1.22"/>
    <n v="0.6"/>
    <n v="1"/>
    <m/>
    <n v="0.17"/>
    <m/>
    <n v="11"/>
    <n v="23"/>
    <m/>
    <n v="789113.08"/>
    <n v="388088.39999999997"/>
    <n v="109958.38"/>
    <n v="43983.352000000006"/>
  </r>
  <r>
    <n v="3"/>
    <d v="2005-07-01T00:00:00"/>
    <x v="6"/>
    <x v="5"/>
    <n v="212"/>
    <n v="1"/>
    <d v="2004-12-01T00:00:00"/>
    <n v="645016"/>
    <n v="0"/>
    <n v="0.78"/>
    <n v="0.38"/>
    <n v="0"/>
    <m/>
    <n v="0.02"/>
    <m/>
    <n v="11"/>
    <n v="21"/>
    <m/>
    <n v="503112.48000000004"/>
    <n v="245106.08000000002"/>
    <n v="12900.32"/>
    <n v="5160.1280000000006"/>
  </r>
  <r>
    <n v="3"/>
    <d v="2005-08-01T00:00:00"/>
    <x v="7"/>
    <x v="5"/>
    <n v="243"/>
    <n v="1"/>
    <d v="2004-12-01T00:00:00"/>
    <n v="642498.9"/>
    <n v="0"/>
    <n v="0.88"/>
    <n v="0.33"/>
    <n v="0"/>
    <m/>
    <n v="0"/>
    <m/>
    <n v="13"/>
    <n v="20"/>
    <m/>
    <n v="565399.03200000001"/>
    <n v="212024.63700000002"/>
    <n v="0"/>
    <n v="0"/>
  </r>
  <r>
    <n v="3"/>
    <d v="2005-09-01T00:00:00"/>
    <x v="8"/>
    <x v="5"/>
    <n v="274"/>
    <n v="1"/>
    <d v="2004-12-01T00:00:00"/>
    <n v="640178.6"/>
    <n v="0.02"/>
    <n v="2.6"/>
    <n v="1.57"/>
    <n v="0"/>
    <m/>
    <n v="0.08"/>
    <m/>
    <n v="11"/>
    <n v="23"/>
    <m/>
    <n v="1664464.36"/>
    <n v="1005080.402"/>
    <n v="51214.288"/>
    <n v="20485.715200000002"/>
  </r>
  <r>
    <n v="3"/>
    <d v="2005-10-01T00:00:00"/>
    <x v="9"/>
    <x v="5"/>
    <n v="304"/>
    <n v="1"/>
    <d v="2004-12-01T00:00:00"/>
    <n v="637858.30000000005"/>
    <n v="0.1"/>
    <n v="3.42"/>
    <n v="2.52"/>
    <n v="0"/>
    <m/>
    <n v="0.03"/>
    <m/>
    <n v="10"/>
    <n v="23"/>
    <m/>
    <n v="2181475.3859999999"/>
    <n v="1607402.9160000002"/>
    <n v="19135.749"/>
    <n v="7654.2996000000003"/>
  </r>
  <r>
    <n v="3"/>
    <d v="2005-11-01T00:00:00"/>
    <x v="10"/>
    <x v="5"/>
    <n v="335"/>
    <n v="1"/>
    <d v="2004-12-01T00:00:00"/>
    <n v="635538"/>
    <n v="0.3"/>
    <n v="6.27"/>
    <n v="3.2"/>
    <n v="0"/>
    <m/>
    <n v="0"/>
    <m/>
    <n v="8"/>
    <n v="27"/>
    <m/>
    <n v="3984823.26"/>
    <n v="2033721.6"/>
    <n v="0"/>
    <n v="0"/>
  </r>
  <r>
    <n v="3"/>
    <d v="2005-12-01T00:00:00"/>
    <x v="11"/>
    <x v="5"/>
    <n v="365"/>
    <n v="2"/>
    <d v="2004-12-01T00:00:00"/>
    <n v="633217.69999999995"/>
    <n v="0"/>
    <n v="5.6"/>
    <n v="3.62"/>
    <n v="0"/>
    <m/>
    <n v="0.03"/>
    <m/>
    <n v="7"/>
    <n v="27"/>
    <m/>
    <n v="3546019.1199999996"/>
    <n v="2292248.074"/>
    <n v="18996.530999999999"/>
    <n v="7598.6124"/>
  </r>
  <r>
    <n v="3"/>
    <d v="2006-01-01T00:00:00"/>
    <x v="0"/>
    <x v="6"/>
    <n v="396"/>
    <n v="2"/>
    <d v="2004-12-01T00:00:00"/>
    <n v="630897.4"/>
    <n v="3.23"/>
    <n v="13.18"/>
    <n v="4.3499999999999996"/>
    <n v="0"/>
    <m/>
    <n v="0.53"/>
    <n v="0.5"/>
    <n v="7"/>
    <n v="26"/>
    <s v="Portion farm tx"/>
    <n v="8315227.7319999998"/>
    <n v="2744403.69"/>
    <n v="334375.62200000003"/>
    <n v="133750.24880000003"/>
  </r>
  <r>
    <n v="3"/>
    <d v="2006-02-01T00:00:00"/>
    <x v="1"/>
    <x v="6"/>
    <n v="427"/>
    <n v="2"/>
    <d v="2004-12-01T00:00:00"/>
    <n v="628577.1"/>
    <n v="0.02"/>
    <n v="15.65"/>
    <n v="8.3699999999999992"/>
    <n v="2"/>
    <m/>
    <n v="0.35"/>
    <n v="0.5"/>
    <n v="7"/>
    <n v="28"/>
    <s v="Portion farm tx"/>
    <n v="9837231.6150000002"/>
    <n v="5261190.3269999996"/>
    <n v="220001.98499999999"/>
    <n v="88000.793999999994"/>
  </r>
  <r>
    <n v="3"/>
    <d v="2006-03-01T00:00:00"/>
    <x v="2"/>
    <x v="6"/>
    <n v="455"/>
    <n v="2"/>
    <d v="2004-12-01T00:00:00"/>
    <n v="575387"/>
    <n v="0"/>
    <n v="0.82"/>
    <n v="0.48"/>
    <n v="0"/>
    <m/>
    <n v="0.05"/>
    <m/>
    <n v="7"/>
    <n v="29"/>
    <s v="harvesting"/>
    <n v="471817.33999999997"/>
    <n v="276185.76"/>
    <n v="28769.350000000002"/>
    <n v="11507.740000000002"/>
  </r>
  <r>
    <n v="3"/>
    <d v="2006-04-01T00:00:00"/>
    <x v="3"/>
    <x v="6"/>
    <n v="486"/>
    <n v="2"/>
    <d v="2004-12-01T00:00:00"/>
    <n v="395022"/>
    <n v="0"/>
    <n v="0.18"/>
    <n v="0.03"/>
    <n v="2"/>
    <m/>
    <n v="0"/>
    <m/>
    <n v="9"/>
    <n v="29"/>
    <s v="harvesting"/>
    <n v="71103.959999999992"/>
    <n v="11850.66"/>
    <n v="0"/>
    <n v="0"/>
  </r>
  <r>
    <n v="3"/>
    <d v="2006-05-01T00:00:00"/>
    <x v="4"/>
    <x v="6"/>
    <n v="516"/>
    <n v="2"/>
    <d v="2004-12-01T00:00:00"/>
    <n v="359375"/>
    <n v="0.02"/>
    <n v="1.07"/>
    <n v="0.72"/>
    <m/>
    <m/>
    <n v="0"/>
    <m/>
    <n v="9"/>
    <n v="27"/>
    <s v="harvesting"/>
    <n v="384531.25"/>
    <n v="258750"/>
    <n v="0"/>
    <n v="0"/>
  </r>
  <r>
    <n v="3"/>
    <d v="2006-06-01T00:00:00"/>
    <x v="5"/>
    <x v="6"/>
    <m/>
    <m/>
    <m/>
    <m/>
    <m/>
    <m/>
    <m/>
    <m/>
    <m/>
    <m/>
    <m/>
    <m/>
    <m/>
    <m/>
    <m/>
    <m/>
    <m/>
    <m/>
  </r>
  <r>
    <n v="3"/>
    <d v="2006-07-01T00:00:00"/>
    <x v="6"/>
    <x v="6"/>
    <m/>
    <m/>
    <m/>
    <m/>
    <m/>
    <m/>
    <m/>
    <m/>
    <m/>
    <m/>
    <m/>
    <m/>
    <m/>
    <m/>
    <m/>
    <m/>
    <m/>
    <m/>
  </r>
  <r>
    <n v="3"/>
    <d v="2006-08-01T00:00:00"/>
    <x v="7"/>
    <x v="6"/>
    <m/>
    <m/>
    <m/>
    <m/>
    <m/>
    <m/>
    <m/>
    <m/>
    <m/>
    <m/>
    <m/>
    <m/>
    <m/>
    <m/>
    <m/>
    <m/>
    <m/>
    <m/>
  </r>
  <r>
    <n v="3"/>
    <d v="2006-09-01T00:00:00"/>
    <x v="8"/>
    <x v="6"/>
    <m/>
    <m/>
    <m/>
    <m/>
    <m/>
    <m/>
    <m/>
    <m/>
    <m/>
    <m/>
    <m/>
    <m/>
    <m/>
    <m/>
    <m/>
    <m/>
    <m/>
    <m/>
  </r>
  <r>
    <n v="3"/>
    <d v="2006-10-01T00:00:00"/>
    <x v="9"/>
    <x v="6"/>
    <m/>
    <m/>
    <m/>
    <m/>
    <m/>
    <m/>
    <m/>
    <m/>
    <m/>
    <m/>
    <m/>
    <m/>
    <m/>
    <m/>
    <m/>
    <m/>
    <m/>
    <m/>
  </r>
  <r>
    <n v="3"/>
    <d v="2006-11-01T00:00:00"/>
    <x v="10"/>
    <x v="6"/>
    <n v="0"/>
    <n v="1"/>
    <d v="2006-11-14T00:00:00"/>
    <n v="550000"/>
    <m/>
    <m/>
    <n v="0"/>
    <m/>
    <s v="s"/>
    <n v="0"/>
    <m/>
    <m/>
    <m/>
    <m/>
    <m/>
    <n v="0"/>
    <n v="0"/>
    <n v="0"/>
  </r>
  <r>
    <n v="3"/>
    <d v="2006-12-01T00:00:00"/>
    <x v="11"/>
    <x v="6"/>
    <n v="17"/>
    <n v="1"/>
    <d v="2006-11-14T00:00:00"/>
    <n v="550000"/>
    <m/>
    <m/>
    <n v="0"/>
    <m/>
    <s v="s"/>
    <n v="0.09"/>
    <m/>
    <m/>
    <m/>
    <m/>
    <m/>
    <n v="0"/>
    <n v="49500"/>
    <n v="19800"/>
  </r>
  <r>
    <n v="3"/>
    <d v="2007-01-01T00:00:00"/>
    <x v="0"/>
    <x v="7"/>
    <n v="48"/>
    <n v="1"/>
    <d v="2006-11-14T00:00:00"/>
    <n v="615818"/>
    <n v="1.66666E-2"/>
    <n v="0.15"/>
    <n v="0"/>
    <m/>
    <m/>
    <n v="0.1666666"/>
    <m/>
    <n v="6"/>
    <n v="25"/>
    <m/>
    <n v="92372.7"/>
    <n v="0"/>
    <n v="102636.2922788"/>
    <n v="41054.516911520004"/>
  </r>
  <r>
    <n v="3"/>
    <d v="2007-02-01T00:00:00"/>
    <x v="1"/>
    <x v="7"/>
    <n v="79"/>
    <n v="1"/>
    <d v="2006-11-14T00:00:00"/>
    <n v="597717"/>
    <n v="0.13"/>
    <n v="0.15"/>
    <n v="0"/>
    <n v="0"/>
    <m/>
    <n v="0.3"/>
    <m/>
    <n v="7"/>
    <n v="26"/>
    <m/>
    <n v="89657.55"/>
    <n v="0"/>
    <n v="179315.1"/>
    <n v="71726.040000000008"/>
  </r>
  <r>
    <n v="3"/>
    <d v="2007-03-01T00:00:00"/>
    <x v="2"/>
    <x v="7"/>
    <n v="107"/>
    <n v="1"/>
    <d v="2006-11-14T00:00:00"/>
    <n v="596465"/>
    <n v="0.68"/>
    <n v="0.18"/>
    <n v="0"/>
    <n v="0"/>
    <m/>
    <n v="7.0000000000000007E-2"/>
    <m/>
    <n v="7"/>
    <n v="25"/>
    <m/>
    <n v="107363.7"/>
    <n v="0"/>
    <n v="41752.550000000003"/>
    <n v="16701.02"/>
  </r>
  <r>
    <n v="3"/>
    <d v="2007-04-01T00:00:00"/>
    <x v="3"/>
    <x v="7"/>
    <n v="138"/>
    <n v="1"/>
    <d v="2006-11-14T00:00:00"/>
    <n v="612555"/>
    <n v="0.2"/>
    <n v="0.1"/>
    <n v="0"/>
    <n v="0"/>
    <m/>
    <n v="0.5"/>
    <m/>
    <n v="8"/>
    <n v="26"/>
    <m/>
    <n v="61255.5"/>
    <n v="0"/>
    <n v="306277.5"/>
    <n v="122511"/>
  </r>
  <r>
    <n v="3"/>
    <d v="2007-05-01T00:00:00"/>
    <x v="4"/>
    <x v="7"/>
    <n v="168"/>
    <n v="1"/>
    <d v="2006-11-14T00:00:00"/>
    <n v="610782"/>
    <n v="0.05"/>
    <n v="0.18"/>
    <n v="0"/>
    <n v="0"/>
    <m/>
    <n v="0.08"/>
    <m/>
    <n v="9"/>
    <n v="23"/>
    <m/>
    <n v="109940.76"/>
    <n v="0"/>
    <n v="48862.559999999998"/>
    <n v="19545.024000000001"/>
  </r>
  <r>
    <n v="3"/>
    <d v="2007-06-01T00:00:00"/>
    <x v="5"/>
    <x v="7"/>
    <n v="199"/>
    <n v="1"/>
    <d v="2006-11-14T00:00:00"/>
    <n v="609303"/>
    <n v="0"/>
    <n v="0.15"/>
    <n v="0"/>
    <n v="0"/>
    <m/>
    <n v="0"/>
    <m/>
    <n v="11"/>
    <n v="15"/>
    <m/>
    <n v="91395.45"/>
    <n v="0"/>
    <n v="0"/>
    <n v="0"/>
  </r>
  <r>
    <n v="3"/>
    <d v="2007-07-01T00:00:00"/>
    <x v="6"/>
    <x v="7"/>
    <n v="229"/>
    <n v="1"/>
    <d v="2006-11-14T00:00:00"/>
    <n v="605054"/>
    <n v="0"/>
    <n v="0.02"/>
    <n v="0"/>
    <n v="0"/>
    <m/>
    <n v="0.02"/>
    <m/>
    <n v="12"/>
    <n v="15"/>
    <m/>
    <n v="12101.08"/>
    <n v="0"/>
    <n v="12101.08"/>
    <n v="4840.4319999999998"/>
  </r>
  <r>
    <n v="3"/>
    <d v="2007-08-01T00:00:00"/>
    <x v="7"/>
    <x v="7"/>
    <n v="260"/>
    <n v="1"/>
    <d v="2006-11-14T00:00:00"/>
    <n v="603752"/>
    <n v="0"/>
    <n v="0"/>
    <n v="0"/>
    <n v="0"/>
    <m/>
    <n v="0.02"/>
    <m/>
    <n v="11"/>
    <n v="16"/>
    <m/>
    <n v="0"/>
    <n v="0"/>
    <n v="12075.04"/>
    <n v="4830.0160000000005"/>
  </r>
  <r>
    <n v="3"/>
    <d v="2007-09-01T00:00:00"/>
    <x v="8"/>
    <x v="7"/>
    <n v="291"/>
    <n v="1"/>
    <d v="2006-11-14T00:00:00"/>
    <n v="602654"/>
    <n v="0"/>
    <n v="0"/>
    <n v="0"/>
    <n v="0"/>
    <m/>
    <n v="0"/>
    <m/>
    <n v="11"/>
    <n v="23"/>
    <m/>
    <n v="0"/>
    <n v="0"/>
    <n v="0"/>
    <n v="0"/>
  </r>
  <r>
    <n v="3"/>
    <d v="2007-10-01T00:00:00"/>
    <x v="9"/>
    <x v="7"/>
    <n v="321"/>
    <n v="1"/>
    <d v="2006-11-14T00:00:00"/>
    <n v="601749"/>
    <n v="0"/>
    <n v="0"/>
    <n v="0"/>
    <n v="0"/>
    <m/>
    <n v="0.02"/>
    <m/>
    <n v="9"/>
    <n v="20"/>
    <m/>
    <n v="0"/>
    <n v="0"/>
    <n v="12034.98"/>
    <n v="4813.9920000000002"/>
  </r>
  <r>
    <n v="3"/>
    <d v="2007-11-01T00:00:00"/>
    <x v="10"/>
    <x v="7"/>
    <n v="352"/>
    <n v="1"/>
    <d v="2006-11-14T00:00:00"/>
    <n v="596465"/>
    <n v="0.08"/>
    <n v="0.02"/>
    <n v="0"/>
    <n v="0"/>
    <m/>
    <n v="0.13"/>
    <m/>
    <n v="8"/>
    <n v="21"/>
    <m/>
    <n v="11929.300000000001"/>
    <n v="0"/>
    <n v="77540.45"/>
    <n v="31016.18"/>
  </r>
  <r>
    <n v="3"/>
    <d v="2007-12-01T00:00:00"/>
    <x v="11"/>
    <x v="7"/>
    <n v="382"/>
    <n v="2"/>
    <d v="2006-11-14T00:00:00"/>
    <n v="600076"/>
    <n v="0.27"/>
    <n v="0.35"/>
    <n v="0.02"/>
    <n v="0"/>
    <m/>
    <n v="0.17"/>
    <m/>
    <n v="7"/>
    <n v="23"/>
    <m/>
    <n v="210026.59999999998"/>
    <n v="12001.52"/>
    <n v="102012.92000000001"/>
    <n v="40805.168000000005"/>
  </r>
  <r>
    <n v="3"/>
    <d v="2008-01-01T00:00:00"/>
    <x v="0"/>
    <x v="8"/>
    <n v="413"/>
    <n v="2"/>
    <d v="2006-11-14T00:00:00"/>
    <n v="599262"/>
    <n v="0.47"/>
    <n v="0.33"/>
    <n v="7.0000000000000007E-2"/>
    <n v="0"/>
    <m/>
    <n v="0.37"/>
    <m/>
    <m/>
    <m/>
    <m/>
    <n v="197756.46000000002"/>
    <n v="41948.340000000004"/>
    <n v="221726.94"/>
    <n v="88690.776000000013"/>
  </r>
  <r>
    <n v="3"/>
    <d v="2008-02-01T00:00:00"/>
    <x v="1"/>
    <x v="8"/>
    <n v="444"/>
    <n v="2"/>
    <d v="2006-11-14T00:00:00"/>
    <n v="598331"/>
    <n v="0.85"/>
    <n v="0.7"/>
    <n v="0.15"/>
    <n v="1"/>
    <m/>
    <n v="0.35"/>
    <n v="1"/>
    <m/>
    <m/>
    <m/>
    <n v="418831.69999999995"/>
    <n v="89749.65"/>
    <n v="209415.84999999998"/>
    <n v="83766.34"/>
  </r>
  <r>
    <n v="3"/>
    <d v="2008-03-01T00:00:00"/>
    <x v="2"/>
    <x v="8"/>
    <n v="473"/>
    <n v="2"/>
    <d v="2006-11-14T00:00:00"/>
    <n v="595970"/>
    <n v="0.6"/>
    <n v="0.1"/>
    <n v="0"/>
    <n v="0"/>
    <m/>
    <n v="0.1"/>
    <m/>
    <m/>
    <m/>
    <s v="counts from the British Columbia Ministry of Agriculture and Lands;"/>
    <n v="59597"/>
    <n v="0"/>
    <n v="59597"/>
    <n v="23838.800000000003"/>
  </r>
  <r>
    <n v="3"/>
    <d v="2008-04-01T00:00:00"/>
    <x v="3"/>
    <x v="8"/>
    <n v="504"/>
    <n v="2"/>
    <d v="2006-11-14T00:00:00"/>
    <n v="595408"/>
    <n v="0.03"/>
    <n v="0"/>
    <n v="0"/>
    <n v="0"/>
    <m/>
    <n v="0"/>
    <m/>
    <m/>
    <m/>
    <m/>
    <n v="0"/>
    <n v="0"/>
    <n v="0"/>
    <n v="0"/>
  </r>
  <r>
    <n v="3"/>
    <d v="2008-05-01T00:00:00"/>
    <x v="4"/>
    <x v="8"/>
    <n v="534"/>
    <n v="2"/>
    <d v="2006-11-14T00:00:00"/>
    <n v="557369"/>
    <n v="1.6666666666666666E-2"/>
    <n v="3.3333333333333333E-2"/>
    <n v="0"/>
    <n v="0"/>
    <m/>
    <n v="1.6666666666666666E-2"/>
    <m/>
    <n v="8"/>
    <n v="30"/>
    <s v="started harvesting"/>
    <n v="18578.966666666667"/>
    <n v="0"/>
    <n v="9289.4833333333336"/>
    <n v="3715.7933333333335"/>
  </r>
  <r>
    <n v="3"/>
    <d v="2008-06-01T00:00:00"/>
    <x v="5"/>
    <x v="8"/>
    <n v="565"/>
    <n v="2"/>
    <d v="2006-11-14T00:00:00"/>
    <n v="201910"/>
    <n v="3.3333333333333333E-2"/>
    <n v="0.13333333333333333"/>
    <n v="1.6666666666666666E-2"/>
    <m/>
    <m/>
    <n v="8.3333333333333329E-2"/>
    <m/>
    <m/>
    <m/>
    <m/>
    <n v="26921.333333333332"/>
    <n v="3365.1666666666665"/>
    <n v="16825.833333333332"/>
    <n v="6730.333333333333"/>
  </r>
  <r>
    <n v="3"/>
    <d v="2008-07-01T00:00:00"/>
    <x v="6"/>
    <x v="8"/>
    <m/>
    <m/>
    <m/>
    <m/>
    <m/>
    <m/>
    <m/>
    <m/>
    <m/>
    <m/>
    <m/>
    <m/>
    <m/>
    <m/>
    <m/>
    <m/>
    <m/>
    <m/>
  </r>
  <r>
    <n v="3"/>
    <d v="2008-08-01T00:00:00"/>
    <x v="7"/>
    <x v="8"/>
    <m/>
    <m/>
    <m/>
    <m/>
    <m/>
    <m/>
    <m/>
    <m/>
    <m/>
    <m/>
    <m/>
    <m/>
    <m/>
    <m/>
    <m/>
    <m/>
    <m/>
    <m/>
  </r>
  <r>
    <n v="3"/>
    <d v="2008-09-01T00:00:00"/>
    <x v="8"/>
    <x v="8"/>
    <m/>
    <m/>
    <m/>
    <m/>
    <m/>
    <m/>
    <m/>
    <m/>
    <m/>
    <m/>
    <m/>
    <m/>
    <m/>
    <m/>
    <m/>
    <m/>
    <m/>
    <m/>
  </r>
  <r>
    <n v="3"/>
    <d v="2008-10-01T00:00:00"/>
    <x v="9"/>
    <x v="8"/>
    <m/>
    <m/>
    <m/>
    <m/>
    <m/>
    <m/>
    <m/>
    <m/>
    <m/>
    <m/>
    <m/>
    <m/>
    <m/>
    <m/>
    <m/>
    <m/>
    <m/>
    <m/>
  </r>
  <r>
    <n v="3"/>
    <d v="2008-11-01T00:00:00"/>
    <x v="10"/>
    <x v="8"/>
    <n v="0"/>
    <n v="1"/>
    <d v="2008-11-01T00:00:00"/>
    <n v="350000"/>
    <m/>
    <n v="0"/>
    <n v="0"/>
    <m/>
    <s v="s"/>
    <n v="0"/>
    <m/>
    <m/>
    <m/>
    <s v="smolt entry?"/>
    <n v="0"/>
    <n v="0"/>
    <n v="0"/>
    <n v="0"/>
  </r>
  <r>
    <n v="3"/>
    <d v="2008-12-01T00:00:00"/>
    <x v="11"/>
    <x v="8"/>
    <n v="30"/>
    <n v="1"/>
    <d v="2008-11-01T00:00:00"/>
    <n v="280000"/>
    <n v="0.6333333333333333"/>
    <n v="0.45"/>
    <n v="0.15"/>
    <m/>
    <m/>
    <n v="0.23333333333333336"/>
    <m/>
    <m/>
    <m/>
    <m/>
    <n v="126000"/>
    <n v="42000"/>
    <n v="65333.333333333343"/>
    <n v="26133.333333333339"/>
  </r>
  <r>
    <n v="3"/>
    <d v="2009-01-01T00:00:00"/>
    <x v="0"/>
    <x v="9"/>
    <n v="61"/>
    <n v="1"/>
    <d v="2008-11-01T00:00:00"/>
    <n v="283233"/>
    <n v="0"/>
    <n v="1.2833333333333334"/>
    <n v="1.1499999999999999"/>
    <n v="2"/>
    <m/>
    <n v="1.1833333333333333"/>
    <m/>
    <m/>
    <m/>
    <m/>
    <n v="363482.35000000003"/>
    <n v="325717.94999999995"/>
    <n v="335159.05"/>
    <n v="134063.62"/>
  </r>
  <r>
    <n v="3"/>
    <d v="2009-02-01T00:00:00"/>
    <x v="1"/>
    <x v="9"/>
    <n v="92"/>
    <n v="1"/>
    <d v="2008-11-01T00:00:00"/>
    <n v="282705"/>
    <n v="0"/>
    <n v="1.6333333333333335"/>
    <n v="0.65"/>
    <n v="0"/>
    <m/>
    <n v="0.83333333333333337"/>
    <n v="1"/>
    <m/>
    <m/>
    <m/>
    <n v="461751.50000000006"/>
    <n v="183758.25"/>
    <n v="235587.5"/>
    <n v="94235"/>
  </r>
  <r>
    <n v="3"/>
    <d v="2009-03-01T00:00:00"/>
    <x v="2"/>
    <x v="9"/>
    <n v="120"/>
    <n v="1"/>
    <d v="2008-11-01T00:00:00"/>
    <n v="281989"/>
    <n v="0"/>
    <n v="0.56666666666666654"/>
    <n v="0.33333333333333331"/>
    <n v="0"/>
    <m/>
    <n v="0"/>
    <m/>
    <m/>
    <m/>
    <m/>
    <n v="159793.76666666663"/>
    <n v="93996.333333333328"/>
    <n v="0"/>
    <n v="0"/>
  </r>
  <r>
    <n v="3"/>
    <d v="2009-04-01T00:00:00"/>
    <x v="3"/>
    <x v="9"/>
    <n v="151"/>
    <n v="1"/>
    <d v="2008-11-01T00:00:00"/>
    <n v="281319"/>
    <n v="0.05"/>
    <n v="0"/>
    <n v="0"/>
    <n v="0"/>
    <m/>
    <n v="0.02"/>
    <m/>
    <m/>
    <m/>
    <m/>
    <n v="0"/>
    <n v="0"/>
    <n v="5626.38"/>
    <n v="2250.5520000000001"/>
  </r>
  <r>
    <n v="3"/>
    <d v="2009-05-01T00:00:00"/>
    <x v="4"/>
    <x v="9"/>
    <n v="181"/>
    <n v="1"/>
    <d v="2008-11-01T00:00:00"/>
    <n v="280660"/>
    <n v="0"/>
    <n v="0"/>
    <n v="0"/>
    <n v="0"/>
    <m/>
    <n v="0"/>
    <m/>
    <m/>
    <m/>
    <m/>
    <n v="0"/>
    <n v="0"/>
    <n v="0"/>
    <n v="0"/>
  </r>
  <r>
    <n v="3"/>
    <d v="2009-06-01T00:00:00"/>
    <x v="5"/>
    <x v="9"/>
    <n v="212"/>
    <n v="1"/>
    <d v="2008-11-01T00:00:00"/>
    <n v="236009"/>
    <n v="2.5000000000000001E-2"/>
    <n v="0"/>
    <n v="0"/>
    <n v="0"/>
    <m/>
    <n v="0"/>
    <m/>
    <m/>
    <m/>
    <m/>
    <n v="0"/>
    <n v="0"/>
    <n v="0"/>
    <n v="0"/>
  </r>
  <r>
    <n v="3"/>
    <d v="2009-07-01T00:00:00"/>
    <x v="6"/>
    <x v="9"/>
    <n v="242"/>
    <n v="1"/>
    <d v="2008-11-01T00:00:00"/>
    <n v="223597"/>
    <n v="0"/>
    <n v="0"/>
    <n v="0"/>
    <n v="0"/>
    <m/>
    <n v="0"/>
    <m/>
    <m/>
    <m/>
    <m/>
    <n v="0"/>
    <n v="0"/>
    <n v="0"/>
    <n v="0"/>
  </r>
  <r>
    <n v="3"/>
    <d v="2009-08-01T00:00:00"/>
    <x v="7"/>
    <x v="9"/>
    <n v="273"/>
    <n v="1"/>
    <d v="2008-11-01T00:00:00"/>
    <n v="152470"/>
    <n v="0"/>
    <n v="6.7000000000000004E-2"/>
    <n v="0.05"/>
    <m/>
    <m/>
    <n v="0"/>
    <m/>
    <m/>
    <m/>
    <m/>
    <n v="10215.49"/>
    <n v="7623.5"/>
    <n v="0"/>
    <n v="0"/>
  </r>
  <r>
    <n v="3"/>
    <d v="2009-09-01T00:00:00"/>
    <x v="8"/>
    <x v="9"/>
    <n v="304"/>
    <n v="1"/>
    <d v="2008-11-01T00:00:00"/>
    <n v="78962"/>
    <m/>
    <m/>
    <n v="0.1"/>
    <m/>
    <s v="h"/>
    <n v="0"/>
    <m/>
    <m/>
    <m/>
    <s v="Harvesting out"/>
    <m/>
    <n v="7896.2000000000007"/>
    <n v="0"/>
    <n v="0"/>
  </r>
  <r>
    <n v="3"/>
    <d v="2009-10-01T00:00:00"/>
    <x v="9"/>
    <x v="9"/>
    <m/>
    <m/>
    <m/>
    <m/>
    <m/>
    <m/>
    <m/>
    <m/>
    <m/>
    <m/>
    <m/>
    <m/>
    <m/>
    <m/>
    <m/>
    <m/>
    <m/>
    <m/>
  </r>
  <r>
    <n v="3"/>
    <d v="2009-11-01T00:00:00"/>
    <x v="10"/>
    <x v="9"/>
    <m/>
    <m/>
    <m/>
    <m/>
    <m/>
    <m/>
    <m/>
    <m/>
    <m/>
    <m/>
    <m/>
    <m/>
    <m/>
    <m/>
    <m/>
    <m/>
    <m/>
    <m/>
  </r>
  <r>
    <n v="3"/>
    <d v="2009-12-01T00:00:00"/>
    <x v="11"/>
    <x v="9"/>
    <m/>
    <m/>
    <m/>
    <m/>
    <m/>
    <m/>
    <m/>
    <m/>
    <m/>
    <m/>
    <m/>
    <m/>
    <m/>
    <m/>
    <m/>
    <m/>
    <m/>
    <m/>
  </r>
  <r>
    <n v="4"/>
    <d v="2000-01-01T00:00:00"/>
    <x v="0"/>
    <x v="0"/>
    <n v="365"/>
    <n v="2"/>
    <d v="1999-01-01T00:00:00"/>
    <n v="398185"/>
    <m/>
    <m/>
    <m/>
    <m/>
    <m/>
    <m/>
    <m/>
    <m/>
    <m/>
    <m/>
    <m/>
    <m/>
    <m/>
    <m/>
  </r>
  <r>
    <n v="4"/>
    <d v="2000-02-01T00:00:00"/>
    <x v="1"/>
    <x v="0"/>
    <n v="396"/>
    <n v="2"/>
    <d v="1999-01-01T00:00:00"/>
    <n v="397892"/>
    <m/>
    <m/>
    <m/>
    <m/>
    <m/>
    <m/>
    <m/>
    <m/>
    <m/>
    <m/>
    <m/>
    <m/>
    <m/>
    <m/>
  </r>
  <r>
    <n v="4"/>
    <d v="2000-03-01T00:00:00"/>
    <x v="2"/>
    <x v="0"/>
    <n v="425"/>
    <n v="2"/>
    <d v="1999-01-01T00:00:00"/>
    <n v="397673"/>
    <m/>
    <m/>
    <m/>
    <m/>
    <m/>
    <m/>
    <m/>
    <m/>
    <m/>
    <m/>
    <m/>
    <m/>
    <m/>
    <m/>
  </r>
  <r>
    <n v="4"/>
    <d v="2000-04-01T00:00:00"/>
    <x v="3"/>
    <x v="0"/>
    <n v="456"/>
    <n v="2"/>
    <d v="1999-01-01T00:00:00"/>
    <n v="397434"/>
    <n v="2.4"/>
    <n v="21.612500000000001"/>
    <n v="6.65"/>
    <m/>
    <m/>
    <n v="0.90500000000000003"/>
    <m/>
    <m/>
    <m/>
    <m/>
    <n v="8589542.3250000011"/>
    <n v="2642936.1"/>
    <n v="359677.77"/>
    <n v="143871.10800000001"/>
  </r>
  <r>
    <n v="4"/>
    <d v="2000-05-01T00:00:00"/>
    <x v="4"/>
    <x v="0"/>
    <n v="486"/>
    <n v="2"/>
    <d v="1999-01-01T00:00:00"/>
    <n v="396894"/>
    <n v="1.1487499999999999"/>
    <n v="14.9825"/>
    <n v="5.5737500000000004"/>
    <n v="1"/>
    <m/>
    <n v="0.45750000000000002"/>
    <m/>
    <m/>
    <m/>
    <m/>
    <n v="5946464.3549999995"/>
    <n v="2212187.9325000001"/>
    <n v="181579.005"/>
    <n v="72631.601999999999"/>
  </r>
  <r>
    <n v="4"/>
    <d v="2000-06-01T00:00:00"/>
    <x v="5"/>
    <x v="0"/>
    <n v="517"/>
    <n v="2"/>
    <d v="1999-01-01T00:00:00"/>
    <n v="379585"/>
    <n v="1.0666666666666669"/>
    <n v="24.31111111111111"/>
    <n v="12.722222222222221"/>
    <n v="2"/>
    <m/>
    <n v="4.4444444444444439E-2"/>
    <n v="1"/>
    <m/>
    <m/>
    <s v="Treatment split between May and July"/>
    <n v="9228133.1111111101"/>
    <n v="4829164.722222222"/>
    <n v="16870.444444444442"/>
    <n v="6748.177777777777"/>
  </r>
  <r>
    <n v="4"/>
    <d v="2000-07-01T00:00:00"/>
    <x v="6"/>
    <x v="0"/>
    <n v="547"/>
    <n v="2"/>
    <d v="1999-01-01T00:00:00"/>
    <n v="346405"/>
    <n v="0.88749999999999996"/>
    <n v="16.162500000000001"/>
    <n v="9.5625"/>
    <n v="0"/>
    <m/>
    <n v="1.2500000000000001E-2"/>
    <m/>
    <m/>
    <m/>
    <m/>
    <n v="5598770.8125000009"/>
    <n v="3312497.8125"/>
    <n v="4330.0625"/>
    <n v="1732.0250000000001"/>
  </r>
  <r>
    <n v="4"/>
    <d v="2000-08-01T00:00:00"/>
    <x v="7"/>
    <x v="0"/>
    <n v="578"/>
    <n v="2"/>
    <d v="1999-01-01T00:00:00"/>
    <n v="299839"/>
    <n v="0.12"/>
    <n v="3.11"/>
    <n v="1.88"/>
    <m/>
    <m/>
    <n v="0"/>
    <m/>
    <m/>
    <m/>
    <s v="Most likely harvest size"/>
    <n v="932499.28999999992"/>
    <n v="563697.31999999995"/>
    <n v="0"/>
    <n v="0"/>
  </r>
  <r>
    <n v="4"/>
    <d v="2000-09-01T00:00:00"/>
    <x v="8"/>
    <x v="0"/>
    <n v="609"/>
    <n v="2"/>
    <d v="1999-01-01T00:00:00"/>
    <n v="281891"/>
    <m/>
    <m/>
    <m/>
    <m/>
    <m/>
    <m/>
    <m/>
    <m/>
    <m/>
    <m/>
    <m/>
    <m/>
    <m/>
    <m/>
  </r>
  <r>
    <n v="4"/>
    <d v="2000-10-01T00:00:00"/>
    <x v="9"/>
    <x v="0"/>
    <n v="639"/>
    <n v="2"/>
    <d v="1999-01-01T00:00:00"/>
    <n v="230314"/>
    <m/>
    <m/>
    <m/>
    <m/>
    <m/>
    <m/>
    <m/>
    <m/>
    <m/>
    <m/>
    <m/>
    <m/>
    <m/>
    <m/>
  </r>
  <r>
    <n v="4"/>
    <d v="2000-11-01T00:00:00"/>
    <x v="10"/>
    <x v="0"/>
    <n v="670"/>
    <n v="2"/>
    <d v="1999-01-01T00:00:00"/>
    <n v="172138"/>
    <m/>
    <m/>
    <m/>
    <m/>
    <m/>
    <m/>
    <m/>
    <m/>
    <m/>
    <m/>
    <m/>
    <m/>
    <m/>
    <m/>
  </r>
  <r>
    <n v="4"/>
    <d v="2000-12-01T00:00:00"/>
    <x v="11"/>
    <x v="0"/>
    <n v="700"/>
    <n v="2"/>
    <d v="1999-01-01T00:00:00"/>
    <n v="9856"/>
    <m/>
    <m/>
    <m/>
    <m/>
    <m/>
    <m/>
    <m/>
    <m/>
    <m/>
    <m/>
    <m/>
    <m/>
    <m/>
    <m/>
  </r>
  <r>
    <n v="4"/>
    <d v="2001-01-01T00:00:00"/>
    <x v="0"/>
    <x v="1"/>
    <m/>
    <m/>
    <m/>
    <m/>
    <m/>
    <m/>
    <m/>
    <m/>
    <m/>
    <m/>
    <m/>
    <m/>
    <m/>
    <m/>
    <m/>
    <m/>
    <m/>
    <m/>
  </r>
  <r>
    <n v="4"/>
    <d v="2001-02-01T00:00:00"/>
    <x v="1"/>
    <x v="1"/>
    <m/>
    <m/>
    <m/>
    <m/>
    <m/>
    <m/>
    <m/>
    <m/>
    <m/>
    <m/>
    <m/>
    <m/>
    <m/>
    <m/>
    <m/>
    <m/>
    <m/>
    <m/>
  </r>
  <r>
    <n v="4"/>
    <d v="2001-03-01T00:00:00"/>
    <x v="2"/>
    <x v="1"/>
    <m/>
    <m/>
    <m/>
    <m/>
    <m/>
    <m/>
    <m/>
    <m/>
    <m/>
    <m/>
    <m/>
    <m/>
    <m/>
    <m/>
    <m/>
    <m/>
    <m/>
    <m/>
  </r>
  <r>
    <n v="4"/>
    <d v="2001-04-01T00:00:00"/>
    <x v="3"/>
    <x v="1"/>
    <m/>
    <m/>
    <m/>
    <m/>
    <m/>
    <m/>
    <m/>
    <m/>
    <m/>
    <m/>
    <m/>
    <m/>
    <m/>
    <m/>
    <m/>
    <m/>
    <m/>
    <m/>
  </r>
  <r>
    <n v="4"/>
    <d v="2001-05-01T00:00:00"/>
    <x v="4"/>
    <x v="1"/>
    <m/>
    <m/>
    <m/>
    <m/>
    <m/>
    <m/>
    <m/>
    <m/>
    <m/>
    <m/>
    <m/>
    <m/>
    <m/>
    <m/>
    <m/>
    <m/>
    <m/>
    <m/>
  </r>
  <r>
    <n v="4"/>
    <d v="2001-06-01T00:00:00"/>
    <x v="5"/>
    <x v="1"/>
    <m/>
    <m/>
    <m/>
    <m/>
    <m/>
    <m/>
    <m/>
    <m/>
    <m/>
    <m/>
    <m/>
    <m/>
    <m/>
    <m/>
    <m/>
    <m/>
    <m/>
    <m/>
  </r>
  <r>
    <n v="4"/>
    <d v="2001-07-01T00:00:00"/>
    <x v="6"/>
    <x v="1"/>
    <n v="273"/>
    <n v="1"/>
    <d v="2000-10-01T00:00:00"/>
    <n v="510023"/>
    <m/>
    <m/>
    <m/>
    <m/>
    <m/>
    <m/>
    <m/>
    <m/>
    <m/>
    <s v="transferred from farm #8"/>
    <m/>
    <m/>
    <m/>
    <m/>
  </r>
  <r>
    <n v="4"/>
    <d v="2001-08-01T00:00:00"/>
    <x v="7"/>
    <x v="1"/>
    <n v="304"/>
    <n v="1"/>
    <d v="2000-10-01T00:00:00"/>
    <n v="509810"/>
    <n v="0"/>
    <n v="1.45"/>
    <n v="0.3"/>
    <m/>
    <m/>
    <n v="0"/>
    <m/>
    <m/>
    <m/>
    <m/>
    <n v="739224.5"/>
    <n v="152943"/>
    <n v="0"/>
    <n v="0"/>
  </r>
  <r>
    <n v="4"/>
    <d v="2001-09-01T00:00:00"/>
    <x v="8"/>
    <x v="1"/>
    <n v="335"/>
    <n v="1"/>
    <d v="2000-10-01T00:00:00"/>
    <n v="509383"/>
    <n v="2.5000000000000001E-2"/>
    <n v="1.65"/>
    <n v="0.3"/>
    <n v="0"/>
    <m/>
    <n v="0"/>
    <m/>
    <m/>
    <m/>
    <m/>
    <n v="840481.95"/>
    <n v="152814.9"/>
    <n v="0"/>
    <n v="0"/>
  </r>
  <r>
    <n v="4"/>
    <d v="2001-10-01T00:00:00"/>
    <x v="9"/>
    <x v="1"/>
    <n v="365"/>
    <n v="2"/>
    <d v="2000-10-01T00:00:00"/>
    <n v="508670"/>
    <n v="0.125"/>
    <n v="1.675"/>
    <n v="0.57499999999999996"/>
    <n v="0"/>
    <m/>
    <n v="2.5000000000000001E-2"/>
    <m/>
    <m/>
    <m/>
    <m/>
    <n v="852022.25"/>
    <n v="292485.25"/>
    <n v="12716.75"/>
    <n v="5086.7000000000007"/>
  </r>
  <r>
    <n v="4"/>
    <d v="2001-11-01T00:00:00"/>
    <x v="10"/>
    <x v="1"/>
    <n v="396"/>
    <n v="2"/>
    <d v="2000-10-01T00:00:00"/>
    <n v="508312"/>
    <n v="0.32500000000000001"/>
    <n v="3.4"/>
    <n v="0.8"/>
    <n v="0"/>
    <m/>
    <n v="0.17499999999999999"/>
    <m/>
    <m/>
    <m/>
    <m/>
    <n v="1728260.8"/>
    <n v="406649.60000000003"/>
    <n v="88954.599999999991"/>
    <n v="35581.839999999997"/>
  </r>
  <r>
    <n v="4"/>
    <d v="2001-12-01T00:00:00"/>
    <x v="11"/>
    <x v="1"/>
    <n v="426"/>
    <n v="2"/>
    <d v="2000-10-01T00:00:00"/>
    <n v="492600"/>
    <m/>
    <n v="3.875"/>
    <n v="1.0625"/>
    <n v="0"/>
    <n v="1"/>
    <n v="0.26249999999999996"/>
    <m/>
    <m/>
    <m/>
    <m/>
    <n v="1908825"/>
    <n v="523387.5"/>
    <n v="129307.49999999997"/>
    <n v="51722.999999999993"/>
  </r>
  <r>
    <n v="4"/>
    <d v="2002-01-01T00:00:00"/>
    <x v="0"/>
    <x v="2"/>
    <n v="457"/>
    <n v="2"/>
    <d v="2000-10-01T00:00:00"/>
    <n v="489295"/>
    <n v="3.5667"/>
    <n v="4.3499999999999996"/>
    <n v="1.325"/>
    <n v="0"/>
    <m/>
    <n v="0.35"/>
    <m/>
    <m/>
    <m/>
    <m/>
    <n v="2128433.25"/>
    <n v="648315.875"/>
    <n v="171253.25"/>
    <n v="68501.3"/>
  </r>
  <r>
    <n v="4"/>
    <d v="2002-02-01T00:00:00"/>
    <x v="1"/>
    <x v="2"/>
    <n v="488"/>
    <n v="2"/>
    <d v="2000-10-01T00:00:00"/>
    <n v="488714"/>
    <n v="5.2477666666666671"/>
    <n v="11.450999999999999"/>
    <n v="2.1088999999999998"/>
    <n v="0"/>
    <m/>
    <n v="4.4433333333333332E-2"/>
    <m/>
    <m/>
    <m/>
    <m/>
    <n v="5596264.0139999995"/>
    <n v="1030648.9545999999"/>
    <n v="21715.192066666667"/>
    <n v="8686.0768266666673"/>
  </r>
  <r>
    <n v="4"/>
    <d v="2002-03-01T00:00:00"/>
    <x v="2"/>
    <x v="2"/>
    <n v="516"/>
    <n v="2"/>
    <d v="2000-10-01T00:00:00"/>
    <n v="483799"/>
    <n v="4.8"/>
    <n v="27.7"/>
    <n v="7.1749999999999998"/>
    <n v="2"/>
    <m/>
    <n v="0"/>
    <n v="1"/>
    <m/>
    <m/>
    <s v="start harvesting"/>
    <n v="13401232.299999999"/>
    <n v="3471257.8249999997"/>
    <n v="0"/>
    <n v="0"/>
  </r>
  <r>
    <n v="4"/>
    <d v="2002-04-01T00:00:00"/>
    <x v="3"/>
    <x v="2"/>
    <n v="547"/>
    <n v="2"/>
    <d v="2000-10-01T00:00:00"/>
    <n v="451412"/>
    <n v="1.66"/>
    <n v="9.24"/>
    <n v="1.66"/>
    <m/>
    <m/>
    <n v="0"/>
    <m/>
    <m/>
    <m/>
    <s v=" harvesting"/>
    <n v="4171046.88"/>
    <n v="749343.91999999993"/>
    <n v="0"/>
    <n v="0"/>
  </r>
  <r>
    <n v="4"/>
    <d v="2002-05-01T00:00:00"/>
    <x v="4"/>
    <x v="2"/>
    <n v="577"/>
    <n v="2"/>
    <d v="2000-10-01T00:00:00"/>
    <n v="360658"/>
    <m/>
    <m/>
    <m/>
    <m/>
    <m/>
    <m/>
    <m/>
    <m/>
    <m/>
    <s v=" harvesting"/>
    <m/>
    <m/>
    <m/>
    <m/>
  </r>
  <r>
    <n v="4"/>
    <d v="2002-06-01T00:00:00"/>
    <x v="5"/>
    <x v="2"/>
    <n v="608"/>
    <n v="2"/>
    <d v="2000-10-01T00:00:00"/>
    <n v="252978"/>
    <m/>
    <m/>
    <m/>
    <m/>
    <m/>
    <m/>
    <m/>
    <m/>
    <m/>
    <s v=" harvesting"/>
    <m/>
    <m/>
    <m/>
    <m/>
  </r>
  <r>
    <n v="4"/>
    <d v="2002-07-01T00:00:00"/>
    <x v="6"/>
    <x v="2"/>
    <n v="638"/>
    <n v="2"/>
    <d v="2000-10-01T00:00:00"/>
    <n v="103725"/>
    <m/>
    <m/>
    <m/>
    <m/>
    <m/>
    <m/>
    <m/>
    <m/>
    <m/>
    <s v=" harvesting"/>
    <m/>
    <m/>
    <m/>
    <m/>
  </r>
  <r>
    <n v="4"/>
    <d v="2002-08-01T00:00:00"/>
    <x v="7"/>
    <x v="2"/>
    <n v="669"/>
    <n v="2"/>
    <d v="2000-10-01T00:00:00"/>
    <n v="56538"/>
    <m/>
    <m/>
    <m/>
    <m/>
    <m/>
    <m/>
    <m/>
    <m/>
    <m/>
    <m/>
    <m/>
    <m/>
    <m/>
    <m/>
  </r>
  <r>
    <n v="4"/>
    <d v="2002-09-01T00:00:00"/>
    <x v="8"/>
    <x v="2"/>
    <n v="0"/>
    <n v="1"/>
    <d v="2002-09-01T00:00:00"/>
    <n v="89610"/>
    <m/>
    <m/>
    <m/>
    <m/>
    <m/>
    <m/>
    <m/>
    <m/>
    <m/>
    <s v="smolt entry"/>
    <m/>
    <m/>
    <m/>
    <m/>
  </r>
  <r>
    <n v="4"/>
    <d v="2002-10-01T00:00:00"/>
    <x v="9"/>
    <x v="2"/>
    <n v="30"/>
    <n v="1"/>
    <d v="2002-09-01T00:00:00"/>
    <n v="599859"/>
    <m/>
    <m/>
    <m/>
    <m/>
    <m/>
    <m/>
    <m/>
    <m/>
    <m/>
    <s v="smolt entry"/>
    <m/>
    <m/>
    <m/>
    <m/>
  </r>
  <r>
    <n v="4"/>
    <d v="2002-11-01T00:00:00"/>
    <x v="10"/>
    <x v="2"/>
    <n v="61"/>
    <n v="1"/>
    <d v="2002-09-01T00:00:00"/>
    <n v="895249"/>
    <m/>
    <m/>
    <m/>
    <m/>
    <m/>
    <m/>
    <m/>
    <m/>
    <m/>
    <m/>
    <m/>
    <m/>
    <m/>
    <m/>
  </r>
  <r>
    <n v="4"/>
    <d v="2002-12-01T00:00:00"/>
    <x v="11"/>
    <x v="2"/>
    <n v="91"/>
    <n v="1"/>
    <d v="2002-09-01T00:00:00"/>
    <n v="889246"/>
    <n v="0.55000000000000004"/>
    <n v="0.1"/>
    <n v="0"/>
    <m/>
    <m/>
    <n v="0.15"/>
    <m/>
    <m/>
    <m/>
    <m/>
    <n v="88924.6"/>
    <n v="0"/>
    <n v="133386.9"/>
    <n v="53354.76"/>
  </r>
  <r>
    <n v="4"/>
    <d v="2003-01-01T00:00:00"/>
    <x v="0"/>
    <x v="3"/>
    <n v="122"/>
    <n v="1"/>
    <d v="2002-09-01T00:00:00"/>
    <n v="888130"/>
    <n v="2.0499999999999998"/>
    <n v="0.92500000000000004"/>
    <n v="0.21249999999999999"/>
    <n v="0"/>
    <m/>
    <n v="0"/>
    <m/>
    <m/>
    <m/>
    <m/>
    <n v="821520.25"/>
    <n v="188727.625"/>
    <n v="0"/>
    <n v="0"/>
  </r>
  <r>
    <n v="4"/>
    <d v="2003-02-01T00:00:00"/>
    <x v="1"/>
    <x v="3"/>
    <n v="153"/>
    <n v="1"/>
    <d v="2002-09-01T00:00:00"/>
    <n v="886491"/>
    <n v="1.3333333333333333"/>
    <n v="1.3"/>
    <n v="0.29583333333333334"/>
    <n v="1"/>
    <m/>
    <n v="4.1666666666666664E-2"/>
    <m/>
    <m/>
    <m/>
    <m/>
    <n v="1152438.3"/>
    <n v="262253.58750000002"/>
    <n v="36937.125"/>
    <n v="14774.85"/>
  </r>
  <r>
    <n v="4"/>
    <d v="2003-03-01T00:00:00"/>
    <x v="2"/>
    <x v="3"/>
    <n v="181"/>
    <n v="1"/>
    <d v="2002-09-01T00:00:00"/>
    <n v="882540"/>
    <n v="1.08"/>
    <n v="1.21"/>
    <n v="0.06"/>
    <n v="0"/>
    <m/>
    <n v="0.11"/>
    <m/>
    <n v="7.45"/>
    <n v="28.71"/>
    <m/>
    <n v="1067873.3999999999"/>
    <n v="52952.4"/>
    <n v="97079.4"/>
    <n v="38831.760000000002"/>
  </r>
  <r>
    <n v="4"/>
    <d v="2003-04-01T00:00:00"/>
    <x v="3"/>
    <x v="3"/>
    <n v="212"/>
    <n v="1"/>
    <d v="2002-09-01T00:00:00"/>
    <n v="879785"/>
    <n v="0.86"/>
    <n v="1.1599999999999999"/>
    <n v="0.05"/>
    <n v="0"/>
    <m/>
    <n v="0.05"/>
    <m/>
    <n v="8.39"/>
    <n v="26.97"/>
    <m/>
    <n v="1020550.6"/>
    <n v="43989.25"/>
    <n v="43989.25"/>
    <n v="17595.7"/>
  </r>
  <r>
    <n v="4"/>
    <d v="2003-05-01T00:00:00"/>
    <x v="4"/>
    <x v="3"/>
    <n v="242"/>
    <n v="1"/>
    <d v="2002-09-01T00:00:00"/>
    <n v="877308"/>
    <n v="0.31"/>
    <n v="0.36"/>
    <n v="0.02"/>
    <n v="0"/>
    <m/>
    <n v="0.69"/>
    <m/>
    <n v="9.77"/>
    <n v="24.19"/>
    <m/>
    <n v="315830.88"/>
    <n v="17546.16"/>
    <n v="605342.5199999999"/>
    <n v="242137.00799999997"/>
  </r>
  <r>
    <n v="4"/>
    <d v="2003-06-01T00:00:00"/>
    <x v="5"/>
    <x v="3"/>
    <n v="273"/>
    <n v="1"/>
    <d v="2002-09-01T00:00:00"/>
    <n v="876049"/>
    <n v="0.08"/>
    <n v="0.22"/>
    <n v="0.01"/>
    <n v="0"/>
    <m/>
    <n v="0.06"/>
    <m/>
    <n v="11.23"/>
    <n v="19.07"/>
    <m/>
    <n v="192730.78"/>
    <n v="8760.49"/>
    <n v="52562.939999999995"/>
    <n v="21025.175999999999"/>
  </r>
  <r>
    <n v="4"/>
    <d v="2003-07-01T00:00:00"/>
    <x v="6"/>
    <x v="3"/>
    <n v="303"/>
    <n v="1"/>
    <d v="2002-09-01T00:00:00"/>
    <n v="874433"/>
    <n v="0.03"/>
    <n v="0.18"/>
    <n v="0"/>
    <n v="0"/>
    <m/>
    <n v="0.02"/>
    <m/>
    <n v="11.88"/>
    <n v="17.47"/>
    <m/>
    <n v="157397.94"/>
    <n v="0"/>
    <n v="17488.66"/>
    <n v="6995.4639999999999"/>
  </r>
  <r>
    <n v="4"/>
    <d v="2003-08-01T00:00:00"/>
    <x v="7"/>
    <x v="3"/>
    <n v="334"/>
    <n v="1"/>
    <d v="2002-09-01T00:00:00"/>
    <n v="873611"/>
    <n v="0.03"/>
    <n v="0.27"/>
    <n v="0.02"/>
    <m/>
    <m/>
    <n v="0.02"/>
    <m/>
    <n v="12.18"/>
    <n v="20.059999999999999"/>
    <m/>
    <n v="235874.97"/>
    <n v="17472.22"/>
    <n v="17472.22"/>
    <n v="6988.8880000000008"/>
  </r>
  <r>
    <n v="4"/>
    <d v="2003-09-01T00:00:00"/>
    <x v="8"/>
    <x v="3"/>
    <n v="365"/>
    <n v="2"/>
    <d v="2002-09-01T00:00:00"/>
    <n v="872918"/>
    <m/>
    <n v="0.17500000000000002"/>
    <n v="2.5000000000000001E-2"/>
    <m/>
    <n v="1"/>
    <n v="0.02"/>
    <m/>
    <m/>
    <m/>
    <m/>
    <n v="152760.65000000002"/>
    <n v="21822.95"/>
    <n v="17458.36"/>
    <n v="6983.344000000001"/>
  </r>
  <r>
    <n v="4"/>
    <d v="2003-10-01T00:00:00"/>
    <x v="9"/>
    <x v="3"/>
    <n v="395"/>
    <n v="2"/>
    <d v="2002-09-01T00:00:00"/>
    <n v="872107"/>
    <n v="0"/>
    <n v="0.08"/>
    <n v="0.03"/>
    <m/>
    <m/>
    <n v="0.02"/>
    <m/>
    <n v="10.3"/>
    <m/>
    <m/>
    <n v="69768.56"/>
    <n v="26163.21"/>
    <n v="17442.14"/>
    <n v="6976.8559999999998"/>
  </r>
  <r>
    <n v="4"/>
    <d v="2003-11-01T00:00:00"/>
    <x v="10"/>
    <x v="3"/>
    <n v="426"/>
    <n v="2"/>
    <d v="2002-09-01T00:00:00"/>
    <n v="871044"/>
    <n v="0.02"/>
    <n v="0.28999999999999998"/>
    <n v="0.11"/>
    <n v="0"/>
    <m/>
    <n v="0.11"/>
    <m/>
    <n v="7.8"/>
    <n v="26"/>
    <m/>
    <n v="252602.75999999998"/>
    <n v="95814.84"/>
    <n v="95814.84"/>
    <n v="38325.936000000002"/>
  </r>
  <r>
    <n v="4"/>
    <d v="2003-12-01T00:00:00"/>
    <x v="11"/>
    <x v="3"/>
    <n v="456"/>
    <n v="2"/>
    <d v="2002-09-01T00:00:00"/>
    <n v="690868"/>
    <n v="0.08"/>
    <n v="0.57999999999999996"/>
    <n v="0.3"/>
    <n v="0"/>
    <m/>
    <n v="0.05"/>
    <m/>
    <n v="6.7"/>
    <n v="28"/>
    <s v="180,000 transferred to farm #6"/>
    <n v="400703.43999999994"/>
    <n v="207260.4"/>
    <n v="34543.4"/>
    <n v="13817.36"/>
  </r>
  <r>
    <n v="4"/>
    <d v="2004-01-01T00:00:00"/>
    <x v="0"/>
    <x v="4"/>
    <n v="487"/>
    <n v="2"/>
    <d v="2002-09-01T00:00:00"/>
    <n v="566149"/>
    <n v="0.4"/>
    <n v="1.74"/>
    <n v="0.76"/>
    <n v="0"/>
    <m/>
    <n v="0.02"/>
    <m/>
    <n v="6.48"/>
    <n v="29"/>
    <m/>
    <n v="985099.26"/>
    <n v="430273.24"/>
    <n v="11322.98"/>
    <n v="4529.192"/>
  </r>
  <r>
    <n v="4"/>
    <d v="2004-02-01T00:00:00"/>
    <x v="1"/>
    <x v="4"/>
    <n v="518"/>
    <n v="2"/>
    <d v="2002-09-01T00:00:00"/>
    <n v="566149"/>
    <n v="0.8"/>
    <n v="1.4"/>
    <n v="0.6"/>
    <n v="1"/>
    <m/>
    <n v="0.2"/>
    <m/>
    <n v="6.8"/>
    <n v="29.64"/>
    <m/>
    <n v="792608.6"/>
    <n v="339689.39999999997"/>
    <n v="113229.8"/>
    <n v="45291.920000000006"/>
  </r>
  <r>
    <n v="4"/>
    <d v="2004-03-01T00:00:00"/>
    <x v="2"/>
    <x v="4"/>
    <n v="547"/>
    <n v="2"/>
    <d v="2002-09-01T00:00:00"/>
    <n v="566149"/>
    <n v="0.4"/>
    <n v="2"/>
    <n v="1.2"/>
    <n v="0"/>
    <m/>
    <n v="0.2"/>
    <m/>
    <n v="7.37"/>
    <n v="28.93"/>
    <m/>
    <n v="1132298"/>
    <n v="679378.79999999993"/>
    <n v="113229.8"/>
    <n v="45291.920000000006"/>
  </r>
  <r>
    <n v="4"/>
    <d v="2004-04-01T00:00:00"/>
    <x v="3"/>
    <x v="4"/>
    <n v="578"/>
    <n v="2"/>
    <d v="2002-09-01T00:00:00"/>
    <n v="563662"/>
    <n v="3.17"/>
    <n v="12.98"/>
    <n v="2.5299999999999998"/>
    <n v="0"/>
    <m/>
    <n v="0.02"/>
    <m/>
    <n v="9.1"/>
    <n v="26.4"/>
    <m/>
    <n v="7316332.7599999998"/>
    <n v="1426064.8599999999"/>
    <n v="11273.24"/>
    <n v="4509.2960000000003"/>
  </r>
  <r>
    <n v="4"/>
    <d v="2004-05-01T00:00:00"/>
    <x v="4"/>
    <x v="4"/>
    <n v="608"/>
    <n v="2"/>
    <d v="2002-09-01T00:00:00"/>
    <n v="553745"/>
    <n v="3.7"/>
    <n v="34.75"/>
    <n v="22.45"/>
    <n v="2"/>
    <m/>
    <n v="0.15"/>
    <n v="1"/>
    <n v="9.93"/>
    <n v="23.45"/>
    <m/>
    <n v="19242638.75"/>
    <n v="12431575.25"/>
    <n v="83061.75"/>
    <n v="33224.700000000004"/>
  </r>
  <r>
    <n v="4"/>
    <d v="2004-06-01T00:00:00"/>
    <x v="5"/>
    <x v="4"/>
    <n v="639"/>
    <n v="2"/>
    <d v="2002-09-01T00:00:00"/>
    <n v="426032"/>
    <n v="0.1"/>
    <n v="25.35"/>
    <n v="12.55"/>
    <n v="0"/>
    <m/>
    <n v="0.65"/>
    <m/>
    <n v="10.63"/>
    <n v="21.83"/>
    <m/>
    <n v="10799911.200000001"/>
    <n v="5346701.6000000006"/>
    <n v="276920.8"/>
    <n v="110768.32000000001"/>
  </r>
  <r>
    <n v="4"/>
    <d v="2004-07-01T00:00:00"/>
    <x v="6"/>
    <x v="4"/>
    <n v="669"/>
    <n v="2"/>
    <d v="2002-09-01T00:00:00"/>
    <n v="372204"/>
    <n v="0"/>
    <n v="1.8"/>
    <n v="0.8"/>
    <n v="0"/>
    <m/>
    <n v="0"/>
    <m/>
    <n v="12.15"/>
    <n v="19.46"/>
    <m/>
    <n v="669967.20000000007"/>
    <n v="297763.20000000001"/>
    <n v="0"/>
    <n v="0"/>
  </r>
  <r>
    <n v="4"/>
    <d v="2004-08-01T00:00:00"/>
    <x v="7"/>
    <x v="4"/>
    <n v="700"/>
    <n v="2"/>
    <d v="2002-09-01T00:00:00"/>
    <n v="120000"/>
    <n v="0.25"/>
    <n v="0.83"/>
    <n v="0.25"/>
    <m/>
    <m/>
    <n v="0.05"/>
    <m/>
    <n v="11.29"/>
    <n v="17.059999999999999"/>
    <s v="harvesting"/>
    <n v="99600"/>
    <n v="30000"/>
    <n v="6000"/>
    <n v="2400"/>
  </r>
  <r>
    <n v="4"/>
    <d v="2004-09-01T00:00:00"/>
    <x v="8"/>
    <x v="4"/>
    <m/>
    <m/>
    <m/>
    <m/>
    <m/>
    <m/>
    <m/>
    <m/>
    <m/>
    <m/>
    <m/>
    <m/>
    <m/>
    <m/>
    <m/>
    <m/>
    <m/>
    <m/>
  </r>
  <r>
    <n v="4"/>
    <d v="2004-10-01T00:00:00"/>
    <x v="9"/>
    <x v="4"/>
    <n v="0"/>
    <n v="1"/>
    <d v="2004-10-01T00:00:00"/>
    <n v="50000"/>
    <m/>
    <m/>
    <n v="0"/>
    <m/>
    <s v="s"/>
    <n v="0"/>
    <m/>
    <m/>
    <m/>
    <m/>
    <m/>
    <n v="0"/>
    <n v="0"/>
    <n v="0"/>
  </r>
  <r>
    <n v="4"/>
    <d v="2004-11-01T00:00:00"/>
    <x v="10"/>
    <x v="4"/>
    <n v="31"/>
    <n v="1"/>
    <d v="2004-10-01T00:00:00"/>
    <n v="650000"/>
    <m/>
    <m/>
    <n v="0.05"/>
    <m/>
    <s v="s"/>
    <n v="0.25"/>
    <m/>
    <m/>
    <m/>
    <m/>
    <m/>
    <n v="32500"/>
    <n v="162500"/>
    <n v="65000"/>
  </r>
  <r>
    <n v="4"/>
    <d v="2004-12-01T00:00:00"/>
    <x v="11"/>
    <x v="4"/>
    <n v="61"/>
    <n v="1"/>
    <d v="2004-10-01T00:00:00"/>
    <n v="649000"/>
    <m/>
    <m/>
    <n v="0.1"/>
    <m/>
    <s v="s"/>
    <n v="0.5"/>
    <m/>
    <m/>
    <m/>
    <m/>
    <m/>
    <n v="64900"/>
    <n v="324500"/>
    <n v="129800"/>
  </r>
  <r>
    <n v="4"/>
    <d v="2005-01-01T00:00:00"/>
    <x v="0"/>
    <x v="5"/>
    <n v="92"/>
    <n v="1"/>
    <d v="2004-10-01T00:00:00"/>
    <n v="648000"/>
    <n v="0.02"/>
    <n v="1.3"/>
    <n v="0.15"/>
    <m/>
    <m/>
    <n v="0.7"/>
    <m/>
    <n v="6"/>
    <n v="28"/>
    <m/>
    <n v="842400"/>
    <n v="97200"/>
    <n v="453600"/>
    <n v="181440"/>
  </r>
  <r>
    <n v="4"/>
    <d v="2005-02-01T00:00:00"/>
    <x v="1"/>
    <x v="5"/>
    <n v="123"/>
    <n v="1"/>
    <d v="2004-10-01T00:00:00"/>
    <n v="647000"/>
    <n v="0"/>
    <n v="1.1200000000000001"/>
    <n v="0.15"/>
    <n v="0"/>
    <m/>
    <n v="0.42"/>
    <m/>
    <n v="7"/>
    <n v="26"/>
    <m/>
    <n v="724640.00000000012"/>
    <n v="97050"/>
    <n v="271740"/>
    <n v="108696"/>
  </r>
  <r>
    <n v="4"/>
    <d v="2005-03-01T00:00:00"/>
    <x v="2"/>
    <x v="5"/>
    <n v="151"/>
    <n v="1"/>
    <d v="2004-10-01T00:00:00"/>
    <n v="645884"/>
    <n v="0"/>
    <n v="0.78"/>
    <n v="0.17"/>
    <n v="0"/>
    <m/>
    <n v="0.62"/>
    <m/>
    <n v="8"/>
    <n v="27"/>
    <m/>
    <n v="503789.52"/>
    <n v="109800.28000000001"/>
    <n v="400448.08"/>
    <n v="160179.23200000002"/>
  </r>
  <r>
    <n v="4"/>
    <d v="2005-04-01T00:00:00"/>
    <x v="3"/>
    <x v="5"/>
    <n v="182"/>
    <n v="1"/>
    <d v="2004-10-01T00:00:00"/>
    <n v="643333"/>
    <n v="0.32"/>
    <n v="1.25"/>
    <n v="0.25"/>
    <n v="0"/>
    <m/>
    <n v="1.82"/>
    <m/>
    <n v="9"/>
    <n v="30"/>
    <m/>
    <n v="804166.25"/>
    <n v="160833.25"/>
    <n v="1170866.06"/>
    <n v="468346.42400000006"/>
  </r>
  <r>
    <n v="4"/>
    <d v="2005-05-01T00:00:00"/>
    <x v="4"/>
    <x v="5"/>
    <n v="212"/>
    <n v="1"/>
    <d v="2004-10-01T00:00:00"/>
    <n v="639849"/>
    <n v="0.12"/>
    <n v="1.02"/>
    <n v="0.55000000000000004"/>
    <n v="1"/>
    <m/>
    <n v="0.12"/>
    <m/>
    <n v="11"/>
    <n v="20"/>
    <m/>
    <n v="652645.98"/>
    <n v="351916.95"/>
    <n v="76781.87999999999"/>
    <n v="30712.751999999997"/>
  </r>
  <r>
    <n v="4"/>
    <d v="2005-06-01T00:00:00"/>
    <x v="5"/>
    <x v="5"/>
    <n v="243"/>
    <n v="1"/>
    <d v="2004-10-01T00:00:00"/>
    <n v="637414"/>
    <n v="7.0000000000000007E-2"/>
    <n v="1.22"/>
    <n v="0.38"/>
    <n v="0"/>
    <m/>
    <n v="0.23"/>
    <m/>
    <n v="12"/>
    <n v="20"/>
    <m/>
    <n v="777645.08"/>
    <n v="242217.32"/>
    <n v="146605.22"/>
    <n v="58642.088000000003"/>
  </r>
  <r>
    <n v="4"/>
    <d v="2005-07-01T00:00:00"/>
    <x v="6"/>
    <x v="5"/>
    <n v="273"/>
    <n v="1"/>
    <d v="2004-10-01T00:00:00"/>
    <n v="636130"/>
    <n v="0.03"/>
    <n v="1.2"/>
    <n v="0.47"/>
    <m/>
    <m/>
    <n v="0.02"/>
    <m/>
    <n v="12"/>
    <n v="15"/>
    <m/>
    <n v="763356"/>
    <n v="298981.09999999998"/>
    <n v="12722.6"/>
    <n v="5089.0400000000009"/>
  </r>
  <r>
    <n v="4"/>
    <d v="2005-08-01T00:00:00"/>
    <x v="7"/>
    <x v="5"/>
    <n v="304"/>
    <n v="1"/>
    <d v="2004-10-01T00:00:00"/>
    <n v="634078.66666666698"/>
    <m/>
    <n v="1.29"/>
    <n v="0.57499999999999996"/>
    <m/>
    <n v="1"/>
    <n v="6.0000000000000005E-2"/>
    <m/>
    <m/>
    <m/>
    <m/>
    <n v="817961.48000000045"/>
    <n v="364595.23333333351"/>
    <n v="38044.720000000023"/>
    <n v="15217.88800000001"/>
  </r>
  <r>
    <n v="4"/>
    <d v="2005-09-01T00:00:00"/>
    <x v="8"/>
    <x v="5"/>
    <n v="335"/>
    <n v="1"/>
    <d v="2004-10-01T00:00:00"/>
    <n v="632219.16666666698"/>
    <n v="0"/>
    <n v="1.38"/>
    <n v="0.68"/>
    <m/>
    <m/>
    <n v="0.1"/>
    <m/>
    <n v="11"/>
    <n v="20"/>
    <m/>
    <n v="872462.45000000042"/>
    <n v="429909.03333333356"/>
    <n v="63221.916666666701"/>
    <n v="25288.766666666681"/>
  </r>
  <r>
    <n v="4"/>
    <d v="2005-10-01T00:00:00"/>
    <x v="9"/>
    <x v="5"/>
    <n v="365"/>
    <n v="2"/>
    <d v="2004-10-01T00:00:00"/>
    <n v="630359.66666666698"/>
    <n v="0"/>
    <n v="2.75"/>
    <n v="1.73"/>
    <n v="0"/>
    <m/>
    <n v="0"/>
    <m/>
    <n v="10"/>
    <n v="22"/>
    <m/>
    <n v="1733489.0833333342"/>
    <n v="1090522.2233333339"/>
    <n v="0"/>
    <n v="0"/>
  </r>
  <r>
    <n v="4"/>
    <d v="2005-11-01T00:00:00"/>
    <x v="10"/>
    <x v="5"/>
    <n v="396"/>
    <n v="2"/>
    <d v="2004-10-01T00:00:00"/>
    <n v="628500.16666666698"/>
    <n v="0"/>
    <n v="3.4"/>
    <n v="2.52"/>
    <n v="0"/>
    <m/>
    <n v="0.08"/>
    <m/>
    <n v="8"/>
    <n v="25"/>
    <m/>
    <n v="2136900.5666666678"/>
    <n v="1583820.4200000009"/>
    <n v="50280.013333333358"/>
    <n v="20112.005333333345"/>
  </r>
  <r>
    <n v="4"/>
    <d v="2005-12-01T00:00:00"/>
    <x v="11"/>
    <x v="5"/>
    <n v="426"/>
    <n v="2"/>
    <d v="2004-10-01T00:00:00"/>
    <n v="626640.66666666698"/>
    <n v="0.48"/>
    <n v="6.1"/>
    <n v="3.42"/>
    <n v="0"/>
    <m/>
    <n v="0.1"/>
    <m/>
    <n v="7"/>
    <n v="27"/>
    <m/>
    <n v="3822508.0666666683"/>
    <n v="2143111.080000001"/>
    <n v="62664.066666666702"/>
    <n v="25065.626666666682"/>
  </r>
  <r>
    <n v="4"/>
    <d v="2006-01-01T00:00:00"/>
    <x v="0"/>
    <x v="6"/>
    <n v="457"/>
    <n v="2"/>
    <d v="2004-10-01T00:00:00"/>
    <n v="624781.16666666698"/>
    <n v="0.12"/>
    <n v="8.83"/>
    <n v="4.05"/>
    <n v="2"/>
    <m/>
    <n v="0.62"/>
    <n v="1"/>
    <n v="7"/>
    <n v="28"/>
    <s v="Portion farm tx"/>
    <n v="5516817.701666669"/>
    <n v="2530363.725000001"/>
    <n v="387364.32333333354"/>
    <n v="154945.72933333341"/>
  </r>
  <r>
    <n v="4"/>
    <d v="2006-02-01T00:00:00"/>
    <x v="1"/>
    <x v="6"/>
    <n v="488"/>
    <n v="2"/>
    <d v="2004-10-01T00:00:00"/>
    <n v="500000"/>
    <n v="0"/>
    <n v="6.62"/>
    <n v="4"/>
    <n v="0"/>
    <m/>
    <n v="0.27"/>
    <m/>
    <n v="7"/>
    <n v="29"/>
    <m/>
    <n v="3310000"/>
    <n v="2000000"/>
    <n v="135000"/>
    <n v="54000"/>
  </r>
  <r>
    <n v="4"/>
    <d v="2006-03-01T00:00:00"/>
    <x v="2"/>
    <x v="6"/>
    <n v="516"/>
    <n v="2"/>
    <d v="2004-10-01T00:00:00"/>
    <n v="409421"/>
    <n v="0"/>
    <n v="0.82"/>
    <n v="0.35"/>
    <n v="0"/>
    <m/>
    <n v="0"/>
    <m/>
    <n v="7"/>
    <n v="30"/>
    <m/>
    <n v="335725.22"/>
    <n v="143297.34999999998"/>
    <n v="0"/>
    <n v="0"/>
  </r>
  <r>
    <n v="4"/>
    <d v="2006-04-01T00:00:00"/>
    <x v="3"/>
    <x v="6"/>
    <n v="547"/>
    <n v="2"/>
    <d v="2004-10-01T00:00:00"/>
    <n v="293456"/>
    <n v="0"/>
    <n v="0.63"/>
    <n v="0.2"/>
    <m/>
    <m/>
    <n v="0"/>
    <m/>
    <n v="9"/>
    <n v="29"/>
    <m/>
    <n v="184877.28"/>
    <n v="58691.200000000004"/>
    <n v="0"/>
    <n v="0"/>
  </r>
  <r>
    <n v="4"/>
    <d v="2006-05-01T00:00:00"/>
    <x v="4"/>
    <x v="6"/>
    <n v="577"/>
    <n v="2"/>
    <d v="2004-10-01T00:00:00"/>
    <n v="146700"/>
    <m/>
    <m/>
    <n v="0.2"/>
    <m/>
    <s v="h"/>
    <n v="0.1"/>
    <m/>
    <m/>
    <m/>
    <s v="Harvest, &lt; 3 pens left"/>
    <m/>
    <n v="29340"/>
    <n v="14670"/>
    <n v="5868"/>
  </r>
  <r>
    <n v="4"/>
    <d v="2006-06-01T00:00:00"/>
    <x v="5"/>
    <x v="6"/>
    <n v="608"/>
    <n v="2"/>
    <d v="2004-10-01T00:00:00"/>
    <n v="97800"/>
    <m/>
    <m/>
    <n v="0.2"/>
    <m/>
    <s v="h"/>
    <n v="0.2"/>
    <m/>
    <m/>
    <m/>
    <s v="Harvest, &lt; 3 pens left"/>
    <m/>
    <n v="19560"/>
    <n v="19560"/>
    <n v="7824"/>
  </r>
  <r>
    <n v="4"/>
    <d v="2006-07-01T00:00:00"/>
    <x v="6"/>
    <x v="6"/>
    <m/>
    <m/>
    <m/>
    <m/>
    <m/>
    <m/>
    <m/>
    <m/>
    <m/>
    <m/>
    <m/>
    <m/>
    <m/>
    <m/>
    <m/>
    <m/>
    <m/>
    <m/>
  </r>
  <r>
    <n v="4"/>
    <d v="2006-08-01T00:00:00"/>
    <x v="7"/>
    <x v="6"/>
    <m/>
    <m/>
    <m/>
    <m/>
    <m/>
    <m/>
    <m/>
    <m/>
    <m/>
    <m/>
    <m/>
    <m/>
    <m/>
    <m/>
    <m/>
    <m/>
    <m/>
    <m/>
  </r>
  <r>
    <n v="4"/>
    <d v="2006-09-01T00:00:00"/>
    <x v="8"/>
    <x v="6"/>
    <n v="0"/>
    <n v="1"/>
    <d v="2006-09-01T00:00:00"/>
    <n v="158716"/>
    <m/>
    <m/>
    <n v="0"/>
    <m/>
    <s v="s"/>
    <n v="0"/>
    <m/>
    <m/>
    <m/>
    <s v="smolt entry"/>
    <m/>
    <n v="0"/>
    <n v="0"/>
    <n v="0"/>
  </r>
  <r>
    <n v="4"/>
    <d v="2006-10-01T00:00:00"/>
    <x v="9"/>
    <x v="6"/>
    <n v="30"/>
    <n v="1"/>
    <d v="2006-09-01T00:00:00"/>
    <n v="612968"/>
    <m/>
    <m/>
    <n v="0"/>
    <m/>
    <s v="s"/>
    <n v="0.04"/>
    <m/>
    <m/>
    <m/>
    <m/>
    <m/>
    <n v="0"/>
    <n v="24518.720000000001"/>
    <n v="9807.4880000000012"/>
  </r>
  <r>
    <n v="4"/>
    <d v="2006-11-01T00:00:00"/>
    <x v="10"/>
    <x v="6"/>
    <n v="61"/>
    <n v="1"/>
    <d v="2006-09-01T00:00:00"/>
    <n v="610469"/>
    <n v="0.56666660000000002"/>
    <n v="0.15"/>
    <n v="0"/>
    <m/>
    <m/>
    <n v="8.3333299999999999E-2"/>
    <m/>
    <n v="8"/>
    <n v="19"/>
    <m/>
    <n v="91570.349999999991"/>
    <n v="0"/>
    <n v="50872.396317699997"/>
    <n v="20348.958527080002"/>
  </r>
  <r>
    <n v="4"/>
    <d v="2006-12-01T00:00:00"/>
    <x v="11"/>
    <x v="6"/>
    <n v="91"/>
    <n v="1"/>
    <d v="2006-09-01T00:00:00"/>
    <n v="609500"/>
    <n v="2.65"/>
    <n v="7.0000000000000007E-2"/>
    <n v="0"/>
    <n v="0"/>
    <m/>
    <n v="0.18"/>
    <m/>
    <n v="7"/>
    <n v="25"/>
    <m/>
    <n v="42665.000000000007"/>
    <n v="0"/>
    <n v="109710"/>
    <n v="43884"/>
  </r>
  <r>
    <n v="4"/>
    <d v="2007-01-01T00:00:00"/>
    <x v="0"/>
    <x v="7"/>
    <n v="122"/>
    <n v="1"/>
    <d v="2006-09-01T00:00:00"/>
    <n v="606970"/>
    <n v="0.71666660000000004"/>
    <n v="1.85"/>
    <n v="0.55000000000000004"/>
    <n v="1"/>
    <m/>
    <n v="3.3333300000000003E-2"/>
    <m/>
    <n v="6"/>
    <n v="25"/>
    <m/>
    <n v="1122894.5"/>
    <n v="333833.5"/>
    <n v="20232.313101000003"/>
    <n v="8092.9252404000017"/>
  </r>
  <r>
    <n v="4"/>
    <d v="2007-02-01T00:00:00"/>
    <x v="1"/>
    <x v="7"/>
    <n v="153"/>
    <n v="1"/>
    <d v="2006-09-01T00:00:00"/>
    <n v="603136"/>
    <n v="0.45"/>
    <n v="1.2"/>
    <n v="0.12"/>
    <n v="1"/>
    <m/>
    <n v="0.02"/>
    <m/>
    <n v="7"/>
    <n v="24"/>
    <m/>
    <n v="723763.19999999995"/>
    <n v="72376.319999999992"/>
    <n v="12062.72"/>
    <n v="4825.0879999999997"/>
  </r>
  <r>
    <n v="4"/>
    <d v="2007-03-01T00:00:00"/>
    <x v="2"/>
    <x v="7"/>
    <n v="181"/>
    <n v="1"/>
    <d v="2006-09-01T00:00:00"/>
    <n v="590474"/>
    <n v="0.52"/>
    <n v="0.68"/>
    <n v="0.45"/>
    <n v="1"/>
    <m/>
    <n v="0"/>
    <m/>
    <n v="8"/>
    <n v="23"/>
    <m/>
    <n v="401522.32"/>
    <n v="265713.3"/>
    <n v="0"/>
    <n v="0"/>
  </r>
  <r>
    <n v="4"/>
    <d v="2007-04-01T00:00:00"/>
    <x v="3"/>
    <x v="7"/>
    <n v="212"/>
    <n v="1"/>
    <d v="2006-09-01T00:00:00"/>
    <n v="582965"/>
    <n v="0.4"/>
    <n v="0.9"/>
    <n v="0.3"/>
    <n v="0"/>
    <m/>
    <n v="0"/>
    <m/>
    <n v="8"/>
    <n v="25"/>
    <m/>
    <n v="524668.5"/>
    <n v="174889.5"/>
    <n v="0"/>
    <n v="0"/>
  </r>
  <r>
    <n v="4"/>
    <d v="2007-05-01T00:00:00"/>
    <x v="4"/>
    <x v="7"/>
    <n v="242"/>
    <n v="1"/>
    <d v="2006-09-01T00:00:00"/>
    <n v="579647"/>
    <n v="0.12"/>
    <n v="0.47"/>
    <n v="0.23"/>
    <n v="0"/>
    <m/>
    <n v="0"/>
    <m/>
    <n v="9"/>
    <n v="21"/>
    <m/>
    <n v="272434.08999999997"/>
    <n v="133318.81"/>
    <n v="0"/>
    <n v="0"/>
  </r>
  <r>
    <n v="4"/>
    <d v="2007-06-01T00:00:00"/>
    <x v="5"/>
    <x v="7"/>
    <n v="273"/>
    <n v="1"/>
    <d v="2006-09-01T00:00:00"/>
    <n v="577762"/>
    <n v="0"/>
    <n v="0.1"/>
    <n v="0.02"/>
    <n v="0"/>
    <m/>
    <n v="0"/>
    <m/>
    <n v="11"/>
    <n v="17"/>
    <m/>
    <n v="57776.200000000004"/>
    <n v="11555.24"/>
    <n v="0"/>
    <n v="0"/>
  </r>
  <r>
    <n v="4"/>
    <d v="2007-07-01T00:00:00"/>
    <x v="6"/>
    <x v="7"/>
    <n v="303"/>
    <n v="1"/>
    <d v="2006-09-01T00:00:00"/>
    <n v="575618"/>
    <n v="0"/>
    <n v="0"/>
    <n v="0"/>
    <n v="0"/>
    <m/>
    <n v="0.02"/>
    <m/>
    <n v="12"/>
    <n v="15"/>
    <m/>
    <n v="0"/>
    <n v="0"/>
    <n v="11512.36"/>
    <n v="4604.9440000000004"/>
  </r>
  <r>
    <n v="4"/>
    <d v="2007-08-01T00:00:00"/>
    <x v="7"/>
    <x v="7"/>
    <n v="334"/>
    <n v="1"/>
    <d v="2006-09-01T00:00:00"/>
    <n v="574496"/>
    <n v="0"/>
    <n v="0"/>
    <n v="0"/>
    <n v="0"/>
    <m/>
    <n v="0"/>
    <m/>
    <n v="12"/>
    <n v="16"/>
    <m/>
    <n v="0"/>
    <n v="0"/>
    <n v="0"/>
    <n v="0"/>
  </r>
  <r>
    <n v="4"/>
    <d v="2007-09-01T00:00:00"/>
    <x v="8"/>
    <x v="7"/>
    <n v="365"/>
    <n v="2"/>
    <d v="2006-09-01T00:00:00"/>
    <n v="573110"/>
    <n v="0"/>
    <n v="0"/>
    <n v="0"/>
    <n v="0"/>
    <m/>
    <n v="0"/>
    <m/>
    <n v="11"/>
    <n v="21"/>
    <m/>
    <n v="0"/>
    <n v="0"/>
    <n v="0"/>
    <n v="0"/>
  </r>
  <r>
    <n v="4"/>
    <d v="2007-10-01T00:00:00"/>
    <x v="9"/>
    <x v="7"/>
    <n v="395"/>
    <n v="2"/>
    <d v="2006-09-01T00:00:00"/>
    <n v="571713"/>
    <n v="0"/>
    <n v="0"/>
    <n v="0"/>
    <n v="0"/>
    <m/>
    <n v="0"/>
    <m/>
    <n v="10"/>
    <n v="22"/>
    <m/>
    <n v="0"/>
    <n v="0"/>
    <n v="0"/>
    <n v="0"/>
  </r>
  <r>
    <n v="4"/>
    <d v="2007-11-01T00:00:00"/>
    <x v="10"/>
    <x v="7"/>
    <n v="426"/>
    <n v="2"/>
    <d v="2006-09-01T00:00:00"/>
    <n v="570922"/>
    <n v="0"/>
    <n v="0.05"/>
    <n v="0"/>
    <n v="0"/>
    <m/>
    <n v="0"/>
    <m/>
    <n v="8"/>
    <n v="22"/>
    <m/>
    <n v="28546.100000000002"/>
    <n v="0"/>
    <n v="0"/>
    <n v="0"/>
  </r>
  <r>
    <n v="4"/>
    <d v="2007-12-01T00:00:00"/>
    <x v="11"/>
    <x v="7"/>
    <n v="456"/>
    <n v="2"/>
    <d v="2006-09-01T00:00:00"/>
    <n v="570028"/>
    <n v="0"/>
    <n v="0.05"/>
    <n v="0"/>
    <n v="0"/>
    <m/>
    <n v="0"/>
    <m/>
    <n v="7"/>
    <n v="26"/>
    <m/>
    <n v="28501.4"/>
    <n v="0"/>
    <n v="0"/>
    <n v="0"/>
  </r>
  <r>
    <n v="4"/>
    <d v="2008-01-01T00:00:00"/>
    <x v="0"/>
    <x v="8"/>
    <n v="487"/>
    <n v="2"/>
    <d v="2006-09-01T00:00:00"/>
    <n v="569904"/>
    <n v="0"/>
    <n v="7.0000000000000007E-2"/>
    <n v="0"/>
    <n v="0"/>
    <m/>
    <n v="0.4"/>
    <m/>
    <m/>
    <m/>
    <m/>
    <n v="39893.280000000006"/>
    <n v="0"/>
    <n v="227961.60000000001"/>
    <n v="91184.640000000014"/>
  </r>
  <r>
    <n v="4"/>
    <d v="2008-02-01T00:00:00"/>
    <x v="1"/>
    <x v="8"/>
    <n v="518"/>
    <n v="2"/>
    <d v="2006-09-01T00:00:00"/>
    <n v="569450"/>
    <n v="0"/>
    <n v="0.36666660000000001"/>
    <n v="0.1"/>
    <n v="0"/>
    <m/>
    <n v="0.1166666"/>
    <m/>
    <m/>
    <m/>
    <m/>
    <n v="208798.29537000001"/>
    <n v="56945"/>
    <n v="66435.795369999993"/>
    <n v="26574.318147999998"/>
  </r>
  <r>
    <n v="4"/>
    <d v="2008-03-01T00:00:00"/>
    <x v="2"/>
    <x v="8"/>
    <n v="547"/>
    <n v="2"/>
    <d v="2006-09-01T00:00:00"/>
    <n v="526869"/>
    <n v="0.02"/>
    <n v="0.52"/>
    <n v="0.2"/>
    <n v="0"/>
    <m/>
    <n v="0.15"/>
    <m/>
    <m/>
    <m/>
    <m/>
    <n v="273971.88"/>
    <n v="105373.8"/>
    <n v="79030.349999999991"/>
    <n v="31612.14"/>
  </r>
  <r>
    <n v="4"/>
    <d v="2008-04-01T00:00:00"/>
    <x v="3"/>
    <x v="8"/>
    <n v="578"/>
    <n v="2"/>
    <d v="2006-09-01T00:00:00"/>
    <n v="412573"/>
    <n v="0.42"/>
    <n v="0.22"/>
    <n v="0.08"/>
    <m/>
    <m/>
    <n v="0"/>
    <m/>
    <m/>
    <m/>
    <m/>
    <n v="90766.06"/>
    <n v="33005.840000000004"/>
    <n v="0"/>
    <n v="0"/>
  </r>
  <r>
    <n v="4"/>
    <d v="2008-05-01T00:00:00"/>
    <x v="4"/>
    <x v="8"/>
    <n v="608"/>
    <n v="2"/>
    <d v="2006-09-01T00:00:00"/>
    <n v="193094"/>
    <m/>
    <m/>
    <n v="0.08"/>
    <m/>
    <s v="h"/>
    <n v="0"/>
    <m/>
    <m/>
    <m/>
    <s v="harvesting"/>
    <m/>
    <n v="15447.52"/>
    <n v="0"/>
    <n v="0"/>
  </r>
  <r>
    <n v="4"/>
    <d v="2008-06-01T00:00:00"/>
    <x v="5"/>
    <x v="8"/>
    <m/>
    <m/>
    <m/>
    <m/>
    <m/>
    <m/>
    <m/>
    <m/>
    <m/>
    <m/>
    <m/>
    <m/>
    <m/>
    <m/>
    <m/>
    <m/>
    <m/>
    <m/>
  </r>
  <r>
    <n v="4"/>
    <d v="2008-07-01T00:00:00"/>
    <x v="6"/>
    <x v="8"/>
    <m/>
    <m/>
    <m/>
    <m/>
    <m/>
    <m/>
    <m/>
    <m/>
    <m/>
    <m/>
    <m/>
    <m/>
    <m/>
    <m/>
    <m/>
    <m/>
    <m/>
    <m/>
  </r>
  <r>
    <n v="4"/>
    <d v="2008-08-01T00:00:00"/>
    <x v="7"/>
    <x v="8"/>
    <m/>
    <m/>
    <m/>
    <m/>
    <m/>
    <m/>
    <m/>
    <m/>
    <m/>
    <m/>
    <m/>
    <m/>
    <m/>
    <m/>
    <m/>
    <m/>
    <m/>
    <m/>
  </r>
  <r>
    <n v="4"/>
    <d v="2008-09-01T00:00:00"/>
    <x v="8"/>
    <x v="8"/>
    <m/>
    <m/>
    <m/>
    <m/>
    <m/>
    <m/>
    <m/>
    <m/>
    <m/>
    <m/>
    <m/>
    <m/>
    <m/>
    <m/>
    <m/>
    <m/>
    <m/>
    <m/>
  </r>
  <r>
    <n v="4"/>
    <d v="2008-10-01T00:00:00"/>
    <x v="9"/>
    <x v="8"/>
    <m/>
    <m/>
    <m/>
    <m/>
    <m/>
    <m/>
    <m/>
    <m/>
    <m/>
    <m/>
    <m/>
    <m/>
    <m/>
    <m/>
    <m/>
    <m/>
    <m/>
    <m/>
  </r>
  <r>
    <n v="4"/>
    <d v="2008-11-01T00:00:00"/>
    <x v="10"/>
    <x v="8"/>
    <m/>
    <m/>
    <m/>
    <m/>
    <m/>
    <m/>
    <m/>
    <m/>
    <m/>
    <m/>
    <m/>
    <m/>
    <m/>
    <m/>
    <m/>
    <m/>
    <m/>
    <m/>
  </r>
  <r>
    <n v="4"/>
    <d v="2008-12-01T00:00:00"/>
    <x v="11"/>
    <x v="8"/>
    <n v="0"/>
    <n v="1"/>
    <d v="2008-12-01T00:00:00"/>
    <n v="233000"/>
    <m/>
    <m/>
    <n v="0"/>
    <m/>
    <s v="s"/>
    <n v="0"/>
    <m/>
    <m/>
    <m/>
    <s v="smolt entry"/>
    <m/>
    <n v="0"/>
    <n v="0"/>
    <n v="0"/>
  </r>
  <r>
    <n v="4"/>
    <d v="2009-01-01T00:00:00"/>
    <x v="0"/>
    <x v="9"/>
    <n v="31"/>
    <n v="1"/>
    <d v="2008-12-01T00:00:00"/>
    <n v="278640"/>
    <n v="2.25"/>
    <n v="0.65"/>
    <n v="0.22"/>
    <m/>
    <m/>
    <n v="7.0000000000000007E-2"/>
    <m/>
    <m/>
    <m/>
    <m/>
    <n v="181116"/>
    <n v="61300.800000000003"/>
    <n v="19504.800000000003"/>
    <n v="7801.9200000000019"/>
  </r>
  <r>
    <n v="4"/>
    <d v="2009-02-01T00:00:00"/>
    <x v="1"/>
    <x v="9"/>
    <n v="62"/>
    <n v="1"/>
    <d v="2008-12-01T00:00:00"/>
    <n v="277936"/>
    <n v="1.0166666"/>
    <n v="1.0833333000000001"/>
    <n v="0.4166666"/>
    <n v="2"/>
    <m/>
    <n v="0.23333329999999999"/>
    <n v="1"/>
    <m/>
    <m/>
    <m/>
    <n v="301097.32406880002"/>
    <n v="115806.6481376"/>
    <n v="64851.724068799995"/>
    <n v="25940.689627519998"/>
  </r>
  <r>
    <n v="4"/>
    <d v="2009-03-01T00:00:00"/>
    <x v="2"/>
    <x v="9"/>
    <n v="90"/>
    <n v="1"/>
    <d v="2008-12-01T00:00:00"/>
    <n v="277303"/>
    <n v="0.08"/>
    <n v="0.62"/>
    <n v="0.2"/>
    <n v="0"/>
    <m/>
    <n v="0.03"/>
    <m/>
    <m/>
    <m/>
    <m/>
    <n v="171927.86"/>
    <n v="55460.600000000006"/>
    <n v="8319.09"/>
    <n v="3327.6360000000004"/>
  </r>
  <r>
    <n v="4"/>
    <d v="2009-04-01T00:00:00"/>
    <x v="3"/>
    <x v="9"/>
    <n v="121"/>
    <n v="1"/>
    <d v="2008-12-01T00:00:00"/>
    <n v="276778"/>
    <n v="0.02"/>
    <n v="0.05"/>
    <n v="0.02"/>
    <n v="0"/>
    <m/>
    <n v="0"/>
    <m/>
    <m/>
    <m/>
    <m/>
    <n v="13838.900000000001"/>
    <n v="5535.56"/>
    <n v="0"/>
    <n v="0"/>
  </r>
  <r>
    <n v="4"/>
    <d v="2009-05-01T00:00:00"/>
    <x v="4"/>
    <x v="9"/>
    <n v="151"/>
    <n v="1"/>
    <d v="2008-12-01T00:00:00"/>
    <n v="276316"/>
    <n v="1.66666E-2"/>
    <n v="0"/>
    <n v="0"/>
    <n v="0"/>
    <m/>
    <n v="0"/>
    <m/>
    <m/>
    <m/>
    <m/>
    <n v="0"/>
    <n v="0"/>
    <n v="0"/>
    <n v="0"/>
  </r>
  <r>
    <n v="4"/>
    <d v="2009-06-01T00:00:00"/>
    <x v="5"/>
    <x v="9"/>
    <n v="182"/>
    <n v="1"/>
    <d v="2008-12-01T00:00:00"/>
    <n v="165426"/>
    <n v="0"/>
    <n v="0.02"/>
    <n v="0.02"/>
    <n v="0"/>
    <m/>
    <n v="0.02"/>
    <m/>
    <m/>
    <m/>
    <m/>
    <n v="3308.52"/>
    <n v="3308.52"/>
    <n v="3308.52"/>
    <n v="1323.4080000000001"/>
  </r>
  <r>
    <n v="4"/>
    <d v="2009-07-01T00:00:00"/>
    <x v="6"/>
    <x v="9"/>
    <n v="212"/>
    <n v="1"/>
    <d v="2008-12-01T00:00:00"/>
    <n v="93348"/>
    <n v="0"/>
    <n v="0"/>
    <n v="0"/>
    <m/>
    <m/>
    <n v="0"/>
    <m/>
    <m/>
    <m/>
    <s v="Havesting out"/>
    <n v="0"/>
    <n v="0"/>
    <n v="0"/>
    <n v="0"/>
  </r>
  <r>
    <n v="4"/>
    <d v="2009-08-01T00:00:00"/>
    <x v="7"/>
    <x v="9"/>
    <m/>
    <m/>
    <m/>
    <m/>
    <m/>
    <m/>
    <m/>
    <m/>
    <m/>
    <m/>
    <m/>
    <m/>
    <m/>
    <m/>
    <m/>
    <m/>
    <m/>
    <m/>
  </r>
  <r>
    <n v="4"/>
    <d v="2009-09-01T00:00:00"/>
    <x v="8"/>
    <x v="9"/>
    <m/>
    <m/>
    <m/>
    <m/>
    <m/>
    <m/>
    <m/>
    <m/>
    <m/>
    <m/>
    <m/>
    <m/>
    <m/>
    <m/>
    <m/>
    <m/>
    <m/>
    <m/>
  </r>
  <r>
    <n v="4"/>
    <d v="2009-10-01T00:00:00"/>
    <x v="9"/>
    <x v="9"/>
    <m/>
    <m/>
    <m/>
    <m/>
    <m/>
    <m/>
    <m/>
    <m/>
    <m/>
    <m/>
    <m/>
    <m/>
    <m/>
    <m/>
    <m/>
    <m/>
    <m/>
    <m/>
  </r>
  <r>
    <n v="4"/>
    <d v="2009-11-01T00:00:00"/>
    <x v="10"/>
    <x v="9"/>
    <m/>
    <m/>
    <m/>
    <m/>
    <m/>
    <m/>
    <m/>
    <m/>
    <m/>
    <m/>
    <m/>
    <m/>
    <m/>
    <m/>
    <m/>
    <m/>
    <m/>
    <m/>
  </r>
  <r>
    <n v="4"/>
    <d v="2009-12-01T00:00:00"/>
    <x v="11"/>
    <x v="9"/>
    <n v="0"/>
    <n v="1"/>
    <d v="2009-12-01T00:00:00"/>
    <n v="118020"/>
    <m/>
    <m/>
    <n v="0"/>
    <m/>
    <s v="s"/>
    <n v="0"/>
    <m/>
    <m/>
    <m/>
    <s v="smolt"/>
    <m/>
    <n v="0"/>
    <n v="0"/>
    <n v="0"/>
  </r>
  <r>
    <n v="5"/>
    <d v="2000-01-01T00:00:00"/>
    <x v="0"/>
    <x v="0"/>
    <s v="?"/>
    <n v="2"/>
    <s v="Brood"/>
    <n v="20000"/>
    <m/>
    <m/>
    <m/>
    <m/>
    <m/>
    <m/>
    <m/>
    <m/>
    <m/>
    <m/>
    <m/>
    <m/>
    <m/>
    <m/>
  </r>
  <r>
    <n v="5"/>
    <d v="2000-02-01T00:00:00"/>
    <x v="1"/>
    <x v="0"/>
    <s v="?"/>
    <n v="2"/>
    <s v="Brood"/>
    <n v="20000"/>
    <m/>
    <m/>
    <m/>
    <m/>
    <m/>
    <m/>
    <m/>
    <m/>
    <m/>
    <m/>
    <m/>
    <m/>
    <m/>
    <m/>
  </r>
  <r>
    <n v="5"/>
    <d v="2000-03-01T00:00:00"/>
    <x v="2"/>
    <x v="0"/>
    <s v="?"/>
    <n v="2"/>
    <s v="Brood"/>
    <n v="20000"/>
    <m/>
    <m/>
    <m/>
    <m/>
    <m/>
    <m/>
    <m/>
    <m/>
    <m/>
    <m/>
    <m/>
    <m/>
    <m/>
    <m/>
  </r>
  <r>
    <n v="5"/>
    <d v="2000-04-01T00:00:00"/>
    <x v="3"/>
    <x v="0"/>
    <s v="?"/>
    <n v="2"/>
    <s v="Brood"/>
    <n v="30053"/>
    <m/>
    <m/>
    <m/>
    <m/>
    <m/>
    <m/>
    <m/>
    <m/>
    <m/>
    <m/>
    <m/>
    <m/>
    <m/>
    <m/>
  </r>
  <r>
    <n v="5"/>
    <d v="2000-05-01T00:00:00"/>
    <x v="4"/>
    <x v="0"/>
    <s v="?"/>
    <n v="2"/>
    <s v="Brood"/>
    <n v="18414"/>
    <m/>
    <m/>
    <m/>
    <m/>
    <m/>
    <m/>
    <m/>
    <m/>
    <m/>
    <m/>
    <m/>
    <m/>
    <m/>
    <m/>
  </r>
  <r>
    <n v="5"/>
    <d v="2000-06-01T00:00:00"/>
    <x v="5"/>
    <x v="0"/>
    <s v="?"/>
    <n v="2"/>
    <s v="Brood"/>
    <n v="17800"/>
    <m/>
    <m/>
    <m/>
    <m/>
    <m/>
    <m/>
    <m/>
    <m/>
    <m/>
    <m/>
    <m/>
    <m/>
    <m/>
    <m/>
  </r>
  <r>
    <n v="5"/>
    <d v="2000-07-01T00:00:00"/>
    <x v="6"/>
    <x v="0"/>
    <s v="?"/>
    <n v="2"/>
    <s v="Brood"/>
    <n v="17758"/>
    <m/>
    <m/>
    <m/>
    <m/>
    <m/>
    <m/>
    <m/>
    <m/>
    <m/>
    <m/>
    <m/>
    <m/>
    <m/>
    <m/>
  </r>
  <r>
    <n v="5"/>
    <d v="2000-08-01T00:00:00"/>
    <x v="7"/>
    <x v="0"/>
    <s v="?"/>
    <n v="2"/>
    <s v="Brood"/>
    <n v="17708"/>
    <m/>
    <m/>
    <m/>
    <m/>
    <m/>
    <m/>
    <m/>
    <m/>
    <m/>
    <m/>
    <m/>
    <m/>
    <m/>
    <m/>
  </r>
  <r>
    <n v="5"/>
    <d v="2000-09-01T00:00:00"/>
    <x v="8"/>
    <x v="0"/>
    <s v="?"/>
    <n v="2"/>
    <s v="Brood"/>
    <n v="17526"/>
    <m/>
    <m/>
    <m/>
    <m/>
    <m/>
    <m/>
    <m/>
    <m/>
    <m/>
    <m/>
    <m/>
    <m/>
    <m/>
    <m/>
  </r>
  <r>
    <n v="5"/>
    <d v="2000-10-01T00:00:00"/>
    <x v="9"/>
    <x v="0"/>
    <s v="?"/>
    <n v="2"/>
    <s v="Brood"/>
    <n v="20419"/>
    <m/>
    <m/>
    <m/>
    <m/>
    <m/>
    <m/>
    <m/>
    <m/>
    <m/>
    <m/>
    <m/>
    <m/>
    <m/>
    <m/>
  </r>
  <r>
    <n v="5"/>
    <d v="2000-11-01T00:00:00"/>
    <x v="10"/>
    <x v="0"/>
    <s v="?"/>
    <n v="2"/>
    <s v="Brood"/>
    <n v="18299"/>
    <m/>
    <m/>
    <m/>
    <m/>
    <m/>
    <m/>
    <m/>
    <m/>
    <m/>
    <m/>
    <m/>
    <m/>
    <m/>
    <m/>
  </r>
  <r>
    <n v="5"/>
    <d v="2000-12-01T00:00:00"/>
    <x v="11"/>
    <x v="0"/>
    <s v="?"/>
    <n v="2"/>
    <s v="Brood"/>
    <n v="35368"/>
    <m/>
    <m/>
    <m/>
    <m/>
    <m/>
    <m/>
    <m/>
    <m/>
    <m/>
    <m/>
    <m/>
    <m/>
    <m/>
    <m/>
  </r>
  <r>
    <n v="5"/>
    <d v="2001-01-01T00:00:00"/>
    <x v="0"/>
    <x v="1"/>
    <s v="?"/>
    <n v="2"/>
    <s v="Brood"/>
    <n v="31949"/>
    <m/>
    <m/>
    <m/>
    <m/>
    <m/>
    <m/>
    <m/>
    <m/>
    <m/>
    <m/>
    <m/>
    <m/>
    <m/>
    <m/>
  </r>
  <r>
    <n v="5"/>
    <d v="2001-02-01T00:00:00"/>
    <x v="1"/>
    <x v="1"/>
    <s v="?"/>
    <n v="2"/>
    <s v="Brood"/>
    <n v="30326"/>
    <m/>
    <m/>
    <m/>
    <m/>
    <m/>
    <m/>
    <m/>
    <m/>
    <m/>
    <m/>
    <m/>
    <m/>
    <m/>
    <m/>
  </r>
  <r>
    <n v="5"/>
    <d v="2001-03-01T00:00:00"/>
    <x v="2"/>
    <x v="1"/>
    <s v="?"/>
    <n v="2"/>
    <s v="Brood"/>
    <n v="39730"/>
    <m/>
    <m/>
    <m/>
    <m/>
    <m/>
    <m/>
    <m/>
    <m/>
    <m/>
    <m/>
    <m/>
    <m/>
    <m/>
    <m/>
  </r>
  <r>
    <n v="5"/>
    <d v="2001-04-01T00:00:00"/>
    <x v="3"/>
    <x v="1"/>
    <s v="?"/>
    <n v="2"/>
    <s v="Brood"/>
    <n v="45234"/>
    <m/>
    <m/>
    <m/>
    <m/>
    <m/>
    <m/>
    <m/>
    <m/>
    <m/>
    <m/>
    <m/>
    <m/>
    <m/>
    <m/>
  </r>
  <r>
    <n v="5"/>
    <d v="2001-05-01T00:00:00"/>
    <x v="4"/>
    <x v="1"/>
    <s v="?"/>
    <n v="2"/>
    <s v="Brood"/>
    <n v="30053"/>
    <m/>
    <m/>
    <m/>
    <m/>
    <m/>
    <m/>
    <m/>
    <m/>
    <m/>
    <m/>
    <m/>
    <m/>
    <m/>
    <m/>
  </r>
  <r>
    <n v="5"/>
    <d v="2001-06-01T00:00:00"/>
    <x v="5"/>
    <x v="1"/>
    <s v="?"/>
    <n v="2"/>
    <s v="Brood"/>
    <n v="43573"/>
    <m/>
    <m/>
    <m/>
    <m/>
    <m/>
    <m/>
    <m/>
    <m/>
    <m/>
    <m/>
    <m/>
    <m/>
    <m/>
    <m/>
  </r>
  <r>
    <n v="5"/>
    <d v="2001-07-01T00:00:00"/>
    <x v="6"/>
    <x v="1"/>
    <s v="?"/>
    <n v="2"/>
    <s v="Brood"/>
    <n v="42733"/>
    <m/>
    <m/>
    <m/>
    <m/>
    <m/>
    <m/>
    <m/>
    <m/>
    <m/>
    <m/>
    <m/>
    <m/>
    <m/>
    <m/>
  </r>
  <r>
    <n v="5"/>
    <d v="2001-08-01T00:00:00"/>
    <x v="7"/>
    <x v="1"/>
    <s v="?"/>
    <n v="2"/>
    <s v="Brood"/>
    <n v="39709"/>
    <m/>
    <m/>
    <m/>
    <m/>
    <m/>
    <m/>
    <m/>
    <m/>
    <m/>
    <m/>
    <m/>
    <m/>
    <m/>
    <m/>
  </r>
  <r>
    <n v="5"/>
    <d v="2001-09-01T00:00:00"/>
    <x v="8"/>
    <x v="1"/>
    <s v="?"/>
    <n v="2"/>
    <s v="Brood"/>
    <n v="40305"/>
    <m/>
    <m/>
    <m/>
    <m/>
    <m/>
    <m/>
    <m/>
    <m/>
    <m/>
    <m/>
    <m/>
    <m/>
    <m/>
    <m/>
  </r>
  <r>
    <n v="5"/>
    <d v="2001-10-01T00:00:00"/>
    <x v="9"/>
    <x v="1"/>
    <s v="?"/>
    <n v="2"/>
    <s v="Brood"/>
    <n v="38932"/>
    <m/>
    <m/>
    <m/>
    <m/>
    <m/>
    <m/>
    <m/>
    <m/>
    <m/>
    <m/>
    <m/>
    <m/>
    <m/>
    <m/>
  </r>
  <r>
    <n v="5"/>
    <d v="2001-11-01T00:00:00"/>
    <x v="10"/>
    <x v="1"/>
    <s v="?"/>
    <n v="2"/>
    <s v="Brood"/>
    <n v="37129"/>
    <m/>
    <m/>
    <m/>
    <m/>
    <m/>
    <m/>
    <m/>
    <m/>
    <m/>
    <m/>
    <m/>
    <m/>
    <m/>
    <m/>
  </r>
  <r>
    <n v="5"/>
    <d v="2001-12-01T00:00:00"/>
    <x v="11"/>
    <x v="1"/>
    <s v="?"/>
    <n v="2"/>
    <s v="Brood"/>
    <n v="33804"/>
    <m/>
    <m/>
    <m/>
    <m/>
    <m/>
    <m/>
    <m/>
    <m/>
    <m/>
    <m/>
    <m/>
    <m/>
    <m/>
    <m/>
  </r>
  <r>
    <n v="5"/>
    <d v="2002-01-01T00:00:00"/>
    <x v="0"/>
    <x v="2"/>
    <s v="?"/>
    <n v="2"/>
    <s v="Brood"/>
    <n v="45859"/>
    <m/>
    <m/>
    <m/>
    <m/>
    <m/>
    <m/>
    <m/>
    <m/>
    <m/>
    <m/>
    <m/>
    <m/>
    <m/>
    <m/>
  </r>
  <r>
    <n v="5"/>
    <d v="2002-02-01T00:00:00"/>
    <x v="1"/>
    <x v="2"/>
    <s v="?"/>
    <n v="2"/>
    <s v="Brood"/>
    <n v="45340"/>
    <m/>
    <m/>
    <m/>
    <m/>
    <m/>
    <m/>
    <m/>
    <m/>
    <m/>
    <m/>
    <m/>
    <m/>
    <m/>
    <m/>
  </r>
  <r>
    <n v="5"/>
    <d v="2002-03-01T00:00:00"/>
    <x v="2"/>
    <x v="2"/>
    <s v="?"/>
    <n v="2"/>
    <s v="Brood"/>
    <n v="34264"/>
    <m/>
    <m/>
    <m/>
    <m/>
    <m/>
    <m/>
    <m/>
    <m/>
    <m/>
    <m/>
    <m/>
    <m/>
    <m/>
    <m/>
  </r>
  <r>
    <n v="5"/>
    <d v="2002-04-01T00:00:00"/>
    <x v="3"/>
    <x v="2"/>
    <s v="?"/>
    <n v="2"/>
    <s v="Brood"/>
    <n v="30053"/>
    <m/>
    <m/>
    <m/>
    <m/>
    <m/>
    <m/>
    <m/>
    <m/>
    <m/>
    <m/>
    <m/>
    <m/>
    <m/>
    <m/>
  </r>
  <r>
    <n v="5"/>
    <d v="2002-05-01T00:00:00"/>
    <x v="4"/>
    <x v="2"/>
    <s v="?"/>
    <n v="2"/>
    <s v="Brood"/>
    <n v="33085"/>
    <n v="4.5289999999999999"/>
    <n v="25.513999999999999"/>
    <n v="9.9139999999999997"/>
    <m/>
    <m/>
    <n v="0.157"/>
    <m/>
    <m/>
    <m/>
    <m/>
    <n v="844130.69"/>
    <n v="328004.69"/>
    <n v="5194.3450000000003"/>
    <n v="2077.7380000000003"/>
  </r>
  <r>
    <n v="5"/>
    <d v="2002-06-01T00:00:00"/>
    <x v="5"/>
    <x v="2"/>
    <s v="?"/>
    <n v="2"/>
    <s v="Brood"/>
    <n v="33085"/>
    <m/>
    <m/>
    <m/>
    <m/>
    <m/>
    <m/>
    <m/>
    <m/>
    <m/>
    <m/>
    <m/>
    <m/>
    <m/>
    <m/>
  </r>
  <r>
    <n v="5"/>
    <d v="2002-07-01T00:00:00"/>
    <x v="6"/>
    <x v="2"/>
    <s v="?"/>
    <n v="2"/>
    <s v="Brood"/>
    <n v="24511"/>
    <m/>
    <m/>
    <m/>
    <m/>
    <m/>
    <m/>
    <m/>
    <m/>
    <m/>
    <m/>
    <m/>
    <m/>
    <m/>
    <m/>
  </r>
  <r>
    <n v="5"/>
    <d v="2002-08-01T00:00:00"/>
    <x v="7"/>
    <x v="2"/>
    <s v="?"/>
    <n v="2"/>
    <s v="Brood"/>
    <n v="24173"/>
    <n v="0.32"/>
    <n v="0.68"/>
    <n v="0.24"/>
    <m/>
    <m/>
    <n v="0"/>
    <m/>
    <m/>
    <m/>
    <m/>
    <n v="16437.64"/>
    <n v="5801.5199999999995"/>
    <n v="0"/>
    <n v="0"/>
  </r>
  <r>
    <n v="5"/>
    <d v="2002-09-01T00:00:00"/>
    <x v="8"/>
    <x v="2"/>
    <s v="?"/>
    <n v="2"/>
    <s v="Brood"/>
    <n v="23886"/>
    <m/>
    <m/>
    <m/>
    <m/>
    <m/>
    <m/>
    <m/>
    <m/>
    <m/>
    <m/>
    <m/>
    <m/>
    <m/>
    <m/>
  </r>
  <r>
    <n v="5"/>
    <d v="2002-10-01T00:00:00"/>
    <x v="9"/>
    <x v="2"/>
    <s v="?"/>
    <n v="2"/>
    <s v="Brood"/>
    <n v="22886"/>
    <m/>
    <m/>
    <m/>
    <m/>
    <m/>
    <m/>
    <m/>
    <m/>
    <m/>
    <m/>
    <m/>
    <m/>
    <m/>
    <m/>
  </r>
  <r>
    <n v="5"/>
    <d v="2002-11-01T00:00:00"/>
    <x v="10"/>
    <x v="2"/>
    <s v="?"/>
    <n v="2"/>
    <s v="Brood"/>
    <n v="21222"/>
    <m/>
    <m/>
    <m/>
    <m/>
    <m/>
    <m/>
    <m/>
    <m/>
    <m/>
    <m/>
    <m/>
    <m/>
    <m/>
    <m/>
  </r>
  <r>
    <n v="5"/>
    <d v="2002-12-01T00:00:00"/>
    <x v="11"/>
    <x v="2"/>
    <s v="?"/>
    <n v="2"/>
    <s v="Brood"/>
    <n v="30053"/>
    <m/>
    <m/>
    <m/>
    <m/>
    <m/>
    <m/>
    <m/>
    <m/>
    <m/>
    <m/>
    <m/>
    <m/>
    <m/>
    <m/>
  </r>
  <r>
    <n v="5"/>
    <d v="2003-01-01T00:00:00"/>
    <x v="0"/>
    <x v="3"/>
    <s v="?"/>
    <n v="2"/>
    <s v="Brood"/>
    <n v="35809"/>
    <m/>
    <m/>
    <m/>
    <m/>
    <m/>
    <m/>
    <m/>
    <m/>
    <m/>
    <m/>
    <m/>
    <m/>
    <m/>
    <m/>
  </r>
  <r>
    <n v="5"/>
    <d v="2003-02-01T00:00:00"/>
    <x v="1"/>
    <x v="3"/>
    <s v="?"/>
    <n v="2"/>
    <s v="Brood"/>
    <n v="36781"/>
    <m/>
    <m/>
    <m/>
    <m/>
    <m/>
    <m/>
    <m/>
    <m/>
    <m/>
    <m/>
    <m/>
    <m/>
    <m/>
    <m/>
  </r>
  <r>
    <n v="5"/>
    <d v="2003-03-01T00:00:00"/>
    <x v="2"/>
    <x v="3"/>
    <s v="?"/>
    <n v="2"/>
    <s v="Brood"/>
    <n v="37349"/>
    <m/>
    <m/>
    <m/>
    <m/>
    <m/>
    <m/>
    <m/>
    <m/>
    <m/>
    <m/>
    <m/>
    <m/>
    <m/>
    <m/>
  </r>
  <r>
    <n v="5"/>
    <d v="2003-04-01T00:00:00"/>
    <x v="3"/>
    <x v="3"/>
    <m/>
    <m/>
    <m/>
    <m/>
    <m/>
    <m/>
    <m/>
    <m/>
    <m/>
    <m/>
    <m/>
    <m/>
    <m/>
    <m/>
    <m/>
    <m/>
    <m/>
    <m/>
  </r>
  <r>
    <n v="5"/>
    <d v="2003-05-01T00:00:00"/>
    <x v="4"/>
    <x v="3"/>
    <m/>
    <m/>
    <m/>
    <m/>
    <m/>
    <m/>
    <m/>
    <m/>
    <m/>
    <m/>
    <m/>
    <m/>
    <m/>
    <m/>
    <m/>
    <m/>
    <m/>
    <m/>
  </r>
  <r>
    <n v="5"/>
    <d v="2003-06-01T00:00:00"/>
    <x v="5"/>
    <x v="3"/>
    <m/>
    <m/>
    <m/>
    <m/>
    <m/>
    <m/>
    <m/>
    <m/>
    <m/>
    <m/>
    <m/>
    <m/>
    <m/>
    <m/>
    <m/>
    <m/>
    <m/>
    <m/>
  </r>
  <r>
    <n v="5"/>
    <d v="2003-07-01T00:00:00"/>
    <x v="6"/>
    <x v="3"/>
    <m/>
    <m/>
    <m/>
    <m/>
    <m/>
    <m/>
    <m/>
    <m/>
    <m/>
    <m/>
    <m/>
    <m/>
    <m/>
    <m/>
    <m/>
    <m/>
    <m/>
    <m/>
  </r>
  <r>
    <n v="5"/>
    <d v="2003-08-01T00:00:00"/>
    <x v="7"/>
    <x v="3"/>
    <m/>
    <m/>
    <m/>
    <m/>
    <m/>
    <m/>
    <m/>
    <m/>
    <m/>
    <m/>
    <m/>
    <m/>
    <m/>
    <m/>
    <m/>
    <m/>
    <m/>
    <m/>
  </r>
  <r>
    <n v="5"/>
    <d v="2003-09-01T00:00:00"/>
    <x v="8"/>
    <x v="3"/>
    <m/>
    <m/>
    <m/>
    <m/>
    <m/>
    <m/>
    <m/>
    <m/>
    <m/>
    <m/>
    <m/>
    <m/>
    <m/>
    <m/>
    <m/>
    <m/>
    <m/>
    <m/>
  </r>
  <r>
    <n v="5"/>
    <d v="2003-10-01T00:00:00"/>
    <x v="9"/>
    <x v="3"/>
    <m/>
    <m/>
    <m/>
    <m/>
    <m/>
    <m/>
    <m/>
    <m/>
    <m/>
    <m/>
    <m/>
    <m/>
    <m/>
    <m/>
    <m/>
    <m/>
    <m/>
    <m/>
  </r>
  <r>
    <n v="5"/>
    <d v="2003-11-01T00:00:00"/>
    <x v="10"/>
    <x v="3"/>
    <s v="?"/>
    <n v="2"/>
    <s v="Brood"/>
    <n v="20000"/>
    <n v="0"/>
    <n v="0"/>
    <n v="0"/>
    <m/>
    <m/>
    <n v="0"/>
    <m/>
    <n v="10.6"/>
    <n v="13"/>
    <m/>
    <n v="0"/>
    <n v="0"/>
    <n v="0"/>
    <n v="0"/>
  </r>
  <r>
    <n v="5"/>
    <d v="2003-12-01T00:00:00"/>
    <x v="11"/>
    <x v="3"/>
    <s v="?"/>
    <n v="2"/>
    <s v="Brood"/>
    <n v="20000"/>
    <n v="0.28000000000000003"/>
    <n v="1"/>
    <n v="0.73"/>
    <n v="0"/>
    <m/>
    <n v="0"/>
    <m/>
    <n v="5.0999999999999996"/>
    <n v="31"/>
    <m/>
    <n v="20000"/>
    <n v="14600"/>
    <n v="0"/>
    <n v="0"/>
  </r>
  <r>
    <n v="5"/>
    <d v="2004-01-01T00:00:00"/>
    <x v="0"/>
    <x v="4"/>
    <s v="?"/>
    <n v="2"/>
    <s v="Brood"/>
    <n v="20000"/>
    <n v="0.28000000000000003"/>
    <n v="0.98"/>
    <n v="0.73"/>
    <n v="0"/>
    <m/>
    <n v="0"/>
    <m/>
    <n v="6.67"/>
    <n v="27.32"/>
    <m/>
    <n v="19600"/>
    <n v="14600"/>
    <n v="0"/>
    <n v="0"/>
  </r>
  <r>
    <n v="5"/>
    <d v="2004-02-01T00:00:00"/>
    <x v="1"/>
    <x v="4"/>
    <s v="?"/>
    <n v="2"/>
    <s v="Brood"/>
    <n v="20000"/>
    <n v="0"/>
    <n v="5.4"/>
    <n v="3"/>
    <n v="2"/>
    <m/>
    <n v="3.8"/>
    <m/>
    <n v="6.59"/>
    <n v="25.24"/>
    <m/>
    <n v="108000"/>
    <n v="60000"/>
    <n v="76000"/>
    <n v="30400"/>
  </r>
  <r>
    <n v="5"/>
    <d v="2004-03-01T00:00:00"/>
    <x v="2"/>
    <x v="4"/>
    <s v="?"/>
    <n v="2"/>
    <s v="Brood"/>
    <n v="19743"/>
    <n v="0"/>
    <n v="4.8"/>
    <n v="2.1"/>
    <n v="0"/>
    <m/>
    <n v="2.4"/>
    <n v="0.5"/>
    <n v="7"/>
    <n v="22.86"/>
    <s v="Portion farm tx"/>
    <n v="94766.399999999994"/>
    <n v="41460.300000000003"/>
    <n v="47383.199999999997"/>
    <n v="18953.28"/>
  </r>
  <r>
    <n v="5"/>
    <d v="2004-04-01T00:00:00"/>
    <x v="3"/>
    <x v="4"/>
    <s v="?"/>
    <n v="2"/>
    <s v="Brood"/>
    <n v="20919"/>
    <n v="0.21"/>
    <n v="1.26"/>
    <n v="0.64"/>
    <n v="0"/>
    <m/>
    <n v="0"/>
    <n v="0.5"/>
    <n v="8.5"/>
    <n v="25.2"/>
    <s v="Portion farm tx"/>
    <n v="26357.94"/>
    <n v="13388.16"/>
    <n v="0"/>
    <n v="0"/>
  </r>
  <r>
    <n v="5"/>
    <d v="2004-05-01T00:00:00"/>
    <x v="4"/>
    <x v="4"/>
    <s v="?"/>
    <n v="2"/>
    <s v="Brood"/>
    <n v="20707"/>
    <n v="0.05"/>
    <n v="0.55000000000000004"/>
    <n v="0.2"/>
    <n v="1"/>
    <m/>
    <n v="0.05"/>
    <m/>
    <n v="10.43"/>
    <n v="19.86"/>
    <m/>
    <n v="11388.85"/>
    <n v="4141.4000000000005"/>
    <n v="1035.3500000000001"/>
    <n v="414.1400000000001"/>
  </r>
  <r>
    <n v="5"/>
    <d v="2004-06-01T00:00:00"/>
    <x v="5"/>
    <x v="4"/>
    <s v="?"/>
    <n v="2"/>
    <s v="Brood"/>
    <n v="19166"/>
    <n v="0.25"/>
    <n v="1.05"/>
    <n v="0.55000000000000004"/>
    <n v="0"/>
    <m/>
    <n v="0.15"/>
    <m/>
    <n v="11.06"/>
    <n v="13.24"/>
    <m/>
    <n v="20124.3"/>
    <n v="10541.300000000001"/>
    <n v="2874.9"/>
    <n v="1149.96"/>
  </r>
  <r>
    <n v="5"/>
    <d v="2004-07-01T00:00:00"/>
    <x v="6"/>
    <x v="4"/>
    <s v="?"/>
    <n v="2"/>
    <s v="Brood"/>
    <n v="18784"/>
    <n v="0.5"/>
    <n v="1.5"/>
    <n v="1"/>
    <n v="0"/>
    <m/>
    <n v="0"/>
    <m/>
    <n v="11.05"/>
    <n v="7.31"/>
    <m/>
    <n v="28176"/>
    <n v="18784"/>
    <n v="0"/>
    <n v="0"/>
  </r>
  <r>
    <n v="5"/>
    <d v="2004-08-01T00:00:00"/>
    <x v="7"/>
    <x v="4"/>
    <s v="?"/>
    <n v="2"/>
    <s v="Brood"/>
    <n v="20000"/>
    <n v="0.1"/>
    <n v="2.61"/>
    <n v="1.82"/>
    <n v="0"/>
    <m/>
    <n v="0.12"/>
    <m/>
    <n v="11.17"/>
    <n v="8.23"/>
    <m/>
    <n v="52200"/>
    <n v="36400"/>
    <n v="2400"/>
    <n v="960"/>
  </r>
  <r>
    <n v="5"/>
    <d v="2004-09-01T00:00:00"/>
    <x v="8"/>
    <x v="4"/>
    <s v="?"/>
    <n v="2"/>
    <s v="Brood"/>
    <n v="22000"/>
    <n v="0.5"/>
    <n v="3.4"/>
    <n v="2.4"/>
    <n v="1"/>
    <m/>
    <n v="0"/>
    <m/>
    <n v="10.99"/>
    <n v="7.69"/>
    <m/>
    <n v="74800"/>
    <n v="52800"/>
    <n v="0"/>
    <n v="0"/>
  </r>
  <r>
    <n v="5"/>
    <d v="2004-10-01T00:00:00"/>
    <x v="9"/>
    <x v="4"/>
    <s v="?"/>
    <n v="2"/>
    <s v="Brood"/>
    <n v="24000"/>
    <n v="0.43"/>
    <n v="1.2"/>
    <n v="0.78"/>
    <n v="0"/>
    <m/>
    <n v="0"/>
    <m/>
    <n v="10.199999999999999"/>
    <n v="12.3"/>
    <m/>
    <n v="28800"/>
    <n v="18720"/>
    <n v="0"/>
    <n v="0"/>
  </r>
  <r>
    <n v="5"/>
    <d v="2004-11-01T00:00:00"/>
    <x v="10"/>
    <x v="4"/>
    <s v="?"/>
    <n v="2"/>
    <s v="Brood"/>
    <n v="26000"/>
    <n v="0"/>
    <n v="0.25"/>
    <n v="0.15"/>
    <n v="0"/>
    <m/>
    <n v="0.05"/>
    <m/>
    <n v="8.3000000000000007"/>
    <n v="14.48"/>
    <m/>
    <n v="6500"/>
    <n v="3900"/>
    <n v="1300"/>
    <n v="520"/>
  </r>
  <r>
    <n v="5"/>
    <d v="2004-12-01T00:00:00"/>
    <x v="11"/>
    <x v="4"/>
    <s v="?"/>
    <n v="2"/>
    <s v="Brood"/>
    <n v="28000"/>
    <n v="0.03"/>
    <n v="0.33"/>
    <n v="0.03"/>
    <n v="1"/>
    <m/>
    <n v="0"/>
    <m/>
    <n v="8"/>
    <n v="21"/>
    <m/>
    <n v="9240"/>
    <n v="840"/>
    <n v="0"/>
    <n v="0"/>
  </r>
  <r>
    <n v="5"/>
    <d v="2005-01-01T00:00:00"/>
    <x v="0"/>
    <x v="5"/>
    <s v="?"/>
    <n v="2"/>
    <s v="Brood"/>
    <n v="30000"/>
    <n v="0.47"/>
    <n v="0.3"/>
    <n v="0.18"/>
    <n v="0"/>
    <m/>
    <n v="0"/>
    <m/>
    <n v="7"/>
    <n v="21"/>
    <m/>
    <n v="9000"/>
    <n v="5400"/>
    <n v="0"/>
    <n v="0"/>
  </r>
  <r>
    <n v="5"/>
    <d v="2005-02-01T00:00:00"/>
    <x v="1"/>
    <x v="5"/>
    <s v="?"/>
    <n v="2"/>
    <s v="Brood"/>
    <n v="32000"/>
    <n v="0.1"/>
    <n v="0.35"/>
    <n v="0.2"/>
    <n v="0"/>
    <m/>
    <n v="0"/>
    <m/>
    <n v="7"/>
    <n v="17"/>
    <m/>
    <n v="11200"/>
    <n v="6400"/>
    <n v="0"/>
    <n v="0"/>
  </r>
  <r>
    <n v="5"/>
    <d v="2005-03-01T00:00:00"/>
    <x v="2"/>
    <x v="5"/>
    <s v="?"/>
    <n v="2"/>
    <s v="Brood"/>
    <n v="35365"/>
    <n v="0.09"/>
    <n v="0.24"/>
    <n v="0.11"/>
    <n v="0"/>
    <m/>
    <n v="0"/>
    <m/>
    <n v="8"/>
    <n v="24"/>
    <m/>
    <n v="8487.6"/>
    <n v="3890.15"/>
    <n v="0"/>
    <n v="0"/>
  </r>
  <r>
    <n v="5"/>
    <d v="2005-04-01T00:00:00"/>
    <x v="3"/>
    <x v="5"/>
    <s v="?"/>
    <n v="2"/>
    <s v="Brood"/>
    <n v="34467"/>
    <n v="0.1"/>
    <n v="0.25"/>
    <n v="0.2"/>
    <n v="0"/>
    <m/>
    <n v="0"/>
    <m/>
    <n v="9"/>
    <n v="25"/>
    <m/>
    <n v="8616.75"/>
    <n v="6893.4000000000005"/>
    <n v="0"/>
    <n v="0"/>
  </r>
  <r>
    <n v="5"/>
    <d v="2005-05-01T00:00:00"/>
    <x v="4"/>
    <x v="5"/>
    <s v="?"/>
    <n v="2"/>
    <s v="Brood"/>
    <n v="34343"/>
    <n v="0.1"/>
    <n v="0.75"/>
    <n v="0.3"/>
    <n v="0"/>
    <m/>
    <n v="0"/>
    <m/>
    <n v="11"/>
    <n v="18"/>
    <m/>
    <n v="25757.25"/>
    <n v="10302.9"/>
    <n v="0"/>
    <n v="0"/>
  </r>
  <r>
    <n v="5"/>
    <d v="2005-06-01T00:00:00"/>
    <x v="5"/>
    <x v="5"/>
    <s v="?"/>
    <n v="2"/>
    <s v="Brood"/>
    <n v="28484"/>
    <n v="0"/>
    <n v="2.93"/>
    <n v="1.53"/>
    <n v="1"/>
    <m/>
    <n v="0.08"/>
    <m/>
    <n v="11"/>
    <n v="13"/>
    <m/>
    <n v="83458.12000000001"/>
    <n v="43580.520000000004"/>
    <n v="2278.7200000000003"/>
    <n v="911.48800000000017"/>
  </r>
  <r>
    <n v="5"/>
    <d v="2005-07-01T00:00:00"/>
    <x v="6"/>
    <x v="5"/>
    <s v="?"/>
    <n v="2"/>
    <s v="Brood"/>
    <n v="26092"/>
    <n v="0.2"/>
    <n v="1.23"/>
    <n v="0.9"/>
    <n v="0"/>
    <m/>
    <n v="0"/>
    <m/>
    <n v="11"/>
    <n v="8"/>
    <m/>
    <n v="32093.16"/>
    <n v="23482.799999999999"/>
    <n v="0"/>
    <n v="0"/>
  </r>
  <r>
    <n v="5"/>
    <d v="2005-08-01T00:00:00"/>
    <x v="7"/>
    <x v="5"/>
    <s v="?"/>
    <n v="2"/>
    <s v="Brood"/>
    <n v="26000"/>
    <n v="0.03"/>
    <n v="0.28000000000000003"/>
    <n v="0.13"/>
    <n v="1"/>
    <m/>
    <n v="0"/>
    <m/>
    <n v="12"/>
    <n v="13"/>
    <m/>
    <n v="7280.0000000000009"/>
    <n v="3380"/>
    <n v="0"/>
    <n v="0"/>
  </r>
  <r>
    <n v="5"/>
    <d v="2005-09-01T00:00:00"/>
    <x v="8"/>
    <x v="5"/>
    <s v="?"/>
    <n v="2"/>
    <s v="Brood"/>
    <n v="26000"/>
    <n v="0.1"/>
    <n v="1.8"/>
    <n v="0.9"/>
    <m/>
    <m/>
    <n v="0"/>
    <m/>
    <n v="11"/>
    <n v="14"/>
    <m/>
    <n v="46800"/>
    <n v="23400"/>
    <n v="0"/>
    <n v="0"/>
  </r>
  <r>
    <n v="5"/>
    <d v="2005-10-01T00:00:00"/>
    <x v="9"/>
    <x v="5"/>
    <s v="?"/>
    <n v="2"/>
    <s v="Brood"/>
    <n v="26000"/>
    <m/>
    <n v="2.2149999999999999"/>
    <n v="1.375"/>
    <m/>
    <n v="1"/>
    <n v="0"/>
    <m/>
    <m/>
    <m/>
    <m/>
    <n v="57589.999999999993"/>
    <n v="35750"/>
    <n v="0"/>
    <n v="0"/>
  </r>
  <r>
    <n v="5"/>
    <d v="2005-11-01T00:00:00"/>
    <x v="10"/>
    <x v="5"/>
    <s v="?"/>
    <n v="2"/>
    <s v="Brood"/>
    <n v="26000"/>
    <n v="0"/>
    <n v="2.63"/>
    <n v="1.85"/>
    <m/>
    <m/>
    <n v="0"/>
    <m/>
    <n v="8"/>
    <n v="20"/>
    <m/>
    <n v="68380"/>
    <n v="48100"/>
    <n v="0"/>
    <n v="0"/>
  </r>
  <r>
    <n v="5"/>
    <d v="2005-12-01T00:00:00"/>
    <x v="11"/>
    <x v="5"/>
    <s v="?"/>
    <n v="2"/>
    <s v="Brood"/>
    <n v="26000"/>
    <n v="0.38"/>
    <n v="2.48"/>
    <n v="1.2"/>
    <n v="0"/>
    <m/>
    <n v="0"/>
    <m/>
    <n v="7"/>
    <n v="29"/>
    <m/>
    <n v="64480"/>
    <n v="31200"/>
    <n v="0"/>
    <n v="0"/>
  </r>
  <r>
    <n v="5"/>
    <d v="2006-01-01T00:00:00"/>
    <x v="0"/>
    <x v="6"/>
    <s v="?"/>
    <n v="2"/>
    <s v="Brood"/>
    <n v="35000"/>
    <n v="0.33"/>
    <n v="1.55"/>
    <n v="0.78"/>
    <n v="1"/>
    <m/>
    <n v="0"/>
    <m/>
    <n v="7"/>
    <n v="25"/>
    <m/>
    <n v="54250"/>
    <n v="27300"/>
    <n v="0"/>
    <n v="0"/>
  </r>
  <r>
    <n v="5"/>
    <d v="2006-02-01T00:00:00"/>
    <x v="1"/>
    <x v="6"/>
    <s v="?"/>
    <n v="2"/>
    <s v="Brood"/>
    <n v="40000"/>
    <n v="0.95"/>
    <n v="2.4500000000000002"/>
    <n v="1.38"/>
    <n v="1"/>
    <m/>
    <n v="0.13"/>
    <m/>
    <n v="7"/>
    <n v="27"/>
    <m/>
    <n v="98000"/>
    <n v="55199.999999999993"/>
    <n v="5200"/>
    <n v="2080"/>
  </r>
  <r>
    <n v="5"/>
    <d v="2006-03-01T00:00:00"/>
    <x v="2"/>
    <x v="6"/>
    <s v="?"/>
    <n v="2"/>
    <s v="Brood"/>
    <n v="39541"/>
    <n v="0.45"/>
    <n v="1.43"/>
    <n v="0.8"/>
    <n v="0"/>
    <m/>
    <n v="0.1"/>
    <m/>
    <n v="7"/>
    <n v="28"/>
    <m/>
    <n v="56543.63"/>
    <n v="31632.800000000003"/>
    <n v="3954.1000000000004"/>
    <n v="1581.6400000000003"/>
  </r>
  <r>
    <n v="5"/>
    <d v="2006-04-01T00:00:00"/>
    <x v="3"/>
    <x v="6"/>
    <s v="?"/>
    <n v="2"/>
    <s v="Brood"/>
    <n v="39104"/>
    <n v="0.03"/>
    <n v="6.23"/>
    <n v="2.83"/>
    <n v="1"/>
    <m/>
    <n v="0.15"/>
    <n v="1"/>
    <n v="9"/>
    <n v="28"/>
    <m/>
    <n v="243617.92000000001"/>
    <n v="110664.32000000001"/>
    <n v="5865.5999999999995"/>
    <n v="2346.2399999999998"/>
  </r>
  <r>
    <n v="5"/>
    <d v="2006-05-01T00:00:00"/>
    <x v="4"/>
    <x v="6"/>
    <s v="?"/>
    <n v="2"/>
    <s v="Brood"/>
    <n v="38494"/>
    <n v="0"/>
    <n v="1.08"/>
    <n v="0.25"/>
    <n v="0"/>
    <m/>
    <n v="0"/>
    <m/>
    <n v="10"/>
    <n v="21"/>
    <m/>
    <n v="41573.520000000004"/>
    <n v="9623.5"/>
    <n v="0"/>
    <n v="0"/>
  </r>
  <r>
    <n v="5"/>
    <d v="2006-06-01T00:00:00"/>
    <x v="5"/>
    <x v="6"/>
    <s v="?"/>
    <n v="2"/>
    <s v="Brood"/>
    <n v="38389"/>
    <n v="0"/>
    <n v="0.68"/>
    <n v="0.53"/>
    <n v="1"/>
    <m/>
    <n v="0"/>
    <m/>
    <n v="11"/>
    <n v="10"/>
    <m/>
    <n v="26104.52"/>
    <n v="20346.170000000002"/>
    <n v="0"/>
    <n v="0"/>
  </r>
  <r>
    <n v="5"/>
    <d v="2006-07-01T00:00:00"/>
    <x v="6"/>
    <x v="6"/>
    <s v="?"/>
    <n v="2"/>
    <s v="Brood"/>
    <n v="37346"/>
    <n v="0"/>
    <n v="0"/>
    <n v="0"/>
    <n v="0"/>
    <m/>
    <n v="0"/>
    <m/>
    <n v="13"/>
    <n v="29"/>
    <m/>
    <n v="0"/>
    <n v="0"/>
    <n v="0"/>
    <n v="0"/>
  </r>
  <r>
    <n v="5"/>
    <d v="2006-08-01T00:00:00"/>
    <x v="7"/>
    <x v="6"/>
    <s v="?"/>
    <n v="2"/>
    <s v="Brood"/>
    <n v="37000"/>
    <n v="0"/>
    <n v="2.5000000000000001E-2"/>
    <n v="2.5000000000000001E-2"/>
    <n v="0"/>
    <m/>
    <n v="0.05"/>
    <m/>
    <n v="12"/>
    <n v="16"/>
    <m/>
    <n v="925"/>
    <n v="925"/>
    <n v="1850"/>
    <n v="740"/>
  </r>
  <r>
    <n v="5"/>
    <d v="2006-09-01T00:00:00"/>
    <x v="8"/>
    <x v="6"/>
    <s v="?"/>
    <n v="2"/>
    <s v="Brood"/>
    <n v="37000"/>
    <n v="0.18"/>
    <n v="0.5"/>
    <n v="0.28000000000000003"/>
    <m/>
    <m/>
    <n v="0.13"/>
    <m/>
    <n v="12"/>
    <n v="13"/>
    <m/>
    <n v="18500"/>
    <n v="10360.000000000002"/>
    <n v="4810"/>
    <n v="1924"/>
  </r>
  <r>
    <n v="5"/>
    <d v="2006-10-01T00:00:00"/>
    <x v="9"/>
    <x v="6"/>
    <s v="?"/>
    <n v="2"/>
    <s v="Brood"/>
    <n v="37000"/>
    <m/>
    <n v="0.8125"/>
    <n v="0.52750000000000008"/>
    <m/>
    <n v="1"/>
    <n v="6.5000000000000002E-2"/>
    <m/>
    <m/>
    <m/>
    <m/>
    <n v="30062.5"/>
    <n v="19517.500000000004"/>
    <n v="2405"/>
    <n v="962"/>
  </r>
  <r>
    <n v="5"/>
    <d v="2006-11-01T00:00:00"/>
    <x v="10"/>
    <x v="6"/>
    <s v="?"/>
    <n v="2"/>
    <s v="Brood"/>
    <n v="37000"/>
    <n v="0"/>
    <n v="1.125"/>
    <n v="0.77500000000000002"/>
    <m/>
    <m/>
    <n v="0"/>
    <m/>
    <n v="8"/>
    <n v="17"/>
    <m/>
    <n v="41625"/>
    <n v="28675"/>
    <n v="0"/>
    <n v="0"/>
  </r>
  <r>
    <n v="5"/>
    <d v="2006-12-01T00:00:00"/>
    <x v="11"/>
    <x v="6"/>
    <s v="?"/>
    <n v="2"/>
    <s v="Brood"/>
    <n v="37000"/>
    <n v="0"/>
    <n v="1.48"/>
    <n v="0.63"/>
    <n v="1"/>
    <m/>
    <n v="0"/>
    <m/>
    <n v="6"/>
    <n v="24"/>
    <m/>
    <n v="54760"/>
    <n v="23310"/>
    <n v="0"/>
    <n v="0"/>
  </r>
  <r>
    <n v="5"/>
    <d v="2007-01-01T00:00:00"/>
    <x v="0"/>
    <x v="7"/>
    <m/>
    <m/>
    <s v="Brood"/>
    <n v="43000"/>
    <n v="0"/>
    <n v="2.1"/>
    <n v="0.97499999999999998"/>
    <n v="0"/>
    <m/>
    <n v="0"/>
    <m/>
    <n v="6"/>
    <n v="25"/>
    <m/>
    <n v="90300"/>
    <n v="41925"/>
    <n v="0"/>
    <n v="0"/>
  </r>
  <r>
    <n v="5"/>
    <d v="2007-02-01T00:00:00"/>
    <x v="1"/>
    <x v="7"/>
    <m/>
    <m/>
    <s v="Brood"/>
    <n v="42716"/>
    <n v="0"/>
    <n v="1.4"/>
    <n v="0.98"/>
    <n v="0"/>
    <m/>
    <n v="0"/>
    <m/>
    <n v="7"/>
    <n v="21"/>
    <m/>
    <n v="59802.399999999994"/>
    <n v="41861.68"/>
    <n v="0"/>
    <n v="0"/>
  </r>
  <r>
    <n v="5"/>
    <d v="2007-03-01T00:00:00"/>
    <x v="2"/>
    <x v="7"/>
    <m/>
    <m/>
    <s v="Brood"/>
    <n v="42388"/>
    <n v="0"/>
    <n v="4.4800000000000004"/>
    <n v="3.5"/>
    <n v="1"/>
    <m/>
    <n v="0.23"/>
    <m/>
    <n v="6"/>
    <n v="18"/>
    <m/>
    <n v="189898.24000000002"/>
    <n v="148358"/>
    <n v="9749.24"/>
    <n v="3899.6959999999999"/>
  </r>
  <r>
    <n v="5"/>
    <d v="2007-04-01T00:00:00"/>
    <x v="3"/>
    <x v="7"/>
    <m/>
    <m/>
    <s v="Brood"/>
    <n v="41584"/>
    <n v="0"/>
    <n v="0.8"/>
    <n v="0.3"/>
    <n v="1"/>
    <m/>
    <n v="0"/>
    <m/>
    <n v="8"/>
    <n v="18"/>
    <m/>
    <n v="33267.200000000004"/>
    <n v="12475.199999999999"/>
    <n v="0"/>
    <n v="0"/>
  </r>
  <r>
    <n v="5"/>
    <d v="2007-05-01T00:00:00"/>
    <x v="4"/>
    <x v="7"/>
    <m/>
    <m/>
    <s v="Brood"/>
    <n v="39336"/>
    <n v="0"/>
    <n v="2.85"/>
    <n v="1"/>
    <n v="1"/>
    <m/>
    <n v="0"/>
    <m/>
    <n v="9"/>
    <n v="17"/>
    <m/>
    <n v="112107.6"/>
    <n v="39336"/>
    <n v="0"/>
    <n v="0"/>
  </r>
  <r>
    <n v="5"/>
    <d v="2007-06-01T00:00:00"/>
    <x v="5"/>
    <x v="7"/>
    <m/>
    <m/>
    <s v="Brood"/>
    <n v="38702"/>
    <n v="0.05"/>
    <n v="0.1"/>
    <n v="0"/>
    <n v="0"/>
    <m/>
    <n v="0"/>
    <m/>
    <n v="10"/>
    <n v="10"/>
    <m/>
    <n v="3870.2000000000003"/>
    <n v="0"/>
    <n v="0"/>
    <n v="0"/>
  </r>
  <r>
    <n v="5"/>
    <d v="2007-07-01T00:00:00"/>
    <x v="6"/>
    <x v="7"/>
    <m/>
    <m/>
    <s v="Brood"/>
    <n v="37841"/>
    <n v="0"/>
    <n v="0"/>
    <n v="0"/>
    <n v="0"/>
    <m/>
    <n v="0"/>
    <m/>
    <n v="11"/>
    <n v="10"/>
    <m/>
    <n v="0"/>
    <n v="0"/>
    <n v="0"/>
    <n v="0"/>
  </r>
  <r>
    <n v="5"/>
    <d v="2007-08-01T00:00:00"/>
    <x v="7"/>
    <x v="7"/>
    <m/>
    <m/>
    <s v="Brood"/>
    <n v="37309"/>
    <n v="0"/>
    <n v="0"/>
    <n v="0"/>
    <n v="0"/>
    <m/>
    <n v="0"/>
    <m/>
    <n v="11"/>
    <n v="12"/>
    <m/>
    <n v="0"/>
    <n v="0"/>
    <n v="0"/>
    <n v="0"/>
  </r>
  <r>
    <n v="5"/>
    <d v="2007-09-01T00:00:00"/>
    <x v="8"/>
    <x v="7"/>
    <m/>
    <m/>
    <s v="Brood"/>
    <n v="36976"/>
    <n v="0"/>
    <n v="0.03"/>
    <n v="0.02"/>
    <n v="0"/>
    <m/>
    <n v="0"/>
    <m/>
    <n v="11"/>
    <n v="17"/>
    <m/>
    <n v="1109.28"/>
    <n v="739.52"/>
    <n v="0"/>
    <n v="0"/>
  </r>
  <r>
    <n v="5"/>
    <d v="2007-10-01T00:00:00"/>
    <x v="9"/>
    <x v="7"/>
    <m/>
    <m/>
    <s v="Brood"/>
    <n v="35994"/>
    <n v="0"/>
    <n v="7.0000000000000007E-2"/>
    <n v="7.0000000000000007E-2"/>
    <m/>
    <m/>
    <n v="0"/>
    <m/>
    <n v="9"/>
    <n v="19"/>
    <m/>
    <n v="2519.5800000000004"/>
    <n v="2519.5800000000004"/>
    <n v="0"/>
    <n v="0"/>
  </r>
  <r>
    <n v="5"/>
    <d v="2007-11-01T00:00:00"/>
    <x v="10"/>
    <x v="7"/>
    <m/>
    <m/>
    <s v="Brood"/>
    <n v="33144"/>
    <m/>
    <n v="0.13500000000000001"/>
    <n v="7.0000000000000007E-2"/>
    <m/>
    <n v="1"/>
    <n v="2.5000000000000001E-2"/>
    <m/>
    <m/>
    <m/>
    <m/>
    <n v="4474.4400000000005"/>
    <n v="2320.0800000000004"/>
    <n v="828.6"/>
    <n v="331.44000000000005"/>
  </r>
  <r>
    <n v="5"/>
    <d v="2007-12-01T00:00:00"/>
    <x v="11"/>
    <x v="7"/>
    <m/>
    <m/>
    <s v="Brood"/>
    <n v="31481"/>
    <n v="0.18"/>
    <n v="0.2"/>
    <n v="7.0000000000000007E-2"/>
    <m/>
    <m/>
    <n v="0.05"/>
    <m/>
    <n v="7"/>
    <n v="24"/>
    <m/>
    <n v="6296.2000000000007"/>
    <n v="2203.67"/>
    <n v="1574.0500000000002"/>
    <n v="629.62000000000012"/>
  </r>
  <r>
    <n v="5"/>
    <d v="2008-01-01T00:00:00"/>
    <x v="0"/>
    <x v="8"/>
    <m/>
    <m/>
    <s v="Brood"/>
    <n v="31316"/>
    <n v="0.1"/>
    <n v="0.35"/>
    <n v="0.05"/>
    <n v="0"/>
    <m/>
    <n v="0"/>
    <m/>
    <m/>
    <m/>
    <m/>
    <n v="10960.599999999999"/>
    <n v="1565.8000000000002"/>
    <n v="0"/>
    <n v="0"/>
  </r>
  <r>
    <n v="5"/>
    <d v="2008-02-01T00:00:00"/>
    <x v="1"/>
    <x v="8"/>
    <m/>
    <m/>
    <s v="Brood"/>
    <n v="37733"/>
    <n v="0.6"/>
    <n v="0.32500000000000001"/>
    <n v="0.1"/>
    <n v="0"/>
    <m/>
    <n v="0.15"/>
    <m/>
    <m/>
    <m/>
    <m/>
    <n v="12263.225"/>
    <n v="3773.3"/>
    <n v="5659.95"/>
    <n v="2263.98"/>
  </r>
  <r>
    <n v="5"/>
    <d v="2008-03-01T00:00:00"/>
    <x v="2"/>
    <x v="8"/>
    <m/>
    <m/>
    <s v="Brood"/>
    <n v="36883"/>
    <n v="0.18"/>
    <n v="0"/>
    <n v="0"/>
    <n v="0"/>
    <m/>
    <n v="0"/>
    <m/>
    <m/>
    <m/>
    <m/>
    <n v="0"/>
    <n v="0"/>
    <n v="0"/>
    <n v="0"/>
  </r>
  <r>
    <n v="5"/>
    <d v="2008-04-01T00:00:00"/>
    <x v="3"/>
    <x v="8"/>
    <m/>
    <m/>
    <s v="Brood"/>
    <n v="39429"/>
    <n v="0.23"/>
    <n v="0.38"/>
    <n v="0.1"/>
    <n v="0"/>
    <m/>
    <n v="0"/>
    <m/>
    <m/>
    <m/>
    <m/>
    <n v="14983.02"/>
    <n v="3942.9"/>
    <n v="0"/>
    <n v="0"/>
  </r>
  <r>
    <n v="5"/>
    <d v="2008-05-01T00:00:00"/>
    <x v="4"/>
    <x v="8"/>
    <m/>
    <m/>
    <s v="Brood"/>
    <n v="38982"/>
    <n v="0.15"/>
    <n v="1"/>
    <n v="0.35"/>
    <n v="1"/>
    <m/>
    <n v="0"/>
    <m/>
    <n v="8"/>
    <n v="30"/>
    <m/>
    <n v="38982"/>
    <n v="13643.699999999999"/>
    <n v="0"/>
    <n v="0"/>
  </r>
  <r>
    <n v="5"/>
    <d v="2008-06-01T00:00:00"/>
    <x v="5"/>
    <x v="8"/>
    <m/>
    <m/>
    <s v="Brood"/>
    <n v="36001"/>
    <n v="0"/>
    <n v="0.2"/>
    <n v="0.05"/>
    <n v="1"/>
    <m/>
    <n v="0"/>
    <m/>
    <m/>
    <m/>
    <m/>
    <n v="7200.2000000000007"/>
    <n v="1800.0500000000002"/>
    <n v="0"/>
    <n v="0"/>
  </r>
  <r>
    <n v="5"/>
    <d v="2008-07-01T00:00:00"/>
    <x v="6"/>
    <x v="8"/>
    <m/>
    <m/>
    <s v="Brood"/>
    <n v="36000"/>
    <n v="0"/>
    <n v="0.35"/>
    <n v="0.22"/>
    <n v="1"/>
    <m/>
    <n v="0"/>
    <m/>
    <m/>
    <m/>
    <m/>
    <n v="12600"/>
    <n v="7920"/>
    <n v="0"/>
    <n v="0"/>
  </r>
  <r>
    <n v="5"/>
    <d v="2008-08-01T00:00:00"/>
    <x v="7"/>
    <x v="8"/>
    <m/>
    <m/>
    <s v="Brood"/>
    <n v="32000"/>
    <n v="0"/>
    <n v="0.03"/>
    <n v="0.08"/>
    <n v="1"/>
    <m/>
    <n v="0"/>
    <m/>
    <m/>
    <m/>
    <m/>
    <n v="960"/>
    <n v="2560"/>
    <n v="0"/>
    <n v="0"/>
  </r>
  <r>
    <n v="5"/>
    <d v="2008-09-01T00:00:00"/>
    <x v="8"/>
    <x v="8"/>
    <m/>
    <m/>
    <s v="Brood"/>
    <n v="32000"/>
    <n v="0.1"/>
    <n v="0.4"/>
    <n v="0.4"/>
    <n v="1"/>
    <m/>
    <n v="0"/>
    <m/>
    <m/>
    <m/>
    <m/>
    <n v="12800"/>
    <n v="12800"/>
    <n v="0"/>
    <n v="0"/>
  </r>
  <r>
    <n v="5"/>
    <d v="2008-10-01T00:00:00"/>
    <x v="9"/>
    <x v="8"/>
    <m/>
    <m/>
    <s v="Brood"/>
    <n v="32000"/>
    <n v="0.02"/>
    <n v="0.17"/>
    <n v="0.08"/>
    <n v="0"/>
    <m/>
    <n v="0"/>
    <m/>
    <m/>
    <m/>
    <m/>
    <n v="5440"/>
    <n v="2560"/>
    <n v="0"/>
    <n v="0"/>
  </r>
  <r>
    <n v="5"/>
    <d v="2008-11-01T00:00:00"/>
    <x v="10"/>
    <x v="8"/>
    <m/>
    <m/>
    <s v="Brood"/>
    <n v="31000"/>
    <n v="2.5000000000000001E-2"/>
    <n v="0.17499999999999999"/>
    <n v="0.1"/>
    <n v="0"/>
    <m/>
    <n v="0"/>
    <m/>
    <m/>
    <m/>
    <m/>
    <n v="5425"/>
    <n v="3100"/>
    <n v="0"/>
    <n v="0"/>
  </r>
  <r>
    <n v="5"/>
    <d v="2008-12-01T00:00:00"/>
    <x v="11"/>
    <x v="8"/>
    <m/>
    <m/>
    <s v="Brood"/>
    <n v="29000"/>
    <n v="2.5000000000000001E-2"/>
    <n v="0.375"/>
    <n v="0.15"/>
    <n v="0"/>
    <m/>
    <n v="0"/>
    <m/>
    <m/>
    <m/>
    <m/>
    <n v="10875"/>
    <n v="4350"/>
    <n v="0"/>
    <n v="0"/>
  </r>
  <r>
    <n v="5"/>
    <d v="2009-01-01T00:00:00"/>
    <x v="0"/>
    <x v="9"/>
    <m/>
    <m/>
    <s v="Brood"/>
    <n v="27080"/>
    <n v="0"/>
    <n v="0.35833333333333334"/>
    <n v="0.17499999999999999"/>
    <n v="0"/>
    <m/>
    <n v="7.4999999999999997E-2"/>
    <m/>
    <m/>
    <m/>
    <m/>
    <n v="9703.6666666666661"/>
    <n v="4739"/>
    <n v="2031"/>
    <n v="812.40000000000009"/>
  </r>
  <r>
    <n v="5"/>
    <d v="2009-02-01T00:00:00"/>
    <x v="1"/>
    <x v="9"/>
    <m/>
    <m/>
    <s v="Brood"/>
    <n v="25640"/>
    <n v="2.5000000000000001E-2"/>
    <n v="0.75"/>
    <n v="0.17499999999999999"/>
    <n v="0"/>
    <m/>
    <n v="0.1"/>
    <m/>
    <m/>
    <m/>
    <m/>
    <n v="19230"/>
    <n v="4487"/>
    <n v="2564"/>
    <n v="1025.6000000000001"/>
  </r>
  <r>
    <n v="5"/>
    <d v="2009-03-01T00:00:00"/>
    <x v="2"/>
    <x v="9"/>
    <m/>
    <m/>
    <s v="Brood"/>
    <n v="42165"/>
    <n v="0.57499999999999996"/>
    <n v="2.2250000000000001"/>
    <n v="0.92500000000000004"/>
    <n v="2"/>
    <m/>
    <n v="0"/>
    <m/>
    <m/>
    <m/>
    <m/>
    <n v="93817.125"/>
    <n v="39002.625"/>
    <n v="0"/>
    <n v="0"/>
  </r>
  <r>
    <n v="5"/>
    <d v="2009-04-01T00:00:00"/>
    <x v="3"/>
    <x v="9"/>
    <m/>
    <m/>
    <s v="Brood"/>
    <n v="41965"/>
    <n v="7.4999999999999997E-2"/>
    <n v="0.55000000000000004"/>
    <n v="0.22500000000000001"/>
    <n v="0"/>
    <m/>
    <n v="0"/>
    <n v="1"/>
    <m/>
    <m/>
    <m/>
    <n v="23080.750000000004"/>
    <n v="9442.125"/>
    <n v="0"/>
    <n v="0"/>
  </r>
  <r>
    <n v="5"/>
    <d v="2009-05-01T00:00:00"/>
    <x v="4"/>
    <x v="9"/>
    <m/>
    <m/>
    <s v="Brood"/>
    <n v="41635"/>
    <n v="0.08"/>
    <n v="0.4"/>
    <n v="0.3"/>
    <n v="0"/>
    <m/>
    <n v="0"/>
    <m/>
    <m/>
    <m/>
    <m/>
    <n v="16654"/>
    <n v="12490.5"/>
    <n v="0"/>
    <n v="0"/>
  </r>
  <r>
    <n v="5"/>
    <d v="2009-06-01T00:00:00"/>
    <x v="5"/>
    <x v="9"/>
    <m/>
    <m/>
    <s v="Brood"/>
    <n v="41130"/>
    <n v="0"/>
    <n v="0.05"/>
    <n v="0"/>
    <n v="0"/>
    <m/>
    <n v="0"/>
    <m/>
    <m/>
    <m/>
    <m/>
    <n v="2056.5"/>
    <n v="0"/>
    <n v="0"/>
    <n v="0"/>
  </r>
  <r>
    <n v="5"/>
    <d v="2009-07-01T00:00:00"/>
    <x v="6"/>
    <x v="9"/>
    <m/>
    <m/>
    <s v="Brood"/>
    <n v="38394"/>
    <n v="0.01"/>
    <n v="7.4999999999999997E-2"/>
    <n v="0.05"/>
    <n v="0"/>
    <m/>
    <n v="0"/>
    <m/>
    <m/>
    <m/>
    <m/>
    <n v="2879.5499999999997"/>
    <n v="1919.7"/>
    <n v="0"/>
    <n v="0"/>
  </r>
  <r>
    <n v="5"/>
    <d v="2009-08-01T00:00:00"/>
    <x v="7"/>
    <x v="9"/>
    <m/>
    <m/>
    <s v="Brood"/>
    <n v="33676"/>
    <n v="0"/>
    <n v="2.5000000000000001E-2"/>
    <n v="2.5000000000000001E-2"/>
    <n v="0"/>
    <m/>
    <n v="0"/>
    <m/>
    <m/>
    <m/>
    <m/>
    <n v="841.90000000000009"/>
    <n v="841.90000000000009"/>
    <n v="0"/>
    <n v="0"/>
  </r>
  <r>
    <n v="5"/>
    <d v="2009-09-01T00:00:00"/>
    <x v="8"/>
    <x v="9"/>
    <m/>
    <m/>
    <s v="Brood"/>
    <n v="33415"/>
    <n v="0"/>
    <n v="0"/>
    <n v="0"/>
    <n v="0"/>
    <m/>
    <n v="0"/>
    <m/>
    <m/>
    <m/>
    <m/>
    <n v="0"/>
    <n v="0"/>
    <n v="0"/>
    <n v="0"/>
  </r>
  <r>
    <n v="5"/>
    <d v="2009-10-01T00:00:00"/>
    <x v="9"/>
    <x v="9"/>
    <m/>
    <m/>
    <s v="Brood"/>
    <n v="33238"/>
    <n v="0"/>
    <n v="0.09"/>
    <n v="0.03"/>
    <n v="0"/>
    <m/>
    <n v="0"/>
    <m/>
    <m/>
    <m/>
    <m/>
    <n v="2991.42"/>
    <n v="997.14"/>
    <n v="0"/>
    <n v="0"/>
  </r>
  <r>
    <n v="5"/>
    <d v="2009-11-01T00:00:00"/>
    <x v="10"/>
    <x v="9"/>
    <m/>
    <m/>
    <s v="Brood"/>
    <n v="32813"/>
    <n v="0.01"/>
    <n v="7.4999999999999997E-2"/>
    <n v="2.5000000000000001E-2"/>
    <n v="0"/>
    <m/>
    <n v="0"/>
    <m/>
    <m/>
    <m/>
    <m/>
    <n v="2460.9749999999999"/>
    <n v="820.32500000000005"/>
    <n v="0"/>
    <n v="0"/>
  </r>
  <r>
    <n v="5"/>
    <d v="2009-12-01T00:00:00"/>
    <x v="11"/>
    <x v="9"/>
    <m/>
    <m/>
    <s v="Brood"/>
    <n v="30503"/>
    <n v="0"/>
    <n v="0.2"/>
    <n v="2.5000000000000001E-2"/>
    <m/>
    <m/>
    <n v="7.4999999999999997E-2"/>
    <m/>
    <m/>
    <m/>
    <m/>
    <n v="6100.6"/>
    <n v="762.57500000000005"/>
    <n v="2287.7249999999999"/>
    <n v="915.09"/>
  </r>
  <r>
    <n v="6"/>
    <d v="2000-01-01T00:00:00"/>
    <x v="0"/>
    <x v="0"/>
    <n v="61"/>
    <n v="1"/>
    <d v="1999-11-01T00:00:00"/>
    <n v="401567"/>
    <m/>
    <m/>
    <m/>
    <m/>
    <m/>
    <m/>
    <m/>
    <m/>
    <m/>
    <s v="smolts "/>
    <m/>
    <m/>
    <m/>
    <m/>
  </r>
  <r>
    <n v="6"/>
    <d v="2000-02-01T00:00:00"/>
    <x v="1"/>
    <x v="0"/>
    <n v="92"/>
    <n v="1"/>
    <d v="1999-11-01T00:00:00"/>
    <n v="400312"/>
    <m/>
    <m/>
    <m/>
    <m/>
    <m/>
    <m/>
    <m/>
    <m/>
    <m/>
    <m/>
    <m/>
    <m/>
    <m/>
    <m/>
  </r>
  <r>
    <n v="6"/>
    <d v="2000-03-01T00:00:00"/>
    <x v="2"/>
    <x v="0"/>
    <n v="121"/>
    <n v="1"/>
    <d v="1999-11-01T00:00:00"/>
    <n v="398718"/>
    <m/>
    <m/>
    <m/>
    <m/>
    <m/>
    <m/>
    <m/>
    <m/>
    <m/>
    <m/>
    <m/>
    <m/>
    <m/>
    <m/>
  </r>
  <r>
    <n v="6"/>
    <d v="2000-04-01T00:00:00"/>
    <x v="3"/>
    <x v="0"/>
    <n v="152"/>
    <n v="1"/>
    <d v="1999-11-01T00:00:00"/>
    <n v="398235"/>
    <m/>
    <m/>
    <m/>
    <m/>
    <m/>
    <m/>
    <m/>
    <m/>
    <m/>
    <m/>
    <m/>
    <m/>
    <m/>
    <m/>
  </r>
  <r>
    <n v="6"/>
    <d v="2000-05-01T00:00:00"/>
    <x v="4"/>
    <x v="0"/>
    <n v="182"/>
    <n v="1"/>
    <d v="1999-11-01T00:00:00"/>
    <n v="397600"/>
    <m/>
    <m/>
    <m/>
    <m/>
    <m/>
    <m/>
    <m/>
    <m/>
    <m/>
    <m/>
    <m/>
    <m/>
    <m/>
    <m/>
  </r>
  <r>
    <n v="6"/>
    <d v="2000-06-01T00:00:00"/>
    <x v="5"/>
    <x v="0"/>
    <n v="213"/>
    <n v="1"/>
    <d v="1999-11-01T00:00:00"/>
    <n v="397304"/>
    <m/>
    <m/>
    <m/>
    <m/>
    <m/>
    <m/>
    <m/>
    <m/>
    <m/>
    <m/>
    <m/>
    <m/>
    <m/>
    <m/>
  </r>
  <r>
    <n v="6"/>
    <d v="2000-07-01T00:00:00"/>
    <x v="6"/>
    <x v="0"/>
    <n v="243"/>
    <n v="1"/>
    <d v="1999-11-01T00:00:00"/>
    <n v="396105"/>
    <m/>
    <m/>
    <m/>
    <m/>
    <m/>
    <m/>
    <m/>
    <m/>
    <m/>
    <m/>
    <m/>
    <m/>
    <m/>
    <m/>
  </r>
  <r>
    <n v="6"/>
    <d v="2000-08-01T00:00:00"/>
    <x v="7"/>
    <x v="0"/>
    <n v="274"/>
    <n v="1"/>
    <d v="1999-11-01T00:00:00"/>
    <n v="394082"/>
    <m/>
    <m/>
    <m/>
    <m/>
    <m/>
    <m/>
    <m/>
    <m/>
    <m/>
    <m/>
    <m/>
    <m/>
    <m/>
    <m/>
  </r>
  <r>
    <n v="6"/>
    <d v="2000-09-01T00:00:00"/>
    <x v="8"/>
    <x v="0"/>
    <n v="305"/>
    <n v="1"/>
    <d v="1999-11-01T00:00:00"/>
    <n v="393687"/>
    <m/>
    <m/>
    <m/>
    <m/>
    <m/>
    <m/>
    <m/>
    <m/>
    <m/>
    <m/>
    <m/>
    <m/>
    <m/>
    <m/>
  </r>
  <r>
    <n v="6"/>
    <d v="2000-10-01T00:00:00"/>
    <x v="9"/>
    <x v="0"/>
    <n v="335"/>
    <n v="1"/>
    <d v="1999-11-01T00:00:00"/>
    <n v="394522"/>
    <m/>
    <m/>
    <m/>
    <m/>
    <m/>
    <m/>
    <m/>
    <m/>
    <m/>
    <m/>
    <m/>
    <m/>
    <m/>
    <m/>
  </r>
  <r>
    <n v="6"/>
    <d v="2000-11-01T00:00:00"/>
    <x v="10"/>
    <x v="0"/>
    <n v="366"/>
    <n v="2"/>
    <d v="1999-11-01T00:00:00"/>
    <n v="391397"/>
    <m/>
    <m/>
    <m/>
    <m/>
    <m/>
    <m/>
    <m/>
    <m/>
    <m/>
    <m/>
    <m/>
    <m/>
    <m/>
    <m/>
  </r>
  <r>
    <n v="6"/>
    <d v="2000-12-01T00:00:00"/>
    <x v="11"/>
    <x v="0"/>
    <n v="396"/>
    <n v="2"/>
    <d v="1999-11-01T00:00:00"/>
    <n v="396383"/>
    <m/>
    <m/>
    <m/>
    <m/>
    <m/>
    <m/>
    <m/>
    <m/>
    <m/>
    <m/>
    <m/>
    <m/>
    <m/>
    <m/>
  </r>
  <r>
    <n v="6"/>
    <d v="2001-01-01T00:00:00"/>
    <x v="0"/>
    <x v="1"/>
    <n v="427"/>
    <n v="2"/>
    <d v="1999-11-01T00:00:00"/>
    <n v="395802"/>
    <m/>
    <m/>
    <m/>
    <m/>
    <m/>
    <m/>
    <m/>
    <m/>
    <m/>
    <m/>
    <m/>
    <m/>
    <m/>
    <m/>
  </r>
  <r>
    <n v="6"/>
    <d v="2001-02-01T00:00:00"/>
    <x v="1"/>
    <x v="1"/>
    <n v="458"/>
    <n v="2"/>
    <d v="1999-11-01T00:00:00"/>
    <n v="395347"/>
    <m/>
    <m/>
    <m/>
    <m/>
    <m/>
    <m/>
    <m/>
    <m/>
    <m/>
    <m/>
    <m/>
    <m/>
    <m/>
    <m/>
  </r>
  <r>
    <n v="6"/>
    <d v="2001-03-01T00:00:00"/>
    <x v="2"/>
    <x v="1"/>
    <n v="486"/>
    <n v="2"/>
    <d v="1999-11-01T00:00:00"/>
    <n v="394799"/>
    <m/>
    <m/>
    <m/>
    <m/>
    <m/>
    <m/>
    <m/>
    <m/>
    <m/>
    <m/>
    <m/>
    <m/>
    <m/>
    <m/>
  </r>
  <r>
    <n v="6"/>
    <d v="2001-04-01T00:00:00"/>
    <x v="3"/>
    <x v="1"/>
    <n v="517"/>
    <n v="2"/>
    <d v="1999-11-01T00:00:00"/>
    <n v="289249"/>
    <n v="5.0999999999999996"/>
    <n v="4.6749999999999998"/>
    <n v="7.4999999999999997E-2"/>
    <m/>
    <m/>
    <n v="1.575"/>
    <m/>
    <m/>
    <m/>
    <m/>
    <n v="1352239.075"/>
    <n v="21693.674999999999"/>
    <n v="455567.17499999999"/>
    <n v="182226.87"/>
  </r>
  <r>
    <n v="6"/>
    <d v="2001-05-01T00:00:00"/>
    <x v="4"/>
    <x v="1"/>
    <n v="547"/>
    <n v="2"/>
    <d v="1999-11-01T00:00:00"/>
    <n v="265362"/>
    <n v="1.825"/>
    <n v="2.99"/>
    <n v="0.88749999999999996"/>
    <n v="2"/>
    <m/>
    <n v="0.17499999999999999"/>
    <n v="1"/>
    <m/>
    <m/>
    <s v="started harvest"/>
    <n v="793432.38"/>
    <n v="235508.77499999999"/>
    <n v="46438.35"/>
    <n v="18575.34"/>
  </r>
  <r>
    <n v="6"/>
    <d v="2001-06-01T00:00:00"/>
    <x v="5"/>
    <x v="1"/>
    <n v="578"/>
    <n v="2"/>
    <d v="1999-11-01T00:00:00"/>
    <n v="53046"/>
    <n v="0.2"/>
    <n v="0.68181818181818188"/>
    <n v="0.14090909090909093"/>
    <m/>
    <m/>
    <n v="0.35909090909090913"/>
    <m/>
    <m/>
    <m/>
    <s v="Harvest sized fish"/>
    <n v="36167.727272727279"/>
    <n v="7474.6636363636371"/>
    <n v="19048.336363636365"/>
    <n v="7619.3345454545461"/>
  </r>
  <r>
    <n v="6"/>
    <d v="2001-07-01T00:00:00"/>
    <x v="6"/>
    <x v="1"/>
    <m/>
    <m/>
    <m/>
    <m/>
    <m/>
    <m/>
    <m/>
    <m/>
    <m/>
    <m/>
    <m/>
    <m/>
    <m/>
    <s v="moved from farm #7"/>
    <m/>
    <m/>
    <m/>
    <m/>
  </r>
  <r>
    <n v="6"/>
    <d v="2001-08-01T00:00:00"/>
    <x v="7"/>
    <x v="1"/>
    <n v="181"/>
    <n v="1"/>
    <d v="2001-02-01T00:00:00"/>
    <n v="1148234"/>
    <m/>
    <m/>
    <m/>
    <m/>
    <m/>
    <m/>
    <m/>
    <m/>
    <m/>
    <m/>
    <m/>
    <m/>
    <m/>
    <m/>
  </r>
  <r>
    <n v="6"/>
    <d v="2001-09-01T00:00:00"/>
    <x v="8"/>
    <x v="1"/>
    <n v="212"/>
    <n v="1"/>
    <d v="2001-02-01T00:00:00"/>
    <n v="1134584"/>
    <m/>
    <m/>
    <m/>
    <m/>
    <m/>
    <m/>
    <m/>
    <m/>
    <m/>
    <m/>
    <m/>
    <m/>
    <m/>
    <m/>
  </r>
  <r>
    <n v="6"/>
    <d v="2001-10-01T00:00:00"/>
    <x v="9"/>
    <x v="1"/>
    <n v="242"/>
    <n v="1"/>
    <d v="2001-02-01T00:00:00"/>
    <n v="1133495"/>
    <n v="2.8571428571428574E-2"/>
    <n v="1.1499999999999999"/>
    <n v="0.44285714285714284"/>
    <m/>
    <m/>
    <n v="2.1428571428571432E-2"/>
    <m/>
    <m/>
    <m/>
    <m/>
    <n v="1303519.25"/>
    <n v="501976.3571428571"/>
    <n v="24289.178571428576"/>
    <n v="9715.6714285714315"/>
  </r>
  <r>
    <n v="6"/>
    <d v="2001-11-01T00:00:00"/>
    <x v="10"/>
    <x v="1"/>
    <n v="273"/>
    <n v="1"/>
    <d v="2001-02-01T00:00:00"/>
    <n v="1132286"/>
    <n v="0.1142857142857143"/>
    <n v="2.0714285714285716"/>
    <n v="0.71428571428571441"/>
    <m/>
    <m/>
    <n v="5.7142857142857148E-2"/>
    <m/>
    <m/>
    <m/>
    <m/>
    <n v="2345449.5714285718"/>
    <n v="808775.71428571444"/>
    <n v="64702.057142857149"/>
    <n v="25880.822857142863"/>
  </r>
  <r>
    <n v="6"/>
    <d v="2001-12-01T00:00:00"/>
    <x v="11"/>
    <x v="1"/>
    <n v="303"/>
    <n v="1"/>
    <d v="2001-02-01T00:00:00"/>
    <n v="1130570"/>
    <m/>
    <m/>
    <m/>
    <m/>
    <m/>
    <m/>
    <m/>
    <m/>
    <m/>
    <m/>
    <m/>
    <m/>
    <m/>
    <m/>
  </r>
  <r>
    <n v="6"/>
    <d v="2002-01-01T00:00:00"/>
    <x v="0"/>
    <x v="2"/>
    <n v="334"/>
    <n v="1"/>
    <d v="2001-02-01T00:00:00"/>
    <n v="1129144"/>
    <m/>
    <m/>
    <m/>
    <m/>
    <m/>
    <m/>
    <m/>
    <m/>
    <m/>
    <m/>
    <m/>
    <m/>
    <m/>
    <m/>
  </r>
  <r>
    <n v="6"/>
    <d v="2002-02-01T00:00:00"/>
    <x v="1"/>
    <x v="2"/>
    <n v="365"/>
    <n v="2"/>
    <d v="2001-02-01T00:00:00"/>
    <n v="1149690"/>
    <n v="1.5153846153846153"/>
    <n v="7.8923076923076927"/>
    <n v="4.0846153846153843"/>
    <m/>
    <m/>
    <n v="0"/>
    <m/>
    <m/>
    <m/>
    <s v="200,000+ moved to farm #11"/>
    <n v="9073707.2307692319"/>
    <n v="4696041.461538461"/>
    <n v="0"/>
    <n v="0"/>
  </r>
  <r>
    <n v="6"/>
    <d v="2002-03-01T00:00:00"/>
    <x v="2"/>
    <x v="2"/>
    <n v="393"/>
    <n v="2"/>
    <d v="2001-02-01T00:00:00"/>
    <n v="940933"/>
    <n v="1.6"/>
    <n v="5.7"/>
    <n v="1"/>
    <n v="1"/>
    <m/>
    <n v="0.05"/>
    <m/>
    <m/>
    <m/>
    <m/>
    <n v="5363318.1000000006"/>
    <n v="940933"/>
    <n v="47046.65"/>
    <n v="18818.66"/>
  </r>
  <r>
    <n v="6"/>
    <d v="2002-04-01T00:00:00"/>
    <x v="3"/>
    <x v="2"/>
    <n v="424"/>
    <n v="2"/>
    <d v="2001-02-01T00:00:00"/>
    <n v="939900"/>
    <n v="2.7683333333333331"/>
    <n v="24.545000000000002"/>
    <n v="9.8766666666666669"/>
    <m/>
    <m/>
    <n v="0"/>
    <n v="1"/>
    <m/>
    <m/>
    <m/>
    <n v="23069845.5"/>
    <n v="9283079"/>
    <n v="0"/>
    <n v="0"/>
  </r>
  <r>
    <n v="6"/>
    <d v="2002-05-01T00:00:00"/>
    <x v="4"/>
    <x v="2"/>
    <n v="454"/>
    <n v="2"/>
    <d v="2001-02-01T00:00:00"/>
    <n v="939030"/>
    <m/>
    <m/>
    <m/>
    <m/>
    <m/>
    <m/>
    <m/>
    <m/>
    <m/>
    <m/>
    <m/>
    <m/>
    <m/>
    <m/>
  </r>
  <r>
    <n v="6"/>
    <d v="2002-06-01T00:00:00"/>
    <x v="5"/>
    <x v="2"/>
    <n v="485"/>
    <n v="2"/>
    <d v="2001-02-01T00:00:00"/>
    <n v="938168"/>
    <m/>
    <m/>
    <m/>
    <m/>
    <m/>
    <m/>
    <m/>
    <m/>
    <m/>
    <m/>
    <m/>
    <m/>
    <m/>
    <m/>
  </r>
  <r>
    <n v="6"/>
    <d v="2002-07-01T00:00:00"/>
    <x v="6"/>
    <x v="2"/>
    <n v="515"/>
    <n v="2"/>
    <d v="2001-02-01T00:00:00"/>
    <n v="928500"/>
    <n v="0"/>
    <n v="3.3333333333333333E-2"/>
    <n v="0"/>
    <m/>
    <m/>
    <n v="0"/>
    <m/>
    <m/>
    <m/>
    <m/>
    <n v="30950"/>
    <n v="0"/>
    <n v="0"/>
    <n v="0"/>
  </r>
  <r>
    <n v="6"/>
    <d v="2002-08-01T00:00:00"/>
    <x v="7"/>
    <x v="2"/>
    <n v="546"/>
    <n v="2"/>
    <d v="2001-02-01T00:00:00"/>
    <n v="925088"/>
    <m/>
    <m/>
    <n v="0.1"/>
    <m/>
    <n v="3"/>
    <n v="0"/>
    <m/>
    <m/>
    <m/>
    <m/>
    <m/>
    <n v="92508.800000000003"/>
    <n v="0"/>
    <n v="0"/>
  </r>
  <r>
    <n v="6"/>
    <d v="2002-09-01T00:00:00"/>
    <x v="8"/>
    <x v="2"/>
    <n v="577"/>
    <n v="2"/>
    <d v="2001-02-01T00:00:00"/>
    <n v="906733"/>
    <m/>
    <m/>
    <n v="0.21"/>
    <m/>
    <n v="3"/>
    <n v="0"/>
    <m/>
    <m/>
    <m/>
    <m/>
    <m/>
    <n v="190413.93"/>
    <n v="0"/>
    <n v="0"/>
  </r>
  <r>
    <n v="6"/>
    <d v="2002-10-01T00:00:00"/>
    <x v="9"/>
    <x v="2"/>
    <n v="607"/>
    <n v="2"/>
    <d v="2001-02-01T00:00:00"/>
    <n v="887326"/>
    <m/>
    <m/>
    <n v="0.32"/>
    <m/>
    <n v="3"/>
    <n v="0.01"/>
    <m/>
    <m/>
    <m/>
    <m/>
    <m/>
    <n v="283944.32000000001"/>
    <n v="8873.26"/>
    <n v="3549.3040000000001"/>
  </r>
  <r>
    <n v="6"/>
    <d v="2002-11-01T00:00:00"/>
    <x v="10"/>
    <x v="2"/>
    <n v="638"/>
    <n v="2"/>
    <d v="2001-02-01T00:00:00"/>
    <n v="866778"/>
    <n v="0.13461538461538464"/>
    <n v="0.55384615384615388"/>
    <n v="0.42692307692307691"/>
    <m/>
    <m/>
    <n v="1.5384615384615385E-2"/>
    <m/>
    <m/>
    <m/>
    <m/>
    <n v="480061.66153846157"/>
    <n v="370047.53076923074"/>
    <n v="13335.046153846155"/>
    <n v="5334.0184615384624"/>
  </r>
  <r>
    <n v="6"/>
    <d v="2002-12-01T00:00:00"/>
    <x v="11"/>
    <x v="2"/>
    <n v="668"/>
    <n v="2"/>
    <d v="2001-02-01T00:00:00"/>
    <n v="852408"/>
    <n v="0.105"/>
    <n v="0.65500000000000003"/>
    <n v="0.49"/>
    <n v="0"/>
    <m/>
    <n v="0"/>
    <m/>
    <m/>
    <m/>
    <m/>
    <n v="558327.24"/>
    <n v="417679.92"/>
    <n v="0"/>
    <n v="0"/>
  </r>
  <r>
    <n v="6"/>
    <d v="2003-01-01T00:00:00"/>
    <x v="0"/>
    <x v="3"/>
    <n v="699"/>
    <n v="2"/>
    <d v="2001-02-01T00:00:00"/>
    <n v="700000"/>
    <n v="0.46666666666666662"/>
    <n v="2.7"/>
    <n v="1.3"/>
    <m/>
    <m/>
    <n v="0"/>
    <m/>
    <m/>
    <m/>
    <s v="Harvesting"/>
    <n v="1890000.0000000002"/>
    <n v="910000"/>
    <n v="0"/>
    <n v="0"/>
  </r>
  <r>
    <n v="6"/>
    <d v="2003-02-01T00:00:00"/>
    <x v="1"/>
    <x v="3"/>
    <n v="730"/>
    <n v="3"/>
    <d v="2001-02-01T00:00:00"/>
    <n v="642000"/>
    <m/>
    <m/>
    <n v="2.1"/>
    <m/>
    <n v="1"/>
    <n v="1.9"/>
    <m/>
    <m/>
    <m/>
    <s v="IHNV diagnosis"/>
    <m/>
    <n v="1348200"/>
    <n v="1219800"/>
    <n v="487920"/>
  </r>
  <r>
    <n v="6"/>
    <d v="2003-03-01T00:00:00"/>
    <x v="2"/>
    <x v="3"/>
    <n v="758"/>
    <n v="3"/>
    <d v="2001-02-01T00:00:00"/>
    <n v="300000"/>
    <n v="0.05"/>
    <n v="3.58"/>
    <n v="2.9"/>
    <m/>
    <m/>
    <n v="3.8"/>
    <m/>
    <m/>
    <m/>
    <s v="Harvest completed end of March"/>
    <m/>
    <n v="870000"/>
    <n v="1140000"/>
    <n v="456000"/>
  </r>
  <r>
    <n v="6"/>
    <d v="2003-04-01T00:00:00"/>
    <x v="3"/>
    <x v="3"/>
    <m/>
    <m/>
    <m/>
    <m/>
    <m/>
    <m/>
    <m/>
    <m/>
    <m/>
    <m/>
    <m/>
    <m/>
    <m/>
    <s v="Empty (no fish)"/>
    <m/>
    <m/>
    <m/>
    <m/>
  </r>
  <r>
    <n v="6"/>
    <d v="2003-05-01T00:00:00"/>
    <x v="4"/>
    <x v="3"/>
    <m/>
    <m/>
    <m/>
    <m/>
    <m/>
    <m/>
    <m/>
    <m/>
    <m/>
    <m/>
    <m/>
    <m/>
    <m/>
    <m/>
    <m/>
    <m/>
    <m/>
    <m/>
  </r>
  <r>
    <n v="6"/>
    <d v="2003-06-01T00:00:00"/>
    <x v="5"/>
    <x v="3"/>
    <m/>
    <m/>
    <m/>
    <m/>
    <m/>
    <m/>
    <m/>
    <m/>
    <m/>
    <m/>
    <m/>
    <m/>
    <m/>
    <m/>
    <m/>
    <m/>
    <m/>
    <m/>
  </r>
  <r>
    <n v="6"/>
    <d v="2003-07-01T00:00:00"/>
    <x v="6"/>
    <x v="3"/>
    <m/>
    <m/>
    <m/>
    <m/>
    <m/>
    <m/>
    <m/>
    <m/>
    <m/>
    <m/>
    <m/>
    <m/>
    <m/>
    <m/>
    <m/>
    <m/>
    <m/>
    <m/>
  </r>
  <r>
    <n v="6"/>
    <d v="2003-08-01T00:00:00"/>
    <x v="7"/>
    <x v="3"/>
    <m/>
    <m/>
    <m/>
    <m/>
    <m/>
    <m/>
    <m/>
    <m/>
    <m/>
    <m/>
    <m/>
    <m/>
    <m/>
    <m/>
    <m/>
    <m/>
    <m/>
    <m/>
  </r>
  <r>
    <n v="6"/>
    <d v="2003-09-01T00:00:00"/>
    <x v="8"/>
    <x v="3"/>
    <m/>
    <m/>
    <m/>
    <m/>
    <m/>
    <m/>
    <m/>
    <m/>
    <m/>
    <m/>
    <m/>
    <m/>
    <m/>
    <m/>
    <m/>
    <m/>
    <m/>
    <m/>
  </r>
  <r>
    <n v="6"/>
    <d v="2003-10-01T00:00:00"/>
    <x v="9"/>
    <x v="3"/>
    <m/>
    <m/>
    <m/>
    <m/>
    <m/>
    <m/>
    <m/>
    <m/>
    <m/>
    <m/>
    <m/>
    <m/>
    <m/>
    <m/>
    <m/>
    <m/>
    <m/>
    <m/>
  </r>
  <r>
    <n v="6"/>
    <d v="2003-11-01T00:00:00"/>
    <x v="10"/>
    <x v="3"/>
    <m/>
    <m/>
    <m/>
    <m/>
    <m/>
    <m/>
    <m/>
    <m/>
    <m/>
    <m/>
    <m/>
    <m/>
    <m/>
    <m/>
    <m/>
    <m/>
    <m/>
    <m/>
  </r>
  <r>
    <n v="6"/>
    <d v="2003-12-01T00:00:00"/>
    <x v="11"/>
    <x v="3"/>
    <n v="456"/>
    <n v="2"/>
    <d v="2002-09-01T00:00:00"/>
    <n v="180685"/>
    <m/>
    <m/>
    <n v="0.3"/>
    <m/>
    <s v="t"/>
    <n v="0.05"/>
    <m/>
    <m/>
    <m/>
    <s v="some moved from farm #4 (counts estimated to be the same as farm #4 for the month)"/>
    <m/>
    <n v="54205.5"/>
    <n v="9034.25"/>
    <n v="3613.7000000000003"/>
  </r>
  <r>
    <n v="6"/>
    <d v="2004-01-01T00:00:00"/>
    <x v="0"/>
    <x v="4"/>
    <n v="487"/>
    <n v="2"/>
    <d v="2002-09-01T00:00:00"/>
    <n v="293013"/>
    <m/>
    <m/>
    <n v="1"/>
    <m/>
    <s v="t"/>
    <n v="0.25"/>
    <m/>
    <m/>
    <m/>
    <m/>
    <m/>
    <n v="293013"/>
    <n v="73253.25"/>
    <n v="29301.300000000003"/>
  </r>
  <r>
    <n v="6"/>
    <d v="2004-02-01T00:00:00"/>
    <x v="1"/>
    <x v="4"/>
    <n v="518"/>
    <n v="2"/>
    <d v="2002-09-01T00:00:00"/>
    <n v="270000"/>
    <n v="0.4"/>
    <n v="3.2"/>
    <n v="1.1000000000000001"/>
    <m/>
    <m/>
    <n v="0.4"/>
    <m/>
    <n v="6.65"/>
    <n v="30.61"/>
    <m/>
    <n v="864000"/>
    <n v="297000"/>
    <n v="108000"/>
    <n v="43200"/>
  </r>
  <r>
    <n v="6"/>
    <d v="2004-03-01T00:00:00"/>
    <x v="2"/>
    <x v="4"/>
    <n v="547"/>
    <n v="2"/>
    <d v="2002-09-01T00:00:00"/>
    <n v="247281"/>
    <n v="0.8"/>
    <n v="4.8"/>
    <n v="2.4"/>
    <n v="0"/>
    <m/>
    <n v="0.6"/>
    <m/>
    <n v="7.11"/>
    <n v="28.76"/>
    <s v="harvesting"/>
    <n v="1186948.8"/>
    <n v="593474.4"/>
    <n v="148368.6"/>
    <n v="59347.44"/>
  </r>
  <r>
    <n v="6"/>
    <d v="2004-04-01T00:00:00"/>
    <x v="3"/>
    <x v="4"/>
    <n v="578"/>
    <n v="2"/>
    <d v="2002-09-01T00:00:00"/>
    <n v="237863"/>
    <n v="0.55000000000000004"/>
    <n v="10.88"/>
    <n v="2.6"/>
    <m/>
    <m/>
    <n v="0.08"/>
    <m/>
    <n v="9.4"/>
    <n v="26.3"/>
    <m/>
    <n v="2587949.4400000004"/>
    <n v="618443.80000000005"/>
    <n v="19029.04"/>
    <n v="7611.6160000000009"/>
  </r>
  <r>
    <n v="6"/>
    <d v="2004-05-01T00:00:00"/>
    <x v="4"/>
    <x v="4"/>
    <n v="608"/>
    <n v="2"/>
    <d v="2002-09-01T00:00:00"/>
    <n v="50000"/>
    <m/>
    <m/>
    <n v="4"/>
    <m/>
    <s v="h"/>
    <n v="0.1"/>
    <m/>
    <m/>
    <m/>
    <s v="Harvest, &lt; 3 pens left"/>
    <m/>
    <n v="200000"/>
    <n v="5000"/>
    <n v="2000"/>
  </r>
  <r>
    <n v="6"/>
    <d v="2004-06-01T00:00:00"/>
    <x v="5"/>
    <x v="4"/>
    <m/>
    <m/>
    <m/>
    <m/>
    <m/>
    <m/>
    <m/>
    <m/>
    <m/>
    <m/>
    <m/>
    <m/>
    <m/>
    <m/>
    <m/>
    <m/>
    <m/>
    <m/>
  </r>
  <r>
    <n v="6"/>
    <d v="2004-07-01T00:00:00"/>
    <x v="6"/>
    <x v="4"/>
    <m/>
    <m/>
    <m/>
    <m/>
    <m/>
    <m/>
    <m/>
    <m/>
    <m/>
    <m/>
    <m/>
    <m/>
    <m/>
    <m/>
    <m/>
    <m/>
    <m/>
    <m/>
  </r>
  <r>
    <n v="6"/>
    <d v="2004-08-01T00:00:00"/>
    <x v="7"/>
    <x v="4"/>
    <n v="305"/>
    <n v="1"/>
    <d v="2003-10-01T00:00:00"/>
    <n v="611960"/>
    <n v="0.33"/>
    <n v="6.46"/>
    <n v="2.11"/>
    <m/>
    <m/>
    <n v="0.03"/>
    <n v="1"/>
    <n v="12.97"/>
    <n v="13.61"/>
    <s v="Likely transferred from farm #8"/>
    <n v="3953261.6"/>
    <n v="1291235.5999999999"/>
    <n v="18358.8"/>
    <n v="7343.52"/>
  </r>
  <r>
    <n v="6"/>
    <d v="2004-09-01T00:00:00"/>
    <x v="8"/>
    <x v="4"/>
    <n v="336"/>
    <n v="1"/>
    <d v="2003-10-01T00:00:00"/>
    <n v="611281"/>
    <n v="0.1"/>
    <n v="3.1"/>
    <n v="0.5"/>
    <n v="0"/>
    <m/>
    <n v="0.1"/>
    <m/>
    <n v="12.3"/>
    <n v="14"/>
    <m/>
    <n v="1894971.1"/>
    <n v="305640.5"/>
    <n v="61128.100000000006"/>
    <n v="24451.240000000005"/>
  </r>
  <r>
    <n v="6"/>
    <d v="2004-10-01T00:00:00"/>
    <x v="9"/>
    <x v="4"/>
    <n v="366"/>
    <n v="2"/>
    <d v="2003-10-01T00:00:00"/>
    <n v="610222"/>
    <n v="0"/>
    <n v="0.03"/>
    <n v="0"/>
    <n v="0"/>
    <m/>
    <n v="0.02"/>
    <m/>
    <n v="10.3"/>
    <n v="18.100000000000001"/>
    <m/>
    <n v="18306.66"/>
    <n v="0"/>
    <n v="12204.44"/>
    <n v="4881.7760000000007"/>
  </r>
  <r>
    <n v="6"/>
    <d v="2004-11-01T00:00:00"/>
    <x v="10"/>
    <x v="4"/>
    <n v="397"/>
    <n v="2"/>
    <d v="2003-10-01T00:00:00"/>
    <n v="609163"/>
    <n v="0"/>
    <n v="0.12"/>
    <n v="0.05"/>
    <n v="0"/>
    <m/>
    <n v="0.03"/>
    <m/>
    <n v="8.24"/>
    <n v="19.07"/>
    <m/>
    <n v="73099.56"/>
    <n v="30458.15"/>
    <n v="18274.89"/>
    <n v="7309.9560000000001"/>
  </r>
  <r>
    <n v="6"/>
    <d v="2004-12-01T00:00:00"/>
    <x v="11"/>
    <x v="4"/>
    <n v="427"/>
    <n v="2"/>
    <d v="2003-10-01T00:00:00"/>
    <n v="608104"/>
    <n v="0.15"/>
    <n v="0.13"/>
    <n v="0.08"/>
    <n v="0"/>
    <m/>
    <n v="0.02"/>
    <m/>
    <n v="7"/>
    <n v="23"/>
    <m/>
    <n v="79053.52"/>
    <n v="48648.32"/>
    <n v="12162.08"/>
    <n v="4864.8320000000003"/>
  </r>
  <r>
    <n v="6"/>
    <d v="2005-01-01T00:00:00"/>
    <x v="0"/>
    <x v="5"/>
    <n v="458"/>
    <n v="2"/>
    <d v="2003-10-01T00:00:00"/>
    <n v="607045"/>
    <n v="0"/>
    <n v="0.7"/>
    <n v="0.23"/>
    <n v="1"/>
    <m/>
    <n v="0.03"/>
    <m/>
    <n v="7"/>
    <n v="27"/>
    <m/>
    <n v="424931.5"/>
    <n v="139620.35"/>
    <n v="18211.349999999999"/>
    <n v="7284.54"/>
  </r>
  <r>
    <n v="6"/>
    <d v="2005-02-01T00:00:00"/>
    <x v="1"/>
    <x v="5"/>
    <n v="489"/>
    <n v="2"/>
    <d v="2003-10-01T00:00:00"/>
    <n v="605986"/>
    <n v="0"/>
    <n v="0.32"/>
    <n v="0.12"/>
    <n v="1"/>
    <m/>
    <n v="0"/>
    <m/>
    <n v="7"/>
    <n v="24"/>
    <m/>
    <n v="193915.51999999999"/>
    <n v="72718.319999999992"/>
    <n v="0"/>
    <n v="0"/>
  </r>
  <r>
    <n v="6"/>
    <d v="2005-03-01T00:00:00"/>
    <x v="2"/>
    <x v="5"/>
    <n v="517"/>
    <n v="2"/>
    <d v="2003-10-01T00:00:00"/>
    <n v="604927"/>
    <n v="0.32"/>
    <n v="1.2"/>
    <n v="0.55000000000000004"/>
    <n v="0"/>
    <m/>
    <n v="0"/>
    <m/>
    <n v="8"/>
    <n v="27"/>
    <m/>
    <n v="725912.4"/>
    <n v="332709.85000000003"/>
    <n v="0"/>
    <n v="0"/>
  </r>
  <r>
    <n v="6"/>
    <d v="2005-04-01T00:00:00"/>
    <x v="3"/>
    <x v="5"/>
    <n v="548"/>
    <n v="2"/>
    <d v="2003-10-01T00:00:00"/>
    <n v="603868"/>
    <n v="0.5"/>
    <n v="4.59"/>
    <n v="1.81"/>
    <n v="0"/>
    <m/>
    <n v="0.14000000000000001"/>
    <m/>
    <n v="8"/>
    <n v="30"/>
    <m/>
    <n v="2771754.12"/>
    <n v="1093001.08"/>
    <n v="84541.52"/>
    <n v="33816.608"/>
  </r>
  <r>
    <n v="6"/>
    <d v="2005-05-01T00:00:00"/>
    <x v="4"/>
    <x v="5"/>
    <n v="578"/>
    <n v="2"/>
    <d v="2003-10-01T00:00:00"/>
    <n v="579191"/>
    <n v="0.13"/>
    <n v="4.71"/>
    <n v="2.38"/>
    <n v="2"/>
    <m/>
    <n v="0.06"/>
    <n v="1"/>
    <n v="10"/>
    <n v="25"/>
    <m/>
    <n v="2727989.61"/>
    <n v="1378474.5799999998"/>
    <n v="34751.46"/>
    <n v="13900.584000000001"/>
  </r>
  <r>
    <n v="6"/>
    <d v="2005-06-01T00:00:00"/>
    <x v="5"/>
    <x v="5"/>
    <n v="609"/>
    <n v="2"/>
    <d v="2003-10-01T00:00:00"/>
    <n v="556845"/>
    <n v="0.18"/>
    <n v="3.8"/>
    <n v="2.0299999999999998"/>
    <n v="0"/>
    <m/>
    <n v="0.02"/>
    <m/>
    <n v="11"/>
    <n v="19"/>
    <m/>
    <n v="2116011"/>
    <n v="1130395.3499999999"/>
    <n v="11136.9"/>
    <n v="4454.76"/>
  </r>
  <r>
    <n v="6"/>
    <d v="2005-07-01T00:00:00"/>
    <x v="6"/>
    <x v="5"/>
    <n v="639"/>
    <n v="2"/>
    <d v="2003-10-01T00:00:00"/>
    <n v="488083"/>
    <n v="0"/>
    <n v="0.55000000000000004"/>
    <n v="0.45"/>
    <m/>
    <m/>
    <n v="0"/>
    <m/>
    <n v="12"/>
    <n v="14"/>
    <m/>
    <n v="268445.65000000002"/>
    <n v="219637.35"/>
    <n v="0"/>
    <n v="0"/>
  </r>
  <r>
    <n v="6"/>
    <d v="2005-08-01T00:00:00"/>
    <x v="7"/>
    <x v="5"/>
    <n v="670"/>
    <n v="2"/>
    <d v="2003-10-01T00:00:00"/>
    <n v="380000"/>
    <m/>
    <m/>
    <n v="0.3"/>
    <m/>
    <s v="h"/>
    <n v="0"/>
    <m/>
    <m/>
    <m/>
    <s v="start harvesting?"/>
    <m/>
    <n v="114000"/>
    <n v="0"/>
    <n v="0"/>
  </r>
  <r>
    <n v="6"/>
    <d v="2005-09-01T00:00:00"/>
    <x v="8"/>
    <x v="5"/>
    <n v="701"/>
    <n v="2"/>
    <d v="2003-10-01T00:00:00"/>
    <n v="250000"/>
    <m/>
    <m/>
    <n v="0.3"/>
    <m/>
    <s v="h"/>
    <n v="0.05"/>
    <m/>
    <m/>
    <m/>
    <m/>
    <m/>
    <n v="75000"/>
    <n v="12500"/>
    <n v="5000"/>
  </r>
  <r>
    <n v="6"/>
    <d v="2005-10-01T00:00:00"/>
    <x v="9"/>
    <x v="5"/>
    <n v="731"/>
    <n v="2"/>
    <d v="2003-10-01T00:00:00"/>
    <n v="100000"/>
    <m/>
    <m/>
    <n v="0.6"/>
    <m/>
    <s v="h"/>
    <n v="0.1"/>
    <m/>
    <m/>
    <m/>
    <s v="harvesting"/>
    <m/>
    <n v="60000"/>
    <n v="10000"/>
    <n v="4000"/>
  </r>
  <r>
    <n v="6"/>
    <d v="2005-11-01T00:00:00"/>
    <x v="10"/>
    <x v="5"/>
    <m/>
    <m/>
    <m/>
    <m/>
    <m/>
    <m/>
    <m/>
    <m/>
    <m/>
    <m/>
    <m/>
    <m/>
    <m/>
    <m/>
    <m/>
    <m/>
    <m/>
    <m/>
  </r>
  <r>
    <n v="6"/>
    <d v="2005-12-01T00:00:00"/>
    <x v="11"/>
    <x v="5"/>
    <n v="0"/>
    <n v="1"/>
    <d v="2005-12-01T00:00:00"/>
    <n v="570000"/>
    <m/>
    <m/>
    <n v="0"/>
    <m/>
    <s v="s"/>
    <n v="0"/>
    <m/>
    <m/>
    <m/>
    <s v="smolts entered"/>
    <m/>
    <n v="0"/>
    <n v="0"/>
    <n v="0"/>
  </r>
  <r>
    <n v="6"/>
    <d v="2006-01-01T00:00:00"/>
    <x v="0"/>
    <x v="6"/>
    <n v="31"/>
    <n v="1"/>
    <d v="2005-12-01T00:00:00"/>
    <n v="570000"/>
    <m/>
    <m/>
    <n v="0.8"/>
    <m/>
    <s v="s"/>
    <n v="0.1"/>
    <m/>
    <m/>
    <m/>
    <m/>
    <m/>
    <n v="456000"/>
    <n v="57000"/>
    <n v="22800"/>
  </r>
  <r>
    <n v="6"/>
    <d v="2006-02-01T00:00:00"/>
    <x v="1"/>
    <x v="6"/>
    <n v="62"/>
    <n v="1"/>
    <d v="2005-12-01T00:00:00"/>
    <n v="570000"/>
    <n v="0.12"/>
    <n v="5.48"/>
    <n v="1.63"/>
    <m/>
    <m/>
    <n v="0.2"/>
    <m/>
    <n v="7"/>
    <n v="27"/>
    <m/>
    <n v="3123600.0000000005"/>
    <n v="929099.99999999988"/>
    <n v="114000"/>
    <n v="45600"/>
  </r>
  <r>
    <n v="6"/>
    <d v="2006-03-01T00:00:00"/>
    <x v="2"/>
    <x v="6"/>
    <n v="90"/>
    <n v="1"/>
    <d v="2005-12-01T00:00:00"/>
    <n v="566012"/>
    <n v="0.53"/>
    <n v="8.1300000000000008"/>
    <n v="2.7"/>
    <n v="2"/>
    <m/>
    <n v="0.28000000000000003"/>
    <n v="1"/>
    <n v="7"/>
    <n v="30"/>
    <m/>
    <n v="4601677.5600000005"/>
    <n v="1528232.4000000001"/>
    <n v="158483.36000000002"/>
    <n v="63393.344000000012"/>
  </r>
  <r>
    <n v="6"/>
    <d v="2006-04-01T00:00:00"/>
    <x v="3"/>
    <x v="6"/>
    <n v="121"/>
    <n v="1"/>
    <d v="2005-12-01T00:00:00"/>
    <n v="562860"/>
    <n v="7.0000000000000007E-2"/>
    <n v="1.47"/>
    <n v="0.42"/>
    <n v="0"/>
    <m/>
    <n v="0"/>
    <m/>
    <n v="9"/>
    <n v="29"/>
    <m/>
    <n v="827404.2"/>
    <n v="236401.19999999998"/>
    <n v="0"/>
    <n v="0"/>
  </r>
  <r>
    <n v="6"/>
    <d v="2006-05-01T00:00:00"/>
    <x v="4"/>
    <x v="6"/>
    <n v="151"/>
    <n v="1"/>
    <d v="2005-12-01T00:00:00"/>
    <n v="561275"/>
    <n v="0"/>
    <n v="0.17"/>
    <n v="0.03"/>
    <n v="0"/>
    <m/>
    <n v="0.02"/>
    <m/>
    <n v="10"/>
    <n v="22"/>
    <m/>
    <n v="95416.75"/>
    <n v="16838.25"/>
    <n v="11225.5"/>
    <n v="4490.2"/>
  </r>
  <r>
    <n v="6"/>
    <d v="2006-06-01T00:00:00"/>
    <x v="5"/>
    <x v="6"/>
    <n v="182"/>
    <n v="1"/>
    <d v="2005-12-01T00:00:00"/>
    <n v="560617"/>
    <n v="0"/>
    <n v="0.12"/>
    <n v="0.02"/>
    <n v="0"/>
    <m/>
    <n v="0"/>
    <m/>
    <n v="11"/>
    <n v="13"/>
    <m/>
    <n v="67274.039999999994"/>
    <n v="11212.34"/>
    <n v="0"/>
    <n v="0"/>
  </r>
  <r>
    <n v="6"/>
    <d v="2006-07-01T00:00:00"/>
    <x v="6"/>
    <x v="6"/>
    <n v="212"/>
    <n v="1"/>
    <d v="2005-12-01T00:00:00"/>
    <n v="560319"/>
    <n v="0"/>
    <n v="0.05"/>
    <n v="0.02"/>
    <n v="0"/>
    <m/>
    <n v="0"/>
    <m/>
    <n v="12"/>
    <n v="12"/>
    <m/>
    <n v="28015.95"/>
    <n v="11206.380000000001"/>
    <n v="0"/>
    <n v="0"/>
  </r>
  <r>
    <n v="6"/>
    <d v="2006-08-01T00:00:00"/>
    <x v="7"/>
    <x v="6"/>
    <n v="243"/>
    <n v="1"/>
    <d v="2005-12-01T00:00:00"/>
    <n v="560000"/>
    <n v="0"/>
    <n v="6.6666600000000006E-2"/>
    <n v="0"/>
    <n v="0"/>
    <m/>
    <n v="0"/>
    <m/>
    <n v="12"/>
    <n v="17"/>
    <m/>
    <n v="37333.296000000002"/>
    <n v="0"/>
    <n v="0"/>
    <n v="0"/>
  </r>
  <r>
    <n v="6"/>
    <d v="2006-09-01T00:00:00"/>
    <x v="8"/>
    <x v="6"/>
    <n v="274"/>
    <n v="1"/>
    <d v="2005-12-01T00:00:00"/>
    <n v="559600"/>
    <n v="0.18"/>
    <n v="0.88"/>
    <n v="0.55000000000000004"/>
    <n v="0"/>
    <m/>
    <n v="0"/>
    <m/>
    <n v="11"/>
    <n v="17"/>
    <m/>
    <n v="492448"/>
    <n v="307780"/>
    <n v="0"/>
    <n v="0"/>
  </r>
  <r>
    <n v="6"/>
    <d v="2006-10-01T00:00:00"/>
    <x v="9"/>
    <x v="6"/>
    <n v="304"/>
    <n v="1"/>
    <d v="2005-12-01T00:00:00"/>
    <n v="559300"/>
    <n v="0.42"/>
    <n v="4.2300000000000004"/>
    <n v="2.62"/>
    <n v="2"/>
    <m/>
    <n v="0.1"/>
    <n v="1"/>
    <n v="11"/>
    <n v="17"/>
    <m/>
    <n v="2365839.0000000005"/>
    <n v="1465366"/>
    <n v="55930"/>
    <n v="22372"/>
  </r>
  <r>
    <n v="6"/>
    <d v="2006-11-01T00:00:00"/>
    <x v="10"/>
    <x v="6"/>
    <n v="335"/>
    <n v="1"/>
    <d v="2005-12-01T00:00:00"/>
    <n v="559000"/>
    <n v="0"/>
    <n v="2.3166666"/>
    <n v="1.3"/>
    <n v="2"/>
    <m/>
    <n v="0.26666659999999998"/>
    <m/>
    <n v="7"/>
    <n v="19"/>
    <m/>
    <n v="1295016.6294"/>
    <n v="726700"/>
    <n v="149066.62939999998"/>
    <n v="59626.651759999993"/>
  </r>
  <r>
    <n v="6"/>
    <d v="2006-12-01T00:00:00"/>
    <x v="11"/>
    <x v="6"/>
    <n v="365"/>
    <n v="2"/>
    <d v="2005-12-01T00:00:00"/>
    <n v="558600"/>
    <n v="0.48"/>
    <n v="3.17"/>
    <n v="2.15"/>
    <n v="1"/>
    <m/>
    <n v="0.02"/>
    <m/>
    <n v="7"/>
    <n v="24"/>
    <m/>
    <n v="1770762"/>
    <n v="1200990"/>
    <n v="11172"/>
    <n v="4468.8"/>
  </r>
  <r>
    <n v="6"/>
    <d v="2007-01-01T00:00:00"/>
    <x v="0"/>
    <x v="7"/>
    <n v="396"/>
    <n v="2"/>
    <d v="2005-12-01T00:00:00"/>
    <n v="523499"/>
    <n v="0"/>
    <n v="0.4"/>
    <n v="0.25"/>
    <n v="0"/>
    <m/>
    <n v="0"/>
    <m/>
    <n v="6"/>
    <n v="22"/>
    <m/>
    <n v="209399.6"/>
    <n v="130874.75"/>
    <n v="0"/>
    <n v="0"/>
  </r>
  <r>
    <n v="6"/>
    <d v="2007-02-01T00:00:00"/>
    <x v="1"/>
    <x v="7"/>
    <n v="427"/>
    <n v="2"/>
    <d v="2005-12-01T00:00:00"/>
    <n v="483650"/>
    <n v="0.1"/>
    <n v="0.37"/>
    <n v="0.12"/>
    <n v="0"/>
    <m/>
    <n v="0"/>
    <m/>
    <n v="7"/>
    <n v="25"/>
    <m/>
    <n v="178950.5"/>
    <n v="58038"/>
    <n v="0"/>
    <n v="0"/>
  </r>
  <r>
    <n v="6"/>
    <d v="2007-03-01T00:00:00"/>
    <x v="2"/>
    <x v="7"/>
    <n v="455"/>
    <n v="2"/>
    <d v="2005-12-01T00:00:00"/>
    <n v="432439"/>
    <n v="0"/>
    <n v="0.77"/>
    <n v="0.18"/>
    <n v="0"/>
    <m/>
    <n v="0"/>
    <m/>
    <n v="7"/>
    <n v="24"/>
    <m/>
    <n v="332978.03000000003"/>
    <n v="77839.02"/>
    <n v="0"/>
    <n v="0"/>
  </r>
  <r>
    <n v="6"/>
    <d v="2007-04-01T00:00:00"/>
    <x v="3"/>
    <x v="7"/>
    <n v="486"/>
    <n v="2"/>
    <d v="2005-12-01T00:00:00"/>
    <n v="403458"/>
    <n v="0"/>
    <n v="1.5"/>
    <n v="0.5"/>
    <n v="0"/>
    <m/>
    <n v="0"/>
    <m/>
    <n v="8"/>
    <n v="22"/>
    <s v="harvesting"/>
    <n v="605187"/>
    <n v="201729"/>
    <n v="0"/>
    <n v="0"/>
  </r>
  <r>
    <n v="6"/>
    <d v="2007-05-01T00:00:00"/>
    <x v="4"/>
    <x v="7"/>
    <n v="516"/>
    <n v="2"/>
    <d v="2005-12-01T00:00:00"/>
    <n v="294580"/>
    <n v="0"/>
    <n v="1.03"/>
    <n v="0.48"/>
    <m/>
    <m/>
    <n v="0"/>
    <m/>
    <n v="9"/>
    <n v="19"/>
    <s v="harvesting"/>
    <n v="303417.40000000002"/>
    <n v="141398.39999999999"/>
    <n v="0"/>
    <n v="0"/>
  </r>
  <r>
    <n v="6"/>
    <d v="2007-06-01T00:00:00"/>
    <x v="5"/>
    <x v="7"/>
    <n v="547"/>
    <n v="2"/>
    <d v="2005-12-01T00:00:00"/>
    <n v="177670"/>
    <m/>
    <m/>
    <n v="0.5"/>
    <m/>
    <s v="h"/>
    <n v="0"/>
    <m/>
    <m/>
    <m/>
    <s v="harvesting"/>
    <m/>
    <n v="88835"/>
    <n v="0"/>
    <n v="0"/>
  </r>
  <r>
    <n v="6"/>
    <d v="2007-07-01T00:00:00"/>
    <x v="6"/>
    <x v="7"/>
    <m/>
    <m/>
    <m/>
    <m/>
    <m/>
    <m/>
    <m/>
    <m/>
    <m/>
    <m/>
    <m/>
    <m/>
    <m/>
    <m/>
    <m/>
    <m/>
    <m/>
    <m/>
  </r>
  <r>
    <n v="6"/>
    <d v="2007-08-01T00:00:00"/>
    <x v="7"/>
    <x v="7"/>
    <m/>
    <m/>
    <m/>
    <m/>
    <m/>
    <m/>
    <m/>
    <m/>
    <m/>
    <m/>
    <m/>
    <m/>
    <m/>
    <m/>
    <m/>
    <m/>
    <m/>
    <m/>
  </r>
  <r>
    <n v="6"/>
    <d v="2007-09-01T00:00:00"/>
    <x v="8"/>
    <x v="7"/>
    <m/>
    <m/>
    <m/>
    <m/>
    <m/>
    <m/>
    <m/>
    <m/>
    <m/>
    <m/>
    <m/>
    <m/>
    <m/>
    <m/>
    <m/>
    <m/>
    <m/>
    <m/>
  </r>
  <r>
    <n v="6"/>
    <d v="2007-10-01T00:00:00"/>
    <x v="9"/>
    <x v="7"/>
    <m/>
    <m/>
    <m/>
    <m/>
    <m/>
    <m/>
    <m/>
    <m/>
    <m/>
    <m/>
    <m/>
    <m/>
    <m/>
    <m/>
    <m/>
    <m/>
    <m/>
    <m/>
  </r>
  <r>
    <n v="6"/>
    <d v="2007-11-01T00:00:00"/>
    <x v="10"/>
    <x v="7"/>
    <n v="245"/>
    <n v="1"/>
    <d v="2007-03-01T00:00:00"/>
    <n v="600163"/>
    <n v="0.2"/>
    <n v="7.0000000000000007E-2"/>
    <n v="0.02"/>
    <m/>
    <m/>
    <n v="7.0000000000000007E-2"/>
    <m/>
    <n v="7"/>
    <n v="21"/>
    <s v="Transferred from farm #8"/>
    <n v="42011.41"/>
    <n v="12003.26"/>
    <n v="42011.41"/>
    <n v="16804.564000000002"/>
  </r>
  <r>
    <n v="6"/>
    <d v="2007-12-01T00:00:00"/>
    <x v="11"/>
    <x v="7"/>
    <n v="275"/>
    <n v="1"/>
    <d v="2007-03-01T00:00:00"/>
    <n v="599502"/>
    <n v="0.2"/>
    <n v="0.3"/>
    <n v="0.1"/>
    <n v="0"/>
    <m/>
    <n v="0.12"/>
    <m/>
    <n v="6"/>
    <n v="26"/>
    <m/>
    <n v="179850.6"/>
    <n v="59950.200000000004"/>
    <n v="71940.239999999991"/>
    <n v="28776.095999999998"/>
  </r>
  <r>
    <n v="6"/>
    <d v="2008-01-01T00:00:00"/>
    <x v="0"/>
    <x v="8"/>
    <n v="306"/>
    <n v="1"/>
    <d v="2007-03-01T00:00:00"/>
    <n v="559502"/>
    <n v="0.83"/>
    <n v="0.78"/>
    <n v="0.37"/>
    <n v="0"/>
    <m/>
    <n v="0.53"/>
    <m/>
    <m/>
    <m/>
    <m/>
    <n v="436411.56"/>
    <n v="207015.74"/>
    <n v="296536.06"/>
    <n v="118614.424"/>
  </r>
  <r>
    <n v="6"/>
    <d v="2008-02-01T00:00:00"/>
    <x v="1"/>
    <x v="8"/>
    <n v="337"/>
    <n v="1"/>
    <d v="2007-03-01T00:00:00"/>
    <n v="598988"/>
    <n v="0.25"/>
    <n v="1.0166666"/>
    <n v="0.46666659999999999"/>
    <n v="1"/>
    <m/>
    <n v="0.65"/>
    <m/>
    <m/>
    <m/>
    <m/>
    <n v="608971.09340080002"/>
    <n v="279527.6934008"/>
    <n v="389342.2"/>
    <n v="155736.88"/>
  </r>
  <r>
    <n v="6"/>
    <d v="2008-03-01T00:00:00"/>
    <x v="2"/>
    <x v="8"/>
    <n v="366"/>
    <n v="2"/>
    <d v="2007-03-01T00:00:00"/>
    <n v="598795"/>
    <n v="0.88"/>
    <n v="0.88"/>
    <n v="0.3"/>
    <n v="1"/>
    <m/>
    <n v="0.77"/>
    <m/>
    <m/>
    <m/>
    <m/>
    <n v="526939.6"/>
    <n v="179638.5"/>
    <n v="461072.15"/>
    <n v="184428.86000000002"/>
  </r>
  <r>
    <n v="6"/>
    <d v="2008-04-01T00:00:00"/>
    <x v="3"/>
    <x v="8"/>
    <n v="397"/>
    <n v="2"/>
    <d v="2007-03-01T00:00:00"/>
    <n v="598444"/>
    <n v="2.2799999999999998"/>
    <n v="2.5"/>
    <n v="0.65"/>
    <n v="0"/>
    <m/>
    <n v="0.73"/>
    <m/>
    <m/>
    <m/>
    <m/>
    <n v="1496110"/>
    <n v="388988.60000000003"/>
    <n v="436864.12"/>
    <n v="174745.64800000002"/>
  </r>
  <r>
    <n v="6"/>
    <d v="2008-05-01T00:00:00"/>
    <x v="4"/>
    <x v="8"/>
    <n v="427"/>
    <n v="2"/>
    <d v="2007-03-01T00:00:00"/>
    <n v="597803"/>
    <n v="0.28333333333333338"/>
    <n v="2.5166666666666666"/>
    <n v="1.1166666666666665"/>
    <n v="2"/>
    <m/>
    <n v="0.6333333333333333"/>
    <n v="1"/>
    <n v="7"/>
    <n v="30"/>
    <m/>
    <n v="1504470.8833333333"/>
    <n v="667546.68333333323"/>
    <n v="378608.56666666665"/>
    <n v="151443.42666666667"/>
  </r>
  <r>
    <n v="6"/>
    <d v="2008-06-01T00:00:00"/>
    <x v="5"/>
    <x v="8"/>
    <n v="458"/>
    <n v="2"/>
    <d v="2007-03-01T00:00:00"/>
    <n v="597261"/>
    <n v="1.6666666666666666E-2"/>
    <n v="1.6666666666666666E-2"/>
    <n v="0"/>
    <n v="0"/>
    <m/>
    <n v="0"/>
    <m/>
    <m/>
    <m/>
    <m/>
    <n v="9954.35"/>
    <n v="0"/>
    <n v="0"/>
    <n v="0"/>
  </r>
  <r>
    <n v="6"/>
    <d v="2008-07-01T00:00:00"/>
    <x v="6"/>
    <x v="8"/>
    <n v="488"/>
    <n v="2"/>
    <d v="2007-03-01T00:00:00"/>
    <n v="597000"/>
    <n v="0"/>
    <n v="0"/>
    <n v="0"/>
    <n v="0"/>
    <m/>
    <n v="0"/>
    <m/>
    <m/>
    <m/>
    <m/>
    <n v="0"/>
    <n v="0"/>
    <n v="0"/>
    <n v="0"/>
  </r>
  <r>
    <n v="6"/>
    <d v="2008-08-01T00:00:00"/>
    <x v="7"/>
    <x v="8"/>
    <n v="519"/>
    <n v="2"/>
    <d v="2007-03-01T00:00:00"/>
    <n v="569000"/>
    <n v="0"/>
    <n v="0.03"/>
    <n v="0"/>
    <n v="0"/>
    <m/>
    <n v="0"/>
    <m/>
    <m/>
    <m/>
    <s v="harvesting"/>
    <n v="17070"/>
    <n v="0"/>
    <n v="0"/>
    <n v="0"/>
  </r>
  <r>
    <n v="6"/>
    <d v="2008-09-01T00:00:00"/>
    <x v="8"/>
    <x v="8"/>
    <n v="550"/>
    <n v="2"/>
    <d v="2007-03-01T00:00:00"/>
    <n v="387000"/>
    <n v="0"/>
    <n v="0"/>
    <n v="0"/>
    <m/>
    <m/>
    <n v="0"/>
    <m/>
    <m/>
    <m/>
    <m/>
    <n v="0"/>
    <n v="0"/>
    <n v="0"/>
    <n v="0"/>
  </r>
  <r>
    <n v="6"/>
    <d v="2008-10-01T00:00:00"/>
    <x v="9"/>
    <x v="8"/>
    <n v="580"/>
    <n v="2"/>
    <d v="2007-03-01T00:00:00"/>
    <n v="219000"/>
    <m/>
    <n v="0"/>
    <n v="0"/>
    <m/>
    <s v="h"/>
    <n v="0"/>
    <m/>
    <m/>
    <m/>
    <m/>
    <n v="0"/>
    <n v="0"/>
    <n v="0"/>
    <n v="0"/>
  </r>
  <r>
    <n v="6"/>
    <d v="2008-11-01T00:00:00"/>
    <x v="10"/>
    <x v="8"/>
    <m/>
    <m/>
    <m/>
    <m/>
    <m/>
    <m/>
    <m/>
    <m/>
    <m/>
    <m/>
    <m/>
    <m/>
    <m/>
    <m/>
    <m/>
    <m/>
    <m/>
    <m/>
  </r>
  <r>
    <n v="6"/>
    <d v="2008-12-01T00:00:00"/>
    <x v="11"/>
    <x v="8"/>
    <m/>
    <m/>
    <m/>
    <m/>
    <m/>
    <m/>
    <m/>
    <m/>
    <m/>
    <m/>
    <m/>
    <m/>
    <m/>
    <m/>
    <m/>
    <m/>
    <m/>
    <m/>
  </r>
  <r>
    <n v="6"/>
    <d v="2009-01-01T00:00:00"/>
    <x v="0"/>
    <x v="9"/>
    <m/>
    <m/>
    <m/>
    <m/>
    <m/>
    <m/>
    <m/>
    <m/>
    <m/>
    <m/>
    <m/>
    <m/>
    <m/>
    <m/>
    <m/>
    <m/>
    <m/>
    <m/>
  </r>
  <r>
    <n v="6"/>
    <d v="2009-02-01T00:00:00"/>
    <x v="1"/>
    <x v="9"/>
    <n v="306"/>
    <n v="1"/>
    <d v="2008-04-01T00:00:00"/>
    <n v="86480"/>
    <m/>
    <n v="1.1000000000000001"/>
    <n v="0.35"/>
    <m/>
    <s v="t"/>
    <n v="0"/>
    <m/>
    <m/>
    <m/>
    <s v="fish moved from farm #2 (counts from there)"/>
    <m/>
    <n v="30267.999999999996"/>
    <n v="0"/>
    <n v="0"/>
  </r>
  <r>
    <n v="6"/>
    <d v="2009-03-01T00:00:00"/>
    <x v="2"/>
    <x v="9"/>
    <n v="334"/>
    <n v="1"/>
    <d v="2008-04-01T00:00:00"/>
    <n v="388113"/>
    <n v="0.05"/>
    <n v="0.17"/>
    <n v="0.02"/>
    <m/>
    <m/>
    <n v="0"/>
    <m/>
    <m/>
    <m/>
    <m/>
    <n v="65979.210000000006"/>
    <n v="7762.26"/>
    <n v="0"/>
    <n v="0"/>
  </r>
  <r>
    <n v="6"/>
    <d v="2009-04-01T00:00:00"/>
    <x v="3"/>
    <x v="9"/>
    <n v="365"/>
    <n v="2"/>
    <d v="2008-04-01T00:00:00"/>
    <n v="387492"/>
    <n v="0.05"/>
    <n v="0.02"/>
    <n v="0"/>
    <n v="0"/>
    <m/>
    <n v="0"/>
    <m/>
    <m/>
    <m/>
    <m/>
    <n v="7749.84"/>
    <n v="0"/>
    <n v="0"/>
    <n v="0"/>
  </r>
  <r>
    <n v="6"/>
    <d v="2009-05-01T00:00:00"/>
    <x v="4"/>
    <x v="9"/>
    <n v="395"/>
    <n v="2"/>
    <d v="2008-04-01T00:00:00"/>
    <n v="387104"/>
    <n v="6.6666600000000006E-2"/>
    <n v="0"/>
    <n v="0"/>
    <n v="0"/>
    <m/>
    <n v="3.3333300000000003E-2"/>
    <m/>
    <m/>
    <m/>
    <m/>
    <n v="0"/>
    <n v="0"/>
    <n v="12903.453763200001"/>
    <n v="5161.381505280001"/>
  </r>
  <r>
    <n v="6"/>
    <d v="2009-06-01T00:00:00"/>
    <x v="5"/>
    <x v="9"/>
    <n v="426"/>
    <n v="2"/>
    <d v="2008-04-01T00:00:00"/>
    <n v="386692"/>
    <n v="0"/>
    <n v="0.02"/>
    <n v="0.02"/>
    <n v="0"/>
    <m/>
    <n v="0"/>
    <m/>
    <m/>
    <m/>
    <m/>
    <n v="7733.84"/>
    <n v="7733.84"/>
    <n v="0"/>
    <n v="0"/>
  </r>
  <r>
    <n v="6"/>
    <d v="2009-07-01T00:00:00"/>
    <x v="6"/>
    <x v="9"/>
    <n v="456"/>
    <n v="2"/>
    <d v="2008-04-01T00:00:00"/>
    <n v="386570"/>
    <n v="6.2500000000000003E-3"/>
    <n v="4.3749999999999997E-2"/>
    <n v="2.5000000000000001E-2"/>
    <n v="0"/>
    <m/>
    <n v="6.2500000000000003E-3"/>
    <m/>
    <m/>
    <m/>
    <m/>
    <n v="16912.4375"/>
    <n v="9664.25"/>
    <n v="2416.0625"/>
    <n v="966.42500000000007"/>
  </r>
  <r>
    <n v="6"/>
    <d v="2009-08-01T00:00:00"/>
    <x v="7"/>
    <x v="9"/>
    <n v="487"/>
    <n v="2"/>
    <d v="2008-04-01T00:00:00"/>
    <n v="386206"/>
    <n v="3.5714285714285712E-2"/>
    <n v="7.857142857142857E-2"/>
    <n v="4.2857142857142858E-2"/>
    <n v="0"/>
    <m/>
    <n v="0"/>
    <m/>
    <m/>
    <m/>
    <m/>
    <n v="30344.757142857143"/>
    <n v="16551.685714285715"/>
    <n v="0"/>
    <n v="0"/>
  </r>
  <r>
    <n v="6"/>
    <d v="2009-09-01T00:00:00"/>
    <x v="8"/>
    <x v="9"/>
    <n v="518"/>
    <n v="2"/>
    <d v="2008-04-01T00:00:00"/>
    <n v="385886"/>
    <n v="0"/>
    <n v="0.05"/>
    <n v="2.5000000000000001E-2"/>
    <m/>
    <m/>
    <n v="0"/>
    <m/>
    <m/>
    <m/>
    <m/>
    <n v="19294.3"/>
    <n v="9647.15"/>
    <n v="0"/>
    <n v="0"/>
  </r>
  <r>
    <n v="6"/>
    <d v="2009-10-01T00:00:00"/>
    <x v="9"/>
    <x v="9"/>
    <n v="548"/>
    <n v="2"/>
    <d v="2008-04-01T00:00:00"/>
    <n v="369014"/>
    <m/>
    <m/>
    <n v="0.04"/>
    <m/>
    <s v="h"/>
    <n v="0"/>
    <m/>
    <m/>
    <m/>
    <s v="not sampled"/>
    <m/>
    <n v="14760.56"/>
    <n v="0"/>
    <n v="0"/>
  </r>
  <r>
    <n v="6"/>
    <d v="2009-11-01T00:00:00"/>
    <x v="10"/>
    <x v="9"/>
    <n v="579"/>
    <n v="2"/>
    <d v="2008-04-01T00:00:00"/>
    <n v="145102"/>
    <m/>
    <m/>
    <n v="0.06"/>
    <m/>
    <s v="h"/>
    <n v="0"/>
    <m/>
    <m/>
    <m/>
    <s v="Harvesting out"/>
    <m/>
    <n v="8706.119999999999"/>
    <n v="0"/>
    <n v="0"/>
  </r>
  <r>
    <n v="6"/>
    <d v="2009-12-01T00:00:00"/>
    <x v="11"/>
    <x v="9"/>
    <m/>
    <m/>
    <m/>
    <m/>
    <m/>
    <m/>
    <m/>
    <m/>
    <m/>
    <m/>
    <m/>
    <m/>
    <m/>
    <m/>
    <m/>
    <m/>
    <m/>
    <m/>
  </r>
  <r>
    <n v="7"/>
    <d v="2000-01-01T00:00:00"/>
    <x v="0"/>
    <x v="0"/>
    <m/>
    <m/>
    <m/>
    <m/>
    <m/>
    <m/>
    <m/>
    <m/>
    <m/>
    <m/>
    <m/>
    <m/>
    <m/>
    <m/>
    <m/>
    <m/>
    <m/>
    <m/>
  </r>
  <r>
    <n v="7"/>
    <d v="2000-02-01T00:00:00"/>
    <x v="1"/>
    <x v="0"/>
    <m/>
    <m/>
    <m/>
    <m/>
    <m/>
    <m/>
    <m/>
    <m/>
    <m/>
    <m/>
    <m/>
    <m/>
    <m/>
    <m/>
    <m/>
    <m/>
    <m/>
    <m/>
  </r>
  <r>
    <n v="7"/>
    <d v="2000-03-01T00:00:00"/>
    <x v="2"/>
    <x v="0"/>
    <m/>
    <m/>
    <m/>
    <m/>
    <m/>
    <m/>
    <m/>
    <m/>
    <m/>
    <m/>
    <m/>
    <m/>
    <m/>
    <m/>
    <m/>
    <m/>
    <m/>
    <m/>
  </r>
  <r>
    <n v="7"/>
    <d v="2000-04-01T00:00:00"/>
    <x v="3"/>
    <x v="0"/>
    <m/>
    <m/>
    <m/>
    <m/>
    <m/>
    <m/>
    <m/>
    <m/>
    <m/>
    <m/>
    <m/>
    <m/>
    <m/>
    <m/>
    <m/>
    <m/>
    <m/>
    <m/>
  </r>
  <r>
    <n v="7"/>
    <d v="2000-05-01T00:00:00"/>
    <x v="4"/>
    <x v="0"/>
    <m/>
    <m/>
    <m/>
    <m/>
    <m/>
    <m/>
    <m/>
    <m/>
    <m/>
    <m/>
    <m/>
    <m/>
    <m/>
    <m/>
    <m/>
    <m/>
    <m/>
    <m/>
  </r>
  <r>
    <n v="7"/>
    <d v="2000-06-01T00:00:00"/>
    <x v="5"/>
    <x v="0"/>
    <m/>
    <m/>
    <m/>
    <m/>
    <m/>
    <m/>
    <m/>
    <m/>
    <m/>
    <m/>
    <m/>
    <m/>
    <m/>
    <m/>
    <m/>
    <m/>
    <m/>
    <m/>
  </r>
  <r>
    <n v="7"/>
    <d v="2000-07-01T00:00:00"/>
    <x v="6"/>
    <x v="0"/>
    <m/>
    <m/>
    <m/>
    <m/>
    <m/>
    <m/>
    <m/>
    <m/>
    <m/>
    <m/>
    <m/>
    <m/>
    <m/>
    <m/>
    <m/>
    <m/>
    <m/>
    <m/>
  </r>
  <r>
    <n v="7"/>
    <d v="2000-08-01T00:00:00"/>
    <x v="7"/>
    <x v="0"/>
    <m/>
    <m/>
    <m/>
    <m/>
    <m/>
    <m/>
    <m/>
    <m/>
    <m/>
    <m/>
    <m/>
    <m/>
    <m/>
    <m/>
    <m/>
    <m/>
    <m/>
    <m/>
  </r>
  <r>
    <n v="7"/>
    <d v="2000-09-01T00:00:00"/>
    <x v="8"/>
    <x v="0"/>
    <m/>
    <m/>
    <m/>
    <m/>
    <m/>
    <m/>
    <m/>
    <m/>
    <m/>
    <m/>
    <m/>
    <m/>
    <m/>
    <m/>
    <m/>
    <m/>
    <m/>
    <m/>
  </r>
  <r>
    <n v="7"/>
    <d v="2000-10-01T00:00:00"/>
    <x v="9"/>
    <x v="0"/>
    <m/>
    <m/>
    <m/>
    <m/>
    <m/>
    <m/>
    <m/>
    <m/>
    <m/>
    <m/>
    <m/>
    <m/>
    <m/>
    <m/>
    <m/>
    <m/>
    <m/>
    <m/>
  </r>
  <r>
    <n v="7"/>
    <d v="2000-11-01T00:00:00"/>
    <x v="10"/>
    <x v="0"/>
    <m/>
    <m/>
    <m/>
    <m/>
    <m/>
    <m/>
    <m/>
    <m/>
    <m/>
    <m/>
    <m/>
    <m/>
    <m/>
    <m/>
    <m/>
    <m/>
    <m/>
    <m/>
  </r>
  <r>
    <n v="7"/>
    <d v="2000-12-01T00:00:00"/>
    <x v="11"/>
    <x v="0"/>
    <m/>
    <m/>
    <m/>
    <m/>
    <m/>
    <m/>
    <m/>
    <m/>
    <m/>
    <m/>
    <m/>
    <m/>
    <m/>
    <m/>
    <m/>
    <m/>
    <m/>
    <m/>
  </r>
  <r>
    <n v="7"/>
    <d v="2001-01-01T00:00:00"/>
    <x v="0"/>
    <x v="1"/>
    <m/>
    <m/>
    <m/>
    <m/>
    <m/>
    <m/>
    <m/>
    <m/>
    <m/>
    <m/>
    <m/>
    <m/>
    <m/>
    <m/>
    <m/>
    <m/>
    <m/>
    <m/>
  </r>
  <r>
    <n v="7"/>
    <d v="2001-02-01T00:00:00"/>
    <x v="1"/>
    <x v="1"/>
    <n v="0"/>
    <n v="1"/>
    <d v="2001-02-01T00:00:00"/>
    <n v="321267"/>
    <m/>
    <m/>
    <m/>
    <m/>
    <m/>
    <m/>
    <m/>
    <m/>
    <m/>
    <s v="Smolts entered"/>
    <m/>
    <m/>
    <m/>
    <m/>
  </r>
  <r>
    <n v="7"/>
    <d v="2001-03-01T00:00:00"/>
    <x v="2"/>
    <x v="1"/>
    <n v="28"/>
    <n v="1"/>
    <d v="2001-02-01T00:00:00"/>
    <n v="352033"/>
    <m/>
    <m/>
    <m/>
    <m/>
    <m/>
    <m/>
    <m/>
    <m/>
    <m/>
    <m/>
    <m/>
    <m/>
    <m/>
    <m/>
  </r>
  <r>
    <n v="7"/>
    <d v="2001-04-01T00:00:00"/>
    <x v="3"/>
    <x v="1"/>
    <n v="59"/>
    <n v="1"/>
    <d v="2001-02-01T00:00:00"/>
    <n v="654203"/>
    <m/>
    <n v="4.57"/>
    <n v="0.33"/>
    <m/>
    <m/>
    <m/>
    <m/>
    <m/>
    <m/>
    <m/>
    <n v="2989707.71"/>
    <n v="215886.99000000002"/>
    <m/>
    <m/>
  </r>
  <r>
    <n v="7"/>
    <d v="2001-05-01T00:00:00"/>
    <x v="4"/>
    <x v="1"/>
    <n v="89"/>
    <n v="1"/>
    <d v="2001-02-01T00:00:00"/>
    <n v="1068487"/>
    <m/>
    <m/>
    <m/>
    <m/>
    <m/>
    <m/>
    <m/>
    <m/>
    <m/>
    <m/>
    <m/>
    <m/>
    <m/>
    <m/>
  </r>
  <r>
    <n v="7"/>
    <d v="2001-06-01T00:00:00"/>
    <x v="5"/>
    <x v="1"/>
    <n v="120"/>
    <n v="1"/>
    <d v="2001-02-01T00:00:00"/>
    <n v="1153953"/>
    <m/>
    <n v="4.57"/>
    <n v="1.33"/>
    <m/>
    <s v="o"/>
    <m/>
    <n v="1"/>
    <m/>
    <m/>
    <s v="count estimates based on dilution of April count with new smolt entry (postcount treatment was delayed until June);"/>
    <n v="5273565.21"/>
    <n v="1534757.49"/>
    <m/>
    <m/>
  </r>
  <r>
    <n v="7"/>
    <d v="2001-07-01T00:00:00"/>
    <x v="6"/>
    <x v="1"/>
    <n v="150"/>
    <n v="1"/>
    <d v="2001-02-01T00:00:00"/>
    <n v="1153953"/>
    <m/>
    <m/>
    <m/>
    <m/>
    <m/>
    <m/>
    <m/>
    <m/>
    <m/>
    <m/>
    <m/>
    <m/>
    <m/>
    <m/>
  </r>
  <r>
    <n v="7"/>
    <d v="2001-08-01T00:00:00"/>
    <x v="7"/>
    <x v="1"/>
    <m/>
    <m/>
    <m/>
    <m/>
    <m/>
    <m/>
    <m/>
    <m/>
    <m/>
    <m/>
    <m/>
    <m/>
    <m/>
    <s v="moved to farm #6; site no longer used (permanent fallow)"/>
    <m/>
    <m/>
    <m/>
    <m/>
  </r>
  <r>
    <n v="8"/>
    <d v="2000-01-01T00:00:00"/>
    <x v="0"/>
    <x v="0"/>
    <n v="31"/>
    <n v="1"/>
    <d v="1999-12-01T00:00:00"/>
    <n v="604000"/>
    <m/>
    <m/>
    <m/>
    <m/>
    <m/>
    <m/>
    <m/>
    <m/>
    <m/>
    <s v="fish were entered in farm #8 then moved to farm #11(?)"/>
    <m/>
    <m/>
    <m/>
    <m/>
  </r>
  <r>
    <n v="8"/>
    <d v="2000-02-01T00:00:00"/>
    <x v="1"/>
    <x v="0"/>
    <n v="62"/>
    <n v="1"/>
    <d v="1999-12-01T00:00:00"/>
    <n v="604000"/>
    <m/>
    <m/>
    <m/>
    <m/>
    <m/>
    <m/>
    <m/>
    <m/>
    <m/>
    <m/>
    <m/>
    <m/>
    <m/>
    <m/>
  </r>
  <r>
    <n v="8"/>
    <d v="2000-03-01T00:00:00"/>
    <x v="2"/>
    <x v="0"/>
    <n v="91"/>
    <n v="1"/>
    <d v="1999-12-01T00:00:00"/>
    <n v="604000"/>
    <m/>
    <m/>
    <m/>
    <m/>
    <m/>
    <m/>
    <m/>
    <m/>
    <m/>
    <m/>
    <m/>
    <m/>
    <m/>
    <m/>
  </r>
  <r>
    <n v="8"/>
    <d v="2000-04-01T00:00:00"/>
    <x v="3"/>
    <x v="0"/>
    <n v="122"/>
    <n v="1"/>
    <d v="1999-12-01T00:00:00"/>
    <n v="604000"/>
    <n v="0.73"/>
    <n v="0.7466666666666667"/>
    <n v="7.4999999999999997E-2"/>
    <m/>
    <m/>
    <n v="1.4966666666666668"/>
    <m/>
    <m/>
    <m/>
    <m/>
    <n v="450986.66666666669"/>
    <n v="45300"/>
    <n v="903986.66666666674"/>
    <n v="361594.66666666674"/>
  </r>
  <r>
    <n v="8"/>
    <d v="2000-05-01T00:00:00"/>
    <x v="4"/>
    <x v="0"/>
    <n v="152"/>
    <n v="1"/>
    <d v="1999-12-01T00:00:00"/>
    <n v="604000"/>
    <n v="3"/>
    <n v="1.0333333333333334"/>
    <n v="5.8333333333333334E-2"/>
    <m/>
    <m/>
    <n v="2.7833333333333337"/>
    <m/>
    <m/>
    <m/>
    <m/>
    <n v="624133.33333333337"/>
    <n v="35233.333333333336"/>
    <n v="1681133.3333333335"/>
    <n v="672453.33333333349"/>
  </r>
  <r>
    <n v="8"/>
    <d v="2000-06-01T00:00:00"/>
    <x v="5"/>
    <x v="0"/>
    <n v="183"/>
    <n v="1"/>
    <d v="1999-12-01T00:00:00"/>
    <n v="604000"/>
    <m/>
    <n v="1.7416666666666667"/>
    <n v="0.29166666666666669"/>
    <m/>
    <n v="1"/>
    <n v="1.5229166666666669"/>
    <m/>
    <m/>
    <m/>
    <m/>
    <n v="1051966.6666666667"/>
    <n v="176166.66666666669"/>
    <n v="919841.66666666686"/>
    <n v="367936.66666666674"/>
  </r>
  <r>
    <n v="8"/>
    <d v="2000-07-01T00:00:00"/>
    <x v="6"/>
    <x v="0"/>
    <n v="213"/>
    <n v="1"/>
    <d v="1999-12-01T00:00:00"/>
    <n v="604000"/>
    <n v="1.2500000000000001E-2"/>
    <n v="2.4500000000000002"/>
    <n v="0.52500000000000002"/>
    <m/>
    <m/>
    <n v="0.26250000000000001"/>
    <m/>
    <m/>
    <m/>
    <m/>
    <n v="1479800"/>
    <n v="317100"/>
    <n v="158550"/>
    <n v="63420"/>
  </r>
  <r>
    <n v="8"/>
    <d v="2000-08-01T00:00:00"/>
    <x v="7"/>
    <x v="0"/>
    <n v="244"/>
    <n v="1"/>
    <d v="1999-12-01T00:00:00"/>
    <n v="599000"/>
    <n v="0.47499999999999998"/>
    <n v="4.5250000000000004"/>
    <n v="0.95"/>
    <m/>
    <m/>
    <n v="0.05"/>
    <m/>
    <m/>
    <m/>
    <m/>
    <n v="2710475"/>
    <n v="569050"/>
    <n v="29950"/>
    <n v="11980"/>
  </r>
  <r>
    <n v="8"/>
    <d v="2000-09-01T00:00:00"/>
    <x v="8"/>
    <x v="0"/>
    <m/>
    <m/>
    <m/>
    <m/>
    <m/>
    <m/>
    <m/>
    <m/>
    <m/>
    <m/>
    <m/>
    <m/>
    <m/>
    <s v="transferred to farm #11"/>
    <m/>
    <m/>
    <m/>
    <m/>
  </r>
  <r>
    <n v="8"/>
    <d v="2000-10-01T00:00:00"/>
    <x v="9"/>
    <x v="0"/>
    <n v="0"/>
    <n v="1"/>
    <d v="2000-10-01T00:00:00"/>
    <n v="219336"/>
    <m/>
    <m/>
    <m/>
    <m/>
    <m/>
    <m/>
    <m/>
    <m/>
    <m/>
    <m/>
    <m/>
    <m/>
    <m/>
    <m/>
  </r>
  <r>
    <n v="8"/>
    <d v="2000-11-01T00:00:00"/>
    <x v="10"/>
    <x v="0"/>
    <n v="31"/>
    <n v="1"/>
    <d v="2000-10-01T00:00:00"/>
    <n v="546482"/>
    <m/>
    <m/>
    <m/>
    <m/>
    <m/>
    <m/>
    <m/>
    <m/>
    <m/>
    <m/>
    <m/>
    <m/>
    <m/>
    <m/>
  </r>
  <r>
    <n v="8"/>
    <d v="2000-12-01T00:00:00"/>
    <x v="11"/>
    <x v="0"/>
    <n v="61"/>
    <n v="1"/>
    <d v="2000-10-01T00:00:00"/>
    <n v="1074725"/>
    <m/>
    <m/>
    <m/>
    <m/>
    <m/>
    <m/>
    <m/>
    <m/>
    <m/>
    <s v="smolt entry"/>
    <m/>
    <m/>
    <m/>
    <m/>
  </r>
  <r>
    <n v="8"/>
    <d v="2001-01-01T00:00:00"/>
    <x v="0"/>
    <x v="1"/>
    <n v="92"/>
    <n v="1"/>
    <d v="2000-10-01T00:00:00"/>
    <n v="1065999"/>
    <m/>
    <n v="6.13"/>
    <n v="0.05"/>
    <m/>
    <m/>
    <m/>
    <m/>
    <m/>
    <m/>
    <m/>
    <n v="6534573.8700000001"/>
    <n v="53299.950000000004"/>
    <m/>
    <m/>
  </r>
  <r>
    <n v="8"/>
    <d v="2001-02-01T00:00:00"/>
    <x v="1"/>
    <x v="1"/>
    <n v="123"/>
    <n v="1"/>
    <d v="2000-10-01T00:00:00"/>
    <n v="1065999"/>
    <m/>
    <n v="2.5299999999999998"/>
    <n v="0.18"/>
    <n v="0"/>
    <m/>
    <m/>
    <m/>
    <m/>
    <m/>
    <m/>
    <n v="2696977.4699999997"/>
    <n v="191879.82"/>
    <m/>
    <m/>
  </r>
  <r>
    <n v="8"/>
    <d v="2001-03-01T00:00:00"/>
    <x v="2"/>
    <x v="1"/>
    <n v="151"/>
    <n v="1"/>
    <d v="2000-10-01T00:00:00"/>
    <n v="1065999"/>
    <m/>
    <n v="6.11"/>
    <n v="1.07"/>
    <n v="2"/>
    <m/>
    <m/>
    <n v="1"/>
    <m/>
    <m/>
    <m/>
    <n v="6513253.8900000006"/>
    <n v="1140618.9300000002"/>
    <m/>
    <m/>
  </r>
  <r>
    <n v="8"/>
    <d v="2001-04-01T00:00:00"/>
    <x v="3"/>
    <x v="1"/>
    <n v="182"/>
    <n v="1"/>
    <d v="2000-10-01T00:00:00"/>
    <n v="1065999"/>
    <m/>
    <n v="2.0699999999999998"/>
    <n v="0.24"/>
    <m/>
    <m/>
    <m/>
    <m/>
    <m/>
    <m/>
    <m/>
    <n v="2206617.9299999997"/>
    <n v="255839.75999999998"/>
    <m/>
    <m/>
  </r>
  <r>
    <n v="8"/>
    <d v="2001-05-01T00:00:00"/>
    <x v="4"/>
    <x v="1"/>
    <n v="212"/>
    <n v="1"/>
    <d v="2000-10-01T00:00:00"/>
    <n v="1065999"/>
    <m/>
    <n v="1.0599999999999998"/>
    <n v="0.12"/>
    <m/>
    <n v="1"/>
    <m/>
    <m/>
    <m/>
    <m/>
    <m/>
    <n v="1129958.9399999997"/>
    <n v="127919.87999999999"/>
    <m/>
    <m/>
  </r>
  <r>
    <n v="8"/>
    <d v="2001-06-01T00:00:00"/>
    <x v="5"/>
    <x v="1"/>
    <n v="243"/>
    <n v="1"/>
    <d v="2000-10-01T00:00:00"/>
    <n v="1065999"/>
    <m/>
    <n v="0.05"/>
    <n v="0"/>
    <m/>
    <m/>
    <m/>
    <m/>
    <m/>
    <m/>
    <m/>
    <n v="53299.950000000004"/>
    <n v="0"/>
    <m/>
    <m/>
  </r>
  <r>
    <n v="8"/>
    <d v="2001-07-01T00:00:00"/>
    <x v="6"/>
    <x v="1"/>
    <m/>
    <m/>
    <m/>
    <m/>
    <m/>
    <m/>
    <m/>
    <m/>
    <m/>
    <m/>
    <m/>
    <m/>
    <m/>
    <s v="transferred to farm #3 and farm #4"/>
    <m/>
    <m/>
    <m/>
    <m/>
  </r>
  <r>
    <n v="8"/>
    <d v="2001-08-01T00:00:00"/>
    <x v="7"/>
    <x v="1"/>
    <m/>
    <m/>
    <m/>
    <m/>
    <m/>
    <m/>
    <m/>
    <m/>
    <m/>
    <m/>
    <m/>
    <m/>
    <m/>
    <m/>
    <m/>
    <m/>
    <m/>
    <m/>
  </r>
  <r>
    <n v="8"/>
    <d v="2001-09-01T00:00:00"/>
    <x v="8"/>
    <x v="1"/>
    <m/>
    <m/>
    <m/>
    <m/>
    <m/>
    <m/>
    <m/>
    <m/>
    <m/>
    <m/>
    <m/>
    <m/>
    <m/>
    <m/>
    <m/>
    <m/>
    <m/>
    <m/>
  </r>
  <r>
    <n v="8"/>
    <d v="2001-10-01T00:00:00"/>
    <x v="9"/>
    <x v="1"/>
    <n v="0"/>
    <n v="1"/>
    <d v="2001-10-01T00:00:00"/>
    <n v="135600"/>
    <m/>
    <m/>
    <m/>
    <m/>
    <m/>
    <m/>
    <m/>
    <n v="8.8000000000000007"/>
    <n v="30.2"/>
    <s v="smolt entered"/>
    <m/>
    <m/>
    <m/>
    <m/>
  </r>
  <r>
    <n v="8"/>
    <d v="2001-11-01T00:00:00"/>
    <x v="10"/>
    <x v="1"/>
    <n v="31"/>
    <n v="1"/>
    <d v="2001-10-01T00:00:00"/>
    <n v="1066953"/>
    <m/>
    <m/>
    <m/>
    <m/>
    <m/>
    <m/>
    <m/>
    <n v="8.5"/>
    <n v="30.6"/>
    <m/>
    <m/>
    <m/>
    <m/>
    <m/>
  </r>
  <r>
    <n v="8"/>
    <d v="2001-12-01T00:00:00"/>
    <x v="11"/>
    <x v="1"/>
    <n v="61"/>
    <n v="1"/>
    <d v="2001-10-01T00:00:00"/>
    <n v="1522718"/>
    <m/>
    <m/>
    <m/>
    <m/>
    <m/>
    <m/>
    <m/>
    <n v="7.8"/>
    <n v="31.2"/>
    <m/>
    <m/>
    <m/>
    <m/>
    <m/>
  </r>
  <r>
    <n v="8"/>
    <d v="2002-01-01T00:00:00"/>
    <x v="0"/>
    <x v="2"/>
    <n v="92"/>
    <n v="1"/>
    <d v="2001-10-01T00:00:00"/>
    <n v="1608232"/>
    <m/>
    <m/>
    <m/>
    <m/>
    <m/>
    <m/>
    <m/>
    <n v="7.7"/>
    <n v="30.7"/>
    <s v="IHNV Dx"/>
    <m/>
    <m/>
    <m/>
    <m/>
  </r>
  <r>
    <n v="8"/>
    <d v="2002-02-01T00:00:00"/>
    <x v="1"/>
    <x v="2"/>
    <n v="123"/>
    <n v="1"/>
    <d v="2001-10-01T00:00:00"/>
    <n v="1600000"/>
    <m/>
    <m/>
    <m/>
    <m/>
    <m/>
    <m/>
    <m/>
    <n v="7.3"/>
    <n v="30.5"/>
    <s v="Culled (because of IHNV diagnosis)"/>
    <m/>
    <m/>
    <m/>
    <m/>
  </r>
  <r>
    <n v="8"/>
    <d v="2002-03-01T00:00:00"/>
    <x v="2"/>
    <x v="2"/>
    <m/>
    <m/>
    <m/>
    <m/>
    <m/>
    <m/>
    <m/>
    <m/>
    <m/>
    <m/>
    <m/>
    <m/>
    <m/>
    <s v="Empty (no fish)"/>
    <m/>
    <m/>
    <m/>
    <m/>
  </r>
  <r>
    <n v="8"/>
    <d v="2002-04-01T00:00:00"/>
    <x v="3"/>
    <x v="2"/>
    <m/>
    <m/>
    <m/>
    <m/>
    <m/>
    <m/>
    <m/>
    <m/>
    <m/>
    <m/>
    <m/>
    <m/>
    <m/>
    <m/>
    <m/>
    <m/>
    <m/>
    <m/>
  </r>
  <r>
    <n v="8"/>
    <d v="2002-05-01T00:00:00"/>
    <x v="4"/>
    <x v="2"/>
    <m/>
    <m/>
    <m/>
    <m/>
    <m/>
    <m/>
    <m/>
    <m/>
    <m/>
    <m/>
    <m/>
    <m/>
    <m/>
    <m/>
    <m/>
    <m/>
    <m/>
    <m/>
  </r>
  <r>
    <n v="8"/>
    <d v="2002-06-01T00:00:00"/>
    <x v="5"/>
    <x v="2"/>
    <m/>
    <m/>
    <m/>
    <m/>
    <m/>
    <m/>
    <m/>
    <m/>
    <m/>
    <m/>
    <m/>
    <m/>
    <m/>
    <m/>
    <m/>
    <m/>
    <m/>
    <m/>
  </r>
  <r>
    <n v="8"/>
    <d v="2002-07-01T00:00:00"/>
    <x v="6"/>
    <x v="2"/>
    <m/>
    <m/>
    <m/>
    <m/>
    <m/>
    <m/>
    <m/>
    <m/>
    <m/>
    <m/>
    <m/>
    <m/>
    <m/>
    <m/>
    <m/>
    <m/>
    <m/>
    <m/>
  </r>
  <r>
    <n v="8"/>
    <d v="2002-08-01T00:00:00"/>
    <x v="7"/>
    <x v="2"/>
    <m/>
    <m/>
    <m/>
    <m/>
    <m/>
    <m/>
    <m/>
    <m/>
    <m/>
    <m/>
    <m/>
    <m/>
    <m/>
    <m/>
    <m/>
    <m/>
    <m/>
    <m/>
  </r>
  <r>
    <n v="8"/>
    <d v="2002-09-01T00:00:00"/>
    <x v="8"/>
    <x v="2"/>
    <m/>
    <m/>
    <m/>
    <m/>
    <m/>
    <m/>
    <m/>
    <m/>
    <m/>
    <m/>
    <m/>
    <m/>
    <m/>
    <m/>
    <m/>
    <m/>
    <m/>
    <m/>
  </r>
  <r>
    <n v="8"/>
    <d v="2002-10-01T00:00:00"/>
    <x v="9"/>
    <x v="2"/>
    <m/>
    <m/>
    <m/>
    <m/>
    <m/>
    <m/>
    <m/>
    <m/>
    <m/>
    <m/>
    <m/>
    <m/>
    <m/>
    <m/>
    <m/>
    <m/>
    <m/>
    <m/>
  </r>
  <r>
    <n v="8"/>
    <d v="2002-11-01T00:00:00"/>
    <x v="10"/>
    <x v="2"/>
    <m/>
    <m/>
    <m/>
    <m/>
    <m/>
    <m/>
    <m/>
    <m/>
    <m/>
    <m/>
    <m/>
    <m/>
    <m/>
    <m/>
    <m/>
    <m/>
    <m/>
    <m/>
  </r>
  <r>
    <n v="8"/>
    <d v="2002-12-01T00:00:00"/>
    <x v="11"/>
    <x v="2"/>
    <m/>
    <m/>
    <m/>
    <m/>
    <m/>
    <m/>
    <m/>
    <m/>
    <m/>
    <m/>
    <m/>
    <m/>
    <m/>
    <m/>
    <m/>
    <m/>
    <m/>
    <m/>
  </r>
  <r>
    <n v="8"/>
    <d v="2003-01-01T00:00:00"/>
    <x v="0"/>
    <x v="3"/>
    <m/>
    <m/>
    <m/>
    <m/>
    <m/>
    <m/>
    <m/>
    <m/>
    <m/>
    <m/>
    <m/>
    <m/>
    <m/>
    <m/>
    <m/>
    <m/>
    <m/>
    <m/>
  </r>
  <r>
    <n v="8"/>
    <d v="2003-02-01T00:00:00"/>
    <x v="1"/>
    <x v="3"/>
    <n v="29"/>
    <n v="1"/>
    <d v="2003-01-03T00:00:00"/>
    <n v="298594"/>
    <m/>
    <m/>
    <n v="0"/>
    <m/>
    <s v="s"/>
    <n v="0"/>
    <m/>
    <m/>
    <m/>
    <m/>
    <m/>
    <n v="0"/>
    <n v="0"/>
    <n v="0"/>
  </r>
  <r>
    <n v="8"/>
    <d v="2003-03-01T00:00:00"/>
    <x v="2"/>
    <x v="3"/>
    <n v="57"/>
    <n v="1"/>
    <d v="2003-01-03T00:00:00"/>
    <n v="633549"/>
    <n v="0.03"/>
    <n v="0.37"/>
    <n v="0"/>
    <m/>
    <m/>
    <n v="0.1"/>
    <m/>
    <n v="7.68"/>
    <n v="29.29"/>
    <m/>
    <n v="234413.13"/>
    <n v="0"/>
    <n v="63354.9"/>
    <n v="25341.960000000003"/>
  </r>
  <r>
    <n v="8"/>
    <d v="2003-04-01T00:00:00"/>
    <x v="3"/>
    <x v="3"/>
    <n v="88"/>
    <n v="1"/>
    <d v="2003-01-03T00:00:00"/>
    <n v="695091"/>
    <m/>
    <n v="0.59000000000000008"/>
    <n v="5.0000000000000001E-3"/>
    <m/>
    <n v="1"/>
    <n v="0.62"/>
    <m/>
    <n v="8.7100000000000009"/>
    <n v="27.55"/>
    <m/>
    <n v="410103.69000000006"/>
    <n v="3475.4549999999999"/>
    <n v="430956.42"/>
    <n v="172382.568"/>
  </r>
  <r>
    <n v="8"/>
    <d v="2003-05-01T00:00:00"/>
    <x v="4"/>
    <x v="3"/>
    <n v="118"/>
    <n v="1"/>
    <d v="2003-01-03T00:00:00"/>
    <n v="690468"/>
    <n v="0.97"/>
    <n v="0.81"/>
    <n v="0.01"/>
    <m/>
    <m/>
    <n v="1.1399999999999999"/>
    <m/>
    <n v="10.15"/>
    <n v="27.86"/>
    <m/>
    <n v="559279.08000000007"/>
    <n v="6904.68"/>
    <n v="787133.5199999999"/>
    <n v="314853.408"/>
  </r>
  <r>
    <n v="8"/>
    <d v="2003-06-01T00:00:00"/>
    <x v="5"/>
    <x v="3"/>
    <n v="149"/>
    <n v="1"/>
    <d v="2003-01-03T00:00:00"/>
    <n v="681613"/>
    <n v="0.23"/>
    <n v="0.68"/>
    <n v="0.05"/>
    <n v="0"/>
    <m/>
    <n v="0.15"/>
    <m/>
    <n v="12.46"/>
    <n v="22.86"/>
    <m/>
    <n v="463496.84"/>
    <n v="34080.65"/>
    <n v="102241.95"/>
    <n v="40896.78"/>
  </r>
  <r>
    <n v="8"/>
    <d v="2003-07-01T00:00:00"/>
    <x v="6"/>
    <x v="3"/>
    <n v="179"/>
    <n v="1"/>
    <d v="2003-01-03T00:00:00"/>
    <n v="671924"/>
    <n v="0.03"/>
    <n v="0.37"/>
    <n v="0.02"/>
    <n v="0"/>
    <m/>
    <n v="0.1"/>
    <m/>
    <n v="12.92"/>
    <n v="21.75"/>
    <m/>
    <n v="248611.88"/>
    <n v="13438.48"/>
    <n v="67192.400000000009"/>
    <n v="26876.960000000006"/>
  </r>
  <r>
    <n v="8"/>
    <d v="2003-08-01T00:00:00"/>
    <x v="7"/>
    <x v="3"/>
    <n v="210"/>
    <n v="1"/>
    <d v="2003-01-03T00:00:00"/>
    <n v="670560"/>
    <n v="0.05"/>
    <n v="0.28000000000000003"/>
    <n v="0.02"/>
    <n v="0"/>
    <m/>
    <n v="0.12"/>
    <m/>
    <n v="12.29"/>
    <n v="23.13"/>
    <m/>
    <n v="187756.80000000002"/>
    <n v="13411.2"/>
    <n v="80467.199999999997"/>
    <n v="32186.880000000001"/>
  </r>
  <r>
    <n v="8"/>
    <d v="2003-09-01T00:00:00"/>
    <x v="8"/>
    <x v="3"/>
    <n v="241"/>
    <n v="1"/>
    <d v="2003-01-03T00:00:00"/>
    <n v="670560"/>
    <n v="0.3"/>
    <n v="0.56999999999999995"/>
    <n v="0"/>
    <m/>
    <m/>
    <n v="0.22"/>
    <m/>
    <n v="11.99"/>
    <n v="20.93"/>
    <s v="moved to farm #11"/>
    <n v="382219.19999999995"/>
    <n v="0"/>
    <n v="147523.20000000001"/>
    <n v="59009.280000000006"/>
  </r>
  <r>
    <n v="8"/>
    <d v="2003-10-01T00:00:00"/>
    <x v="9"/>
    <x v="3"/>
    <m/>
    <m/>
    <m/>
    <m/>
    <m/>
    <m/>
    <m/>
    <m/>
    <m/>
    <m/>
    <m/>
    <m/>
    <m/>
    <m/>
    <m/>
    <m/>
    <m/>
    <m/>
  </r>
  <r>
    <n v="8"/>
    <d v="2003-11-01T00:00:00"/>
    <x v="10"/>
    <x v="3"/>
    <n v="31"/>
    <n v="1"/>
    <d v="2003-10-01T00:00:00"/>
    <n v="620000"/>
    <n v="0.25"/>
    <n v="0.2"/>
    <n v="0"/>
    <m/>
    <m/>
    <n v="0.52"/>
    <m/>
    <n v="8.8000000000000007"/>
    <n v="26"/>
    <m/>
    <n v="124000"/>
    <n v="0"/>
    <n v="322400"/>
    <n v="128960"/>
  </r>
  <r>
    <n v="8"/>
    <d v="2003-12-01T00:00:00"/>
    <x v="11"/>
    <x v="3"/>
    <n v="61"/>
    <n v="1"/>
    <d v="2003-10-01T00:00:00"/>
    <n v="620000"/>
    <n v="0.82"/>
    <n v="0.65"/>
    <n v="0"/>
    <n v="0"/>
    <m/>
    <n v="0.27"/>
    <m/>
    <n v="7.5"/>
    <n v="31"/>
    <m/>
    <n v="403000"/>
    <n v="0"/>
    <n v="167400"/>
    <n v="66960"/>
  </r>
  <r>
    <n v="8"/>
    <d v="2004-01-01T00:00:00"/>
    <x v="0"/>
    <x v="4"/>
    <n v="92"/>
    <n v="1"/>
    <d v="2003-10-01T00:00:00"/>
    <n v="620000"/>
    <n v="0.4"/>
    <n v="0.17"/>
    <n v="0"/>
    <n v="0"/>
    <m/>
    <n v="0.12"/>
    <m/>
    <n v="7.17"/>
    <n v="28.77"/>
    <m/>
    <n v="105400.00000000001"/>
    <n v="0"/>
    <n v="74400"/>
    <n v="29760"/>
  </r>
  <r>
    <n v="8"/>
    <d v="2004-02-01T00:00:00"/>
    <x v="1"/>
    <x v="4"/>
    <n v="123"/>
    <n v="1"/>
    <d v="2003-10-01T00:00:00"/>
    <n v="620000"/>
    <n v="0.4"/>
    <n v="1.1000000000000001"/>
    <n v="0.2"/>
    <n v="0"/>
    <m/>
    <n v="0.1"/>
    <m/>
    <n v="7.28"/>
    <n v="31.9"/>
    <m/>
    <n v="682000"/>
    <n v="124000"/>
    <n v="62000"/>
    <n v="24800"/>
  </r>
  <r>
    <n v="8"/>
    <d v="2004-03-01T00:00:00"/>
    <x v="2"/>
    <x v="4"/>
    <n v="152"/>
    <n v="1"/>
    <d v="2003-10-01T00:00:00"/>
    <n v="617125"/>
    <n v="0.5"/>
    <n v="0.9"/>
    <n v="0.3"/>
    <n v="1"/>
    <m/>
    <n v="0.2"/>
    <m/>
    <n v="7.76"/>
    <n v="29.32"/>
    <m/>
    <n v="555412.5"/>
    <n v="185137.5"/>
    <n v="123425"/>
    <n v="49370"/>
  </r>
  <r>
    <n v="8"/>
    <d v="2004-04-01T00:00:00"/>
    <x v="3"/>
    <x v="4"/>
    <n v="183"/>
    <n v="1"/>
    <d v="2003-10-01T00:00:00"/>
    <n v="615479"/>
    <n v="2.2000000000000002"/>
    <n v="1.97"/>
    <n v="0.04"/>
    <n v="1"/>
    <m/>
    <n v="0.57999999999999996"/>
    <m/>
    <n v="9.3000000000000007"/>
    <n v="28.5"/>
    <m/>
    <n v="1212493.6299999999"/>
    <n v="24619.16"/>
    <n v="356977.81999999995"/>
    <n v="142791.128"/>
  </r>
  <r>
    <n v="8"/>
    <d v="2004-05-01T00:00:00"/>
    <x v="4"/>
    <x v="4"/>
    <n v="213"/>
    <n v="1"/>
    <d v="2003-10-01T00:00:00"/>
    <n v="613093"/>
    <n v="0.4"/>
    <n v="3.8"/>
    <n v="1.35"/>
    <n v="0"/>
    <m/>
    <n v="0.45"/>
    <m/>
    <n v="10.84"/>
    <n v="24.93"/>
    <m/>
    <n v="2329753.4"/>
    <n v="827675.55"/>
    <n v="275891.85000000003"/>
    <n v="110356.74000000002"/>
  </r>
  <r>
    <n v="8"/>
    <d v="2004-06-01T00:00:00"/>
    <x v="5"/>
    <x v="4"/>
    <n v="244"/>
    <n v="1"/>
    <d v="2003-10-01T00:00:00"/>
    <n v="612745"/>
    <n v="0.3"/>
    <n v="4.0999999999999996"/>
    <n v="1.3"/>
    <n v="0"/>
    <m/>
    <n v="0.1"/>
    <m/>
    <n v="11.34"/>
    <n v="23.11"/>
    <m/>
    <n v="2512254.5"/>
    <n v="796568.5"/>
    <n v="61274.5"/>
    <n v="24509.800000000003"/>
  </r>
  <r>
    <n v="8"/>
    <d v="2004-07-01T00:00:00"/>
    <x v="6"/>
    <x v="4"/>
    <n v="274"/>
    <n v="1"/>
    <d v="2003-10-01T00:00:00"/>
    <n v="611960"/>
    <n v="0"/>
    <n v="4.8"/>
    <n v="1"/>
    <m/>
    <m/>
    <n v="0.2"/>
    <m/>
    <n v="12.86"/>
    <n v="20.13"/>
    <s v="moved to farm #6?"/>
    <n v="2937408"/>
    <n v="611960"/>
    <n v="122392"/>
    <n v="48956.800000000003"/>
  </r>
  <r>
    <n v="8"/>
    <d v="2004-08-01T00:00:00"/>
    <x v="7"/>
    <x v="4"/>
    <m/>
    <m/>
    <m/>
    <m/>
    <m/>
    <m/>
    <m/>
    <m/>
    <m/>
    <m/>
    <m/>
    <m/>
    <m/>
    <m/>
    <m/>
    <m/>
    <m/>
    <m/>
  </r>
  <r>
    <n v="8"/>
    <d v="2004-09-01T00:00:00"/>
    <x v="8"/>
    <x v="4"/>
    <m/>
    <m/>
    <m/>
    <m/>
    <m/>
    <m/>
    <m/>
    <m/>
    <m/>
    <m/>
    <m/>
    <m/>
    <m/>
    <m/>
    <m/>
    <m/>
    <m/>
    <m/>
  </r>
  <r>
    <n v="8"/>
    <d v="2004-10-01T00:00:00"/>
    <x v="9"/>
    <x v="4"/>
    <m/>
    <m/>
    <m/>
    <m/>
    <m/>
    <m/>
    <m/>
    <m/>
    <m/>
    <m/>
    <m/>
    <m/>
    <m/>
    <m/>
    <m/>
    <m/>
    <m/>
    <m/>
  </r>
  <r>
    <n v="8"/>
    <d v="2004-11-01T00:00:00"/>
    <x v="10"/>
    <x v="4"/>
    <n v="0"/>
    <n v="1"/>
    <d v="2004-11-01T00:00:00"/>
    <n v="750000"/>
    <m/>
    <m/>
    <n v="0"/>
    <m/>
    <s v="s"/>
    <n v="0"/>
    <m/>
    <m/>
    <m/>
    <m/>
    <m/>
    <n v="0"/>
    <n v="0"/>
    <n v="0"/>
  </r>
  <r>
    <n v="8"/>
    <d v="2004-12-01T00:00:00"/>
    <x v="11"/>
    <x v="4"/>
    <n v="30"/>
    <n v="1"/>
    <d v="2004-11-01T00:00:00"/>
    <n v="750000"/>
    <m/>
    <m/>
    <n v="0.09"/>
    <m/>
    <s v="s"/>
    <n v="1"/>
    <m/>
    <m/>
    <m/>
    <m/>
    <m/>
    <n v="67500"/>
    <n v="750000"/>
    <n v="300000"/>
  </r>
  <r>
    <n v="8"/>
    <d v="2005-01-01T00:00:00"/>
    <x v="0"/>
    <x v="5"/>
    <n v="61"/>
    <n v="1"/>
    <d v="2004-11-01T00:00:00"/>
    <n v="750000"/>
    <n v="0.38"/>
    <n v="0.87"/>
    <n v="0.18"/>
    <m/>
    <m/>
    <n v="1.65"/>
    <m/>
    <n v="7"/>
    <n v="29"/>
    <m/>
    <n v="652500"/>
    <n v="135000"/>
    <n v="1237500"/>
    <n v="495000"/>
  </r>
  <r>
    <n v="8"/>
    <d v="2005-02-01T00:00:00"/>
    <x v="1"/>
    <x v="5"/>
    <n v="92"/>
    <n v="1"/>
    <d v="2004-11-01T00:00:00"/>
    <n v="750000"/>
    <n v="0.62"/>
    <n v="2.87"/>
    <n v="0.98"/>
    <n v="1"/>
    <m/>
    <n v="1.7"/>
    <m/>
    <n v="7"/>
    <n v="27"/>
    <m/>
    <n v="2152500"/>
    <n v="735000"/>
    <n v="1275000"/>
    <n v="510000"/>
  </r>
  <r>
    <n v="8"/>
    <d v="2005-03-01T00:00:00"/>
    <x v="2"/>
    <x v="5"/>
    <n v="120"/>
    <n v="1"/>
    <d v="2004-11-01T00:00:00"/>
    <n v="749706"/>
    <n v="2.88"/>
    <n v="2.15"/>
    <n v="0.76"/>
    <n v="1"/>
    <m/>
    <n v="1.18"/>
    <m/>
    <n v="8"/>
    <n v="28"/>
    <m/>
    <n v="1611867.9"/>
    <n v="569776.56000000006"/>
    <n v="884653.08"/>
    <n v="353861.23200000002"/>
  </r>
  <r>
    <n v="8"/>
    <d v="2005-04-01T00:00:00"/>
    <x v="3"/>
    <x v="5"/>
    <n v="151"/>
    <n v="1"/>
    <d v="2004-11-01T00:00:00"/>
    <n v="740554"/>
    <n v="1.48"/>
    <n v="2.86"/>
    <n v="1.03"/>
    <n v="0"/>
    <m/>
    <n v="1.59"/>
    <m/>
    <n v="8"/>
    <n v="29"/>
    <m/>
    <n v="2117984.44"/>
    <n v="762770.62"/>
    <n v="1177480.8600000001"/>
    <n v="470992.34400000004"/>
  </r>
  <r>
    <n v="8"/>
    <d v="2005-05-01T00:00:00"/>
    <x v="4"/>
    <x v="5"/>
    <n v="181"/>
    <n v="1"/>
    <d v="2004-11-01T00:00:00"/>
    <n v="729301"/>
    <n v="0.88"/>
    <n v="2.1800000000000002"/>
    <n v="1.1200000000000001"/>
    <n v="0"/>
    <m/>
    <n v="0.56000000000000005"/>
    <n v="1"/>
    <n v="10"/>
    <n v="26"/>
    <m/>
    <n v="1589876.1800000002"/>
    <n v="816817.12000000011"/>
    <n v="408408.56000000006"/>
    <n v="163363.42400000003"/>
  </r>
  <r>
    <n v="8"/>
    <d v="2005-06-01T00:00:00"/>
    <x v="5"/>
    <x v="5"/>
    <n v="212"/>
    <n v="1"/>
    <d v="2004-11-01T00:00:00"/>
    <n v="720000"/>
    <n v="0.08"/>
    <n v="0.27"/>
    <n v="0.1"/>
    <m/>
    <m/>
    <n v="7.0000000000000007E-2"/>
    <m/>
    <n v="11"/>
    <n v="23"/>
    <s v="moved to farm #11"/>
    <n v="194400"/>
    <n v="72000"/>
    <n v="50400.000000000007"/>
    <n v="20160.000000000004"/>
  </r>
  <r>
    <n v="8"/>
    <d v="2005-07-01T00:00:00"/>
    <x v="6"/>
    <x v="5"/>
    <m/>
    <m/>
    <m/>
    <m/>
    <m/>
    <m/>
    <m/>
    <m/>
    <m/>
    <m/>
    <m/>
    <m/>
    <m/>
    <m/>
    <m/>
    <m/>
    <m/>
    <m/>
  </r>
  <r>
    <n v="8"/>
    <d v="2005-08-01T00:00:00"/>
    <x v="7"/>
    <x v="5"/>
    <m/>
    <m/>
    <m/>
    <m/>
    <m/>
    <m/>
    <m/>
    <m/>
    <m/>
    <m/>
    <m/>
    <m/>
    <m/>
    <m/>
    <m/>
    <m/>
    <m/>
    <m/>
  </r>
  <r>
    <n v="8"/>
    <d v="2005-09-01T00:00:00"/>
    <x v="8"/>
    <x v="5"/>
    <m/>
    <m/>
    <m/>
    <m/>
    <m/>
    <m/>
    <m/>
    <m/>
    <m/>
    <m/>
    <m/>
    <m/>
    <m/>
    <m/>
    <m/>
    <m/>
    <m/>
    <m/>
  </r>
  <r>
    <n v="8"/>
    <d v="2005-10-01T00:00:00"/>
    <x v="9"/>
    <x v="5"/>
    <m/>
    <m/>
    <m/>
    <m/>
    <m/>
    <m/>
    <m/>
    <m/>
    <m/>
    <m/>
    <m/>
    <m/>
    <m/>
    <m/>
    <m/>
    <m/>
    <m/>
    <m/>
  </r>
  <r>
    <n v="8"/>
    <d v="2005-11-01T00:00:00"/>
    <x v="10"/>
    <x v="5"/>
    <m/>
    <m/>
    <m/>
    <m/>
    <m/>
    <m/>
    <m/>
    <m/>
    <m/>
    <m/>
    <m/>
    <m/>
    <m/>
    <m/>
    <m/>
    <m/>
    <m/>
    <m/>
  </r>
  <r>
    <n v="8"/>
    <d v="2005-12-01T00:00:00"/>
    <x v="11"/>
    <x v="5"/>
    <n v="61"/>
    <n v="1"/>
    <d v="2005-10-01T00:00:00"/>
    <n v="740000"/>
    <n v="0.1"/>
    <n v="0.08"/>
    <n v="0.03"/>
    <m/>
    <m/>
    <n v="0"/>
    <m/>
    <n v="8"/>
    <n v="28"/>
    <m/>
    <n v="59200"/>
    <n v="22200"/>
    <n v="0"/>
    <n v="0"/>
  </r>
  <r>
    <n v="8"/>
    <d v="2006-01-01T00:00:00"/>
    <x v="0"/>
    <x v="6"/>
    <n v="92"/>
    <n v="1"/>
    <d v="2005-10-01T00:00:00"/>
    <n v="740000"/>
    <n v="1.48"/>
    <n v="0.72"/>
    <n v="0.13"/>
    <n v="0"/>
    <m/>
    <n v="1.5"/>
    <m/>
    <n v="7"/>
    <n v="27"/>
    <m/>
    <n v="532800"/>
    <n v="96200"/>
    <n v="1110000"/>
    <n v="444000"/>
  </r>
  <r>
    <n v="8"/>
    <d v="2006-02-01T00:00:00"/>
    <x v="1"/>
    <x v="6"/>
    <n v="123"/>
    <n v="1"/>
    <d v="2005-10-01T00:00:00"/>
    <n v="740000"/>
    <n v="0.3"/>
    <n v="1.97"/>
    <n v="0.28000000000000003"/>
    <n v="0"/>
    <m/>
    <n v="0.17"/>
    <m/>
    <n v="7"/>
    <n v="27"/>
    <m/>
    <n v="1457800"/>
    <n v="207200.00000000003"/>
    <n v="125800.00000000001"/>
    <n v="50320.000000000007"/>
  </r>
  <r>
    <n v="8"/>
    <d v="2006-03-01T00:00:00"/>
    <x v="2"/>
    <x v="6"/>
    <n v="151"/>
    <n v="1"/>
    <d v="2005-10-01T00:00:00"/>
    <n v="730659"/>
    <n v="0.2"/>
    <n v="2.73"/>
    <n v="0.67"/>
    <n v="2"/>
    <m/>
    <n v="0.68"/>
    <m/>
    <n v="7"/>
    <n v="29"/>
    <m/>
    <n v="1994699.07"/>
    <n v="489541.53"/>
    <n v="496848.12000000005"/>
    <n v="198739.24800000002"/>
  </r>
  <r>
    <n v="8"/>
    <d v="2006-04-01T00:00:00"/>
    <x v="3"/>
    <x v="6"/>
    <n v="182"/>
    <n v="1"/>
    <d v="2005-10-01T00:00:00"/>
    <n v="728391"/>
    <n v="0"/>
    <n v="2.2000000000000002"/>
    <n v="0.6"/>
    <n v="0"/>
    <m/>
    <n v="0.73"/>
    <n v="1"/>
    <n v="9"/>
    <n v="29"/>
    <m/>
    <n v="1602460.2000000002"/>
    <n v="437034.6"/>
    <n v="531725.42999999993"/>
    <n v="212690.17199999999"/>
  </r>
  <r>
    <n v="8"/>
    <d v="2006-05-01T00:00:00"/>
    <x v="4"/>
    <x v="6"/>
    <n v="212"/>
    <n v="1"/>
    <d v="2005-10-01T00:00:00"/>
    <n v="726467"/>
    <n v="0.23"/>
    <n v="1.03"/>
    <n v="0.03"/>
    <m/>
    <m/>
    <n v="0"/>
    <m/>
    <n v="9"/>
    <n v="29"/>
    <m/>
    <n v="748261.01"/>
    <n v="21794.01"/>
    <n v="0"/>
    <n v="0"/>
  </r>
  <r>
    <n v="8"/>
    <d v="2006-06-01T00:00:00"/>
    <x v="5"/>
    <x v="6"/>
    <m/>
    <m/>
    <m/>
    <m/>
    <m/>
    <m/>
    <m/>
    <m/>
    <m/>
    <m/>
    <m/>
    <m/>
    <m/>
    <s v="moved"/>
    <m/>
    <m/>
    <m/>
    <m/>
  </r>
  <r>
    <n v="8"/>
    <d v="2006-07-01T00:00:00"/>
    <x v="6"/>
    <x v="6"/>
    <m/>
    <m/>
    <m/>
    <m/>
    <m/>
    <m/>
    <m/>
    <m/>
    <m/>
    <m/>
    <m/>
    <m/>
    <m/>
    <m/>
    <m/>
    <m/>
    <m/>
    <m/>
  </r>
  <r>
    <n v="8"/>
    <d v="2006-08-01T00:00:00"/>
    <x v="7"/>
    <x v="6"/>
    <m/>
    <m/>
    <m/>
    <m/>
    <m/>
    <m/>
    <m/>
    <m/>
    <m/>
    <m/>
    <m/>
    <m/>
    <m/>
    <m/>
    <m/>
    <m/>
    <m/>
    <m/>
  </r>
  <r>
    <n v="8"/>
    <d v="2006-09-01T00:00:00"/>
    <x v="8"/>
    <x v="6"/>
    <m/>
    <m/>
    <m/>
    <m/>
    <m/>
    <m/>
    <m/>
    <m/>
    <m/>
    <m/>
    <m/>
    <m/>
    <m/>
    <m/>
    <m/>
    <m/>
    <m/>
    <m/>
  </r>
  <r>
    <n v="8"/>
    <d v="2006-10-01T00:00:00"/>
    <x v="9"/>
    <x v="6"/>
    <m/>
    <m/>
    <m/>
    <m/>
    <m/>
    <m/>
    <m/>
    <m/>
    <m/>
    <m/>
    <m/>
    <m/>
    <m/>
    <m/>
    <m/>
    <m/>
    <m/>
    <m/>
  </r>
  <r>
    <n v="8"/>
    <d v="2006-11-01T00:00:00"/>
    <x v="10"/>
    <x v="6"/>
    <m/>
    <m/>
    <m/>
    <m/>
    <m/>
    <m/>
    <m/>
    <m/>
    <m/>
    <m/>
    <m/>
    <m/>
    <m/>
    <m/>
    <m/>
    <m/>
    <m/>
    <m/>
  </r>
  <r>
    <n v="8"/>
    <d v="2006-12-01T00:00:00"/>
    <x v="11"/>
    <x v="6"/>
    <m/>
    <m/>
    <m/>
    <m/>
    <m/>
    <m/>
    <m/>
    <m/>
    <m/>
    <m/>
    <m/>
    <m/>
    <m/>
    <m/>
    <m/>
    <m/>
    <m/>
    <m/>
  </r>
  <r>
    <n v="8"/>
    <d v="2007-01-01T00:00:00"/>
    <x v="0"/>
    <x v="7"/>
    <m/>
    <m/>
    <m/>
    <m/>
    <m/>
    <m/>
    <m/>
    <m/>
    <m/>
    <m/>
    <m/>
    <m/>
    <m/>
    <m/>
    <m/>
    <m/>
    <m/>
    <m/>
  </r>
  <r>
    <n v="8"/>
    <d v="2007-02-01T00:00:00"/>
    <x v="1"/>
    <x v="7"/>
    <m/>
    <m/>
    <m/>
    <m/>
    <m/>
    <m/>
    <m/>
    <m/>
    <m/>
    <m/>
    <m/>
    <m/>
    <m/>
    <m/>
    <m/>
    <m/>
    <m/>
    <m/>
  </r>
  <r>
    <n v="8"/>
    <d v="2007-03-01T00:00:00"/>
    <x v="2"/>
    <x v="7"/>
    <n v="0"/>
    <n v="1"/>
    <d v="2007-03-01T00:00:00"/>
    <n v="257576"/>
    <m/>
    <m/>
    <n v="0"/>
    <m/>
    <s v="s"/>
    <n v="0"/>
    <m/>
    <m/>
    <m/>
    <s v="Smolt entry"/>
    <m/>
    <n v="0"/>
    <n v="0"/>
    <n v="0"/>
  </r>
  <r>
    <n v="8"/>
    <d v="2007-04-01T00:00:00"/>
    <x v="3"/>
    <x v="7"/>
    <n v="31"/>
    <n v="1"/>
    <d v="2007-03-01T00:00:00"/>
    <n v="617360"/>
    <m/>
    <m/>
    <n v="0"/>
    <m/>
    <s v="s"/>
    <n v="0.04"/>
    <m/>
    <m/>
    <m/>
    <m/>
    <m/>
    <n v="0"/>
    <n v="24694.400000000001"/>
    <n v="9877.760000000002"/>
  </r>
  <r>
    <n v="8"/>
    <d v="2007-05-01T00:00:00"/>
    <x v="4"/>
    <x v="7"/>
    <n v="61"/>
    <n v="1"/>
    <d v="2007-03-01T00:00:00"/>
    <n v="1210143"/>
    <m/>
    <m/>
    <n v="0"/>
    <m/>
    <s v="s"/>
    <n v="0.08"/>
    <m/>
    <m/>
    <m/>
    <m/>
    <m/>
    <n v="0"/>
    <n v="96811.44"/>
    <n v="38724.576000000001"/>
  </r>
  <r>
    <n v="8"/>
    <d v="2007-06-01T00:00:00"/>
    <x v="5"/>
    <x v="7"/>
    <n v="92"/>
    <n v="1"/>
    <d v="2007-03-01T00:00:00"/>
    <n v="1199555"/>
    <n v="0.25"/>
    <n v="0"/>
    <n v="0"/>
    <m/>
    <m/>
    <n v="0.13"/>
    <m/>
    <n v="11"/>
    <n v="19"/>
    <m/>
    <n v="0"/>
    <n v="0"/>
    <n v="155942.15"/>
    <n v="62376.86"/>
  </r>
  <r>
    <n v="8"/>
    <d v="2007-07-01T00:00:00"/>
    <x v="6"/>
    <x v="7"/>
    <n v="122"/>
    <n v="1"/>
    <d v="2007-03-01T00:00:00"/>
    <n v="1177887"/>
    <n v="0.02"/>
    <n v="0"/>
    <n v="0"/>
    <n v="0"/>
    <m/>
    <n v="0"/>
    <m/>
    <n v="12"/>
    <n v="17"/>
    <s v="Portion transferred to farm outside Broughton"/>
    <n v="0"/>
    <n v="0"/>
    <n v="0"/>
    <n v="0"/>
  </r>
  <r>
    <n v="8"/>
    <d v="2007-08-01T00:00:00"/>
    <x v="7"/>
    <x v="7"/>
    <n v="153"/>
    <n v="1"/>
    <d v="2007-03-01T00:00:00"/>
    <n v="603902"/>
    <n v="0"/>
    <n v="0"/>
    <n v="0"/>
    <n v="0"/>
    <m/>
    <n v="0"/>
    <m/>
    <n v="12"/>
    <n v="18"/>
    <m/>
    <n v="0"/>
    <n v="0"/>
    <n v="0"/>
    <n v="0"/>
  </r>
  <r>
    <n v="8"/>
    <d v="2007-09-01T00:00:00"/>
    <x v="8"/>
    <x v="7"/>
    <n v="184"/>
    <n v="1"/>
    <d v="2007-03-01T00:00:00"/>
    <n v="603640"/>
    <n v="0.03"/>
    <n v="0.05"/>
    <n v="0.03"/>
    <n v="0"/>
    <m/>
    <n v="0"/>
    <m/>
    <n v="11"/>
    <n v="23"/>
    <m/>
    <n v="30182"/>
    <n v="18109.2"/>
    <n v="0"/>
    <n v="0"/>
  </r>
  <r>
    <n v="8"/>
    <d v="2007-10-01T00:00:00"/>
    <x v="9"/>
    <x v="7"/>
    <n v="214"/>
    <n v="1"/>
    <d v="2007-03-01T00:00:00"/>
    <n v="601917"/>
    <n v="0.02"/>
    <n v="0"/>
    <n v="0"/>
    <m/>
    <m/>
    <n v="0.02"/>
    <m/>
    <n v="9"/>
    <n v="22"/>
    <s v="transferred to farm #6 by end of month"/>
    <n v="0"/>
    <n v="0"/>
    <n v="12038.34"/>
    <n v="4815.3360000000002"/>
  </r>
  <r>
    <n v="8"/>
    <d v="2007-11-01T00:00:00"/>
    <x v="10"/>
    <x v="7"/>
    <m/>
    <m/>
    <m/>
    <m/>
    <m/>
    <m/>
    <m/>
    <m/>
    <m/>
    <m/>
    <m/>
    <m/>
    <m/>
    <m/>
    <m/>
    <m/>
    <m/>
    <m/>
  </r>
  <r>
    <n v="8"/>
    <d v="2007-12-01T00:00:00"/>
    <x v="11"/>
    <x v="7"/>
    <m/>
    <m/>
    <m/>
    <m/>
    <m/>
    <m/>
    <m/>
    <m/>
    <m/>
    <m/>
    <m/>
    <m/>
    <m/>
    <m/>
    <m/>
    <m/>
    <m/>
    <m/>
  </r>
  <r>
    <n v="8"/>
    <d v="2008-01-01T00:00:00"/>
    <x v="0"/>
    <x v="8"/>
    <n v="0"/>
    <n v="1"/>
    <d v="2008-01-01T00:00:00"/>
    <n v="609405"/>
    <n v="0"/>
    <n v="0"/>
    <n v="0"/>
    <m/>
    <m/>
    <n v="0"/>
    <m/>
    <m/>
    <m/>
    <m/>
    <n v="0"/>
    <n v="0"/>
    <n v="0"/>
    <n v="0"/>
  </r>
  <r>
    <n v="8"/>
    <d v="2008-02-01T00:00:00"/>
    <x v="1"/>
    <x v="8"/>
    <n v="31"/>
    <n v="1"/>
    <d v="2008-01-01T00:00:00"/>
    <n v="601667"/>
    <m/>
    <n v="0.04"/>
    <n v="2.5000000000000001E-2"/>
    <m/>
    <n v="1"/>
    <n v="2.5000000000000001E-2"/>
    <m/>
    <m/>
    <m/>
    <m/>
    <n v="24066.68"/>
    <n v="15041.675000000001"/>
    <n v="15041.675000000001"/>
    <n v="6016.670000000001"/>
  </r>
  <r>
    <n v="8"/>
    <d v="2008-03-01T00:00:00"/>
    <x v="2"/>
    <x v="8"/>
    <n v="60"/>
    <n v="1"/>
    <d v="2008-01-01T00:00:00"/>
    <n v="589207"/>
    <n v="0"/>
    <n v="0.08"/>
    <n v="0.05"/>
    <m/>
    <m/>
    <n v="0.05"/>
    <m/>
    <m/>
    <m/>
    <m/>
    <n v="47136.56"/>
    <n v="29460.350000000002"/>
    <n v="29460.350000000002"/>
    <n v="11784.140000000001"/>
  </r>
  <r>
    <n v="8"/>
    <d v="2008-04-01T00:00:00"/>
    <x v="3"/>
    <x v="8"/>
    <n v="91"/>
    <n v="1"/>
    <d v="2008-01-01T00:00:00"/>
    <n v="587574"/>
    <n v="0"/>
    <n v="0.33"/>
    <n v="0.28000000000000003"/>
    <m/>
    <m/>
    <n v="0.43"/>
    <m/>
    <m/>
    <m/>
    <m/>
    <n v="193899.42"/>
    <n v="164520.72"/>
    <n v="252656.82"/>
    <n v="101062.728"/>
  </r>
  <r>
    <n v="8"/>
    <d v="2008-05-01T00:00:00"/>
    <x v="4"/>
    <x v="8"/>
    <m/>
    <m/>
    <m/>
    <m/>
    <m/>
    <m/>
    <m/>
    <m/>
    <m/>
    <m/>
    <m/>
    <m/>
    <m/>
    <s v="moved to farm #1 "/>
    <m/>
    <m/>
    <m/>
    <m/>
  </r>
  <r>
    <n v="8"/>
    <d v="2008-06-01T00:00:00"/>
    <x v="5"/>
    <x v="8"/>
    <m/>
    <m/>
    <m/>
    <m/>
    <m/>
    <m/>
    <m/>
    <m/>
    <m/>
    <m/>
    <m/>
    <m/>
    <m/>
    <m/>
    <m/>
    <m/>
    <m/>
    <m/>
  </r>
  <r>
    <n v="8"/>
    <d v="2008-07-01T00:00:00"/>
    <x v="6"/>
    <x v="8"/>
    <m/>
    <m/>
    <m/>
    <m/>
    <m/>
    <m/>
    <m/>
    <m/>
    <m/>
    <m/>
    <m/>
    <m/>
    <m/>
    <m/>
    <m/>
    <m/>
    <m/>
    <m/>
  </r>
  <r>
    <n v="8"/>
    <d v="2008-08-01T00:00:00"/>
    <x v="7"/>
    <x v="8"/>
    <m/>
    <m/>
    <m/>
    <m/>
    <m/>
    <m/>
    <m/>
    <m/>
    <m/>
    <m/>
    <m/>
    <m/>
    <m/>
    <m/>
    <m/>
    <m/>
    <m/>
    <m/>
  </r>
  <r>
    <n v="8"/>
    <d v="2008-09-01T00:00:00"/>
    <x v="8"/>
    <x v="8"/>
    <m/>
    <m/>
    <m/>
    <m/>
    <m/>
    <m/>
    <m/>
    <m/>
    <m/>
    <m/>
    <m/>
    <m/>
    <m/>
    <m/>
    <m/>
    <m/>
    <m/>
    <m/>
  </r>
  <r>
    <n v="8"/>
    <d v="2008-10-01T00:00:00"/>
    <x v="9"/>
    <x v="8"/>
    <n v="0"/>
    <n v="1"/>
    <d v="2008-10-01T00:00:00"/>
    <n v="145000"/>
    <m/>
    <m/>
    <n v="0"/>
    <m/>
    <s v="s"/>
    <n v="0"/>
    <m/>
    <m/>
    <m/>
    <s v="smolt entry"/>
    <m/>
    <n v="0"/>
    <n v="0"/>
    <n v="0"/>
  </r>
  <r>
    <n v="8"/>
    <d v="2008-11-01T00:00:00"/>
    <x v="10"/>
    <x v="8"/>
    <n v="31"/>
    <n v="1"/>
    <d v="2008-10-01T00:00:00"/>
    <n v="762000"/>
    <n v="0.6"/>
    <n v="0.16666666666666666"/>
    <n v="0"/>
    <m/>
    <m/>
    <n v="0.18333333333333335"/>
    <m/>
    <m/>
    <m/>
    <m/>
    <n v="127000"/>
    <n v="0"/>
    <n v="139700"/>
    <n v="55880"/>
  </r>
  <r>
    <n v="8"/>
    <d v="2008-12-01T00:00:00"/>
    <x v="11"/>
    <x v="8"/>
    <n v="61"/>
    <n v="1"/>
    <d v="2008-10-01T00:00:00"/>
    <n v="750000"/>
    <n v="3.55"/>
    <n v="0.05"/>
    <n v="0"/>
    <n v="0"/>
    <m/>
    <n v="1.25"/>
    <m/>
    <m/>
    <m/>
    <m/>
    <n v="37500"/>
    <n v="0"/>
    <n v="937500"/>
    <n v="375000"/>
  </r>
  <r>
    <n v="8"/>
    <d v="2009-01-01T00:00:00"/>
    <x v="0"/>
    <x v="9"/>
    <n v="92"/>
    <n v="1"/>
    <d v="2008-10-01T00:00:00"/>
    <n v="727702"/>
    <n v="1.23"/>
    <n v="0.12"/>
    <n v="0"/>
    <n v="0"/>
    <m/>
    <n v="0.48"/>
    <m/>
    <m/>
    <m/>
    <m/>
    <n v="87324.239999999991"/>
    <n v="0"/>
    <n v="349296.95999999996"/>
    <n v="139718.78399999999"/>
  </r>
  <r>
    <n v="8"/>
    <d v="2009-02-01T00:00:00"/>
    <x v="1"/>
    <x v="9"/>
    <n v="123"/>
    <n v="1"/>
    <d v="2008-10-01T00:00:00"/>
    <n v="714079"/>
    <n v="0.46666659999999999"/>
    <n v="0.23333329999999999"/>
    <n v="6.6666600000000006E-2"/>
    <n v="0"/>
    <m/>
    <n v="0.4"/>
    <n v="1"/>
    <m/>
    <m/>
    <m/>
    <n v="166618.40953070001"/>
    <n v="47605.219061400006"/>
    <n v="285631.60000000003"/>
    <n v="114252.64000000001"/>
  </r>
  <r>
    <n v="8"/>
    <d v="2009-03-01T00:00:00"/>
    <x v="2"/>
    <x v="9"/>
    <n v="151"/>
    <n v="1"/>
    <d v="2008-10-01T00:00:00"/>
    <n v="695254"/>
    <n v="0.2"/>
    <n v="0.15"/>
    <n v="0.02"/>
    <n v="0"/>
    <m/>
    <n v="0"/>
    <m/>
    <m/>
    <m/>
    <m/>
    <n v="104288.09999999999"/>
    <n v="13905.08"/>
    <n v="0"/>
    <n v="0"/>
  </r>
  <r>
    <n v="8"/>
    <d v="2009-04-01T00:00:00"/>
    <x v="3"/>
    <x v="9"/>
    <n v="182"/>
    <n v="1"/>
    <d v="2008-10-01T00:00:00"/>
    <n v="680355"/>
    <n v="0.02"/>
    <n v="0.03"/>
    <n v="0"/>
    <m/>
    <m/>
    <n v="7.0000000000000007E-2"/>
    <m/>
    <m/>
    <m/>
    <m/>
    <n v="20410.649999999998"/>
    <n v="0"/>
    <n v="47624.850000000006"/>
    <n v="19049.940000000002"/>
  </r>
  <r>
    <n v="8"/>
    <d v="2009-05-01T00:00:00"/>
    <x v="4"/>
    <x v="9"/>
    <m/>
    <m/>
    <m/>
    <m/>
    <m/>
    <m/>
    <m/>
    <m/>
    <m/>
    <m/>
    <m/>
    <m/>
    <m/>
    <s v="moved to farm #11"/>
    <m/>
    <m/>
    <m/>
    <m/>
  </r>
  <r>
    <n v="8"/>
    <d v="2009-06-01T00:00:00"/>
    <x v="5"/>
    <x v="9"/>
    <m/>
    <m/>
    <m/>
    <m/>
    <m/>
    <m/>
    <m/>
    <m/>
    <m/>
    <m/>
    <m/>
    <m/>
    <m/>
    <m/>
    <m/>
    <m/>
    <m/>
    <m/>
  </r>
  <r>
    <n v="8"/>
    <d v="2009-07-01T00:00:00"/>
    <x v="6"/>
    <x v="9"/>
    <m/>
    <m/>
    <m/>
    <m/>
    <m/>
    <m/>
    <m/>
    <m/>
    <m/>
    <m/>
    <m/>
    <m/>
    <m/>
    <m/>
    <m/>
    <m/>
    <m/>
    <m/>
  </r>
  <r>
    <n v="8"/>
    <d v="2009-08-01T00:00:00"/>
    <x v="7"/>
    <x v="9"/>
    <m/>
    <m/>
    <m/>
    <m/>
    <m/>
    <m/>
    <m/>
    <m/>
    <m/>
    <m/>
    <m/>
    <m/>
    <m/>
    <m/>
    <m/>
    <m/>
    <m/>
    <m/>
  </r>
  <r>
    <n v="8"/>
    <d v="2009-09-01T00:00:00"/>
    <x v="8"/>
    <x v="9"/>
    <m/>
    <m/>
    <m/>
    <m/>
    <m/>
    <m/>
    <m/>
    <m/>
    <m/>
    <m/>
    <m/>
    <m/>
    <m/>
    <m/>
    <m/>
    <m/>
    <m/>
    <m/>
  </r>
  <r>
    <n v="8"/>
    <d v="2009-10-01T00:00:00"/>
    <x v="9"/>
    <x v="9"/>
    <n v="0"/>
    <n v="1"/>
    <d v="2009-10-01T00:00:00"/>
    <n v="119884"/>
    <m/>
    <m/>
    <n v="0"/>
    <m/>
    <s v="s"/>
    <n v="0"/>
    <m/>
    <m/>
    <m/>
    <s v="Site stocking"/>
    <m/>
    <n v="0"/>
    <n v="0"/>
    <n v="0"/>
  </r>
  <r>
    <n v="8"/>
    <d v="2009-11-01T00:00:00"/>
    <x v="10"/>
    <x v="9"/>
    <n v="31"/>
    <n v="1"/>
    <d v="2009-10-01T00:00:00"/>
    <n v="325715"/>
    <n v="0"/>
    <n v="0"/>
    <n v="0"/>
    <m/>
    <m/>
    <n v="0.05"/>
    <m/>
    <m/>
    <m/>
    <m/>
    <n v="0"/>
    <n v="0"/>
    <n v="16285.75"/>
    <n v="6514.3"/>
  </r>
  <r>
    <n v="8"/>
    <d v="2009-12-01T00:00:00"/>
    <x v="11"/>
    <x v="9"/>
    <n v="61"/>
    <n v="1"/>
    <d v="2009-10-01T00:00:00"/>
    <n v="324449"/>
    <n v="1.6666666666666666E-2"/>
    <n v="0.71666666666666667"/>
    <n v="0"/>
    <m/>
    <m/>
    <n v="1.6666666666666666E-2"/>
    <n v="1"/>
    <m/>
    <m/>
    <m/>
    <n v="232521.78333333333"/>
    <n v="0"/>
    <n v="5407.4833333333336"/>
    <n v="2162.9933333333333"/>
  </r>
  <r>
    <n v="9"/>
    <d v="2000-01-01T00:00:00"/>
    <x v="0"/>
    <x v="0"/>
    <n v="306"/>
    <n v="1"/>
    <d v="1999-03-01T00:00:00"/>
    <n v="215463"/>
    <m/>
    <m/>
    <m/>
    <m/>
    <m/>
    <m/>
    <m/>
    <m/>
    <m/>
    <m/>
    <m/>
    <m/>
    <m/>
    <m/>
  </r>
  <r>
    <n v="9"/>
    <d v="2000-02-01T00:00:00"/>
    <x v="1"/>
    <x v="0"/>
    <n v="337"/>
    <n v="1"/>
    <d v="1999-03-01T00:00:00"/>
    <n v="215235"/>
    <m/>
    <m/>
    <m/>
    <m/>
    <m/>
    <m/>
    <m/>
    <m/>
    <m/>
    <m/>
    <m/>
    <m/>
    <m/>
    <m/>
  </r>
  <r>
    <n v="9"/>
    <d v="2000-03-01T00:00:00"/>
    <x v="2"/>
    <x v="0"/>
    <n v="366"/>
    <n v="2"/>
    <d v="1999-03-01T00:00:00"/>
    <n v="215024"/>
    <m/>
    <m/>
    <m/>
    <m/>
    <m/>
    <m/>
    <m/>
    <m/>
    <m/>
    <m/>
    <m/>
    <m/>
    <m/>
    <m/>
  </r>
  <r>
    <n v="9"/>
    <d v="2000-04-01T00:00:00"/>
    <x v="3"/>
    <x v="0"/>
    <n v="397"/>
    <n v="2"/>
    <d v="1999-03-01T00:00:00"/>
    <n v="214329"/>
    <m/>
    <m/>
    <m/>
    <m/>
    <m/>
    <m/>
    <m/>
    <m/>
    <m/>
    <m/>
    <m/>
    <m/>
    <m/>
    <m/>
  </r>
  <r>
    <n v="9"/>
    <d v="2000-05-01T00:00:00"/>
    <x v="4"/>
    <x v="0"/>
    <n v="427"/>
    <n v="2"/>
    <d v="1999-03-01T00:00:00"/>
    <n v="214169"/>
    <m/>
    <m/>
    <m/>
    <m/>
    <m/>
    <m/>
    <m/>
    <m/>
    <m/>
    <m/>
    <m/>
    <m/>
    <m/>
    <m/>
  </r>
  <r>
    <n v="9"/>
    <d v="2000-06-01T00:00:00"/>
    <x v="5"/>
    <x v="0"/>
    <n v="458"/>
    <n v="2"/>
    <d v="1999-03-01T00:00:00"/>
    <n v="214538"/>
    <m/>
    <m/>
    <m/>
    <m/>
    <m/>
    <m/>
    <m/>
    <m/>
    <m/>
    <m/>
    <m/>
    <m/>
    <m/>
    <m/>
  </r>
  <r>
    <n v="9"/>
    <d v="2000-07-01T00:00:00"/>
    <x v="6"/>
    <x v="0"/>
    <n v="488"/>
    <n v="2"/>
    <d v="1999-03-01T00:00:00"/>
    <n v="210536"/>
    <m/>
    <m/>
    <m/>
    <m/>
    <m/>
    <m/>
    <m/>
    <m/>
    <m/>
    <m/>
    <m/>
    <m/>
    <m/>
    <m/>
  </r>
  <r>
    <n v="9"/>
    <d v="2000-08-01T00:00:00"/>
    <x v="7"/>
    <x v="0"/>
    <n v="519"/>
    <n v="2"/>
    <d v="1999-03-01T00:00:00"/>
    <n v="172979"/>
    <m/>
    <m/>
    <m/>
    <m/>
    <m/>
    <m/>
    <m/>
    <m/>
    <m/>
    <s v="harvest begins"/>
    <m/>
    <m/>
    <m/>
    <m/>
  </r>
  <r>
    <n v="9"/>
    <d v="2000-09-01T00:00:00"/>
    <x v="8"/>
    <x v="0"/>
    <n v="550"/>
    <n v="2"/>
    <d v="1999-03-01T00:00:00"/>
    <n v="164468"/>
    <m/>
    <m/>
    <m/>
    <m/>
    <m/>
    <m/>
    <m/>
    <m/>
    <m/>
    <m/>
    <m/>
    <m/>
    <m/>
    <m/>
  </r>
  <r>
    <n v="9"/>
    <d v="2000-10-01T00:00:00"/>
    <x v="9"/>
    <x v="0"/>
    <m/>
    <m/>
    <m/>
    <m/>
    <m/>
    <m/>
    <m/>
    <m/>
    <m/>
    <m/>
    <m/>
    <m/>
    <m/>
    <m/>
    <m/>
    <m/>
    <m/>
    <m/>
  </r>
  <r>
    <n v="9"/>
    <d v="2000-11-01T00:00:00"/>
    <x v="10"/>
    <x v="0"/>
    <m/>
    <m/>
    <m/>
    <m/>
    <m/>
    <m/>
    <m/>
    <m/>
    <m/>
    <m/>
    <m/>
    <m/>
    <m/>
    <m/>
    <m/>
    <m/>
    <m/>
    <m/>
  </r>
  <r>
    <n v="9"/>
    <d v="2000-12-01T00:00:00"/>
    <x v="11"/>
    <x v="0"/>
    <m/>
    <m/>
    <m/>
    <m/>
    <m/>
    <m/>
    <m/>
    <m/>
    <m/>
    <m/>
    <m/>
    <m/>
    <m/>
    <m/>
    <m/>
    <m/>
    <m/>
    <m/>
  </r>
  <r>
    <n v="9"/>
    <d v="2001-01-01T00:00:00"/>
    <x v="0"/>
    <x v="1"/>
    <m/>
    <m/>
    <m/>
    <m/>
    <m/>
    <m/>
    <m/>
    <m/>
    <m/>
    <m/>
    <m/>
    <m/>
    <m/>
    <m/>
    <m/>
    <m/>
    <m/>
    <m/>
  </r>
  <r>
    <n v="9"/>
    <d v="2001-02-01T00:00:00"/>
    <x v="1"/>
    <x v="1"/>
    <n v="276"/>
    <n v="1"/>
    <d v="2000-05-01T00:00:00"/>
    <n v="514395"/>
    <m/>
    <m/>
    <m/>
    <m/>
    <m/>
    <m/>
    <m/>
    <m/>
    <m/>
    <s v="moved from farm #12"/>
    <m/>
    <m/>
    <m/>
    <m/>
  </r>
  <r>
    <n v="9"/>
    <d v="2001-03-01T00:00:00"/>
    <x v="2"/>
    <x v="1"/>
    <n v="304"/>
    <n v="1"/>
    <d v="2000-05-01T00:00:00"/>
    <n v="513927"/>
    <m/>
    <m/>
    <m/>
    <m/>
    <m/>
    <m/>
    <m/>
    <m/>
    <m/>
    <m/>
    <m/>
    <m/>
    <m/>
    <m/>
  </r>
  <r>
    <n v="9"/>
    <d v="2001-04-01T00:00:00"/>
    <x v="3"/>
    <x v="1"/>
    <n v="335"/>
    <n v="1"/>
    <d v="2000-05-01T00:00:00"/>
    <n v="513392"/>
    <m/>
    <m/>
    <n v="4"/>
    <m/>
    <s v="o"/>
    <n v="0"/>
    <m/>
    <m/>
    <m/>
    <m/>
    <m/>
    <n v="2053568"/>
    <n v="0"/>
    <n v="0"/>
  </r>
  <r>
    <n v="9"/>
    <d v="2001-05-01T00:00:00"/>
    <x v="4"/>
    <x v="1"/>
    <n v="365"/>
    <n v="2"/>
    <d v="2000-05-01T00:00:00"/>
    <n v="513056"/>
    <n v="10.4"/>
    <n v="21.8"/>
    <n v="6.9"/>
    <m/>
    <m/>
    <n v="0"/>
    <m/>
    <m/>
    <m/>
    <m/>
    <n v="11184620.800000001"/>
    <n v="3540086.4000000004"/>
    <n v="0"/>
    <n v="0"/>
  </r>
  <r>
    <n v="9"/>
    <d v="2001-06-01T00:00:00"/>
    <x v="5"/>
    <x v="1"/>
    <n v="396"/>
    <n v="2"/>
    <d v="2000-05-01T00:00:00"/>
    <n v="511965"/>
    <m/>
    <n v="22.774999999999999"/>
    <n v="7.55"/>
    <m/>
    <n v="1"/>
    <n v="0"/>
    <m/>
    <n v="10"/>
    <m/>
    <m/>
    <n v="11660002.875"/>
    <n v="3865335.75"/>
    <n v="0"/>
    <n v="0"/>
  </r>
  <r>
    <n v="9"/>
    <d v="2001-07-01T00:00:00"/>
    <x v="6"/>
    <x v="1"/>
    <n v="426"/>
    <n v="2"/>
    <d v="2000-05-01T00:00:00"/>
    <n v="498493"/>
    <n v="11.95"/>
    <n v="23.75"/>
    <n v="8.1999999999999993"/>
    <m/>
    <m/>
    <n v="0"/>
    <n v="1"/>
    <m/>
    <m/>
    <m/>
    <n v="11839208.75"/>
    <n v="4087642.5999999996"/>
    <n v="0"/>
    <n v="0"/>
  </r>
  <r>
    <n v="9"/>
    <d v="2001-08-01T00:00:00"/>
    <x v="7"/>
    <x v="1"/>
    <n v="457"/>
    <n v="2"/>
    <d v="2000-05-01T00:00:00"/>
    <n v="484500"/>
    <n v="0.5"/>
    <n v="1.2"/>
    <n v="0.53"/>
    <n v="0"/>
    <m/>
    <n v="0"/>
    <m/>
    <n v="10.5"/>
    <m/>
    <m/>
    <n v="581400"/>
    <n v="256785"/>
    <n v="0"/>
    <n v="0"/>
  </r>
  <r>
    <n v="9"/>
    <d v="2001-09-01T00:00:00"/>
    <x v="8"/>
    <x v="1"/>
    <n v="488"/>
    <n v="2"/>
    <d v="2000-05-01T00:00:00"/>
    <n v="481461"/>
    <n v="3.8"/>
    <n v="0.1"/>
    <n v="0"/>
    <m/>
    <m/>
    <n v="0"/>
    <m/>
    <n v="10.1"/>
    <m/>
    <m/>
    <n v="48146.100000000006"/>
    <n v="0"/>
    <n v="0"/>
    <n v="0"/>
  </r>
  <r>
    <n v="9"/>
    <d v="2001-10-01T00:00:00"/>
    <x v="9"/>
    <x v="1"/>
    <n v="518"/>
    <n v="2"/>
    <d v="2000-05-01T00:00:00"/>
    <n v="408270"/>
    <m/>
    <m/>
    <m/>
    <m/>
    <m/>
    <m/>
    <m/>
    <n v="8.6999999999999993"/>
    <m/>
    <s v="harvest started"/>
    <m/>
    <m/>
    <m/>
    <m/>
  </r>
  <r>
    <n v="9"/>
    <d v="2001-11-01T00:00:00"/>
    <x v="10"/>
    <x v="1"/>
    <n v="549"/>
    <n v="2"/>
    <d v="2000-05-01T00:00:00"/>
    <n v="398326"/>
    <m/>
    <m/>
    <m/>
    <m/>
    <m/>
    <m/>
    <m/>
    <n v="7.9"/>
    <m/>
    <m/>
    <m/>
    <m/>
    <m/>
    <m/>
  </r>
  <r>
    <n v="9"/>
    <d v="2001-12-01T00:00:00"/>
    <x v="11"/>
    <x v="1"/>
    <n v="579"/>
    <n v="2"/>
    <d v="2000-05-01T00:00:00"/>
    <n v="331690"/>
    <m/>
    <m/>
    <m/>
    <m/>
    <m/>
    <m/>
    <m/>
    <n v="7.4"/>
    <m/>
    <m/>
    <m/>
    <m/>
    <m/>
    <m/>
  </r>
  <r>
    <n v="9"/>
    <d v="2002-01-01T00:00:00"/>
    <x v="0"/>
    <x v="2"/>
    <n v="610"/>
    <n v="2"/>
    <d v="2000-05-01T00:00:00"/>
    <n v="233770"/>
    <m/>
    <m/>
    <m/>
    <m/>
    <m/>
    <m/>
    <m/>
    <m/>
    <m/>
    <m/>
    <m/>
    <m/>
    <m/>
    <m/>
  </r>
  <r>
    <n v="9"/>
    <d v="2002-02-01T00:00:00"/>
    <x v="1"/>
    <x v="2"/>
    <n v="641"/>
    <n v="2"/>
    <d v="2000-05-01T00:00:00"/>
    <n v="184996"/>
    <m/>
    <m/>
    <m/>
    <m/>
    <m/>
    <m/>
    <m/>
    <n v="7"/>
    <m/>
    <m/>
    <m/>
    <m/>
    <m/>
    <m/>
  </r>
  <r>
    <n v="9"/>
    <d v="2002-03-01T00:00:00"/>
    <x v="2"/>
    <x v="2"/>
    <n v="669"/>
    <n v="2"/>
    <d v="2000-05-01T00:00:00"/>
    <n v="111718"/>
    <m/>
    <m/>
    <m/>
    <m/>
    <m/>
    <m/>
    <m/>
    <n v="7"/>
    <m/>
    <m/>
    <m/>
    <m/>
    <m/>
    <m/>
  </r>
  <r>
    <n v="9"/>
    <d v="2002-04-01T00:00:00"/>
    <x v="3"/>
    <x v="2"/>
    <m/>
    <m/>
    <m/>
    <m/>
    <m/>
    <m/>
    <m/>
    <m/>
    <m/>
    <m/>
    <m/>
    <n v="7.7"/>
    <m/>
    <s v="harvest complete"/>
    <m/>
    <m/>
    <m/>
    <m/>
  </r>
  <r>
    <n v="9"/>
    <d v="2002-05-01T00:00:00"/>
    <x v="4"/>
    <x v="2"/>
    <m/>
    <m/>
    <m/>
    <m/>
    <m/>
    <m/>
    <m/>
    <m/>
    <m/>
    <m/>
    <m/>
    <m/>
    <m/>
    <m/>
    <m/>
    <m/>
    <m/>
    <m/>
  </r>
  <r>
    <n v="9"/>
    <d v="2002-06-01T00:00:00"/>
    <x v="5"/>
    <x v="2"/>
    <m/>
    <m/>
    <m/>
    <m/>
    <m/>
    <m/>
    <m/>
    <m/>
    <m/>
    <m/>
    <m/>
    <m/>
    <m/>
    <m/>
    <m/>
    <m/>
    <m/>
    <m/>
  </r>
  <r>
    <n v="9"/>
    <d v="2002-07-01T00:00:00"/>
    <x v="6"/>
    <x v="2"/>
    <m/>
    <m/>
    <m/>
    <m/>
    <m/>
    <m/>
    <m/>
    <m/>
    <m/>
    <m/>
    <m/>
    <m/>
    <m/>
    <m/>
    <m/>
    <m/>
    <m/>
    <m/>
  </r>
  <r>
    <n v="9"/>
    <d v="2002-08-01T00:00:00"/>
    <x v="7"/>
    <x v="2"/>
    <m/>
    <m/>
    <m/>
    <m/>
    <m/>
    <m/>
    <m/>
    <m/>
    <m/>
    <m/>
    <m/>
    <m/>
    <m/>
    <m/>
    <m/>
    <m/>
    <m/>
    <m/>
  </r>
  <r>
    <n v="9"/>
    <d v="2002-09-01T00:00:00"/>
    <x v="8"/>
    <x v="2"/>
    <m/>
    <m/>
    <m/>
    <m/>
    <m/>
    <m/>
    <m/>
    <m/>
    <m/>
    <m/>
    <m/>
    <m/>
    <m/>
    <m/>
    <m/>
    <m/>
    <m/>
    <m/>
  </r>
  <r>
    <n v="9"/>
    <d v="2002-10-01T00:00:00"/>
    <x v="9"/>
    <x v="2"/>
    <m/>
    <m/>
    <m/>
    <m/>
    <m/>
    <m/>
    <m/>
    <m/>
    <m/>
    <m/>
    <m/>
    <m/>
    <m/>
    <m/>
    <m/>
    <m/>
    <m/>
    <m/>
  </r>
  <r>
    <n v="9"/>
    <d v="2002-11-01T00:00:00"/>
    <x v="10"/>
    <x v="2"/>
    <m/>
    <m/>
    <m/>
    <m/>
    <m/>
    <m/>
    <m/>
    <m/>
    <m/>
    <m/>
    <m/>
    <m/>
    <m/>
    <m/>
    <m/>
    <m/>
    <m/>
    <m/>
  </r>
  <r>
    <n v="9"/>
    <d v="2002-12-01T00:00:00"/>
    <x v="11"/>
    <x v="2"/>
    <m/>
    <m/>
    <m/>
    <m/>
    <m/>
    <m/>
    <m/>
    <m/>
    <m/>
    <m/>
    <m/>
    <m/>
    <m/>
    <m/>
    <m/>
    <m/>
    <m/>
    <m/>
  </r>
  <r>
    <n v="9"/>
    <d v="2003-01-01T00:00:00"/>
    <x v="0"/>
    <x v="3"/>
    <m/>
    <m/>
    <m/>
    <m/>
    <m/>
    <m/>
    <m/>
    <m/>
    <m/>
    <m/>
    <m/>
    <m/>
    <m/>
    <m/>
    <m/>
    <m/>
    <m/>
    <m/>
  </r>
  <r>
    <n v="9"/>
    <d v="2003-02-01T00:00:00"/>
    <x v="1"/>
    <x v="3"/>
    <m/>
    <m/>
    <m/>
    <m/>
    <m/>
    <m/>
    <m/>
    <m/>
    <m/>
    <m/>
    <m/>
    <m/>
    <m/>
    <m/>
    <m/>
    <m/>
    <m/>
    <m/>
  </r>
  <r>
    <n v="9"/>
    <d v="2003-03-01T00:00:00"/>
    <x v="2"/>
    <x v="3"/>
    <m/>
    <m/>
    <m/>
    <m/>
    <m/>
    <m/>
    <m/>
    <m/>
    <m/>
    <m/>
    <m/>
    <m/>
    <m/>
    <m/>
    <m/>
    <m/>
    <m/>
    <m/>
  </r>
  <r>
    <n v="9"/>
    <d v="2003-04-01T00:00:00"/>
    <x v="3"/>
    <x v="3"/>
    <m/>
    <m/>
    <m/>
    <m/>
    <m/>
    <m/>
    <m/>
    <m/>
    <m/>
    <m/>
    <m/>
    <m/>
    <m/>
    <m/>
    <m/>
    <m/>
    <m/>
    <m/>
  </r>
  <r>
    <n v="9"/>
    <d v="2003-05-01T00:00:00"/>
    <x v="4"/>
    <x v="3"/>
    <m/>
    <m/>
    <m/>
    <m/>
    <m/>
    <m/>
    <m/>
    <m/>
    <m/>
    <m/>
    <m/>
    <m/>
    <m/>
    <m/>
    <m/>
    <m/>
    <m/>
    <m/>
  </r>
  <r>
    <n v="9"/>
    <d v="2003-06-01T00:00:00"/>
    <x v="5"/>
    <x v="3"/>
    <m/>
    <m/>
    <m/>
    <m/>
    <m/>
    <m/>
    <m/>
    <m/>
    <m/>
    <m/>
    <m/>
    <m/>
    <m/>
    <m/>
    <m/>
    <m/>
    <m/>
    <m/>
  </r>
  <r>
    <n v="9"/>
    <d v="2003-07-01T00:00:00"/>
    <x v="6"/>
    <x v="3"/>
    <n v="212"/>
    <n v="1"/>
    <d v="2002-12-01T00:00:00"/>
    <n v="655755"/>
    <n v="0.1"/>
    <n v="0.45"/>
    <n v="0.1"/>
    <m/>
    <m/>
    <n v="0.15"/>
    <m/>
    <n v="10.9"/>
    <n v="25"/>
    <s v="Fish transferred from farm #15"/>
    <n v="295089.75"/>
    <n v="65575.5"/>
    <n v="98363.25"/>
    <n v="39345.300000000003"/>
  </r>
  <r>
    <n v="9"/>
    <d v="2003-08-01T00:00:00"/>
    <x v="7"/>
    <x v="3"/>
    <n v="243"/>
    <n v="1"/>
    <d v="2002-12-01T00:00:00"/>
    <n v="662747"/>
    <n v="0.12"/>
    <n v="0.65"/>
    <n v="0.1"/>
    <n v="0"/>
    <m/>
    <n v="0.1"/>
    <m/>
    <n v="11.7"/>
    <n v="25"/>
    <m/>
    <n v="430785.55"/>
    <n v="66274.7"/>
    <n v="66274.7"/>
    <n v="26509.88"/>
  </r>
  <r>
    <n v="9"/>
    <d v="2003-09-01T00:00:00"/>
    <x v="8"/>
    <x v="3"/>
    <n v="274"/>
    <n v="1"/>
    <d v="2002-12-01T00:00:00"/>
    <n v="654295"/>
    <n v="0.9"/>
    <n v="1.3"/>
    <n v="0.3"/>
    <n v="0"/>
    <m/>
    <n v="0"/>
    <m/>
    <n v="10.4"/>
    <n v="32"/>
    <m/>
    <n v="850583.5"/>
    <n v="196288.5"/>
    <n v="0"/>
    <n v="0"/>
  </r>
  <r>
    <n v="9"/>
    <d v="2003-10-01T00:00:00"/>
    <x v="9"/>
    <x v="3"/>
    <n v="304"/>
    <n v="1"/>
    <d v="2002-12-01T00:00:00"/>
    <n v="654000"/>
    <n v="0.57999999999999996"/>
    <n v="4.68"/>
    <n v="2"/>
    <n v="0"/>
    <m/>
    <n v="0.15"/>
    <m/>
    <n v="8.4"/>
    <m/>
    <m/>
    <n v="3060720"/>
    <n v="1308000"/>
    <n v="98100"/>
    <n v="39240"/>
  </r>
  <r>
    <n v="9"/>
    <d v="2003-11-01T00:00:00"/>
    <x v="10"/>
    <x v="3"/>
    <n v="335"/>
    <n v="1"/>
    <d v="2002-12-01T00:00:00"/>
    <n v="653000"/>
    <n v="0.73"/>
    <n v="4.67"/>
    <n v="2.1"/>
    <n v="2"/>
    <m/>
    <n v="1.37"/>
    <n v="1"/>
    <n v="7.5"/>
    <n v="29"/>
    <m/>
    <n v="3049510"/>
    <n v="1371300"/>
    <n v="894610.00000000012"/>
    <n v="357844.00000000006"/>
  </r>
  <r>
    <n v="9"/>
    <d v="2003-12-01T00:00:00"/>
    <x v="11"/>
    <x v="3"/>
    <n v="365"/>
    <n v="2"/>
    <d v="2002-12-01T00:00:00"/>
    <n v="652000"/>
    <n v="0.27"/>
    <n v="3.47"/>
    <n v="1.63"/>
    <n v="0"/>
    <m/>
    <n v="0.83"/>
    <m/>
    <n v="7.5"/>
    <n v="30"/>
    <m/>
    <n v="2262440"/>
    <n v="1062760"/>
    <n v="541160"/>
    <n v="216464"/>
  </r>
  <r>
    <n v="9"/>
    <d v="2004-01-01T00:00:00"/>
    <x v="0"/>
    <x v="4"/>
    <n v="396"/>
    <n v="2"/>
    <d v="2002-12-01T00:00:00"/>
    <n v="651000"/>
    <n v="0"/>
    <n v="0.4"/>
    <n v="0.23"/>
    <n v="0"/>
    <m/>
    <n v="0"/>
    <m/>
    <n v="7"/>
    <n v="32"/>
    <m/>
    <n v="260400"/>
    <n v="149730"/>
    <n v="0"/>
    <n v="0"/>
  </r>
  <r>
    <n v="9"/>
    <d v="2004-02-01T00:00:00"/>
    <x v="1"/>
    <x v="4"/>
    <n v="427"/>
    <n v="2"/>
    <d v="2002-12-01T00:00:00"/>
    <n v="650500"/>
    <n v="0"/>
    <n v="0.1"/>
    <n v="0"/>
    <n v="0"/>
    <m/>
    <n v="0"/>
    <m/>
    <n v="6.7"/>
    <n v="29"/>
    <m/>
    <n v="65050"/>
    <n v="0"/>
    <n v="0"/>
    <n v="0"/>
  </r>
  <r>
    <n v="9"/>
    <d v="2004-03-01T00:00:00"/>
    <x v="2"/>
    <x v="4"/>
    <n v="456"/>
    <n v="2"/>
    <d v="2002-12-01T00:00:00"/>
    <n v="650270"/>
    <n v="0.3"/>
    <n v="0"/>
    <n v="0"/>
    <n v="0"/>
    <m/>
    <n v="0"/>
    <m/>
    <n v="6.9"/>
    <n v="31"/>
    <m/>
    <n v="0"/>
    <n v="0"/>
    <n v="0"/>
    <n v="0"/>
  </r>
  <r>
    <n v="9"/>
    <d v="2004-04-01T00:00:00"/>
    <x v="3"/>
    <x v="4"/>
    <n v="487"/>
    <n v="2"/>
    <d v="2002-12-01T00:00:00"/>
    <n v="649460"/>
    <n v="1.07"/>
    <n v="0.49"/>
    <n v="0.15"/>
    <n v="0"/>
    <m/>
    <n v="0.02"/>
    <m/>
    <n v="8.6"/>
    <n v="30.7"/>
    <m/>
    <n v="318235.40000000002"/>
    <n v="97419"/>
    <n v="12989.2"/>
    <n v="5195.68"/>
  </r>
  <r>
    <n v="9"/>
    <d v="2004-05-01T00:00:00"/>
    <x v="4"/>
    <x v="4"/>
    <n v="517"/>
    <n v="2"/>
    <d v="2002-12-01T00:00:00"/>
    <n v="647832"/>
    <n v="1.95"/>
    <n v="2.75"/>
    <n v="0.5"/>
    <n v="0"/>
    <m/>
    <n v="0.65"/>
    <m/>
    <n v="9.9"/>
    <n v="30"/>
    <m/>
    <n v="1781538"/>
    <n v="323916"/>
    <n v="421090.8"/>
    <n v="168436.32"/>
  </r>
  <r>
    <n v="9"/>
    <d v="2004-06-01T00:00:00"/>
    <x v="5"/>
    <x v="4"/>
    <n v="548"/>
    <n v="2"/>
    <d v="2002-12-01T00:00:00"/>
    <n v="646794"/>
    <n v="3.2"/>
    <n v="10.3"/>
    <n v="2.9"/>
    <n v="2"/>
    <m/>
    <n v="0.9"/>
    <n v="1"/>
    <n v="11.2"/>
    <n v="27"/>
    <m/>
    <n v="6661978.2000000002"/>
    <n v="1875702.5999999999"/>
    <n v="582114.6"/>
    <n v="232845.84"/>
  </r>
  <r>
    <n v="9"/>
    <d v="2004-07-01T00:00:00"/>
    <x v="6"/>
    <x v="4"/>
    <n v="578"/>
    <n v="2"/>
    <d v="2002-12-01T00:00:00"/>
    <n v="632796"/>
    <n v="0"/>
    <n v="6.5"/>
    <n v="2.8"/>
    <n v="0"/>
    <m/>
    <n v="0.1"/>
    <m/>
    <n v="9.6"/>
    <n v="26"/>
    <m/>
    <n v="4113174"/>
    <n v="1771828.7999999998"/>
    <n v="63279.600000000006"/>
    <n v="25311.840000000004"/>
  </r>
  <r>
    <n v="9"/>
    <d v="2004-08-01T00:00:00"/>
    <x v="7"/>
    <x v="4"/>
    <n v="609"/>
    <n v="2"/>
    <d v="2002-12-01T00:00:00"/>
    <n v="616632"/>
    <n v="0"/>
    <n v="0.73"/>
    <n v="0.56999999999999995"/>
    <n v="0"/>
    <m/>
    <n v="0"/>
    <m/>
    <n v="10.8"/>
    <n v="21"/>
    <s v="harvesting"/>
    <n v="450141.36"/>
    <n v="351480.24"/>
    <n v="0"/>
    <n v="0"/>
  </r>
  <r>
    <n v="9"/>
    <d v="2004-09-01T00:00:00"/>
    <x v="8"/>
    <x v="4"/>
    <n v="640"/>
    <n v="2"/>
    <d v="2002-12-01T00:00:00"/>
    <n v="400511"/>
    <n v="0.4"/>
    <n v="0.5"/>
    <n v="0.2"/>
    <m/>
    <m/>
    <n v="0.1"/>
    <m/>
    <n v="10.199999999999999"/>
    <n v="23.2"/>
    <s v="harvesting"/>
    <n v="200255.5"/>
    <n v="80102.200000000012"/>
    <n v="40051.100000000006"/>
    <n v="16020.440000000002"/>
  </r>
  <r>
    <n v="9"/>
    <d v="2004-10-01T00:00:00"/>
    <x v="9"/>
    <x v="4"/>
    <n v="670"/>
    <n v="2"/>
    <d v="2002-12-01T00:00:00"/>
    <n v="131637"/>
    <m/>
    <m/>
    <n v="0.3"/>
    <m/>
    <s v="h"/>
    <n v="0.2"/>
    <m/>
    <m/>
    <m/>
    <m/>
    <m/>
    <n v="39491.1"/>
    <n v="26327.4"/>
    <n v="10530.960000000001"/>
  </r>
  <r>
    <n v="9"/>
    <d v="2004-11-01T00:00:00"/>
    <x v="10"/>
    <x v="4"/>
    <m/>
    <m/>
    <m/>
    <m/>
    <m/>
    <m/>
    <m/>
    <m/>
    <m/>
    <m/>
    <m/>
    <m/>
    <m/>
    <m/>
    <m/>
    <m/>
    <m/>
    <m/>
  </r>
  <r>
    <n v="9"/>
    <d v="2004-12-01T00:00:00"/>
    <x v="11"/>
    <x v="4"/>
    <m/>
    <m/>
    <m/>
    <m/>
    <m/>
    <m/>
    <m/>
    <m/>
    <m/>
    <m/>
    <m/>
    <m/>
    <m/>
    <m/>
    <m/>
    <m/>
    <m/>
    <m/>
  </r>
  <r>
    <n v="9"/>
    <d v="2005-01-01T00:00:00"/>
    <x v="0"/>
    <x v="5"/>
    <m/>
    <m/>
    <m/>
    <m/>
    <m/>
    <m/>
    <m/>
    <m/>
    <m/>
    <m/>
    <m/>
    <m/>
    <m/>
    <m/>
    <m/>
    <m/>
    <m/>
    <m/>
  </r>
  <r>
    <n v="9"/>
    <d v="2005-02-01T00:00:00"/>
    <x v="1"/>
    <x v="5"/>
    <m/>
    <m/>
    <m/>
    <m/>
    <m/>
    <m/>
    <m/>
    <m/>
    <m/>
    <m/>
    <m/>
    <m/>
    <m/>
    <m/>
    <m/>
    <m/>
    <m/>
    <m/>
  </r>
  <r>
    <n v="9"/>
    <d v="2005-03-01T00:00:00"/>
    <x v="2"/>
    <x v="5"/>
    <m/>
    <m/>
    <m/>
    <m/>
    <m/>
    <m/>
    <m/>
    <m/>
    <m/>
    <m/>
    <m/>
    <m/>
    <m/>
    <m/>
    <m/>
    <m/>
    <m/>
    <m/>
  </r>
  <r>
    <n v="9"/>
    <d v="2005-04-01T00:00:00"/>
    <x v="3"/>
    <x v="5"/>
    <m/>
    <m/>
    <m/>
    <m/>
    <m/>
    <m/>
    <m/>
    <m/>
    <m/>
    <m/>
    <m/>
    <m/>
    <m/>
    <m/>
    <m/>
    <m/>
    <m/>
    <m/>
  </r>
  <r>
    <n v="9"/>
    <d v="2005-05-01T00:00:00"/>
    <x v="4"/>
    <x v="5"/>
    <m/>
    <m/>
    <m/>
    <m/>
    <m/>
    <m/>
    <m/>
    <m/>
    <m/>
    <m/>
    <m/>
    <m/>
    <m/>
    <m/>
    <m/>
    <m/>
    <m/>
    <m/>
  </r>
  <r>
    <n v="9"/>
    <d v="2005-06-01T00:00:00"/>
    <x v="5"/>
    <x v="5"/>
    <m/>
    <m/>
    <m/>
    <m/>
    <m/>
    <m/>
    <m/>
    <m/>
    <m/>
    <m/>
    <m/>
    <m/>
    <m/>
    <m/>
    <m/>
    <m/>
    <m/>
    <m/>
  </r>
  <r>
    <n v="9"/>
    <d v="2005-07-01T00:00:00"/>
    <x v="6"/>
    <x v="5"/>
    <m/>
    <m/>
    <m/>
    <m/>
    <m/>
    <m/>
    <m/>
    <m/>
    <m/>
    <m/>
    <m/>
    <m/>
    <m/>
    <m/>
    <m/>
    <m/>
    <m/>
    <m/>
  </r>
  <r>
    <n v="9"/>
    <d v="2005-08-01T00:00:00"/>
    <x v="7"/>
    <x v="5"/>
    <n v="243"/>
    <n v="1"/>
    <d v="2004-12-01T00:00:00"/>
    <n v="511000"/>
    <m/>
    <n v="0.4"/>
    <n v="0.02"/>
    <m/>
    <s v="t"/>
    <n v="0"/>
    <m/>
    <m/>
    <m/>
    <s v="used counts from farm #17 for same month"/>
    <n v="204400"/>
    <n v="10220"/>
    <n v="0"/>
    <n v="0"/>
  </r>
  <r>
    <n v="9"/>
    <d v="2005-09-01T00:00:00"/>
    <x v="8"/>
    <x v="5"/>
    <n v="274"/>
    <n v="1"/>
    <d v="2004-12-01T00:00:00"/>
    <n v="615000"/>
    <n v="0.43"/>
    <n v="0.08"/>
    <n v="0"/>
    <m/>
    <m/>
    <n v="0"/>
    <m/>
    <n v="10"/>
    <n v="32"/>
    <s v="Transferred from farm #17"/>
    <n v="49200"/>
    <n v="0"/>
    <n v="0"/>
    <n v="0"/>
  </r>
  <r>
    <n v="9"/>
    <d v="2005-10-01T00:00:00"/>
    <x v="9"/>
    <x v="5"/>
    <n v="304"/>
    <n v="1"/>
    <d v="2004-12-01T00:00:00"/>
    <n v="615000"/>
    <n v="2.59"/>
    <n v="2.2400000000000002"/>
    <n v="0.77"/>
    <n v="0"/>
    <m/>
    <n v="3.2"/>
    <m/>
    <n v="9"/>
    <n v="30"/>
    <m/>
    <n v="1377600.0000000002"/>
    <n v="473550"/>
    <n v="1968000"/>
    <n v="787200"/>
  </r>
  <r>
    <n v="9"/>
    <d v="2005-11-01T00:00:00"/>
    <x v="10"/>
    <x v="5"/>
    <n v="335"/>
    <n v="1"/>
    <d v="2004-12-01T00:00:00"/>
    <n v="615000"/>
    <n v="0.88"/>
    <n v="1.53"/>
    <n v="0.78"/>
    <n v="0"/>
    <m/>
    <n v="1.02"/>
    <m/>
    <n v="9"/>
    <n v="31"/>
    <m/>
    <n v="940950"/>
    <n v="479700"/>
    <n v="627300"/>
    <n v="250920"/>
  </r>
  <r>
    <n v="9"/>
    <d v="2005-12-01T00:00:00"/>
    <x v="11"/>
    <x v="5"/>
    <n v="365"/>
    <n v="2"/>
    <d v="2004-12-01T00:00:00"/>
    <n v="613000"/>
    <n v="2.2799999999999998"/>
    <n v="1.92"/>
    <n v="0.98"/>
    <n v="0"/>
    <m/>
    <n v="0.72"/>
    <m/>
    <n v="8"/>
    <n v="30"/>
    <m/>
    <n v="1176960"/>
    <n v="600740"/>
    <n v="441360"/>
    <n v="176544"/>
  </r>
  <r>
    <n v="9"/>
    <d v="2006-01-01T00:00:00"/>
    <x v="0"/>
    <x v="6"/>
    <n v="396"/>
    <n v="2"/>
    <d v="2004-12-01T00:00:00"/>
    <n v="614000"/>
    <n v="1.57"/>
    <n v="1.8"/>
    <n v="1.33"/>
    <n v="0"/>
    <m/>
    <n v="0.37"/>
    <m/>
    <n v="8"/>
    <n v="31"/>
    <m/>
    <n v="1105200"/>
    <n v="816620"/>
    <n v="227180"/>
    <n v="90872"/>
  </r>
  <r>
    <n v="9"/>
    <d v="2006-02-01T00:00:00"/>
    <x v="1"/>
    <x v="6"/>
    <n v="427"/>
    <n v="2"/>
    <d v="2004-12-01T00:00:00"/>
    <n v="614000"/>
    <n v="0.23"/>
    <n v="1.93"/>
    <n v="0.77"/>
    <m/>
    <m/>
    <n v="0"/>
    <n v="1"/>
    <n v="7"/>
    <n v="31"/>
    <s v="Transferred to farm #18"/>
    <n v="1185020"/>
    <n v="472780"/>
    <n v="0"/>
    <n v="0"/>
  </r>
  <r>
    <n v="9"/>
    <d v="2006-03-01T00:00:00"/>
    <x v="2"/>
    <x v="6"/>
    <m/>
    <m/>
    <m/>
    <m/>
    <m/>
    <m/>
    <m/>
    <m/>
    <m/>
    <m/>
    <m/>
    <m/>
    <m/>
    <s v="empty by end of March"/>
    <m/>
    <m/>
    <m/>
    <m/>
  </r>
  <r>
    <n v="9"/>
    <d v="2006-04-01T00:00:00"/>
    <x v="3"/>
    <x v="6"/>
    <m/>
    <m/>
    <m/>
    <m/>
    <m/>
    <m/>
    <m/>
    <m/>
    <m/>
    <m/>
    <m/>
    <m/>
    <m/>
    <m/>
    <m/>
    <m/>
    <m/>
    <m/>
  </r>
  <r>
    <n v="9"/>
    <d v="2006-05-01T00:00:00"/>
    <x v="4"/>
    <x v="6"/>
    <m/>
    <m/>
    <m/>
    <m/>
    <m/>
    <m/>
    <m/>
    <m/>
    <m/>
    <m/>
    <m/>
    <m/>
    <m/>
    <m/>
    <m/>
    <m/>
    <m/>
    <m/>
  </r>
  <r>
    <n v="9"/>
    <d v="2006-06-01T00:00:00"/>
    <x v="5"/>
    <x v="6"/>
    <m/>
    <m/>
    <m/>
    <m/>
    <m/>
    <m/>
    <m/>
    <m/>
    <m/>
    <m/>
    <m/>
    <m/>
    <m/>
    <m/>
    <m/>
    <m/>
    <m/>
    <m/>
  </r>
  <r>
    <n v="9"/>
    <d v="2006-07-01T00:00:00"/>
    <x v="6"/>
    <x v="6"/>
    <m/>
    <m/>
    <m/>
    <m/>
    <m/>
    <m/>
    <m/>
    <m/>
    <m/>
    <m/>
    <m/>
    <m/>
    <m/>
    <m/>
    <m/>
    <m/>
    <m/>
    <m/>
  </r>
  <r>
    <n v="9"/>
    <d v="2006-08-01T00:00:00"/>
    <x v="7"/>
    <x v="6"/>
    <m/>
    <m/>
    <m/>
    <m/>
    <m/>
    <m/>
    <m/>
    <m/>
    <m/>
    <m/>
    <m/>
    <m/>
    <m/>
    <m/>
    <m/>
    <m/>
    <m/>
    <m/>
  </r>
  <r>
    <n v="9"/>
    <d v="2006-09-01T00:00:00"/>
    <x v="8"/>
    <x v="6"/>
    <m/>
    <m/>
    <m/>
    <m/>
    <m/>
    <m/>
    <m/>
    <m/>
    <m/>
    <m/>
    <m/>
    <m/>
    <m/>
    <m/>
    <m/>
    <m/>
    <m/>
    <m/>
  </r>
  <r>
    <n v="9"/>
    <d v="2006-10-01T00:00:00"/>
    <x v="9"/>
    <x v="6"/>
    <m/>
    <m/>
    <m/>
    <m/>
    <m/>
    <m/>
    <m/>
    <m/>
    <m/>
    <m/>
    <m/>
    <m/>
    <m/>
    <m/>
    <m/>
    <m/>
    <m/>
    <m/>
  </r>
  <r>
    <n v="9"/>
    <d v="2006-11-01T00:00:00"/>
    <x v="10"/>
    <x v="6"/>
    <m/>
    <m/>
    <m/>
    <m/>
    <m/>
    <m/>
    <m/>
    <m/>
    <m/>
    <m/>
    <m/>
    <m/>
    <m/>
    <m/>
    <m/>
    <m/>
    <m/>
    <m/>
  </r>
  <r>
    <n v="9"/>
    <d v="2006-12-01T00:00:00"/>
    <x v="11"/>
    <x v="6"/>
    <m/>
    <m/>
    <m/>
    <m/>
    <m/>
    <m/>
    <m/>
    <m/>
    <m/>
    <m/>
    <m/>
    <m/>
    <m/>
    <m/>
    <m/>
    <m/>
    <m/>
    <m/>
  </r>
  <r>
    <n v="9"/>
    <d v="2007-01-01T00:00:00"/>
    <x v="0"/>
    <x v="7"/>
    <m/>
    <m/>
    <m/>
    <m/>
    <m/>
    <m/>
    <m/>
    <m/>
    <m/>
    <m/>
    <m/>
    <m/>
    <m/>
    <m/>
    <m/>
    <m/>
    <m/>
    <m/>
  </r>
  <r>
    <n v="9"/>
    <d v="2007-02-01T00:00:00"/>
    <x v="1"/>
    <x v="7"/>
    <m/>
    <m/>
    <m/>
    <m/>
    <m/>
    <m/>
    <m/>
    <m/>
    <m/>
    <m/>
    <m/>
    <m/>
    <m/>
    <m/>
    <m/>
    <m/>
    <m/>
    <m/>
  </r>
  <r>
    <n v="9"/>
    <d v="2007-03-01T00:00:00"/>
    <x v="2"/>
    <x v="7"/>
    <m/>
    <m/>
    <m/>
    <m/>
    <m/>
    <m/>
    <m/>
    <m/>
    <m/>
    <m/>
    <m/>
    <m/>
    <m/>
    <m/>
    <m/>
    <m/>
    <m/>
    <m/>
  </r>
  <r>
    <n v="9"/>
    <d v="2007-04-01T00:00:00"/>
    <x v="3"/>
    <x v="7"/>
    <m/>
    <m/>
    <m/>
    <m/>
    <m/>
    <m/>
    <m/>
    <m/>
    <m/>
    <m/>
    <m/>
    <m/>
    <m/>
    <m/>
    <m/>
    <m/>
    <m/>
    <m/>
  </r>
  <r>
    <n v="9"/>
    <d v="2007-05-01T00:00:00"/>
    <x v="4"/>
    <x v="7"/>
    <m/>
    <m/>
    <m/>
    <m/>
    <m/>
    <m/>
    <m/>
    <m/>
    <m/>
    <m/>
    <m/>
    <m/>
    <m/>
    <m/>
    <m/>
    <m/>
    <m/>
    <m/>
  </r>
  <r>
    <n v="9"/>
    <d v="2007-06-01T00:00:00"/>
    <x v="5"/>
    <x v="7"/>
    <m/>
    <m/>
    <m/>
    <m/>
    <m/>
    <m/>
    <m/>
    <m/>
    <m/>
    <m/>
    <m/>
    <m/>
    <m/>
    <m/>
    <m/>
    <m/>
    <m/>
    <m/>
  </r>
  <r>
    <n v="9"/>
    <d v="2007-07-01T00:00:00"/>
    <x v="6"/>
    <x v="7"/>
    <n v="242"/>
    <n v="1"/>
    <d v="2006-11-01T00:00:00"/>
    <n v="617382"/>
    <m/>
    <m/>
    <n v="0.02"/>
    <m/>
    <s v="t"/>
    <n v="0.33"/>
    <m/>
    <m/>
    <m/>
    <s v="Transferred from farm #17"/>
    <m/>
    <n v="12347.64"/>
    <n v="203736.06"/>
    <n v="81494.423999999999"/>
  </r>
  <r>
    <n v="9"/>
    <d v="2007-08-01T00:00:00"/>
    <x v="7"/>
    <x v="7"/>
    <n v="273"/>
    <n v="1"/>
    <d v="2006-11-01T00:00:00"/>
    <n v="616649"/>
    <n v="0.13"/>
    <n v="0.12"/>
    <n v="0.02"/>
    <m/>
    <m/>
    <n v="0"/>
    <m/>
    <n v="10"/>
    <n v="25"/>
    <m/>
    <n v="73997.87999999999"/>
    <n v="12332.98"/>
    <n v="0"/>
    <n v="0"/>
  </r>
  <r>
    <n v="9"/>
    <d v="2007-09-01T00:00:00"/>
    <x v="8"/>
    <x v="7"/>
    <n v="304"/>
    <n v="1"/>
    <d v="2006-11-01T00:00:00"/>
    <n v="616186"/>
    <n v="0.48"/>
    <n v="1.75"/>
    <n v="0.73"/>
    <n v="0"/>
    <m/>
    <n v="0"/>
    <m/>
    <n v="10"/>
    <n v="29"/>
    <m/>
    <n v="1078325.5"/>
    <n v="449815.77999999997"/>
    <n v="0"/>
    <n v="0"/>
  </r>
  <r>
    <n v="9"/>
    <d v="2007-10-01T00:00:00"/>
    <x v="9"/>
    <x v="7"/>
    <n v="334"/>
    <n v="1"/>
    <d v="2006-11-01T00:00:00"/>
    <n v="615951"/>
    <n v="7.0000000000000007E-2"/>
    <n v="1.92"/>
    <n v="0.95"/>
    <n v="0"/>
    <m/>
    <n v="0.08"/>
    <m/>
    <n v="9"/>
    <m/>
    <m/>
    <n v="1182625.92"/>
    <n v="585153.44999999995"/>
    <n v="49276.08"/>
    <n v="19710.432000000001"/>
  </r>
  <r>
    <n v="9"/>
    <d v="2007-11-01T00:00:00"/>
    <x v="10"/>
    <x v="7"/>
    <n v="365"/>
    <n v="2"/>
    <d v="2006-11-01T00:00:00"/>
    <n v="615582"/>
    <n v="0.08"/>
    <n v="2.2000000000000002"/>
    <n v="1.18"/>
    <n v="0"/>
    <m/>
    <n v="0.23"/>
    <m/>
    <n v="8"/>
    <m/>
    <m/>
    <n v="1354280.4000000001"/>
    <n v="726386.76"/>
    <n v="141583.86000000002"/>
    <n v="56633.544000000009"/>
  </r>
  <r>
    <n v="9"/>
    <d v="2007-12-01T00:00:00"/>
    <x v="11"/>
    <x v="7"/>
    <n v="395"/>
    <n v="2"/>
    <d v="2006-11-01T00:00:00"/>
    <n v="615539"/>
    <n v="0.57999999999999996"/>
    <n v="2.0699999999999998"/>
    <n v="1.32"/>
    <n v="2"/>
    <m/>
    <n v="0.15"/>
    <m/>
    <n v="7"/>
    <m/>
    <m/>
    <n v="1274165.73"/>
    <n v="812511.48"/>
    <n v="92330.849999999991"/>
    <n v="36932.339999999997"/>
  </r>
  <r>
    <n v="9"/>
    <d v="2008-01-01T00:00:00"/>
    <x v="0"/>
    <x v="8"/>
    <n v="426"/>
    <n v="2"/>
    <d v="2006-11-01T00:00:00"/>
    <n v="614889"/>
    <n v="0.42"/>
    <n v="1.5"/>
    <n v="1.03"/>
    <m/>
    <m/>
    <n v="0.25"/>
    <n v="1"/>
    <m/>
    <m/>
    <m/>
    <n v="922333.5"/>
    <n v="633335.67000000004"/>
    <n v="153722.25"/>
    <n v="61488.9"/>
  </r>
  <r>
    <n v="9"/>
    <d v="2008-02-01T00:00:00"/>
    <x v="1"/>
    <x v="8"/>
    <n v="457"/>
    <n v="2"/>
    <d v="2006-11-01T00:00:00"/>
    <n v="614703"/>
    <m/>
    <n v="0.82499999999999996"/>
    <n v="0.55500000000000005"/>
    <m/>
    <n v="1"/>
    <n v="0.125"/>
    <m/>
    <m/>
    <m/>
    <m/>
    <n v="507129.97499999998"/>
    <n v="341160.16500000004"/>
    <n v="76837.875"/>
    <n v="30735.15"/>
  </r>
  <r>
    <n v="9"/>
    <d v="2008-03-01T00:00:00"/>
    <x v="2"/>
    <x v="8"/>
    <n v="486"/>
    <n v="2"/>
    <d v="2006-11-01T00:00:00"/>
    <n v="614517"/>
    <n v="0.02"/>
    <n v="0.15"/>
    <n v="0.08"/>
    <m/>
    <m/>
    <n v="0"/>
    <m/>
    <m/>
    <m/>
    <m/>
    <n v="92177.55"/>
    <n v="49161.36"/>
    <n v="0"/>
    <n v="0"/>
  </r>
  <r>
    <n v="9"/>
    <d v="2008-04-01T00:00:00"/>
    <x v="3"/>
    <x v="8"/>
    <n v="517"/>
    <n v="2"/>
    <d v="2006-11-01T00:00:00"/>
    <n v="614183"/>
    <n v="0.03"/>
    <n v="0.05"/>
    <n v="0.02"/>
    <n v="0"/>
    <m/>
    <n v="0"/>
    <m/>
    <m/>
    <m/>
    <m/>
    <n v="30709.15"/>
    <n v="12283.66"/>
    <n v="0"/>
    <n v="0"/>
  </r>
  <r>
    <n v="9"/>
    <d v="2008-05-01T00:00:00"/>
    <x v="4"/>
    <x v="8"/>
    <n v="547"/>
    <n v="2"/>
    <d v="2006-11-01T00:00:00"/>
    <n v="613831"/>
    <n v="0.28000000000000003"/>
    <n v="0"/>
    <n v="0"/>
    <n v="0"/>
    <m/>
    <n v="0.45"/>
    <m/>
    <m/>
    <m/>
    <m/>
    <n v="0"/>
    <n v="0"/>
    <n v="276223.95"/>
    <n v="110489.58000000002"/>
  </r>
  <r>
    <n v="9"/>
    <d v="2008-06-01T00:00:00"/>
    <x v="5"/>
    <x v="8"/>
    <n v="578"/>
    <n v="2"/>
    <d v="2006-11-01T00:00:00"/>
    <n v="613501"/>
    <n v="7.0000000000000007E-2"/>
    <n v="0.12"/>
    <n v="0.02"/>
    <n v="0"/>
    <m/>
    <n v="0.15"/>
    <m/>
    <m/>
    <m/>
    <s v="moved 310K to farm #22"/>
    <n v="73620.12"/>
    <n v="12270.02"/>
    <n v="92025.15"/>
    <n v="36810.06"/>
  </r>
  <r>
    <n v="9"/>
    <d v="2008-07-01T00:00:00"/>
    <x v="6"/>
    <x v="8"/>
    <n v="608"/>
    <n v="2"/>
    <d v="2006-11-01T00:00:00"/>
    <n v="376000"/>
    <n v="0.08"/>
    <n v="0.22"/>
    <n v="0.2"/>
    <n v="0"/>
    <m/>
    <n v="0.08"/>
    <m/>
    <m/>
    <m/>
    <m/>
    <n v="82720"/>
    <n v="75200"/>
    <n v="30080"/>
    <n v="12032"/>
  </r>
  <r>
    <n v="9"/>
    <d v="2008-08-01T00:00:00"/>
    <x v="7"/>
    <x v="8"/>
    <n v="639"/>
    <n v="2"/>
    <d v="2006-11-01T00:00:00"/>
    <n v="376000"/>
    <n v="0"/>
    <n v="0.38"/>
    <n v="0.16"/>
    <n v="0"/>
    <m/>
    <n v="0"/>
    <m/>
    <m/>
    <m/>
    <m/>
    <n v="142880"/>
    <n v="60160"/>
    <n v="0"/>
    <n v="0"/>
  </r>
  <r>
    <n v="9"/>
    <d v="2008-09-01T00:00:00"/>
    <x v="8"/>
    <x v="8"/>
    <n v="670"/>
    <n v="2"/>
    <d v="2006-11-01T00:00:00"/>
    <n v="376000"/>
    <n v="0"/>
    <n v="0.35"/>
    <n v="0.12"/>
    <n v="0"/>
    <m/>
    <n v="0.02"/>
    <m/>
    <m/>
    <m/>
    <m/>
    <n v="131600"/>
    <n v="45120"/>
    <n v="7520"/>
    <n v="3008"/>
  </r>
  <r>
    <n v="9"/>
    <d v="2008-10-01T00:00:00"/>
    <x v="9"/>
    <x v="8"/>
    <n v="700"/>
    <n v="2"/>
    <d v="2006-11-01T00:00:00"/>
    <n v="375000"/>
    <n v="0.05"/>
    <n v="1.08"/>
    <n v="0.51"/>
    <m/>
    <m/>
    <n v="0.33"/>
    <m/>
    <m/>
    <m/>
    <m/>
    <n v="405000"/>
    <n v="191250"/>
    <n v="123750"/>
    <n v="49500"/>
  </r>
  <r>
    <n v="9"/>
    <d v="2008-11-01T00:00:00"/>
    <x v="10"/>
    <x v="8"/>
    <n v="731"/>
    <n v="2"/>
    <d v="2006-11-01T00:00:00"/>
    <n v="21786"/>
    <m/>
    <n v="1.81"/>
    <n v="0.9"/>
    <m/>
    <s v="h"/>
    <n v="0.64"/>
    <m/>
    <m/>
    <m/>
    <s v="Harvesting"/>
    <n v="39432.660000000003"/>
    <n v="19607.400000000001"/>
    <n v="13943.04"/>
    <n v="5577.2160000000003"/>
  </r>
  <r>
    <n v="9"/>
    <d v="2008-12-01T00:00:00"/>
    <x v="11"/>
    <x v="8"/>
    <m/>
    <m/>
    <m/>
    <m/>
    <m/>
    <m/>
    <m/>
    <m/>
    <m/>
    <m/>
    <m/>
    <m/>
    <m/>
    <m/>
    <m/>
    <m/>
    <m/>
    <m/>
  </r>
  <r>
    <n v="9"/>
    <d v="2009-01-01T00:00:00"/>
    <x v="0"/>
    <x v="9"/>
    <m/>
    <m/>
    <m/>
    <m/>
    <m/>
    <m/>
    <m/>
    <m/>
    <m/>
    <m/>
    <m/>
    <m/>
    <m/>
    <m/>
    <m/>
    <m/>
    <m/>
    <m/>
  </r>
  <r>
    <n v="9"/>
    <d v="2009-02-01T00:00:00"/>
    <x v="1"/>
    <x v="9"/>
    <m/>
    <m/>
    <m/>
    <m/>
    <m/>
    <m/>
    <m/>
    <m/>
    <m/>
    <m/>
    <m/>
    <m/>
    <m/>
    <m/>
    <m/>
    <m/>
    <m/>
    <m/>
  </r>
  <r>
    <n v="9"/>
    <d v="2009-03-01T00:00:00"/>
    <x v="2"/>
    <x v="9"/>
    <m/>
    <m/>
    <m/>
    <m/>
    <m/>
    <m/>
    <m/>
    <m/>
    <m/>
    <m/>
    <m/>
    <m/>
    <m/>
    <m/>
    <m/>
    <m/>
    <m/>
    <m/>
  </r>
  <r>
    <n v="9"/>
    <d v="2009-04-01T00:00:00"/>
    <x v="3"/>
    <x v="9"/>
    <m/>
    <m/>
    <m/>
    <m/>
    <m/>
    <m/>
    <m/>
    <m/>
    <m/>
    <m/>
    <m/>
    <m/>
    <m/>
    <m/>
    <m/>
    <m/>
    <m/>
    <m/>
  </r>
  <r>
    <n v="9"/>
    <d v="2009-05-01T00:00:00"/>
    <x v="4"/>
    <x v="9"/>
    <m/>
    <m/>
    <m/>
    <m/>
    <m/>
    <m/>
    <m/>
    <m/>
    <m/>
    <m/>
    <m/>
    <m/>
    <m/>
    <m/>
    <m/>
    <m/>
    <m/>
    <m/>
  </r>
  <r>
    <n v="9"/>
    <d v="2009-06-01T00:00:00"/>
    <x v="5"/>
    <x v="9"/>
    <m/>
    <m/>
    <m/>
    <m/>
    <m/>
    <m/>
    <m/>
    <m/>
    <m/>
    <m/>
    <m/>
    <m/>
    <m/>
    <m/>
    <m/>
    <m/>
    <m/>
    <m/>
  </r>
  <r>
    <n v="9"/>
    <d v="2009-07-01T00:00:00"/>
    <x v="6"/>
    <x v="9"/>
    <n v="266"/>
    <n v="1"/>
    <d v="2008-10-08T00:00:00"/>
    <n v="421346"/>
    <m/>
    <n v="0.05"/>
    <n v="0.02"/>
    <m/>
    <s v="t"/>
    <n v="7.0000000000000007E-2"/>
    <m/>
    <m/>
    <m/>
    <s v="count estimated (receiving fish from farm #17; use farm #17 counts)"/>
    <n v="21067.300000000003"/>
    <n v="8426.92"/>
    <n v="29494.22"/>
    <n v="11797.688000000002"/>
  </r>
  <r>
    <n v="9"/>
    <d v="2009-08-01T00:00:00"/>
    <x v="7"/>
    <x v="9"/>
    <n v="297"/>
    <n v="1"/>
    <d v="2008-10-08T00:00:00"/>
    <n v="420975"/>
    <n v="0.11700000000000001"/>
    <n v="0.3"/>
    <n v="6.7000000000000004E-2"/>
    <m/>
    <m/>
    <n v="0"/>
    <m/>
    <m/>
    <m/>
    <m/>
    <n v="126292.5"/>
    <n v="28205.325000000001"/>
    <n v="0"/>
    <n v="0"/>
  </r>
  <r>
    <n v="9"/>
    <d v="2009-09-01T00:00:00"/>
    <x v="8"/>
    <x v="9"/>
    <n v="328"/>
    <n v="1"/>
    <d v="2008-10-08T00:00:00"/>
    <n v="420604"/>
    <n v="0.63"/>
    <n v="0.32"/>
    <n v="7.0000000000000007E-2"/>
    <n v="0"/>
    <m/>
    <n v="0"/>
    <m/>
    <m/>
    <m/>
    <m/>
    <n v="134593.28"/>
    <n v="29442.280000000002"/>
    <n v="0"/>
    <n v="0"/>
  </r>
  <r>
    <n v="9"/>
    <d v="2009-10-01T00:00:00"/>
    <x v="9"/>
    <x v="9"/>
    <n v="358"/>
    <n v="1"/>
    <d v="2008-10-08T00:00:00"/>
    <n v="420096"/>
    <n v="0.3"/>
    <n v="3.55"/>
    <n v="1.9"/>
    <n v="0"/>
    <m/>
    <n v="0.05"/>
    <m/>
    <m/>
    <m/>
    <m/>
    <n v="1491340.7999999998"/>
    <n v="798182.39999999991"/>
    <n v="21004.800000000003"/>
    <n v="8401.9200000000019"/>
  </r>
  <r>
    <n v="9"/>
    <d v="2009-11-01T00:00:00"/>
    <x v="10"/>
    <x v="9"/>
    <n v="389"/>
    <n v="2"/>
    <d v="2008-10-08T00:00:00"/>
    <n v="419527"/>
    <n v="3.4169999999999998"/>
    <n v="5.4169999999999998"/>
    <n v="2.5329999999999999"/>
    <n v="2"/>
    <m/>
    <n v="0.56699999999999995"/>
    <n v="1"/>
    <m/>
    <m/>
    <m/>
    <n v="2272577.7590000001"/>
    <n v="1062661.8910000001"/>
    <n v="237871.80899999998"/>
    <n v="95148.723599999998"/>
  </r>
  <r>
    <n v="9"/>
    <d v="2009-12-01T00:00:00"/>
    <x v="11"/>
    <x v="9"/>
    <n v="419"/>
    <n v="2"/>
    <d v="2008-10-08T00:00:00"/>
    <n v="419363"/>
    <n v="3.73"/>
    <n v="2.23"/>
    <n v="0.9"/>
    <m/>
    <m/>
    <n v="0.08"/>
    <m/>
    <m/>
    <m/>
    <m/>
    <n v="935179.49"/>
    <n v="377426.7"/>
    <n v="33549.040000000001"/>
    <n v="13419.616000000002"/>
  </r>
  <r>
    <n v="11"/>
    <d v="2000-01-01T00:00:00"/>
    <x v="0"/>
    <x v="0"/>
    <m/>
    <m/>
    <m/>
    <m/>
    <m/>
    <m/>
    <m/>
    <m/>
    <m/>
    <m/>
    <m/>
    <m/>
    <m/>
    <m/>
    <m/>
    <m/>
    <m/>
    <m/>
  </r>
  <r>
    <n v="11"/>
    <d v="2000-02-01T00:00:00"/>
    <x v="1"/>
    <x v="0"/>
    <m/>
    <m/>
    <m/>
    <m/>
    <m/>
    <m/>
    <m/>
    <m/>
    <m/>
    <m/>
    <m/>
    <m/>
    <m/>
    <m/>
    <m/>
    <m/>
    <m/>
    <m/>
  </r>
  <r>
    <n v="11"/>
    <d v="2000-03-01T00:00:00"/>
    <x v="2"/>
    <x v="0"/>
    <m/>
    <m/>
    <m/>
    <m/>
    <m/>
    <m/>
    <m/>
    <m/>
    <m/>
    <m/>
    <m/>
    <m/>
    <m/>
    <m/>
    <m/>
    <m/>
    <m/>
    <m/>
  </r>
  <r>
    <n v="11"/>
    <d v="2000-04-01T00:00:00"/>
    <x v="3"/>
    <x v="0"/>
    <m/>
    <m/>
    <m/>
    <m/>
    <m/>
    <m/>
    <m/>
    <m/>
    <m/>
    <m/>
    <m/>
    <m/>
    <m/>
    <m/>
    <m/>
    <m/>
    <m/>
    <m/>
  </r>
  <r>
    <n v="11"/>
    <d v="2000-05-01T00:00:00"/>
    <x v="4"/>
    <x v="0"/>
    <m/>
    <m/>
    <m/>
    <m/>
    <m/>
    <m/>
    <m/>
    <m/>
    <m/>
    <m/>
    <m/>
    <m/>
    <m/>
    <m/>
    <m/>
    <m/>
    <m/>
    <m/>
  </r>
  <r>
    <n v="11"/>
    <d v="2000-06-01T00:00:00"/>
    <x v="5"/>
    <x v="0"/>
    <m/>
    <m/>
    <m/>
    <m/>
    <m/>
    <m/>
    <m/>
    <m/>
    <m/>
    <m/>
    <m/>
    <m/>
    <m/>
    <m/>
    <m/>
    <m/>
    <m/>
    <m/>
  </r>
  <r>
    <n v="11"/>
    <d v="2000-07-01T00:00:00"/>
    <x v="6"/>
    <x v="0"/>
    <m/>
    <m/>
    <m/>
    <m/>
    <m/>
    <m/>
    <m/>
    <m/>
    <m/>
    <m/>
    <m/>
    <m/>
    <m/>
    <m/>
    <m/>
    <m/>
    <m/>
    <m/>
  </r>
  <r>
    <n v="11"/>
    <d v="2000-08-01T00:00:00"/>
    <x v="7"/>
    <x v="0"/>
    <m/>
    <m/>
    <m/>
    <m/>
    <m/>
    <m/>
    <m/>
    <m/>
    <m/>
    <m/>
    <m/>
    <m/>
    <m/>
    <s v="Fish transferred in from farm #8"/>
    <m/>
    <m/>
    <m/>
    <m/>
  </r>
  <r>
    <n v="11"/>
    <d v="2000-09-01T00:00:00"/>
    <x v="8"/>
    <x v="0"/>
    <n v="275"/>
    <n v="1"/>
    <d v="1999-12-01T00:00:00"/>
    <n v="599058"/>
    <n v="0.2"/>
    <n v="9.625"/>
    <n v="3.3"/>
    <m/>
    <m/>
    <n v="0"/>
    <m/>
    <m/>
    <m/>
    <m/>
    <n v="5765933.25"/>
    <n v="1976891.4"/>
    <n v="0"/>
    <n v="0"/>
  </r>
  <r>
    <n v="11"/>
    <d v="2000-10-01T00:00:00"/>
    <x v="9"/>
    <x v="0"/>
    <n v="305"/>
    <n v="1"/>
    <d v="1999-12-01T00:00:00"/>
    <n v="584022"/>
    <n v="0.82499999999999996"/>
    <n v="12.6"/>
    <n v="6.25"/>
    <n v="2"/>
    <m/>
    <n v="0.17499999999999999"/>
    <m/>
    <m/>
    <m/>
    <m/>
    <n v="7358677.2000000002"/>
    <n v="3650137.5"/>
    <n v="102203.84999999999"/>
    <n v="40881.54"/>
  </r>
  <r>
    <n v="11"/>
    <d v="2000-11-01T00:00:00"/>
    <x v="10"/>
    <x v="0"/>
    <n v="336"/>
    <n v="1"/>
    <d v="1999-12-01T00:00:00"/>
    <n v="583351"/>
    <n v="1.6666666666666667"/>
    <n v="10.283333333333333"/>
    <n v="5.1166666666666671"/>
    <n v="0"/>
    <m/>
    <n v="0.11666666666666668"/>
    <n v="1"/>
    <m/>
    <m/>
    <m/>
    <n v="5998792.7833333332"/>
    <n v="2984812.6166666672"/>
    <n v="68057.616666666669"/>
    <n v="27223.046666666669"/>
  </r>
  <r>
    <n v="11"/>
    <d v="2000-12-01T00:00:00"/>
    <x v="11"/>
    <x v="0"/>
    <n v="366"/>
    <n v="2"/>
    <d v="1999-12-01T00:00:00"/>
    <n v="582660"/>
    <n v="0.375"/>
    <n v="4.5"/>
    <n v="2.4750000000000001"/>
    <n v="0"/>
    <m/>
    <n v="0.625"/>
    <m/>
    <m/>
    <m/>
    <m/>
    <n v="2621970"/>
    <n v="1442083.5"/>
    <n v="364162.5"/>
    <n v="145665"/>
  </r>
  <r>
    <n v="11"/>
    <d v="2001-01-01T00:00:00"/>
    <x v="0"/>
    <x v="1"/>
    <n v="397"/>
    <n v="2"/>
    <d v="1999-12-01T00:00:00"/>
    <n v="581640"/>
    <n v="0"/>
    <n v="0.2"/>
    <n v="0.12"/>
    <n v="0"/>
    <m/>
    <n v="0.02"/>
    <m/>
    <m/>
    <m/>
    <m/>
    <n v="116328"/>
    <n v="69796.800000000003"/>
    <n v="11632.800000000001"/>
    <n v="4653.1200000000008"/>
  </r>
  <r>
    <n v="11"/>
    <d v="2001-02-01T00:00:00"/>
    <x v="1"/>
    <x v="1"/>
    <n v="428"/>
    <n v="2"/>
    <d v="1999-12-01T00:00:00"/>
    <n v="580752"/>
    <n v="0"/>
    <n v="0.04"/>
    <n v="0.02"/>
    <n v="2"/>
    <m/>
    <n v="0"/>
    <m/>
    <m/>
    <m/>
    <m/>
    <n v="23230.080000000002"/>
    <n v="11615.04"/>
    <n v="0"/>
    <n v="0"/>
  </r>
  <r>
    <n v="11"/>
    <d v="2001-03-01T00:00:00"/>
    <x v="2"/>
    <x v="1"/>
    <n v="456"/>
    <n v="2"/>
    <d v="1999-12-01T00:00:00"/>
    <n v="580283"/>
    <n v="0.9"/>
    <n v="0.48333333333333334"/>
    <n v="0.33333333333333337"/>
    <m/>
    <m/>
    <n v="0.22500000000000001"/>
    <m/>
    <m/>
    <m/>
    <m/>
    <n v="280470.1166666667"/>
    <n v="193427.66666666669"/>
    <n v="130563.675"/>
    <n v="52225.47"/>
  </r>
  <r>
    <n v="11"/>
    <d v="2001-04-01T00:00:00"/>
    <x v="3"/>
    <x v="1"/>
    <n v="487"/>
    <n v="2"/>
    <d v="1999-12-01T00:00:00"/>
    <n v="568932"/>
    <m/>
    <n v="7.0416666666666661"/>
    <n v="2.4416666666666664"/>
    <m/>
    <n v="1"/>
    <n v="0.3125"/>
    <m/>
    <m/>
    <m/>
    <m/>
    <n v="4006229.4999999995"/>
    <n v="1389142.2999999998"/>
    <n v="177791.25"/>
    <n v="71116.5"/>
  </r>
  <r>
    <n v="11"/>
    <d v="2001-05-01T00:00:00"/>
    <x v="4"/>
    <x v="1"/>
    <n v="517"/>
    <n v="2"/>
    <d v="1999-12-01T00:00:00"/>
    <n v="449618"/>
    <n v="1.1000000000000001"/>
    <n v="13.6"/>
    <n v="4.55"/>
    <m/>
    <m/>
    <n v="0.4"/>
    <m/>
    <m/>
    <m/>
    <m/>
    <n v="6114804.7999999998"/>
    <n v="2045761.9"/>
    <n v="179847.2"/>
    <n v="71938.880000000005"/>
  </r>
  <r>
    <n v="11"/>
    <d v="2001-06-01T00:00:00"/>
    <x v="5"/>
    <x v="1"/>
    <n v="548"/>
    <n v="2"/>
    <d v="1999-12-01T00:00:00"/>
    <n v="385704"/>
    <m/>
    <n v="13.175000000000001"/>
    <n v="6.2249999999999996"/>
    <m/>
    <n v="1"/>
    <n v="0.22500000000000001"/>
    <m/>
    <m/>
    <m/>
    <m/>
    <n v="5081650.2"/>
    <n v="2401007.4"/>
    <n v="86783.400000000009"/>
    <n v="34713.360000000008"/>
  </r>
  <r>
    <n v="11"/>
    <d v="2001-07-01T00:00:00"/>
    <x v="6"/>
    <x v="1"/>
    <n v="578"/>
    <n v="2"/>
    <d v="1999-12-01T00:00:00"/>
    <n v="384595"/>
    <n v="0.05"/>
    <n v="12.75"/>
    <n v="7.9"/>
    <m/>
    <m/>
    <n v="0.05"/>
    <m/>
    <m/>
    <m/>
    <m/>
    <n v="4903586.25"/>
    <n v="3038300.5"/>
    <n v="19229.75"/>
    <n v="7691.9000000000005"/>
  </r>
  <r>
    <n v="11"/>
    <d v="2001-08-01T00:00:00"/>
    <x v="7"/>
    <x v="1"/>
    <n v="609"/>
    <n v="2"/>
    <d v="1999-12-01T00:00:00"/>
    <n v="282395"/>
    <m/>
    <m/>
    <n v="9"/>
    <m/>
    <s v="h"/>
    <n v="0.2"/>
    <m/>
    <m/>
    <m/>
    <m/>
    <m/>
    <n v="2541555"/>
    <n v="56479"/>
    <n v="22591.600000000002"/>
  </r>
  <r>
    <n v="11"/>
    <d v="2001-09-01T00:00:00"/>
    <x v="8"/>
    <x v="1"/>
    <n v="640"/>
    <n v="2"/>
    <d v="1999-12-01T00:00:00"/>
    <n v="137230"/>
    <m/>
    <m/>
    <n v="10"/>
    <m/>
    <s v="h"/>
    <n v="0.2"/>
    <m/>
    <m/>
    <m/>
    <m/>
    <m/>
    <n v="1372300"/>
    <n v="27446"/>
    <n v="10978.400000000001"/>
  </r>
  <r>
    <n v="11"/>
    <d v="2001-10-01T00:00:00"/>
    <x v="9"/>
    <x v="1"/>
    <m/>
    <m/>
    <m/>
    <m/>
    <m/>
    <m/>
    <m/>
    <m/>
    <m/>
    <m/>
    <m/>
    <m/>
    <m/>
    <m/>
    <m/>
    <m/>
    <m/>
    <m/>
  </r>
  <r>
    <n v="11"/>
    <d v="2001-11-01T00:00:00"/>
    <x v="10"/>
    <x v="1"/>
    <m/>
    <m/>
    <m/>
    <m/>
    <m/>
    <m/>
    <m/>
    <m/>
    <m/>
    <m/>
    <m/>
    <m/>
    <m/>
    <m/>
    <m/>
    <m/>
    <m/>
    <m/>
  </r>
  <r>
    <n v="11"/>
    <d v="2001-12-01T00:00:00"/>
    <x v="11"/>
    <x v="1"/>
    <m/>
    <m/>
    <m/>
    <m/>
    <m/>
    <m/>
    <m/>
    <m/>
    <m/>
    <m/>
    <m/>
    <m/>
    <m/>
    <m/>
    <m/>
    <m/>
    <m/>
    <m/>
  </r>
  <r>
    <n v="11"/>
    <d v="2002-01-01T00:00:00"/>
    <x v="0"/>
    <x v="2"/>
    <m/>
    <m/>
    <m/>
    <m/>
    <m/>
    <m/>
    <m/>
    <m/>
    <m/>
    <m/>
    <m/>
    <m/>
    <m/>
    <s v="Empty (no fish)"/>
    <m/>
    <m/>
    <m/>
    <m/>
  </r>
  <r>
    <n v="11"/>
    <d v="2002-02-01T00:00:00"/>
    <x v="1"/>
    <x v="2"/>
    <m/>
    <n v="1"/>
    <m/>
    <m/>
    <m/>
    <m/>
    <m/>
    <m/>
    <m/>
    <m/>
    <m/>
    <n v="7.1"/>
    <n v="34.5"/>
    <s v="fish transferred from farm #6 in late February, but inventory included only in farm #6 counts"/>
    <m/>
    <m/>
    <m/>
    <m/>
  </r>
  <r>
    <n v="11"/>
    <d v="2002-03-01T00:00:00"/>
    <x v="2"/>
    <x v="2"/>
    <n v="393"/>
    <n v="2"/>
    <d v="2001-02-01T00:00:00"/>
    <n v="205423"/>
    <m/>
    <m/>
    <m/>
    <m/>
    <m/>
    <m/>
    <m/>
    <n v="6.8"/>
    <n v="34.799999999999997"/>
    <s v="IHNV diagnosis"/>
    <m/>
    <m/>
    <m/>
    <m/>
  </r>
  <r>
    <n v="11"/>
    <d v="2002-04-01T00:00:00"/>
    <x v="3"/>
    <x v="2"/>
    <n v="424"/>
    <n v="2"/>
    <d v="2001-02-01T00:00:00"/>
    <n v="149587"/>
    <m/>
    <m/>
    <m/>
    <m/>
    <m/>
    <m/>
    <m/>
    <n v="7.8"/>
    <n v="33.4"/>
    <m/>
    <m/>
    <m/>
    <m/>
    <m/>
  </r>
  <r>
    <n v="11"/>
    <d v="2002-05-01T00:00:00"/>
    <x v="4"/>
    <x v="2"/>
    <n v="454"/>
    <n v="2"/>
    <d v="2001-02-01T00:00:00"/>
    <n v="124674"/>
    <m/>
    <m/>
    <m/>
    <m/>
    <m/>
    <m/>
    <m/>
    <n v="8.6"/>
    <n v="33.200000000000003"/>
    <m/>
    <m/>
    <m/>
    <m/>
    <m/>
  </r>
  <r>
    <n v="11"/>
    <d v="2002-06-01T00:00:00"/>
    <x v="5"/>
    <x v="2"/>
    <n v="485"/>
    <n v="2"/>
    <d v="2001-02-01T00:00:00"/>
    <n v="114376"/>
    <n v="0"/>
    <n v="29.3"/>
    <n v="15.8"/>
    <m/>
    <m/>
    <n v="0"/>
    <n v="1"/>
    <n v="9.8000000000000007"/>
    <n v="29.5"/>
    <m/>
    <n v="3351216.8000000003"/>
    <n v="1807140.8"/>
    <n v="0"/>
    <n v="0"/>
  </r>
  <r>
    <n v="11"/>
    <d v="2002-07-01T00:00:00"/>
    <x v="6"/>
    <x v="2"/>
    <n v="515"/>
    <n v="2"/>
    <d v="2001-02-01T00:00:00"/>
    <n v="107699"/>
    <m/>
    <n v="15.56"/>
    <n v="8.0500000000000007"/>
    <m/>
    <n v="1"/>
    <n v="0"/>
    <m/>
    <n v="10.8"/>
    <n v="28.7"/>
    <m/>
    <n v="1675796.44"/>
    <n v="866976.95000000007"/>
    <n v="0"/>
    <n v="0"/>
  </r>
  <r>
    <n v="11"/>
    <d v="2002-08-01T00:00:00"/>
    <x v="7"/>
    <x v="2"/>
    <n v="546"/>
    <n v="2"/>
    <d v="2001-02-01T00:00:00"/>
    <n v="107042"/>
    <n v="0.76"/>
    <n v="1.82"/>
    <n v="0.3"/>
    <m/>
    <m/>
    <n v="0"/>
    <m/>
    <n v="11"/>
    <n v="31.7"/>
    <m/>
    <n v="194816.44"/>
    <n v="32112.6"/>
    <n v="0"/>
    <n v="0"/>
  </r>
  <r>
    <n v="11"/>
    <d v="2002-09-01T00:00:00"/>
    <x v="8"/>
    <x v="2"/>
    <n v="577"/>
    <n v="2"/>
    <d v="2001-02-01T00:00:00"/>
    <n v="63159"/>
    <m/>
    <m/>
    <n v="0.05"/>
    <m/>
    <s v="h"/>
    <n v="0.05"/>
    <m/>
    <n v="10.1"/>
    <n v="31.2"/>
    <s v="Harvested"/>
    <m/>
    <n v="3157.9500000000003"/>
    <n v="3157.9500000000003"/>
    <n v="1263.1800000000003"/>
  </r>
  <r>
    <n v="11"/>
    <d v="2002-10-01T00:00:00"/>
    <x v="9"/>
    <x v="2"/>
    <m/>
    <m/>
    <m/>
    <m/>
    <m/>
    <m/>
    <m/>
    <m/>
    <m/>
    <m/>
    <m/>
    <n v="9.1"/>
    <n v="30.4"/>
    <m/>
    <m/>
    <m/>
    <m/>
    <m/>
  </r>
  <r>
    <n v="11"/>
    <d v="2002-11-01T00:00:00"/>
    <x v="10"/>
    <x v="2"/>
    <m/>
    <m/>
    <m/>
    <m/>
    <m/>
    <m/>
    <m/>
    <m/>
    <m/>
    <m/>
    <m/>
    <n v="8.1"/>
    <n v="31.6"/>
    <s v="Empty (no fish)"/>
    <m/>
    <m/>
    <m/>
    <m/>
  </r>
  <r>
    <n v="11"/>
    <d v="2002-12-01T00:00:00"/>
    <x v="11"/>
    <x v="2"/>
    <m/>
    <m/>
    <m/>
    <m/>
    <m/>
    <m/>
    <m/>
    <m/>
    <m/>
    <m/>
    <m/>
    <m/>
    <m/>
    <m/>
    <m/>
    <m/>
    <m/>
    <m/>
  </r>
  <r>
    <n v="11"/>
    <d v="2003-01-01T00:00:00"/>
    <x v="0"/>
    <x v="3"/>
    <m/>
    <m/>
    <m/>
    <m/>
    <m/>
    <m/>
    <m/>
    <m/>
    <m/>
    <m/>
    <m/>
    <m/>
    <m/>
    <m/>
    <m/>
    <m/>
    <m/>
    <m/>
  </r>
  <r>
    <n v="11"/>
    <d v="2003-02-01T00:00:00"/>
    <x v="1"/>
    <x v="3"/>
    <m/>
    <m/>
    <m/>
    <m/>
    <m/>
    <m/>
    <m/>
    <m/>
    <m/>
    <m/>
    <m/>
    <m/>
    <m/>
    <m/>
    <m/>
    <m/>
    <m/>
    <m/>
  </r>
  <r>
    <n v="11"/>
    <d v="2003-03-01T00:00:00"/>
    <x v="2"/>
    <x v="3"/>
    <m/>
    <m/>
    <m/>
    <m/>
    <m/>
    <m/>
    <m/>
    <m/>
    <m/>
    <m/>
    <m/>
    <m/>
    <m/>
    <m/>
    <m/>
    <m/>
    <m/>
    <m/>
  </r>
  <r>
    <n v="11"/>
    <d v="2003-04-01T00:00:00"/>
    <x v="3"/>
    <x v="3"/>
    <m/>
    <m/>
    <m/>
    <m/>
    <m/>
    <m/>
    <m/>
    <m/>
    <m/>
    <m/>
    <m/>
    <m/>
    <m/>
    <m/>
    <m/>
    <m/>
    <m/>
    <m/>
  </r>
  <r>
    <n v="11"/>
    <d v="2003-05-01T00:00:00"/>
    <x v="4"/>
    <x v="3"/>
    <m/>
    <m/>
    <m/>
    <m/>
    <m/>
    <m/>
    <m/>
    <m/>
    <m/>
    <m/>
    <m/>
    <m/>
    <m/>
    <m/>
    <m/>
    <m/>
    <m/>
    <m/>
  </r>
  <r>
    <n v="11"/>
    <d v="2003-06-01T00:00:00"/>
    <x v="5"/>
    <x v="3"/>
    <m/>
    <m/>
    <m/>
    <m/>
    <m/>
    <m/>
    <m/>
    <m/>
    <m/>
    <m/>
    <m/>
    <m/>
    <m/>
    <m/>
    <m/>
    <m/>
    <m/>
    <m/>
  </r>
  <r>
    <n v="11"/>
    <d v="2003-07-01T00:00:00"/>
    <x v="6"/>
    <x v="3"/>
    <m/>
    <m/>
    <m/>
    <m/>
    <m/>
    <m/>
    <m/>
    <m/>
    <m/>
    <m/>
    <m/>
    <m/>
    <m/>
    <m/>
    <m/>
    <m/>
    <m/>
    <m/>
  </r>
  <r>
    <n v="11"/>
    <d v="2003-08-01T00:00:00"/>
    <x v="7"/>
    <x v="3"/>
    <m/>
    <m/>
    <m/>
    <m/>
    <m/>
    <m/>
    <m/>
    <m/>
    <m/>
    <m/>
    <m/>
    <m/>
    <m/>
    <m/>
    <m/>
    <m/>
    <m/>
    <m/>
  </r>
  <r>
    <n v="11"/>
    <d v="2003-09-01T00:00:00"/>
    <x v="8"/>
    <x v="3"/>
    <n v="212"/>
    <n v="1"/>
    <d v="2003-02-01T00:00:00"/>
    <m/>
    <m/>
    <m/>
    <m/>
    <m/>
    <m/>
    <m/>
    <m/>
    <m/>
    <m/>
    <s v="fish moved from farm #8 (counts for the month are at farm #8)"/>
    <m/>
    <m/>
    <m/>
    <m/>
  </r>
  <r>
    <n v="11"/>
    <d v="2003-10-01T00:00:00"/>
    <x v="9"/>
    <x v="3"/>
    <n v="242"/>
    <n v="1"/>
    <d v="2003-02-01T00:00:00"/>
    <n v="668653"/>
    <n v="0.37"/>
    <n v="1.68"/>
    <n v="0.27"/>
    <m/>
    <m/>
    <n v="1.02"/>
    <m/>
    <n v="9.3000000000000007"/>
    <m/>
    <m/>
    <n v="1123337.04"/>
    <n v="180536.31"/>
    <n v="682026.06"/>
    <n v="272810.42400000006"/>
  </r>
  <r>
    <n v="11"/>
    <d v="2003-11-01T00:00:00"/>
    <x v="10"/>
    <x v="3"/>
    <n v="273"/>
    <n v="1"/>
    <d v="2003-02-01T00:00:00"/>
    <n v="667431"/>
    <n v="0.47"/>
    <n v="1.5"/>
    <n v="0.32"/>
    <n v="0"/>
    <m/>
    <n v="0.3"/>
    <m/>
    <n v="8.6"/>
    <n v="29"/>
    <m/>
    <n v="1001146.5"/>
    <n v="213577.92"/>
    <n v="200229.3"/>
    <n v="80091.72"/>
  </r>
  <r>
    <n v="11"/>
    <d v="2003-12-01T00:00:00"/>
    <x v="11"/>
    <x v="3"/>
    <n v="303"/>
    <n v="1"/>
    <d v="2003-02-01T00:00:00"/>
    <n v="664749"/>
    <n v="0.83"/>
    <n v="2.13"/>
    <n v="1.4"/>
    <n v="2"/>
    <m/>
    <n v="0.72"/>
    <n v="1"/>
    <n v="7.9"/>
    <n v="29"/>
    <m/>
    <n v="1415915.3699999999"/>
    <n v="930648.6"/>
    <n v="478619.27999999997"/>
    <n v="191447.712"/>
  </r>
  <r>
    <n v="11"/>
    <d v="2004-01-01T00:00:00"/>
    <x v="0"/>
    <x v="4"/>
    <n v="334"/>
    <n v="1"/>
    <d v="2003-02-01T00:00:00"/>
    <n v="664000"/>
    <n v="0"/>
    <n v="7.0000000000000007E-2"/>
    <n v="0.03"/>
    <n v="0"/>
    <m/>
    <n v="0"/>
    <m/>
    <n v="7.09"/>
    <n v="32.9"/>
    <m/>
    <n v="46480.000000000007"/>
    <n v="19920"/>
    <n v="0"/>
    <n v="0"/>
  </r>
  <r>
    <n v="11"/>
    <d v="2004-02-01T00:00:00"/>
    <x v="1"/>
    <x v="4"/>
    <n v="365"/>
    <n v="2"/>
    <d v="2003-02-01T00:00:00"/>
    <n v="663000"/>
    <n v="0"/>
    <n v="0"/>
    <n v="0"/>
    <n v="0"/>
    <m/>
    <n v="0"/>
    <m/>
    <n v="7.16"/>
    <n v="33.14"/>
    <m/>
    <n v="0"/>
    <n v="0"/>
    <n v="0"/>
    <n v="0"/>
  </r>
  <r>
    <n v="11"/>
    <d v="2004-03-01T00:00:00"/>
    <x v="2"/>
    <x v="4"/>
    <n v="394"/>
    <n v="2"/>
    <d v="2003-02-01T00:00:00"/>
    <n v="662461"/>
    <n v="0"/>
    <n v="0"/>
    <n v="0"/>
    <n v="0"/>
    <m/>
    <n v="0.1"/>
    <m/>
    <n v="7.56"/>
    <n v="31.52"/>
    <m/>
    <n v="0"/>
    <n v="0"/>
    <n v="66246.100000000006"/>
    <n v="26498.440000000002"/>
  </r>
  <r>
    <n v="11"/>
    <d v="2004-04-01T00:00:00"/>
    <x v="3"/>
    <x v="4"/>
    <n v="425"/>
    <n v="2"/>
    <d v="2003-02-01T00:00:00"/>
    <n v="662009"/>
    <n v="0.39"/>
    <n v="0.04"/>
    <n v="0"/>
    <n v="0"/>
    <m/>
    <n v="0.09"/>
    <m/>
    <n v="8.9"/>
    <n v="30.5"/>
    <m/>
    <n v="26480.36"/>
    <n v="0"/>
    <n v="59580.81"/>
    <n v="23832.324000000001"/>
  </r>
  <r>
    <n v="11"/>
    <d v="2004-05-01T00:00:00"/>
    <x v="4"/>
    <x v="4"/>
    <n v="455"/>
    <n v="2"/>
    <d v="2003-02-01T00:00:00"/>
    <n v="661655"/>
    <n v="0.35"/>
    <n v="0.55000000000000004"/>
    <n v="0.1"/>
    <n v="0"/>
    <m/>
    <n v="0.65"/>
    <m/>
    <n v="9.9600000000000009"/>
    <n v="26.9"/>
    <m/>
    <n v="363910.25000000006"/>
    <n v="66165.5"/>
    <n v="430075.75"/>
    <n v="172030.30000000002"/>
  </r>
  <r>
    <n v="11"/>
    <d v="2004-06-01T00:00:00"/>
    <x v="5"/>
    <x v="4"/>
    <n v="486"/>
    <n v="2"/>
    <d v="2003-02-01T00:00:00"/>
    <n v="660733"/>
    <n v="0.2"/>
    <n v="4.5"/>
    <n v="2.15"/>
    <n v="1"/>
    <m/>
    <n v="0.2"/>
    <m/>
    <n v="10.31"/>
    <n v="23.63"/>
    <m/>
    <n v="2973298.5"/>
    <n v="1420575.95"/>
    <n v="132146.6"/>
    <n v="52858.640000000007"/>
  </r>
  <r>
    <n v="11"/>
    <d v="2004-07-01T00:00:00"/>
    <x v="6"/>
    <x v="4"/>
    <n v="516"/>
    <n v="2"/>
    <d v="2003-02-01T00:00:00"/>
    <n v="660200"/>
    <n v="0.1"/>
    <n v="2.6"/>
    <n v="1.4"/>
    <n v="1"/>
    <m/>
    <n v="0.2"/>
    <m/>
    <n v="11.87"/>
    <n v="24.1"/>
    <m/>
    <n v="1716520"/>
    <n v="924279.99999999988"/>
    <n v="132040"/>
    <n v="52816"/>
  </r>
  <r>
    <n v="11"/>
    <d v="2004-08-01T00:00:00"/>
    <x v="7"/>
    <x v="4"/>
    <n v="547"/>
    <n v="2"/>
    <d v="2003-02-01T00:00:00"/>
    <n v="659407.66666666698"/>
    <n v="0.24"/>
    <n v="4.9000000000000004"/>
    <n v="3.16"/>
    <m/>
    <m/>
    <n v="0.21"/>
    <m/>
    <n v="11.52"/>
    <n v="22.74"/>
    <m/>
    <n v="3231097.5666666683"/>
    <n v="2083728.2266666677"/>
    <n v="138475.61000000007"/>
    <n v="55390.244000000035"/>
  </r>
  <r>
    <n v="11"/>
    <d v="2004-09-01T00:00:00"/>
    <x v="8"/>
    <x v="4"/>
    <n v="578"/>
    <n v="2"/>
    <d v="2003-02-01T00:00:00"/>
    <n v="658680.16666666698"/>
    <m/>
    <n v="4"/>
    <n v="2.665"/>
    <m/>
    <n v="1"/>
    <n v="0.66500000000000004"/>
    <m/>
    <m/>
    <m/>
    <m/>
    <n v="2634720.6666666679"/>
    <n v="1755382.6441666675"/>
    <n v="438022.31083333358"/>
    <n v="175208.92433333345"/>
  </r>
  <r>
    <n v="11"/>
    <d v="2004-10-01T00:00:00"/>
    <x v="9"/>
    <x v="4"/>
    <n v="608"/>
    <n v="2"/>
    <d v="2003-02-01T00:00:00"/>
    <n v="657952.66666666698"/>
    <n v="0.14000000000000001"/>
    <n v="3.1"/>
    <n v="2.17"/>
    <m/>
    <m/>
    <n v="1.1200000000000001"/>
    <m/>
    <n v="9.8000000000000007"/>
    <n v="27.7"/>
    <m/>
    <n v="2039653.2666666678"/>
    <n v="1427757.2866666673"/>
    <n v="736906.98666666704"/>
    <n v="294762.79466666683"/>
  </r>
  <r>
    <n v="11"/>
    <d v="2004-11-01T00:00:00"/>
    <x v="10"/>
    <x v="4"/>
    <n v="639"/>
    <n v="2"/>
    <d v="2003-02-01T00:00:00"/>
    <n v="657225.16666666698"/>
    <n v="0.12"/>
    <n v="3.12"/>
    <n v="2.0499999999999998"/>
    <n v="0"/>
    <m/>
    <n v="0"/>
    <m/>
    <n v="8.41"/>
    <n v="27.22"/>
    <m/>
    <n v="2050542.5200000009"/>
    <n v="1347311.5916666673"/>
    <n v="0"/>
    <n v="0"/>
  </r>
  <r>
    <n v="11"/>
    <d v="2004-12-01T00:00:00"/>
    <x v="11"/>
    <x v="4"/>
    <n v="669"/>
    <n v="2"/>
    <d v="2003-02-01T00:00:00"/>
    <n v="656497.66666666698"/>
    <n v="0.23"/>
    <n v="3.82"/>
    <n v="1.9"/>
    <n v="1"/>
    <m/>
    <n v="0.62"/>
    <m/>
    <n v="8"/>
    <n v="29"/>
    <m/>
    <n v="2507821.0866666678"/>
    <n v="1247345.5666666671"/>
    <n v="407028.55333333352"/>
    <n v="162811.42133333342"/>
  </r>
  <r>
    <n v="11"/>
    <d v="2005-01-01T00:00:00"/>
    <x v="0"/>
    <x v="5"/>
    <n v="700"/>
    <n v="2"/>
    <d v="2003-02-01T00:00:00"/>
    <n v="500000"/>
    <n v="0.02"/>
    <n v="5.73"/>
    <n v="3.33"/>
    <n v="0"/>
    <m/>
    <n v="0.8"/>
    <m/>
    <n v="7"/>
    <n v="30"/>
    <m/>
    <n v="2865000"/>
    <n v="1665000"/>
    <n v="400000"/>
    <n v="160000"/>
  </r>
  <r>
    <n v="11"/>
    <d v="2005-02-01T00:00:00"/>
    <x v="1"/>
    <x v="5"/>
    <n v="731"/>
    <n v="3"/>
    <d v="2003-02-01T00:00:00"/>
    <n v="450000"/>
    <n v="0.18"/>
    <n v="5.47"/>
    <n v="3.6"/>
    <n v="2"/>
    <m/>
    <n v="0.13"/>
    <n v="1"/>
    <n v="7"/>
    <n v="28"/>
    <m/>
    <n v="2461500"/>
    <n v="1620000"/>
    <n v="58500"/>
    <n v="23400"/>
  </r>
  <r>
    <n v="11"/>
    <d v="2005-03-01T00:00:00"/>
    <x v="2"/>
    <x v="5"/>
    <n v="759"/>
    <n v="3"/>
    <d v="2003-02-01T00:00:00"/>
    <n v="265082"/>
    <n v="0"/>
    <n v="0.17"/>
    <n v="0.1"/>
    <n v="0"/>
    <m/>
    <n v="0.02"/>
    <m/>
    <n v="8"/>
    <n v="31"/>
    <s v="harvesting"/>
    <n v="45063.94"/>
    <n v="26508.2"/>
    <n v="5301.64"/>
    <n v="2120.6560000000004"/>
  </r>
  <r>
    <n v="11"/>
    <d v="2005-04-01T00:00:00"/>
    <x v="3"/>
    <x v="5"/>
    <n v="790"/>
    <n v="3"/>
    <d v="2003-02-01T00:00:00"/>
    <n v="127118"/>
    <n v="0"/>
    <n v="0.9"/>
    <n v="0.45"/>
    <m/>
    <m/>
    <n v="0.05"/>
    <m/>
    <n v="9"/>
    <n v="31"/>
    <s v="harvesting"/>
    <n v="114406.2"/>
    <n v="57203.1"/>
    <n v="6355.9000000000005"/>
    <n v="2542.3600000000006"/>
  </r>
  <r>
    <n v="11"/>
    <d v="2005-05-01T00:00:00"/>
    <x v="4"/>
    <x v="5"/>
    <n v="820"/>
    <n v="3"/>
    <d v="2003-02-01T00:00:00"/>
    <n v="27000"/>
    <m/>
    <m/>
    <n v="0.9"/>
    <m/>
    <s v="h"/>
    <n v="0.1"/>
    <m/>
    <m/>
    <m/>
    <s v="harvesting"/>
    <m/>
    <n v="24300"/>
    <n v="2700"/>
    <n v="1080"/>
  </r>
  <r>
    <n v="11"/>
    <d v="2005-06-01T00:00:00"/>
    <x v="5"/>
    <x v="5"/>
    <n v="212"/>
    <n v="1"/>
    <d v="2004-11-01T00:00:00"/>
    <m/>
    <m/>
    <m/>
    <m/>
    <m/>
    <m/>
    <m/>
    <m/>
    <m/>
    <m/>
    <m/>
    <m/>
    <m/>
    <m/>
    <m/>
  </r>
  <r>
    <n v="11"/>
    <d v="2005-07-01T00:00:00"/>
    <x v="6"/>
    <x v="5"/>
    <n v="242"/>
    <n v="1"/>
    <d v="2004-11-01T00:00:00"/>
    <n v="723758"/>
    <n v="0.02"/>
    <n v="0.08"/>
    <n v="0"/>
    <m/>
    <m/>
    <n v="0.02"/>
    <m/>
    <n v="11"/>
    <n v="24"/>
    <s v="transfer from farm #8"/>
    <n v="57900.639999999999"/>
    <n v="0"/>
    <n v="14475.16"/>
    <n v="5790.0640000000003"/>
  </r>
  <r>
    <n v="11"/>
    <d v="2005-08-01T00:00:00"/>
    <x v="7"/>
    <x v="5"/>
    <n v="273"/>
    <n v="1"/>
    <d v="2004-11-01T00:00:00"/>
    <n v="722000"/>
    <n v="0.4"/>
    <n v="0.23"/>
    <n v="0"/>
    <n v="0"/>
    <m/>
    <n v="0.12"/>
    <m/>
    <n v="11"/>
    <n v="22"/>
    <m/>
    <n v="166060"/>
    <n v="0"/>
    <n v="86640"/>
    <n v="34656"/>
  </r>
  <r>
    <n v="11"/>
    <d v="2005-09-01T00:00:00"/>
    <x v="8"/>
    <x v="5"/>
    <n v="304"/>
    <n v="1"/>
    <d v="2004-11-01T00:00:00"/>
    <n v="720500"/>
    <n v="0.12"/>
    <n v="1.2"/>
    <n v="0.68"/>
    <n v="0"/>
    <m/>
    <n v="0.15"/>
    <m/>
    <n v="12"/>
    <n v="25"/>
    <m/>
    <n v="864600"/>
    <n v="489940.00000000006"/>
    <n v="108075"/>
    <n v="43230"/>
  </r>
  <r>
    <n v="11"/>
    <d v="2005-10-01T00:00:00"/>
    <x v="9"/>
    <x v="5"/>
    <n v="334"/>
    <n v="1"/>
    <d v="2004-11-01T00:00:00"/>
    <n v="719000"/>
    <n v="0.33"/>
    <n v="2.62"/>
    <n v="1.18"/>
    <n v="0"/>
    <m/>
    <n v="0.77"/>
    <m/>
    <n v="9"/>
    <n v="25"/>
    <m/>
    <n v="1883780"/>
    <n v="848420"/>
    <n v="553630"/>
    <n v="221452"/>
  </r>
  <r>
    <n v="11"/>
    <d v="2005-11-01T00:00:00"/>
    <x v="10"/>
    <x v="5"/>
    <n v="365"/>
    <n v="2"/>
    <d v="2004-11-01T00:00:00"/>
    <n v="717500"/>
    <n v="0.53"/>
    <n v="2.72"/>
    <n v="1.4"/>
    <n v="0"/>
    <m/>
    <n v="7.0000000000000007E-2"/>
    <m/>
    <n v="8"/>
    <n v="25"/>
    <m/>
    <n v="1951600.0000000002"/>
    <n v="1004499.9999999999"/>
    <n v="50225.000000000007"/>
    <n v="20090.000000000004"/>
  </r>
  <r>
    <n v="11"/>
    <d v="2005-12-01T00:00:00"/>
    <x v="11"/>
    <x v="5"/>
    <n v="395"/>
    <n v="2"/>
    <d v="2004-11-01T00:00:00"/>
    <n v="716000"/>
    <n v="0.17"/>
    <n v="4.38"/>
    <n v="2.5"/>
    <n v="0"/>
    <m/>
    <n v="0.73"/>
    <m/>
    <n v="8"/>
    <n v="26"/>
    <m/>
    <n v="3136080"/>
    <n v="1790000"/>
    <n v="522680"/>
    <n v="209072"/>
  </r>
  <r>
    <n v="11"/>
    <d v="2006-01-01T00:00:00"/>
    <x v="0"/>
    <x v="6"/>
    <n v="426"/>
    <n v="2"/>
    <d v="2004-11-01T00:00:00"/>
    <n v="714500"/>
    <n v="0.65"/>
    <n v="5.88"/>
    <n v="3.47"/>
    <n v="2"/>
    <m/>
    <n v="0.18"/>
    <n v="1"/>
    <n v="8"/>
    <n v="26"/>
    <m/>
    <n v="4201260"/>
    <n v="2479315"/>
    <n v="128610"/>
    <n v="51444"/>
  </r>
  <r>
    <n v="11"/>
    <d v="2006-02-01T00:00:00"/>
    <x v="1"/>
    <x v="6"/>
    <n v="457"/>
    <n v="2"/>
    <d v="2004-11-01T00:00:00"/>
    <n v="713500"/>
    <n v="0.08"/>
    <n v="1.33"/>
    <n v="0.42"/>
    <n v="0"/>
    <m/>
    <n v="0"/>
    <m/>
    <n v="7"/>
    <n v="26"/>
    <m/>
    <n v="948955"/>
    <n v="299670"/>
    <n v="0"/>
    <n v="0"/>
  </r>
  <r>
    <n v="11"/>
    <d v="2006-03-01T00:00:00"/>
    <x v="2"/>
    <x v="6"/>
    <n v="485"/>
    <n v="2"/>
    <d v="2004-11-01T00:00:00"/>
    <n v="712735"/>
    <n v="0"/>
    <n v="0.28000000000000003"/>
    <n v="0.17"/>
    <n v="0"/>
    <m/>
    <n v="0.02"/>
    <m/>
    <n v="8"/>
    <n v="27"/>
    <m/>
    <n v="199565.80000000002"/>
    <n v="121164.95000000001"/>
    <n v="14254.7"/>
    <n v="5701.880000000001"/>
  </r>
  <r>
    <n v="11"/>
    <d v="2006-04-01T00:00:00"/>
    <x v="3"/>
    <x v="6"/>
    <n v="516"/>
    <n v="2"/>
    <d v="2004-11-01T00:00:00"/>
    <n v="710837"/>
    <n v="0"/>
    <n v="0"/>
    <n v="0"/>
    <n v="0"/>
    <m/>
    <n v="0"/>
    <m/>
    <n v="8"/>
    <n v="28"/>
    <m/>
    <n v="0"/>
    <n v="0"/>
    <n v="0"/>
    <n v="0"/>
  </r>
  <r>
    <n v="11"/>
    <d v="2006-05-01T00:00:00"/>
    <x v="4"/>
    <x v="6"/>
    <n v="546"/>
    <n v="2"/>
    <d v="2004-11-01T00:00:00"/>
    <n v="667282"/>
    <n v="0"/>
    <n v="0.02"/>
    <n v="0"/>
    <n v="0"/>
    <m/>
    <n v="0.02"/>
    <m/>
    <n v="9"/>
    <n v="25"/>
    <m/>
    <n v="13345.64"/>
    <n v="0"/>
    <n v="13345.64"/>
    <n v="5338.2560000000003"/>
  </r>
  <r>
    <n v="11"/>
    <d v="2006-06-01T00:00:00"/>
    <x v="5"/>
    <x v="6"/>
    <n v="577"/>
    <n v="2"/>
    <d v="2004-11-01T00:00:00"/>
    <n v="457784"/>
    <n v="0.05"/>
    <n v="0.18"/>
    <n v="0.1"/>
    <n v="0"/>
    <m/>
    <n v="0.02"/>
    <m/>
    <n v="10"/>
    <n v="23"/>
    <s v="Harvesting"/>
    <n v="82401.119999999995"/>
    <n v="45778.400000000001"/>
    <n v="9155.68"/>
    <n v="3662.2720000000004"/>
  </r>
  <r>
    <n v="11"/>
    <d v="2006-07-01T00:00:00"/>
    <x v="6"/>
    <x v="6"/>
    <n v="607"/>
    <n v="2"/>
    <d v="2004-11-01T00:00:00"/>
    <n v="385676"/>
    <n v="0.12"/>
    <n v="0.08"/>
    <n v="0.05"/>
    <m/>
    <m/>
    <n v="0"/>
    <m/>
    <n v="11"/>
    <n v="22"/>
    <s v="Harvesting"/>
    <n v="30854.080000000002"/>
    <n v="19283.8"/>
    <n v="0"/>
    <n v="0"/>
  </r>
  <r>
    <n v="11"/>
    <d v="2006-08-01T00:00:00"/>
    <x v="7"/>
    <x v="6"/>
    <n v="638"/>
    <n v="2"/>
    <d v="2004-11-01T00:00:00"/>
    <n v="150000"/>
    <m/>
    <n v="0.08"/>
    <n v="0.05"/>
    <m/>
    <s v="h"/>
    <n v="0"/>
    <m/>
    <m/>
    <m/>
    <s v="Harvesting"/>
    <m/>
    <n v="7500"/>
    <n v="0"/>
    <n v="0"/>
  </r>
  <r>
    <n v="11"/>
    <d v="2006-09-01T00:00:00"/>
    <x v="8"/>
    <x v="6"/>
    <n v="669"/>
    <n v="2"/>
    <d v="2004-11-01T00:00:00"/>
    <n v="30000"/>
    <m/>
    <n v="0.08"/>
    <n v="0.05"/>
    <m/>
    <s v="h"/>
    <n v="0"/>
    <m/>
    <m/>
    <m/>
    <m/>
    <m/>
    <n v="1500"/>
    <n v="0"/>
    <n v="0"/>
  </r>
  <r>
    <n v="11"/>
    <d v="2006-10-01T00:00:00"/>
    <x v="9"/>
    <x v="6"/>
    <m/>
    <m/>
    <m/>
    <m/>
    <m/>
    <m/>
    <m/>
    <m/>
    <m/>
    <m/>
    <m/>
    <m/>
    <m/>
    <m/>
    <m/>
    <m/>
    <m/>
    <m/>
  </r>
  <r>
    <n v="11"/>
    <d v="2006-11-01T00:00:00"/>
    <x v="10"/>
    <x v="6"/>
    <m/>
    <m/>
    <m/>
    <m/>
    <m/>
    <m/>
    <m/>
    <m/>
    <m/>
    <m/>
    <m/>
    <m/>
    <m/>
    <m/>
    <m/>
    <m/>
    <m/>
    <m/>
  </r>
  <r>
    <n v="11"/>
    <d v="2006-12-01T00:00:00"/>
    <x v="11"/>
    <x v="6"/>
    <m/>
    <m/>
    <m/>
    <m/>
    <m/>
    <m/>
    <m/>
    <m/>
    <m/>
    <m/>
    <m/>
    <m/>
    <m/>
    <m/>
    <m/>
    <m/>
    <m/>
    <m/>
  </r>
  <r>
    <n v="11"/>
    <d v="2007-01-01T00:00:00"/>
    <x v="0"/>
    <x v="7"/>
    <m/>
    <m/>
    <m/>
    <m/>
    <m/>
    <m/>
    <m/>
    <m/>
    <m/>
    <m/>
    <m/>
    <m/>
    <m/>
    <m/>
    <m/>
    <m/>
    <m/>
    <m/>
  </r>
  <r>
    <n v="11"/>
    <d v="2007-02-01T00:00:00"/>
    <x v="1"/>
    <x v="7"/>
    <n v="0"/>
    <n v="1"/>
    <d v="2007-02-07T00:00:00"/>
    <n v="607354"/>
    <m/>
    <m/>
    <n v="0"/>
    <m/>
    <s v="s"/>
    <n v="0"/>
    <m/>
    <m/>
    <m/>
    <s v="smolt entry"/>
    <m/>
    <n v="0"/>
    <n v="0"/>
    <n v="0"/>
  </r>
  <r>
    <n v="11"/>
    <d v="2007-03-01T00:00:00"/>
    <x v="2"/>
    <x v="7"/>
    <n v="22"/>
    <n v="1"/>
    <d v="2007-02-07T00:00:00"/>
    <n v="592825"/>
    <n v="0.1"/>
    <n v="0.13"/>
    <n v="0"/>
    <m/>
    <m/>
    <n v="0.18"/>
    <m/>
    <n v="7"/>
    <n v="25"/>
    <m/>
    <n v="77067.25"/>
    <n v="0"/>
    <n v="106708.5"/>
    <n v="42683.4"/>
  </r>
  <r>
    <n v="11"/>
    <d v="2007-04-01T00:00:00"/>
    <x v="3"/>
    <x v="7"/>
    <n v="53"/>
    <n v="1"/>
    <d v="2007-02-07T00:00:00"/>
    <n v="590589"/>
    <n v="0.3"/>
    <n v="0.1"/>
    <n v="0"/>
    <n v="0"/>
    <m/>
    <n v="0.1"/>
    <m/>
    <m/>
    <m/>
    <m/>
    <n v="59058.9"/>
    <n v="0"/>
    <n v="59058.9"/>
    <n v="23623.56"/>
  </r>
  <r>
    <n v="11"/>
    <d v="2007-05-01T00:00:00"/>
    <x v="4"/>
    <x v="7"/>
    <n v="83"/>
    <n v="1"/>
    <d v="2007-02-07T00:00:00"/>
    <n v="586834"/>
    <n v="0.8"/>
    <n v="0.63"/>
    <n v="0.08"/>
    <n v="0"/>
    <m/>
    <n v="0.03"/>
    <m/>
    <n v="9"/>
    <n v="26"/>
    <m/>
    <n v="369705.42"/>
    <n v="46946.720000000001"/>
    <n v="17605.02"/>
    <n v="7042.0080000000007"/>
  </r>
  <r>
    <n v="11"/>
    <d v="2007-06-01T00:00:00"/>
    <x v="5"/>
    <x v="7"/>
    <n v="114"/>
    <n v="1"/>
    <d v="2007-02-07T00:00:00"/>
    <n v="581132"/>
    <n v="0.08"/>
    <n v="0.33"/>
    <n v="0.1"/>
    <n v="0"/>
    <m/>
    <n v="0.02"/>
    <m/>
    <n v="10"/>
    <n v="22"/>
    <m/>
    <n v="191773.56"/>
    <n v="58113.200000000004"/>
    <n v="11622.64"/>
    <n v="4649.0559999999996"/>
  </r>
  <r>
    <n v="11"/>
    <d v="2007-07-01T00:00:00"/>
    <x v="6"/>
    <x v="7"/>
    <n v="144"/>
    <n v="1"/>
    <d v="2007-02-07T00:00:00"/>
    <n v="578290"/>
    <n v="0"/>
    <n v="0.05"/>
    <n v="0.02"/>
    <n v="0"/>
    <m/>
    <n v="0"/>
    <m/>
    <n v="11"/>
    <n v="19"/>
    <m/>
    <n v="28914.5"/>
    <n v="11565.800000000001"/>
    <n v="0"/>
    <n v="0"/>
  </r>
  <r>
    <n v="11"/>
    <d v="2007-08-01T00:00:00"/>
    <x v="7"/>
    <x v="7"/>
    <n v="175"/>
    <n v="1"/>
    <d v="2007-02-07T00:00:00"/>
    <n v="576770"/>
    <n v="0"/>
    <n v="0.15"/>
    <n v="0"/>
    <n v="0"/>
    <m/>
    <n v="0"/>
    <m/>
    <n v="12"/>
    <n v="19"/>
    <m/>
    <n v="86515.5"/>
    <n v="0"/>
    <n v="0"/>
    <n v="0"/>
  </r>
  <r>
    <n v="11"/>
    <d v="2007-09-01T00:00:00"/>
    <x v="8"/>
    <x v="7"/>
    <n v="206"/>
    <n v="1"/>
    <d v="2007-02-07T00:00:00"/>
    <n v="575699"/>
    <n v="0.1"/>
    <n v="0.28000000000000003"/>
    <n v="0.13"/>
    <n v="0"/>
    <m/>
    <n v="0.02"/>
    <m/>
    <n v="11"/>
    <n v="21"/>
    <m/>
    <n v="161195.72"/>
    <n v="74840.87"/>
    <n v="11513.98"/>
    <n v="4605.5919999999996"/>
  </r>
  <r>
    <n v="11"/>
    <d v="2007-10-01T00:00:00"/>
    <x v="9"/>
    <x v="7"/>
    <n v="236"/>
    <n v="1"/>
    <d v="2007-02-07T00:00:00"/>
    <n v="574176"/>
    <n v="7.0000000000000007E-2"/>
    <n v="0.45"/>
    <n v="7.0000000000000007E-2"/>
    <n v="0"/>
    <m/>
    <n v="0.05"/>
    <m/>
    <n v="9"/>
    <n v="23"/>
    <m/>
    <n v="258379.2"/>
    <n v="40192.320000000007"/>
    <n v="28708.800000000003"/>
    <n v="11483.520000000002"/>
  </r>
  <r>
    <n v="11"/>
    <d v="2007-11-01T00:00:00"/>
    <x v="10"/>
    <x v="7"/>
    <n v="267"/>
    <n v="1"/>
    <d v="2007-02-07T00:00:00"/>
    <n v="571703"/>
    <n v="7.0000000000000007E-2"/>
    <n v="0.23"/>
    <n v="0.03"/>
    <n v="0"/>
    <m/>
    <n v="0"/>
    <m/>
    <n v="8"/>
    <n v="24"/>
    <m/>
    <n v="131491.69"/>
    <n v="17151.09"/>
    <n v="0"/>
    <n v="0"/>
  </r>
  <r>
    <n v="11"/>
    <d v="2007-12-01T00:00:00"/>
    <x v="11"/>
    <x v="7"/>
    <n v="297"/>
    <n v="1"/>
    <d v="2007-02-07T00:00:00"/>
    <n v="569007"/>
    <n v="0.02"/>
    <n v="0.27"/>
    <n v="0.1"/>
    <n v="0"/>
    <m/>
    <n v="0"/>
    <m/>
    <n v="7"/>
    <n v="27"/>
    <m/>
    <n v="153631.89000000001"/>
    <n v="56900.700000000004"/>
    <n v="0"/>
    <n v="0"/>
  </r>
  <r>
    <n v="11"/>
    <d v="2008-01-01T00:00:00"/>
    <x v="0"/>
    <x v="8"/>
    <n v="328"/>
    <n v="1"/>
    <d v="2007-02-07T00:00:00"/>
    <n v="569007"/>
    <n v="0.23"/>
    <n v="0.56999999999999995"/>
    <n v="0.17"/>
    <n v="0"/>
    <m/>
    <n v="0.12"/>
    <m/>
    <m/>
    <m/>
    <m/>
    <n v="324333.99"/>
    <n v="96731.19"/>
    <n v="68280.84"/>
    <n v="27312.335999999999"/>
  </r>
  <r>
    <n v="11"/>
    <d v="2008-02-01T00:00:00"/>
    <x v="1"/>
    <x v="8"/>
    <n v="359"/>
    <n v="1"/>
    <d v="2007-02-07T00:00:00"/>
    <n v="566101"/>
    <n v="0.3"/>
    <n v="1.3333333000000001"/>
    <n v="0.58333330000000005"/>
    <n v="0"/>
    <m/>
    <n v="0.31666660000000002"/>
    <m/>
    <m/>
    <m/>
    <m/>
    <n v="754801.31446330005"/>
    <n v="330225.56446330005"/>
    <n v="179265.2789266"/>
    <n v="71706.111570640001"/>
  </r>
  <r>
    <n v="11"/>
    <d v="2008-03-01T00:00:00"/>
    <x v="2"/>
    <x v="8"/>
    <n v="388"/>
    <n v="2"/>
    <d v="2007-02-07T00:00:00"/>
    <n v="564703"/>
    <n v="2.2000000000000002"/>
    <n v="2.8"/>
    <n v="0.8"/>
    <n v="2"/>
    <m/>
    <n v="0"/>
    <n v="1"/>
    <m/>
    <m/>
    <m/>
    <n v="1581168.4"/>
    <n v="451762.4"/>
    <n v="0"/>
    <n v="0"/>
  </r>
  <r>
    <n v="11"/>
    <d v="2008-04-01T00:00:00"/>
    <x v="3"/>
    <x v="8"/>
    <n v="419"/>
    <n v="2"/>
    <d v="2007-02-07T00:00:00"/>
    <n v="564363"/>
    <n v="7.0000000000000007E-2"/>
    <n v="7.0000000000000007E-2"/>
    <n v="0.05"/>
    <n v="0"/>
    <m/>
    <n v="0.02"/>
    <m/>
    <m/>
    <m/>
    <m/>
    <n v="39505.410000000003"/>
    <n v="28218.15"/>
    <n v="11287.26"/>
    <n v="4514.9040000000005"/>
  </r>
  <r>
    <n v="11"/>
    <d v="2008-05-01T00:00:00"/>
    <x v="4"/>
    <x v="8"/>
    <n v="449"/>
    <n v="2"/>
    <d v="2007-02-07T00:00:00"/>
    <n v="562666"/>
    <n v="1.6666666666666666E-2"/>
    <n v="1.6666666666666666E-2"/>
    <n v="1.6666666666666666E-2"/>
    <n v="0"/>
    <m/>
    <n v="0"/>
    <m/>
    <n v="7"/>
    <n v="29"/>
    <m/>
    <n v="9377.7666666666664"/>
    <n v="9377.7666666666664"/>
    <n v="0"/>
    <n v="0"/>
  </r>
  <r>
    <n v="11"/>
    <d v="2008-06-01T00:00:00"/>
    <x v="5"/>
    <x v="8"/>
    <n v="480"/>
    <n v="2"/>
    <d v="2007-02-07T00:00:00"/>
    <n v="561009"/>
    <n v="0"/>
    <n v="0"/>
    <n v="0"/>
    <n v="0"/>
    <m/>
    <n v="0"/>
    <m/>
    <m/>
    <m/>
    <m/>
    <n v="0"/>
    <n v="0"/>
    <n v="0"/>
    <n v="0"/>
  </r>
  <r>
    <n v="11"/>
    <d v="2008-07-01T00:00:00"/>
    <x v="6"/>
    <x v="8"/>
    <n v="510"/>
    <n v="2"/>
    <d v="2007-02-07T00:00:00"/>
    <n v="559000"/>
    <n v="0"/>
    <n v="0.05"/>
    <n v="0.03"/>
    <n v="0"/>
    <m/>
    <n v="0"/>
    <m/>
    <m/>
    <m/>
    <m/>
    <n v="27950"/>
    <n v="16770"/>
    <n v="0"/>
    <n v="0"/>
  </r>
  <r>
    <n v="11"/>
    <d v="2008-08-01T00:00:00"/>
    <x v="7"/>
    <x v="8"/>
    <n v="541"/>
    <n v="2"/>
    <d v="2007-02-07T00:00:00"/>
    <n v="557000"/>
    <n v="0.02"/>
    <n v="7.0000000000000007E-2"/>
    <n v="0.03"/>
    <n v="0"/>
    <m/>
    <n v="0"/>
    <m/>
    <m/>
    <m/>
    <m/>
    <n v="38990.000000000007"/>
    <n v="16710"/>
    <n v="0"/>
    <n v="0"/>
  </r>
  <r>
    <n v="11"/>
    <d v="2008-09-01T00:00:00"/>
    <x v="8"/>
    <x v="8"/>
    <n v="572"/>
    <n v="2"/>
    <d v="2007-02-07T00:00:00"/>
    <n v="519000"/>
    <n v="0.2"/>
    <n v="0.3"/>
    <n v="0.1"/>
    <n v="0"/>
    <m/>
    <n v="0.1"/>
    <m/>
    <m/>
    <m/>
    <s v="Harvesting"/>
    <n v="155700"/>
    <n v="51900"/>
    <n v="51900"/>
    <n v="20760"/>
  </r>
  <r>
    <n v="11"/>
    <d v="2008-10-01T00:00:00"/>
    <x v="9"/>
    <x v="8"/>
    <n v="602"/>
    <n v="2"/>
    <d v="2007-02-07T00:00:00"/>
    <n v="440000"/>
    <n v="0.3"/>
    <n v="0.42"/>
    <n v="0.17"/>
    <n v="0"/>
    <m/>
    <n v="0"/>
    <m/>
    <m/>
    <m/>
    <m/>
    <n v="184800"/>
    <n v="74800"/>
    <n v="0"/>
    <n v="0"/>
  </r>
  <r>
    <n v="11"/>
    <d v="2008-11-01T00:00:00"/>
    <x v="10"/>
    <x v="8"/>
    <n v="633"/>
    <n v="2"/>
    <d v="2007-02-07T00:00:00"/>
    <n v="323000"/>
    <n v="0.2"/>
    <n v="0.6"/>
    <n v="0.23333333333333331"/>
    <m/>
    <m/>
    <n v="0"/>
    <m/>
    <m/>
    <m/>
    <m/>
    <n v="193800"/>
    <n v="75366.666666666657"/>
    <n v="0"/>
    <n v="0"/>
  </r>
  <r>
    <n v="11"/>
    <d v="2008-12-01T00:00:00"/>
    <x v="11"/>
    <x v="8"/>
    <n v="663"/>
    <n v="2"/>
    <d v="2007-02-07T00:00:00"/>
    <n v="76000"/>
    <m/>
    <n v="0.78"/>
    <n v="0.29666666666666702"/>
    <m/>
    <s v="h"/>
    <n v="0"/>
    <m/>
    <m/>
    <m/>
    <m/>
    <n v="59280"/>
    <n v="22546.666666666693"/>
    <n v="0"/>
    <n v="0"/>
  </r>
  <r>
    <n v="11"/>
    <d v="2009-01-01T00:00:00"/>
    <x v="0"/>
    <x v="9"/>
    <m/>
    <m/>
    <m/>
    <m/>
    <m/>
    <m/>
    <m/>
    <m/>
    <m/>
    <m/>
    <m/>
    <m/>
    <m/>
    <m/>
    <m/>
    <m/>
    <m/>
    <m/>
  </r>
  <r>
    <n v="11"/>
    <d v="2009-02-01T00:00:00"/>
    <x v="1"/>
    <x v="9"/>
    <m/>
    <m/>
    <m/>
    <m/>
    <m/>
    <m/>
    <m/>
    <m/>
    <m/>
    <m/>
    <m/>
    <m/>
    <m/>
    <m/>
    <m/>
    <m/>
    <m/>
    <m/>
  </r>
  <r>
    <n v="11"/>
    <d v="2009-03-01T00:00:00"/>
    <x v="2"/>
    <x v="9"/>
    <m/>
    <m/>
    <m/>
    <m/>
    <m/>
    <m/>
    <m/>
    <m/>
    <m/>
    <m/>
    <m/>
    <m/>
    <m/>
    <m/>
    <m/>
    <m/>
    <m/>
    <m/>
  </r>
  <r>
    <n v="11"/>
    <d v="2009-04-01T00:00:00"/>
    <x v="3"/>
    <x v="9"/>
    <m/>
    <m/>
    <m/>
    <m/>
    <m/>
    <m/>
    <m/>
    <m/>
    <m/>
    <m/>
    <m/>
    <m/>
    <m/>
    <m/>
    <m/>
    <m/>
    <m/>
    <m/>
  </r>
  <r>
    <n v="11"/>
    <d v="2009-05-01T00:00:00"/>
    <x v="4"/>
    <x v="9"/>
    <n v="212"/>
    <n v="1"/>
    <d v="2008-10-01T00:00:00"/>
    <n v="670144"/>
    <n v="0"/>
    <n v="0.05"/>
    <n v="0"/>
    <m/>
    <m/>
    <n v="0"/>
    <m/>
    <m/>
    <m/>
    <s v="moved from farm #8"/>
    <n v="33507.200000000004"/>
    <n v="0"/>
    <n v="0"/>
    <n v="0"/>
  </r>
  <r>
    <n v="11"/>
    <d v="2009-06-01T00:00:00"/>
    <x v="5"/>
    <x v="9"/>
    <n v="243"/>
    <n v="1"/>
    <d v="2008-10-01T00:00:00"/>
    <n v="668144"/>
    <n v="0"/>
    <n v="0"/>
    <n v="0"/>
    <n v="0"/>
    <m/>
    <n v="0"/>
    <m/>
    <m/>
    <m/>
    <m/>
    <n v="0"/>
    <n v="0"/>
    <n v="0"/>
    <n v="0"/>
  </r>
  <r>
    <n v="11"/>
    <d v="2009-07-01T00:00:00"/>
    <x v="6"/>
    <x v="9"/>
    <n v="273"/>
    <n v="1"/>
    <d v="2008-10-01T00:00:00"/>
    <n v="668493"/>
    <n v="0"/>
    <n v="1.6666666666666666E-2"/>
    <n v="0"/>
    <n v="0"/>
    <m/>
    <n v="0"/>
    <m/>
    <m/>
    <m/>
    <m/>
    <n v="11141.55"/>
    <n v="0"/>
    <n v="0"/>
    <n v="0"/>
  </r>
  <r>
    <n v="11"/>
    <d v="2009-08-01T00:00:00"/>
    <x v="7"/>
    <x v="9"/>
    <n v="304"/>
    <n v="1"/>
    <d v="2008-10-01T00:00:00"/>
    <n v="667472"/>
    <n v="4.1666666666666664E-2"/>
    <n v="0.05"/>
    <n v="0"/>
    <n v="0"/>
    <m/>
    <n v="0.13333333333333333"/>
    <m/>
    <m/>
    <m/>
    <m/>
    <n v="33373.599999999999"/>
    <n v="0"/>
    <n v="88996.266666666663"/>
    <n v="35598.506666666668"/>
  </r>
  <r>
    <n v="11"/>
    <d v="2009-09-01T00:00:00"/>
    <x v="8"/>
    <x v="9"/>
    <n v="335"/>
    <n v="1"/>
    <d v="2008-10-01T00:00:00"/>
    <n v="667060"/>
    <n v="0.22500000000000001"/>
    <n v="1.5916666666666666"/>
    <n v="0.42499999999999999"/>
    <n v="0"/>
    <m/>
    <n v="0.17499999999999999"/>
    <m/>
    <m/>
    <m/>
    <m/>
    <n v="1061737.1666666665"/>
    <n v="283500.5"/>
    <n v="116735.49999999999"/>
    <n v="46694.2"/>
  </r>
  <r>
    <n v="11"/>
    <d v="2009-10-01T00:00:00"/>
    <x v="9"/>
    <x v="9"/>
    <n v="365"/>
    <n v="2"/>
    <d v="2008-10-01T00:00:00"/>
    <n v="666232"/>
    <n v="0.58571428571428574"/>
    <n v="2.2428571428571429"/>
    <n v="1.1000000000000001"/>
    <n v="0"/>
    <m/>
    <n v="0.52857142857142858"/>
    <m/>
    <m/>
    <m/>
    <m/>
    <n v="1494263.2"/>
    <n v="732855.20000000007"/>
    <n v="352151.2"/>
    <n v="140860.48000000001"/>
  </r>
  <r>
    <n v="11"/>
    <d v="2009-11-01T00:00:00"/>
    <x v="10"/>
    <x v="9"/>
    <n v="396"/>
    <n v="2"/>
    <d v="2008-10-01T00:00:00"/>
    <n v="663895"/>
    <n v="1.87"/>
    <n v="2.4"/>
    <n v="1.1599999999999999"/>
    <n v="0"/>
    <m/>
    <n v="0.57999999999999996"/>
    <m/>
    <m/>
    <m/>
    <m/>
    <n v="1593348"/>
    <n v="770118.2"/>
    <n v="385059.1"/>
    <n v="154023.63999999998"/>
  </r>
  <r>
    <n v="11"/>
    <d v="2009-12-01T00:00:00"/>
    <x v="11"/>
    <x v="9"/>
    <n v="426"/>
    <n v="2"/>
    <d v="2008-10-01T00:00:00"/>
    <n v="662544"/>
    <n v="1.7"/>
    <n v="2.5499999999999998"/>
    <n v="1.25"/>
    <m/>
    <m/>
    <n v="2.0499999999999998"/>
    <n v="1"/>
    <m/>
    <m/>
    <m/>
    <n v="1689487.2"/>
    <n v="828180"/>
    <n v="1358215.2"/>
    <n v="543286.07999999996"/>
  </r>
  <r>
    <n v="12"/>
    <d v="2000-01-01T00:00:00"/>
    <x v="0"/>
    <x v="0"/>
    <m/>
    <m/>
    <m/>
    <m/>
    <m/>
    <m/>
    <m/>
    <m/>
    <m/>
    <m/>
    <m/>
    <m/>
    <m/>
    <m/>
    <m/>
    <m/>
    <m/>
    <m/>
  </r>
  <r>
    <n v="12"/>
    <d v="2000-02-01T00:00:00"/>
    <x v="1"/>
    <x v="0"/>
    <m/>
    <m/>
    <m/>
    <m/>
    <m/>
    <m/>
    <m/>
    <m/>
    <m/>
    <m/>
    <m/>
    <m/>
    <m/>
    <m/>
    <m/>
    <m/>
    <m/>
    <m/>
  </r>
  <r>
    <n v="12"/>
    <d v="2000-03-01T00:00:00"/>
    <x v="2"/>
    <x v="0"/>
    <m/>
    <m/>
    <m/>
    <m/>
    <m/>
    <m/>
    <m/>
    <m/>
    <m/>
    <m/>
    <m/>
    <m/>
    <m/>
    <m/>
    <m/>
    <m/>
    <m/>
    <m/>
  </r>
  <r>
    <n v="12"/>
    <d v="2000-04-01T00:00:00"/>
    <x v="3"/>
    <x v="0"/>
    <m/>
    <m/>
    <m/>
    <m/>
    <m/>
    <m/>
    <m/>
    <m/>
    <m/>
    <m/>
    <m/>
    <m/>
    <m/>
    <m/>
    <m/>
    <m/>
    <m/>
    <m/>
  </r>
  <r>
    <n v="12"/>
    <d v="2000-05-01T00:00:00"/>
    <x v="4"/>
    <x v="0"/>
    <n v="0"/>
    <n v="1"/>
    <d v="2000-05-01T00:00:00"/>
    <n v="574739"/>
    <m/>
    <m/>
    <m/>
    <m/>
    <m/>
    <m/>
    <m/>
    <m/>
    <m/>
    <s v="smolt entry"/>
    <m/>
    <m/>
    <m/>
    <m/>
  </r>
  <r>
    <n v="12"/>
    <d v="2000-06-01T00:00:00"/>
    <x v="5"/>
    <x v="0"/>
    <n v="31"/>
    <n v="1"/>
    <d v="2000-05-01T00:00:00"/>
    <n v="568366"/>
    <m/>
    <m/>
    <m/>
    <m/>
    <m/>
    <m/>
    <m/>
    <m/>
    <m/>
    <m/>
    <m/>
    <m/>
    <m/>
    <m/>
  </r>
  <r>
    <n v="12"/>
    <d v="2000-07-01T00:00:00"/>
    <x v="6"/>
    <x v="0"/>
    <n v="61"/>
    <n v="1"/>
    <d v="2000-05-01T00:00:00"/>
    <n v="519660"/>
    <m/>
    <m/>
    <m/>
    <m/>
    <m/>
    <m/>
    <m/>
    <m/>
    <m/>
    <m/>
    <m/>
    <m/>
    <m/>
    <m/>
  </r>
  <r>
    <n v="12"/>
    <d v="2000-08-01T00:00:00"/>
    <x v="7"/>
    <x v="0"/>
    <n v="92"/>
    <n v="1"/>
    <d v="2000-05-01T00:00:00"/>
    <n v="513946"/>
    <m/>
    <m/>
    <m/>
    <m/>
    <m/>
    <m/>
    <m/>
    <m/>
    <m/>
    <m/>
    <m/>
    <m/>
    <m/>
    <m/>
  </r>
  <r>
    <n v="12"/>
    <d v="2000-09-01T00:00:00"/>
    <x v="8"/>
    <x v="0"/>
    <n v="123"/>
    <n v="1"/>
    <d v="2000-05-01T00:00:00"/>
    <n v="515164"/>
    <m/>
    <m/>
    <m/>
    <m/>
    <m/>
    <m/>
    <m/>
    <m/>
    <m/>
    <m/>
    <m/>
    <m/>
    <m/>
    <m/>
  </r>
  <r>
    <n v="12"/>
    <d v="2000-10-01T00:00:00"/>
    <x v="9"/>
    <x v="0"/>
    <n v="153"/>
    <n v="1"/>
    <d v="2000-05-01T00:00:00"/>
    <n v="514470"/>
    <m/>
    <m/>
    <m/>
    <m/>
    <m/>
    <m/>
    <m/>
    <m/>
    <m/>
    <m/>
    <m/>
    <m/>
    <m/>
    <m/>
  </r>
  <r>
    <n v="12"/>
    <d v="2000-11-01T00:00:00"/>
    <x v="10"/>
    <x v="0"/>
    <n v="184"/>
    <n v="1"/>
    <d v="2000-05-01T00:00:00"/>
    <n v="511491"/>
    <m/>
    <m/>
    <m/>
    <m/>
    <m/>
    <m/>
    <m/>
    <m/>
    <m/>
    <m/>
    <m/>
    <m/>
    <m/>
    <m/>
  </r>
  <r>
    <n v="12"/>
    <d v="2000-12-01T00:00:00"/>
    <x v="11"/>
    <x v="0"/>
    <n v="214"/>
    <n v="1"/>
    <d v="2000-05-01T00:00:00"/>
    <n v="511232"/>
    <m/>
    <m/>
    <m/>
    <m/>
    <m/>
    <m/>
    <m/>
    <m/>
    <m/>
    <m/>
    <m/>
    <m/>
    <m/>
    <m/>
  </r>
  <r>
    <n v="12"/>
    <d v="2001-01-01T00:00:00"/>
    <x v="0"/>
    <x v="1"/>
    <n v="245"/>
    <n v="1"/>
    <d v="2000-05-01T00:00:00"/>
    <n v="511082"/>
    <m/>
    <m/>
    <m/>
    <m/>
    <m/>
    <m/>
    <m/>
    <m/>
    <m/>
    <m/>
    <m/>
    <m/>
    <m/>
    <m/>
  </r>
  <r>
    <n v="12"/>
    <d v="2001-02-01T00:00:00"/>
    <x v="1"/>
    <x v="1"/>
    <m/>
    <m/>
    <m/>
    <m/>
    <m/>
    <m/>
    <m/>
    <m/>
    <m/>
    <m/>
    <m/>
    <m/>
    <m/>
    <s v="Fish moved to farm #9 in 3rd week of Feb"/>
    <m/>
    <m/>
    <m/>
    <m/>
  </r>
  <r>
    <n v="12"/>
    <d v="2001-03-01T00:00:00"/>
    <x v="2"/>
    <x v="1"/>
    <m/>
    <m/>
    <m/>
    <m/>
    <m/>
    <m/>
    <m/>
    <m/>
    <m/>
    <m/>
    <m/>
    <m/>
    <m/>
    <m/>
    <m/>
    <m/>
    <m/>
    <m/>
  </r>
  <r>
    <n v="12"/>
    <d v="2001-04-01T00:00:00"/>
    <x v="3"/>
    <x v="1"/>
    <m/>
    <m/>
    <m/>
    <m/>
    <m/>
    <m/>
    <m/>
    <m/>
    <m/>
    <m/>
    <m/>
    <m/>
    <m/>
    <m/>
    <m/>
    <m/>
    <m/>
    <m/>
  </r>
  <r>
    <n v="12"/>
    <d v="2001-05-01T00:00:00"/>
    <x v="4"/>
    <x v="1"/>
    <m/>
    <m/>
    <m/>
    <m/>
    <m/>
    <m/>
    <m/>
    <m/>
    <m/>
    <m/>
    <m/>
    <m/>
    <m/>
    <m/>
    <m/>
    <m/>
    <m/>
    <m/>
  </r>
  <r>
    <n v="12"/>
    <d v="2001-06-01T00:00:00"/>
    <x v="5"/>
    <x v="1"/>
    <m/>
    <m/>
    <m/>
    <m/>
    <m/>
    <m/>
    <m/>
    <m/>
    <m/>
    <m/>
    <m/>
    <m/>
    <m/>
    <m/>
    <m/>
    <m/>
    <m/>
    <m/>
  </r>
  <r>
    <n v="12"/>
    <d v="2001-07-01T00:00:00"/>
    <x v="6"/>
    <x v="1"/>
    <m/>
    <m/>
    <m/>
    <m/>
    <m/>
    <m/>
    <m/>
    <m/>
    <m/>
    <m/>
    <m/>
    <m/>
    <m/>
    <m/>
    <m/>
    <m/>
    <m/>
    <m/>
  </r>
  <r>
    <n v="12"/>
    <d v="2001-08-01T00:00:00"/>
    <x v="7"/>
    <x v="1"/>
    <m/>
    <m/>
    <m/>
    <m/>
    <m/>
    <m/>
    <m/>
    <m/>
    <m/>
    <m/>
    <m/>
    <m/>
    <m/>
    <m/>
    <m/>
    <m/>
    <m/>
    <m/>
  </r>
  <r>
    <n v="12"/>
    <d v="2001-09-01T00:00:00"/>
    <x v="8"/>
    <x v="1"/>
    <m/>
    <m/>
    <m/>
    <m/>
    <m/>
    <m/>
    <m/>
    <m/>
    <m/>
    <m/>
    <m/>
    <m/>
    <m/>
    <m/>
    <m/>
    <m/>
    <m/>
    <m/>
  </r>
  <r>
    <n v="12"/>
    <d v="2001-10-01T00:00:00"/>
    <x v="9"/>
    <x v="1"/>
    <m/>
    <m/>
    <m/>
    <m/>
    <m/>
    <m/>
    <m/>
    <m/>
    <m/>
    <m/>
    <m/>
    <m/>
    <m/>
    <m/>
    <m/>
    <m/>
    <m/>
    <m/>
  </r>
  <r>
    <n v="12"/>
    <d v="2001-11-01T00:00:00"/>
    <x v="10"/>
    <x v="1"/>
    <m/>
    <m/>
    <m/>
    <m/>
    <m/>
    <m/>
    <m/>
    <m/>
    <m/>
    <m/>
    <m/>
    <m/>
    <m/>
    <m/>
    <m/>
    <m/>
    <m/>
    <m/>
  </r>
  <r>
    <n v="12"/>
    <d v="2001-12-01T00:00:00"/>
    <x v="11"/>
    <x v="1"/>
    <m/>
    <m/>
    <m/>
    <m/>
    <m/>
    <m/>
    <m/>
    <m/>
    <m/>
    <m/>
    <m/>
    <m/>
    <m/>
    <m/>
    <m/>
    <m/>
    <m/>
    <m/>
  </r>
  <r>
    <n v="12"/>
    <d v="2002-01-01T00:00:00"/>
    <x v="0"/>
    <x v="2"/>
    <m/>
    <m/>
    <m/>
    <m/>
    <m/>
    <m/>
    <m/>
    <m/>
    <m/>
    <m/>
    <m/>
    <m/>
    <m/>
    <m/>
    <m/>
    <m/>
    <m/>
    <m/>
  </r>
  <r>
    <n v="12"/>
    <d v="2002-02-01T00:00:00"/>
    <x v="1"/>
    <x v="2"/>
    <m/>
    <m/>
    <m/>
    <m/>
    <m/>
    <m/>
    <m/>
    <m/>
    <m/>
    <m/>
    <m/>
    <m/>
    <m/>
    <m/>
    <m/>
    <m/>
    <m/>
    <m/>
  </r>
  <r>
    <n v="12"/>
    <d v="2002-03-01T00:00:00"/>
    <x v="2"/>
    <x v="2"/>
    <m/>
    <m/>
    <m/>
    <m/>
    <m/>
    <m/>
    <m/>
    <m/>
    <m/>
    <m/>
    <m/>
    <m/>
    <m/>
    <m/>
    <m/>
    <m/>
    <m/>
    <m/>
  </r>
  <r>
    <n v="12"/>
    <d v="2002-04-01T00:00:00"/>
    <x v="3"/>
    <x v="2"/>
    <m/>
    <m/>
    <m/>
    <m/>
    <m/>
    <m/>
    <m/>
    <m/>
    <m/>
    <m/>
    <m/>
    <m/>
    <m/>
    <m/>
    <m/>
    <m/>
    <m/>
    <m/>
  </r>
  <r>
    <n v="12"/>
    <d v="2002-05-01T00:00:00"/>
    <x v="4"/>
    <x v="2"/>
    <m/>
    <m/>
    <m/>
    <m/>
    <m/>
    <m/>
    <m/>
    <m/>
    <m/>
    <m/>
    <m/>
    <m/>
    <m/>
    <m/>
    <m/>
    <m/>
    <m/>
    <m/>
  </r>
  <r>
    <n v="12"/>
    <d v="2002-06-01T00:00:00"/>
    <x v="5"/>
    <x v="2"/>
    <m/>
    <m/>
    <m/>
    <m/>
    <m/>
    <m/>
    <m/>
    <m/>
    <m/>
    <m/>
    <m/>
    <m/>
    <m/>
    <m/>
    <m/>
    <m/>
    <m/>
    <m/>
  </r>
  <r>
    <n v="12"/>
    <d v="2002-07-01T00:00:00"/>
    <x v="6"/>
    <x v="2"/>
    <m/>
    <m/>
    <m/>
    <m/>
    <m/>
    <m/>
    <m/>
    <m/>
    <m/>
    <m/>
    <m/>
    <m/>
    <m/>
    <m/>
    <m/>
    <m/>
    <m/>
    <m/>
  </r>
  <r>
    <n v="12"/>
    <d v="2002-08-01T00:00:00"/>
    <x v="7"/>
    <x v="2"/>
    <m/>
    <m/>
    <m/>
    <m/>
    <m/>
    <m/>
    <m/>
    <m/>
    <m/>
    <m/>
    <m/>
    <m/>
    <m/>
    <m/>
    <m/>
    <m/>
    <m/>
    <m/>
  </r>
  <r>
    <n v="12"/>
    <d v="2002-09-01T00:00:00"/>
    <x v="8"/>
    <x v="2"/>
    <m/>
    <m/>
    <m/>
    <m/>
    <m/>
    <m/>
    <m/>
    <m/>
    <m/>
    <m/>
    <m/>
    <m/>
    <m/>
    <m/>
    <m/>
    <m/>
    <m/>
    <m/>
  </r>
  <r>
    <n v="12"/>
    <d v="2002-10-01T00:00:00"/>
    <x v="9"/>
    <x v="2"/>
    <m/>
    <m/>
    <m/>
    <m/>
    <m/>
    <m/>
    <m/>
    <m/>
    <m/>
    <m/>
    <m/>
    <m/>
    <m/>
    <m/>
    <m/>
    <m/>
    <m/>
    <m/>
  </r>
  <r>
    <n v="12"/>
    <d v="2002-11-01T00:00:00"/>
    <x v="10"/>
    <x v="2"/>
    <m/>
    <m/>
    <m/>
    <m/>
    <m/>
    <m/>
    <m/>
    <m/>
    <m/>
    <m/>
    <m/>
    <m/>
    <m/>
    <m/>
    <m/>
    <m/>
    <m/>
    <m/>
  </r>
  <r>
    <n v="12"/>
    <d v="2002-12-01T00:00:00"/>
    <x v="11"/>
    <x v="2"/>
    <m/>
    <m/>
    <m/>
    <m/>
    <m/>
    <m/>
    <m/>
    <m/>
    <m/>
    <m/>
    <m/>
    <m/>
    <m/>
    <m/>
    <m/>
    <m/>
    <m/>
    <m/>
  </r>
  <r>
    <n v="13"/>
    <d v="2000-01-01T00:00:00"/>
    <x v="0"/>
    <x v="0"/>
    <n v="306"/>
    <n v="1"/>
    <d v="1999-03-01T00:00:00"/>
    <n v="379677"/>
    <m/>
    <m/>
    <m/>
    <m/>
    <m/>
    <m/>
    <m/>
    <m/>
    <m/>
    <m/>
    <m/>
    <m/>
    <m/>
    <m/>
  </r>
  <r>
    <n v="13"/>
    <d v="2000-02-01T00:00:00"/>
    <x v="1"/>
    <x v="0"/>
    <n v="337"/>
    <n v="1"/>
    <d v="1999-03-01T00:00:00"/>
    <n v="379512"/>
    <m/>
    <m/>
    <m/>
    <m/>
    <m/>
    <m/>
    <m/>
    <m/>
    <m/>
    <m/>
    <m/>
    <m/>
    <m/>
    <m/>
  </r>
  <r>
    <n v="13"/>
    <d v="2000-03-01T00:00:00"/>
    <x v="2"/>
    <x v="0"/>
    <n v="366"/>
    <n v="2"/>
    <d v="1999-03-01T00:00:00"/>
    <n v="384961"/>
    <m/>
    <m/>
    <m/>
    <m/>
    <m/>
    <m/>
    <m/>
    <m/>
    <m/>
    <m/>
    <m/>
    <m/>
    <m/>
    <m/>
  </r>
  <r>
    <n v="13"/>
    <d v="2000-04-01T00:00:00"/>
    <x v="3"/>
    <x v="0"/>
    <n v="397"/>
    <n v="2"/>
    <d v="1999-03-01T00:00:00"/>
    <n v="384539"/>
    <m/>
    <m/>
    <m/>
    <m/>
    <m/>
    <m/>
    <m/>
    <m/>
    <m/>
    <m/>
    <m/>
    <m/>
    <m/>
    <m/>
  </r>
  <r>
    <n v="13"/>
    <d v="2000-05-01T00:00:00"/>
    <x v="4"/>
    <x v="0"/>
    <n v="427"/>
    <n v="2"/>
    <d v="1999-03-01T00:00:00"/>
    <n v="378951"/>
    <m/>
    <m/>
    <m/>
    <m/>
    <m/>
    <m/>
    <m/>
    <m/>
    <m/>
    <m/>
    <m/>
    <m/>
    <m/>
    <m/>
  </r>
  <r>
    <n v="13"/>
    <d v="2000-06-01T00:00:00"/>
    <x v="5"/>
    <x v="0"/>
    <n v="458"/>
    <n v="2"/>
    <d v="1999-03-01T00:00:00"/>
    <n v="365514"/>
    <m/>
    <m/>
    <m/>
    <m/>
    <m/>
    <m/>
    <m/>
    <m/>
    <m/>
    <m/>
    <m/>
    <m/>
    <m/>
    <m/>
  </r>
  <r>
    <n v="13"/>
    <d v="2000-07-01T00:00:00"/>
    <x v="6"/>
    <x v="0"/>
    <n v="488"/>
    <n v="2"/>
    <d v="1999-03-01T00:00:00"/>
    <n v="365345"/>
    <m/>
    <m/>
    <m/>
    <m/>
    <m/>
    <m/>
    <m/>
    <m/>
    <m/>
    <m/>
    <m/>
    <m/>
    <m/>
    <m/>
  </r>
  <r>
    <n v="13"/>
    <d v="2000-08-01T00:00:00"/>
    <x v="7"/>
    <x v="0"/>
    <n v="519"/>
    <n v="2"/>
    <d v="1999-03-01T00:00:00"/>
    <n v="365222"/>
    <m/>
    <m/>
    <m/>
    <m/>
    <m/>
    <m/>
    <m/>
    <m/>
    <m/>
    <m/>
    <m/>
    <m/>
    <m/>
    <m/>
  </r>
  <r>
    <n v="13"/>
    <d v="2000-09-01T00:00:00"/>
    <x v="8"/>
    <x v="0"/>
    <n v="550"/>
    <n v="2"/>
    <d v="1999-03-01T00:00:00"/>
    <n v="309893"/>
    <m/>
    <m/>
    <m/>
    <m/>
    <m/>
    <m/>
    <m/>
    <m/>
    <m/>
    <m/>
    <m/>
    <m/>
    <m/>
    <m/>
  </r>
  <r>
    <n v="13"/>
    <d v="2000-10-01T00:00:00"/>
    <x v="9"/>
    <x v="0"/>
    <n v="580"/>
    <n v="2"/>
    <d v="1999-03-01T00:00:00"/>
    <n v="316094"/>
    <m/>
    <m/>
    <m/>
    <m/>
    <m/>
    <m/>
    <m/>
    <m/>
    <m/>
    <m/>
    <m/>
    <m/>
    <m/>
    <m/>
  </r>
  <r>
    <n v="13"/>
    <d v="2000-11-01T00:00:00"/>
    <x v="10"/>
    <x v="0"/>
    <n v="611"/>
    <n v="2"/>
    <d v="1999-03-01T00:00:00"/>
    <n v="315975"/>
    <m/>
    <m/>
    <m/>
    <m/>
    <m/>
    <m/>
    <m/>
    <m/>
    <m/>
    <m/>
    <m/>
    <m/>
    <m/>
    <m/>
  </r>
  <r>
    <n v="13"/>
    <d v="2000-12-01T00:00:00"/>
    <x v="11"/>
    <x v="0"/>
    <n v="641"/>
    <n v="2"/>
    <d v="1999-03-01T00:00:00"/>
    <n v="262584"/>
    <m/>
    <m/>
    <m/>
    <m/>
    <m/>
    <m/>
    <m/>
    <m/>
    <m/>
    <s v="begin harvesting"/>
    <m/>
    <m/>
    <m/>
    <m/>
  </r>
  <r>
    <n v="13"/>
    <d v="2001-01-01T00:00:00"/>
    <x v="0"/>
    <x v="1"/>
    <n v="672"/>
    <n v="2"/>
    <d v="1999-03-01T00:00:00"/>
    <n v="227834"/>
    <m/>
    <m/>
    <m/>
    <m/>
    <m/>
    <m/>
    <m/>
    <m/>
    <m/>
    <m/>
    <m/>
    <m/>
    <m/>
    <m/>
  </r>
  <r>
    <n v="13"/>
    <d v="2001-02-01T00:00:00"/>
    <x v="1"/>
    <x v="1"/>
    <n v="703"/>
    <n v="2"/>
    <d v="1999-03-01T00:00:00"/>
    <n v="189965"/>
    <m/>
    <m/>
    <m/>
    <m/>
    <m/>
    <m/>
    <m/>
    <m/>
    <m/>
    <m/>
    <m/>
    <m/>
    <m/>
    <m/>
  </r>
  <r>
    <n v="13"/>
    <d v="2001-03-01T00:00:00"/>
    <x v="2"/>
    <x v="1"/>
    <n v="731"/>
    <n v="3"/>
    <d v="1999-03-01T00:00:00"/>
    <n v="97500"/>
    <m/>
    <m/>
    <m/>
    <m/>
    <m/>
    <m/>
    <m/>
    <m/>
    <m/>
    <m/>
    <m/>
    <m/>
    <m/>
    <m/>
  </r>
  <r>
    <n v="13"/>
    <d v="2001-04-01T00:00:00"/>
    <x v="3"/>
    <x v="1"/>
    <n v="762"/>
    <n v="3"/>
    <d v="1999-03-01T00:00:00"/>
    <n v="97367"/>
    <m/>
    <m/>
    <m/>
    <m/>
    <m/>
    <m/>
    <m/>
    <m/>
    <m/>
    <m/>
    <m/>
    <m/>
    <m/>
    <m/>
  </r>
  <r>
    <n v="13"/>
    <d v="2001-05-01T00:00:00"/>
    <x v="4"/>
    <x v="1"/>
    <m/>
    <m/>
    <m/>
    <m/>
    <m/>
    <m/>
    <m/>
    <m/>
    <m/>
    <m/>
    <m/>
    <m/>
    <m/>
    <m/>
    <m/>
    <m/>
    <m/>
    <m/>
  </r>
  <r>
    <n v="13"/>
    <d v="2001-06-01T00:00:00"/>
    <x v="5"/>
    <x v="1"/>
    <m/>
    <m/>
    <m/>
    <m/>
    <m/>
    <m/>
    <m/>
    <m/>
    <m/>
    <m/>
    <m/>
    <m/>
    <m/>
    <m/>
    <m/>
    <m/>
    <m/>
    <m/>
  </r>
  <r>
    <n v="13"/>
    <d v="2001-07-01T00:00:00"/>
    <x v="6"/>
    <x v="1"/>
    <m/>
    <m/>
    <m/>
    <m/>
    <m/>
    <m/>
    <m/>
    <m/>
    <m/>
    <m/>
    <m/>
    <m/>
    <m/>
    <m/>
    <m/>
    <m/>
    <m/>
    <m/>
  </r>
  <r>
    <n v="13"/>
    <d v="2001-08-01T00:00:00"/>
    <x v="7"/>
    <x v="1"/>
    <m/>
    <m/>
    <m/>
    <m/>
    <m/>
    <m/>
    <m/>
    <m/>
    <m/>
    <m/>
    <m/>
    <m/>
    <m/>
    <m/>
    <m/>
    <m/>
    <m/>
    <m/>
  </r>
  <r>
    <n v="13"/>
    <d v="2001-09-01T00:00:00"/>
    <x v="8"/>
    <x v="1"/>
    <n v="184"/>
    <n v="1"/>
    <d v="2001-03-01T00:00:00"/>
    <n v="332452"/>
    <m/>
    <m/>
    <m/>
    <m/>
    <m/>
    <m/>
    <m/>
    <n v="10.1"/>
    <m/>
    <s v="moved 318,696 from farm #14"/>
    <m/>
    <m/>
    <m/>
    <m/>
  </r>
  <r>
    <n v="13"/>
    <d v="2001-10-01T00:00:00"/>
    <x v="9"/>
    <x v="1"/>
    <n v="214"/>
    <n v="1"/>
    <d v="2001-03-01T00:00:00"/>
    <n v="587730"/>
    <n v="17.3"/>
    <n v="10.4"/>
    <n v="1.4"/>
    <m/>
    <m/>
    <n v="0"/>
    <m/>
    <n v="9.1"/>
    <m/>
    <s v="256K from farm #15"/>
    <n v="6112392"/>
    <n v="822822"/>
    <n v="0"/>
    <n v="0"/>
  </r>
  <r>
    <n v="13"/>
    <d v="2001-11-01T00:00:00"/>
    <x v="10"/>
    <x v="1"/>
    <n v="245"/>
    <n v="1"/>
    <d v="2001-03-01T00:00:00"/>
    <n v="586709"/>
    <n v="15.75"/>
    <n v="10.7"/>
    <n v="4.0999999999999996"/>
    <m/>
    <m/>
    <n v="1.3"/>
    <m/>
    <n v="8.3000000000000007"/>
    <m/>
    <m/>
    <n v="6277786.2999999998"/>
    <n v="2405506.9"/>
    <n v="762721.70000000007"/>
    <n v="305088.68000000005"/>
  </r>
  <r>
    <n v="13"/>
    <d v="2001-12-01T00:00:00"/>
    <x v="11"/>
    <x v="1"/>
    <n v="275"/>
    <n v="1"/>
    <d v="2001-03-01T00:00:00"/>
    <n v="585965"/>
    <m/>
    <n v="10.899999999999999"/>
    <n v="4.5"/>
    <m/>
    <n v="1"/>
    <n v="0.65"/>
    <n v="1"/>
    <n v="7.4"/>
    <m/>
    <s v="Ivermectin treatment"/>
    <n v="6387018.4999999991"/>
    <n v="2636842.5"/>
    <n v="380877.25"/>
    <n v="152350.9"/>
  </r>
  <r>
    <n v="13"/>
    <d v="2002-01-01T00:00:00"/>
    <x v="0"/>
    <x v="2"/>
    <n v="306"/>
    <n v="1"/>
    <d v="2001-03-01T00:00:00"/>
    <n v="585655"/>
    <n v="1.55"/>
    <n v="11.1"/>
    <n v="4.9000000000000004"/>
    <m/>
    <m/>
    <n v="0"/>
    <m/>
    <m/>
    <m/>
    <m/>
    <n v="6500770.5"/>
    <n v="2869709.5"/>
    <n v="0"/>
    <n v="0"/>
  </r>
  <r>
    <n v="13"/>
    <d v="2002-02-01T00:00:00"/>
    <x v="1"/>
    <x v="2"/>
    <n v="337"/>
    <n v="1"/>
    <d v="2001-03-01T00:00:00"/>
    <n v="585379"/>
    <n v="3.38"/>
    <n v="7.23"/>
    <n v="2.83"/>
    <m/>
    <m/>
    <n v="0"/>
    <m/>
    <n v="7.1"/>
    <m/>
    <m/>
    <n v="4232290.17"/>
    <n v="1656622.57"/>
    <n v="0"/>
    <n v="0"/>
  </r>
  <r>
    <n v="13"/>
    <d v="2002-03-01T00:00:00"/>
    <x v="2"/>
    <x v="2"/>
    <n v="365"/>
    <n v="2"/>
    <d v="2001-03-01T00:00:00"/>
    <n v="584931"/>
    <m/>
    <n v="6.3150000000000004"/>
    <n v="2.1150000000000002"/>
    <m/>
    <n v="1"/>
    <n v="0"/>
    <m/>
    <n v="7.2"/>
    <m/>
    <m/>
    <n v="3693839.2650000001"/>
    <n v="1237129.0650000002"/>
    <n v="0"/>
    <n v="0"/>
  </r>
  <r>
    <n v="13"/>
    <d v="2002-04-01T00:00:00"/>
    <x v="3"/>
    <x v="2"/>
    <n v="396"/>
    <n v="2"/>
    <d v="2001-03-01T00:00:00"/>
    <n v="584605"/>
    <n v="7.5"/>
    <n v="5.4"/>
    <n v="1.4"/>
    <m/>
    <m/>
    <n v="0"/>
    <m/>
    <n v="8"/>
    <m/>
    <m/>
    <n v="3156867"/>
    <n v="818447"/>
    <n v="0"/>
    <n v="0"/>
  </r>
  <r>
    <n v="13"/>
    <d v="2002-05-01T00:00:00"/>
    <x v="4"/>
    <x v="2"/>
    <n v="426"/>
    <n v="2"/>
    <d v="2001-03-01T00:00:00"/>
    <n v="584156"/>
    <n v="6.8"/>
    <n v="17.399999999999999"/>
    <n v="3.55"/>
    <m/>
    <m/>
    <n v="0"/>
    <n v="1"/>
    <n v="8.6999999999999993"/>
    <m/>
    <m/>
    <n v="10164314.399999999"/>
    <n v="2073753.7999999998"/>
    <n v="0"/>
    <n v="0"/>
  </r>
  <r>
    <n v="13"/>
    <d v="2002-06-01T00:00:00"/>
    <x v="5"/>
    <x v="2"/>
    <n v="457"/>
    <n v="2"/>
    <d v="2001-03-01T00:00:00"/>
    <n v="583421"/>
    <m/>
    <n v="10.574999999999999"/>
    <n v="2.5549999999999997"/>
    <m/>
    <n v="1"/>
    <n v="0"/>
    <m/>
    <n v="9.5"/>
    <m/>
    <m/>
    <n v="6169677.0749999993"/>
    <n v="1490640.6549999998"/>
    <n v="0"/>
    <n v="0"/>
  </r>
  <r>
    <n v="13"/>
    <d v="2002-07-01T00:00:00"/>
    <x v="6"/>
    <x v="2"/>
    <n v="487"/>
    <n v="2"/>
    <d v="2001-03-01T00:00:00"/>
    <n v="583031"/>
    <n v="0.36"/>
    <n v="3.75"/>
    <n v="1.56"/>
    <m/>
    <m/>
    <n v="0"/>
    <m/>
    <m/>
    <m/>
    <m/>
    <n v="2186366.25"/>
    <n v="909528.36"/>
    <n v="0"/>
    <n v="0"/>
  </r>
  <r>
    <n v="13"/>
    <d v="2002-08-01T00:00:00"/>
    <x v="7"/>
    <x v="2"/>
    <n v="518"/>
    <n v="2"/>
    <d v="2001-03-01T00:00:00"/>
    <n v="582685"/>
    <m/>
    <m/>
    <m/>
    <m/>
    <m/>
    <m/>
    <m/>
    <n v="10.1"/>
    <m/>
    <m/>
    <m/>
    <m/>
    <m/>
    <m/>
  </r>
  <r>
    <n v="13"/>
    <d v="2002-09-01T00:00:00"/>
    <x v="8"/>
    <x v="2"/>
    <n v="549"/>
    <n v="2"/>
    <d v="2001-03-01T00:00:00"/>
    <n v="480000"/>
    <m/>
    <m/>
    <m/>
    <m/>
    <m/>
    <m/>
    <m/>
    <m/>
    <m/>
    <s v="harvest started"/>
    <m/>
    <m/>
    <m/>
    <m/>
  </r>
  <r>
    <n v="13"/>
    <d v="2002-10-01T00:00:00"/>
    <x v="9"/>
    <x v="2"/>
    <n v="579"/>
    <n v="2"/>
    <d v="2001-03-01T00:00:00"/>
    <n v="372106"/>
    <m/>
    <m/>
    <m/>
    <m/>
    <m/>
    <m/>
    <m/>
    <m/>
    <m/>
    <m/>
    <m/>
    <m/>
    <m/>
    <m/>
  </r>
  <r>
    <n v="13"/>
    <d v="2002-11-01T00:00:00"/>
    <x v="10"/>
    <x v="2"/>
    <n v="610"/>
    <n v="2"/>
    <d v="2001-03-01T00:00:00"/>
    <n v="371609"/>
    <n v="12.2"/>
    <n v="14.8"/>
    <n v="2.25"/>
    <m/>
    <m/>
    <n v="0.55000000000000004"/>
    <m/>
    <n v="7.9"/>
    <m/>
    <m/>
    <n v="5499813.2000000002"/>
    <n v="836120.25"/>
    <n v="204384.95"/>
    <n v="81753.98000000001"/>
  </r>
  <r>
    <n v="13"/>
    <d v="2002-12-01T00:00:00"/>
    <x v="11"/>
    <x v="2"/>
    <n v="640"/>
    <n v="2"/>
    <d v="2001-03-01T00:00:00"/>
    <n v="359542"/>
    <m/>
    <n v="14.574999999999999"/>
    <n v="5.45"/>
    <m/>
    <n v="1"/>
    <n v="0.47500000000000003"/>
    <m/>
    <n v="7.9"/>
    <m/>
    <m/>
    <n v="5240324.6499999994"/>
    <n v="1959503.9000000001"/>
    <n v="170782.45"/>
    <n v="68312.98000000001"/>
  </r>
  <r>
    <n v="13"/>
    <d v="2003-01-01T00:00:00"/>
    <x v="0"/>
    <x v="3"/>
    <n v="671"/>
    <n v="2"/>
    <d v="2001-03-01T00:00:00"/>
    <n v="197630"/>
    <n v="8.5"/>
    <n v="14.35"/>
    <n v="8.65"/>
    <m/>
    <m/>
    <n v="0.4"/>
    <m/>
    <n v="7.6"/>
    <m/>
    <m/>
    <n v="2835990.5"/>
    <n v="1709499.5"/>
    <n v="79052"/>
    <n v="31620.800000000003"/>
  </r>
  <r>
    <n v="13"/>
    <d v="2003-02-01T00:00:00"/>
    <x v="1"/>
    <x v="3"/>
    <n v="702"/>
    <n v="2"/>
    <d v="2001-03-01T00:00:00"/>
    <n v="31962"/>
    <m/>
    <m/>
    <n v="11.85"/>
    <m/>
    <s v="h"/>
    <n v="0.4"/>
    <m/>
    <n v="7.6"/>
    <m/>
    <s v="Harvest complete"/>
    <m/>
    <n v="378749.7"/>
    <n v="12784.800000000001"/>
    <n v="5113.920000000001"/>
  </r>
  <r>
    <n v="13"/>
    <d v="2003-03-01T00:00:00"/>
    <x v="2"/>
    <x v="3"/>
    <m/>
    <m/>
    <m/>
    <m/>
    <m/>
    <m/>
    <m/>
    <m/>
    <m/>
    <m/>
    <m/>
    <m/>
    <m/>
    <m/>
    <m/>
    <m/>
    <m/>
    <m/>
  </r>
  <r>
    <n v="13"/>
    <d v="2003-04-01T00:00:00"/>
    <x v="3"/>
    <x v="3"/>
    <m/>
    <m/>
    <m/>
    <m/>
    <m/>
    <m/>
    <m/>
    <m/>
    <m/>
    <m/>
    <m/>
    <m/>
    <m/>
    <m/>
    <m/>
    <m/>
    <m/>
    <m/>
  </r>
  <r>
    <n v="13"/>
    <d v="2003-05-01T00:00:00"/>
    <x v="4"/>
    <x v="3"/>
    <m/>
    <m/>
    <m/>
    <m/>
    <m/>
    <m/>
    <m/>
    <m/>
    <m/>
    <m/>
    <m/>
    <m/>
    <m/>
    <m/>
    <m/>
    <m/>
    <m/>
    <m/>
  </r>
  <r>
    <n v="13"/>
    <d v="2003-06-01T00:00:00"/>
    <x v="5"/>
    <x v="3"/>
    <m/>
    <m/>
    <m/>
    <m/>
    <m/>
    <m/>
    <m/>
    <m/>
    <m/>
    <m/>
    <m/>
    <m/>
    <m/>
    <m/>
    <m/>
    <m/>
    <m/>
    <m/>
  </r>
  <r>
    <n v="13"/>
    <d v="2003-07-01T00:00:00"/>
    <x v="6"/>
    <x v="3"/>
    <m/>
    <m/>
    <m/>
    <m/>
    <m/>
    <m/>
    <m/>
    <m/>
    <m/>
    <m/>
    <m/>
    <m/>
    <m/>
    <m/>
    <m/>
    <m/>
    <m/>
    <m/>
  </r>
  <r>
    <n v="13"/>
    <d v="2003-08-01T00:00:00"/>
    <x v="7"/>
    <x v="3"/>
    <m/>
    <m/>
    <m/>
    <m/>
    <m/>
    <m/>
    <m/>
    <m/>
    <m/>
    <m/>
    <m/>
    <m/>
    <m/>
    <m/>
    <m/>
    <m/>
    <m/>
    <m/>
  </r>
  <r>
    <n v="13"/>
    <d v="2003-09-01T00:00:00"/>
    <x v="8"/>
    <x v="3"/>
    <m/>
    <m/>
    <m/>
    <m/>
    <m/>
    <m/>
    <m/>
    <m/>
    <m/>
    <m/>
    <m/>
    <m/>
    <m/>
    <m/>
    <m/>
    <m/>
    <m/>
    <m/>
  </r>
  <r>
    <n v="13"/>
    <d v="2003-10-01T00:00:00"/>
    <x v="9"/>
    <x v="3"/>
    <m/>
    <m/>
    <m/>
    <m/>
    <m/>
    <m/>
    <m/>
    <m/>
    <m/>
    <m/>
    <m/>
    <m/>
    <m/>
    <m/>
    <m/>
    <m/>
    <m/>
    <m/>
  </r>
  <r>
    <n v="13"/>
    <d v="2003-11-01T00:00:00"/>
    <x v="10"/>
    <x v="3"/>
    <m/>
    <m/>
    <m/>
    <m/>
    <m/>
    <m/>
    <m/>
    <m/>
    <m/>
    <m/>
    <m/>
    <m/>
    <m/>
    <m/>
    <m/>
    <m/>
    <m/>
    <m/>
  </r>
  <r>
    <n v="13"/>
    <d v="2003-12-01T00:00:00"/>
    <x v="11"/>
    <x v="3"/>
    <n v="0"/>
    <n v="1"/>
    <d v="2003-12-01T00:00:00"/>
    <n v="163690"/>
    <m/>
    <m/>
    <n v="0"/>
    <m/>
    <s v="s"/>
    <n v="0"/>
    <m/>
    <m/>
    <m/>
    <s v="smolt entry"/>
    <m/>
    <n v="0"/>
    <n v="0"/>
    <n v="0"/>
  </r>
  <r>
    <n v="13"/>
    <d v="2004-01-01T00:00:00"/>
    <x v="0"/>
    <x v="4"/>
    <n v="31"/>
    <n v="1"/>
    <d v="2003-12-01T00:00:00"/>
    <n v="363876"/>
    <m/>
    <m/>
    <n v="0"/>
    <m/>
    <s v="s"/>
    <n v="0.1"/>
    <m/>
    <m/>
    <m/>
    <m/>
    <m/>
    <n v="0"/>
    <n v="36387.599999999999"/>
    <n v="14555.04"/>
  </r>
  <r>
    <n v="13"/>
    <d v="2004-02-01T00:00:00"/>
    <x v="1"/>
    <x v="4"/>
    <n v="62"/>
    <n v="1"/>
    <d v="2003-12-01T00:00:00"/>
    <n v="701653"/>
    <m/>
    <m/>
    <n v="0"/>
    <m/>
    <s v="s"/>
    <n v="0.4"/>
    <m/>
    <m/>
    <m/>
    <m/>
    <m/>
    <n v="0"/>
    <n v="280661.2"/>
    <n v="112264.48000000001"/>
  </r>
  <r>
    <n v="13"/>
    <d v="2004-03-01T00:00:00"/>
    <x v="2"/>
    <x v="4"/>
    <n v="91"/>
    <n v="1"/>
    <d v="2003-12-01T00:00:00"/>
    <n v="686254"/>
    <n v="0.5"/>
    <n v="0.4"/>
    <n v="0"/>
    <m/>
    <m/>
    <n v="0.6"/>
    <m/>
    <n v="7.6"/>
    <n v="32.299999999999997"/>
    <m/>
    <n v="274501.60000000003"/>
    <n v="0"/>
    <n v="411752.39999999997"/>
    <n v="164700.96"/>
  </r>
  <r>
    <n v="13"/>
    <d v="2004-04-01T00:00:00"/>
    <x v="3"/>
    <x v="4"/>
    <n v="122"/>
    <n v="1"/>
    <d v="2003-12-01T00:00:00"/>
    <n v="674426"/>
    <n v="3.57"/>
    <n v="1.1599999999999999"/>
    <n v="0.11"/>
    <n v="0"/>
    <m/>
    <n v="0.12"/>
    <m/>
    <n v="9.3000000000000007"/>
    <n v="30.5"/>
    <m/>
    <n v="782334.15999999992"/>
    <n v="74186.86"/>
    <n v="80931.12"/>
    <n v="32372.448"/>
  </r>
  <r>
    <n v="13"/>
    <d v="2004-05-01T00:00:00"/>
    <x v="4"/>
    <x v="4"/>
    <n v="152"/>
    <n v="1"/>
    <d v="2003-12-01T00:00:00"/>
    <n v="662975"/>
    <n v="2.7"/>
    <n v="4.4000000000000004"/>
    <n v="0.25"/>
    <n v="0"/>
    <m/>
    <n v="3"/>
    <n v="1"/>
    <n v="9.8000000000000007"/>
    <n v="30"/>
    <m/>
    <n v="2917090.0000000005"/>
    <n v="165743.75"/>
    <n v="1988925"/>
    <n v="795570"/>
  </r>
  <r>
    <n v="13"/>
    <d v="2004-06-01T00:00:00"/>
    <x v="5"/>
    <x v="4"/>
    <n v="183"/>
    <n v="1"/>
    <d v="2003-12-01T00:00:00"/>
    <n v="660250"/>
    <n v="1.2"/>
    <n v="1.4"/>
    <n v="0.4"/>
    <n v="0"/>
    <m/>
    <n v="0.35"/>
    <m/>
    <n v="10.35"/>
    <n v="29"/>
    <m/>
    <n v="924349.99999999988"/>
    <n v="264100"/>
    <n v="231087.49999999997"/>
    <n v="92435"/>
  </r>
  <r>
    <n v="13"/>
    <d v="2004-07-01T00:00:00"/>
    <x v="6"/>
    <x v="4"/>
    <n v="213"/>
    <n v="1"/>
    <d v="2003-12-01T00:00:00"/>
    <n v="659058"/>
    <n v="0.6"/>
    <n v="1.4"/>
    <n v="0.1"/>
    <m/>
    <m/>
    <n v="0.1"/>
    <m/>
    <n v="11.5"/>
    <n v="25"/>
    <m/>
    <n v="922681.2"/>
    <n v="65905.8"/>
    <n v="65905.8"/>
    <n v="26362.320000000003"/>
  </r>
  <r>
    <n v="13"/>
    <d v="2004-08-01T00:00:00"/>
    <x v="7"/>
    <x v="4"/>
    <n v="244"/>
    <n v="1"/>
    <d v="2003-12-01T00:00:00"/>
    <n v="658000"/>
    <m/>
    <n v="3.5"/>
    <n v="0.75"/>
    <m/>
    <n v="1"/>
    <n v="0.1"/>
    <m/>
    <m/>
    <m/>
    <m/>
    <n v="2303000"/>
    <n v="493500"/>
    <n v="65800"/>
    <n v="26320"/>
  </r>
  <r>
    <n v="13"/>
    <d v="2004-09-01T00:00:00"/>
    <x v="8"/>
    <x v="4"/>
    <n v="275"/>
    <n v="1"/>
    <d v="2003-12-01T00:00:00"/>
    <n v="656500"/>
    <n v="1.2"/>
    <n v="5.6"/>
    <n v="1.4"/>
    <m/>
    <m/>
    <n v="0.1"/>
    <m/>
    <n v="10.4"/>
    <n v="26.3"/>
    <m/>
    <n v="3676399.9999999995"/>
    <n v="919099.99999999988"/>
    <n v="65650"/>
    <n v="26260"/>
  </r>
  <r>
    <n v="13"/>
    <d v="2004-10-01T00:00:00"/>
    <x v="9"/>
    <x v="4"/>
    <n v="305"/>
    <n v="1"/>
    <d v="2003-12-01T00:00:00"/>
    <n v="655000"/>
    <n v="0.77"/>
    <n v="5.23"/>
    <n v="2.2000000000000002"/>
    <n v="1"/>
    <m/>
    <n v="0.23"/>
    <m/>
    <n v="9.4"/>
    <n v="28.9"/>
    <m/>
    <n v="3425650.0000000005"/>
    <n v="1441000"/>
    <n v="150650"/>
    <n v="60260"/>
  </r>
  <r>
    <n v="13"/>
    <d v="2004-11-01T00:00:00"/>
    <x v="10"/>
    <x v="4"/>
    <n v="336"/>
    <n v="1"/>
    <d v="2003-12-01T00:00:00"/>
    <n v="653000"/>
    <n v="1.77"/>
    <n v="6.47"/>
    <n v="1.9"/>
    <n v="1"/>
    <m/>
    <n v="0.6"/>
    <m/>
    <n v="8.1999999999999993"/>
    <n v="28.2"/>
    <m/>
    <n v="4224910"/>
    <n v="1240700"/>
    <n v="391800"/>
    <n v="156720"/>
  </r>
  <r>
    <n v="13"/>
    <d v="2004-12-01T00:00:00"/>
    <x v="11"/>
    <x v="4"/>
    <n v="366"/>
    <n v="2"/>
    <d v="2003-12-01T00:00:00"/>
    <n v="651500"/>
    <n v="2.98"/>
    <n v="7.18"/>
    <n v="2.08"/>
    <n v="2"/>
    <m/>
    <n v="0.52"/>
    <n v="1"/>
    <n v="8"/>
    <n v="29"/>
    <m/>
    <n v="4677770"/>
    <n v="1355120"/>
    <n v="338780"/>
    <n v="135512"/>
  </r>
  <r>
    <n v="13"/>
    <d v="2005-01-01T00:00:00"/>
    <x v="0"/>
    <x v="5"/>
    <n v="397"/>
    <n v="2"/>
    <d v="2003-12-01T00:00:00"/>
    <n v="650417"/>
    <n v="0.95"/>
    <n v="1.76"/>
    <n v="0.67"/>
    <n v="0"/>
    <m/>
    <n v="0.12"/>
    <m/>
    <n v="7"/>
    <n v="29"/>
    <m/>
    <n v="1144733.92"/>
    <n v="435779.39"/>
    <n v="78050.039999999994"/>
    <n v="31220.016"/>
  </r>
  <r>
    <n v="13"/>
    <d v="2005-02-01T00:00:00"/>
    <x v="1"/>
    <x v="5"/>
    <n v="428"/>
    <n v="2"/>
    <d v="2003-12-01T00:00:00"/>
    <n v="650250"/>
    <n v="0.02"/>
    <n v="0.12"/>
    <n v="0.02"/>
    <n v="0"/>
    <m/>
    <n v="0.02"/>
    <m/>
    <n v="7"/>
    <n v="30"/>
    <m/>
    <n v="78030"/>
    <n v="13005"/>
    <n v="13005"/>
    <n v="5202"/>
  </r>
  <r>
    <n v="13"/>
    <d v="2005-03-01T00:00:00"/>
    <x v="2"/>
    <x v="5"/>
    <n v="456"/>
    <n v="2"/>
    <d v="2003-12-01T00:00:00"/>
    <n v="650108"/>
    <n v="0.13"/>
    <n v="0.22"/>
    <n v="0.12"/>
    <n v="0"/>
    <m/>
    <n v="0"/>
    <m/>
    <n v="8"/>
    <n v="31"/>
    <m/>
    <n v="143023.76"/>
    <n v="78012.959999999992"/>
    <n v="0"/>
    <n v="0"/>
  </r>
  <r>
    <n v="13"/>
    <d v="2005-04-01T00:00:00"/>
    <x v="3"/>
    <x v="5"/>
    <n v="487"/>
    <n v="2"/>
    <d v="2003-12-01T00:00:00"/>
    <n v="647639"/>
    <n v="2.96"/>
    <n v="0.2"/>
    <n v="0.03"/>
    <n v="0"/>
    <m/>
    <n v="0.13"/>
    <m/>
    <n v="8"/>
    <n v="31"/>
    <m/>
    <n v="129527.8"/>
    <n v="19429.169999999998"/>
    <n v="84193.07"/>
    <n v="33677.228000000003"/>
  </r>
  <r>
    <n v="13"/>
    <d v="2005-05-01T00:00:00"/>
    <x v="4"/>
    <x v="5"/>
    <n v="517"/>
    <n v="2"/>
    <d v="2003-12-01T00:00:00"/>
    <n v="646758"/>
    <n v="8.42"/>
    <n v="5.48"/>
    <n v="1.93"/>
    <n v="0"/>
    <m/>
    <n v="2.62"/>
    <n v="1"/>
    <n v="10"/>
    <n v="31"/>
    <m/>
    <n v="3544233.8400000003"/>
    <n v="1248242.94"/>
    <n v="1694505.96"/>
    <n v="677802.38400000008"/>
  </r>
  <r>
    <n v="13"/>
    <d v="2005-06-01T00:00:00"/>
    <x v="5"/>
    <x v="5"/>
    <n v="548"/>
    <n v="2"/>
    <d v="2003-12-01T00:00:00"/>
    <n v="645598"/>
    <n v="0.95"/>
    <n v="4.68"/>
    <n v="2.15"/>
    <n v="2"/>
    <m/>
    <n v="7.0000000000000007E-2"/>
    <m/>
    <n v="10"/>
    <n v="30"/>
    <m/>
    <n v="3021398.6399999997"/>
    <n v="1388035.7"/>
    <n v="45191.860000000008"/>
    <n v="18076.744000000002"/>
  </r>
  <r>
    <n v="13"/>
    <d v="2005-07-01T00:00:00"/>
    <x v="6"/>
    <x v="5"/>
    <n v="578"/>
    <n v="2"/>
    <d v="2003-12-01T00:00:00"/>
    <n v="644000"/>
    <n v="0.02"/>
    <n v="1.93"/>
    <n v="0.8"/>
    <n v="0"/>
    <m/>
    <n v="0"/>
    <m/>
    <n v="11"/>
    <n v="23"/>
    <m/>
    <n v="1242920"/>
    <n v="515200"/>
    <n v="0"/>
    <n v="0"/>
  </r>
  <r>
    <n v="13"/>
    <d v="2005-08-01T00:00:00"/>
    <x v="7"/>
    <x v="5"/>
    <n v="609"/>
    <n v="2"/>
    <d v="2003-12-01T00:00:00"/>
    <n v="643000"/>
    <n v="1.3"/>
    <n v="0.32"/>
    <n v="0.18"/>
    <n v="1"/>
    <m/>
    <n v="0"/>
    <m/>
    <n v="12"/>
    <n v="24"/>
    <m/>
    <n v="205760"/>
    <n v="115740"/>
    <n v="0"/>
    <n v="0"/>
  </r>
  <r>
    <n v="13"/>
    <d v="2005-09-01T00:00:00"/>
    <x v="8"/>
    <x v="5"/>
    <n v="640"/>
    <n v="2"/>
    <d v="2003-12-01T00:00:00"/>
    <n v="594000"/>
    <n v="2.57"/>
    <n v="3.1"/>
    <n v="0.78"/>
    <n v="0"/>
    <m/>
    <n v="0.18"/>
    <m/>
    <n v="10"/>
    <n v="30"/>
    <m/>
    <n v="1841400"/>
    <n v="463320"/>
    <n v="106920"/>
    <n v="42768"/>
  </r>
  <r>
    <n v="13"/>
    <d v="2005-10-01T00:00:00"/>
    <x v="9"/>
    <x v="5"/>
    <n v="670"/>
    <n v="2"/>
    <d v="2003-12-01T00:00:00"/>
    <n v="194497"/>
    <n v="1.75"/>
    <n v="6.92"/>
    <n v="2.87"/>
    <m/>
    <m/>
    <n v="0.08"/>
    <m/>
    <n v="9"/>
    <n v="27"/>
    <m/>
    <n v="1345919.24"/>
    <n v="558206.39"/>
    <n v="15559.76"/>
    <n v="6223.9040000000005"/>
  </r>
  <r>
    <n v="13"/>
    <d v="2005-11-01T00:00:00"/>
    <x v="10"/>
    <x v="5"/>
    <m/>
    <m/>
    <m/>
    <m/>
    <m/>
    <m/>
    <m/>
    <m/>
    <m/>
    <m/>
    <m/>
    <m/>
    <m/>
    <s v="harvested out"/>
    <m/>
    <m/>
    <m/>
    <m/>
  </r>
  <r>
    <n v="13"/>
    <d v="2005-12-01T00:00:00"/>
    <x v="11"/>
    <x v="5"/>
    <m/>
    <m/>
    <m/>
    <m/>
    <m/>
    <m/>
    <m/>
    <m/>
    <m/>
    <m/>
    <m/>
    <m/>
    <m/>
    <m/>
    <m/>
    <m/>
    <m/>
    <m/>
  </r>
  <r>
    <n v="13"/>
    <d v="2006-01-01T00:00:00"/>
    <x v="0"/>
    <x v="6"/>
    <m/>
    <m/>
    <m/>
    <m/>
    <m/>
    <m/>
    <m/>
    <m/>
    <m/>
    <m/>
    <m/>
    <m/>
    <m/>
    <m/>
    <m/>
    <m/>
    <m/>
    <m/>
  </r>
  <r>
    <n v="13"/>
    <d v="2006-02-01T00:00:00"/>
    <x v="1"/>
    <x v="6"/>
    <m/>
    <m/>
    <m/>
    <m/>
    <m/>
    <m/>
    <m/>
    <m/>
    <m/>
    <m/>
    <m/>
    <m/>
    <m/>
    <m/>
    <m/>
    <m/>
    <m/>
    <m/>
  </r>
  <r>
    <n v="13"/>
    <d v="2006-03-01T00:00:00"/>
    <x v="2"/>
    <x v="6"/>
    <m/>
    <m/>
    <m/>
    <m/>
    <m/>
    <m/>
    <m/>
    <m/>
    <m/>
    <m/>
    <m/>
    <m/>
    <m/>
    <m/>
    <m/>
    <m/>
    <m/>
    <m/>
  </r>
  <r>
    <n v="13"/>
    <d v="2006-04-01T00:00:00"/>
    <x v="3"/>
    <x v="6"/>
    <m/>
    <m/>
    <m/>
    <m/>
    <m/>
    <m/>
    <m/>
    <m/>
    <m/>
    <m/>
    <m/>
    <m/>
    <m/>
    <m/>
    <m/>
    <m/>
    <m/>
    <m/>
  </r>
  <r>
    <n v="13"/>
    <d v="2006-05-01T00:00:00"/>
    <x v="4"/>
    <x v="6"/>
    <m/>
    <m/>
    <m/>
    <m/>
    <m/>
    <m/>
    <m/>
    <m/>
    <m/>
    <m/>
    <m/>
    <m/>
    <m/>
    <m/>
    <m/>
    <m/>
    <m/>
    <m/>
  </r>
  <r>
    <n v="13"/>
    <d v="2006-06-01T00:00:00"/>
    <x v="5"/>
    <x v="6"/>
    <m/>
    <m/>
    <m/>
    <m/>
    <m/>
    <m/>
    <m/>
    <m/>
    <m/>
    <m/>
    <m/>
    <m/>
    <m/>
    <m/>
    <m/>
    <m/>
    <m/>
    <m/>
  </r>
  <r>
    <n v="13"/>
    <d v="2006-07-01T00:00:00"/>
    <x v="6"/>
    <x v="6"/>
    <m/>
    <m/>
    <m/>
    <m/>
    <m/>
    <m/>
    <m/>
    <m/>
    <m/>
    <m/>
    <m/>
    <m/>
    <m/>
    <m/>
    <m/>
    <m/>
    <m/>
    <m/>
  </r>
  <r>
    <n v="13"/>
    <d v="2006-08-01T00:00:00"/>
    <x v="7"/>
    <x v="6"/>
    <n v="273"/>
    <n v="1"/>
    <d v="2005-11-01T00:00:00"/>
    <n v="553847"/>
    <m/>
    <m/>
    <n v="0.2"/>
    <m/>
    <s v="t"/>
    <n v="0.22"/>
    <m/>
    <m/>
    <m/>
    <s v="Transferred from farm #17"/>
    <m/>
    <n v="110769.40000000001"/>
    <n v="121846.34"/>
    <n v="48738.536"/>
  </r>
  <r>
    <n v="13"/>
    <d v="2006-09-01T00:00:00"/>
    <x v="8"/>
    <x v="6"/>
    <n v="304"/>
    <n v="1"/>
    <d v="2005-11-01T00:00:00"/>
    <n v="553040"/>
    <n v="18.55"/>
    <n v="4.87"/>
    <n v="0.4"/>
    <m/>
    <m/>
    <n v="2.3199999999999998"/>
    <m/>
    <n v="10"/>
    <n v="28"/>
    <m/>
    <n v="2693304.8000000003"/>
    <n v="221216"/>
    <n v="1283052.7999999998"/>
    <n v="513221.11999999994"/>
  </r>
  <r>
    <n v="13"/>
    <d v="2006-10-01T00:00:00"/>
    <x v="9"/>
    <x v="6"/>
    <n v="334"/>
    <n v="1"/>
    <d v="2005-11-01T00:00:00"/>
    <n v="552521"/>
    <n v="18.010000000000002"/>
    <n v="8.4"/>
    <n v="2.48"/>
    <n v="0"/>
    <m/>
    <n v="3.88"/>
    <n v="1"/>
    <n v="10"/>
    <n v="28"/>
    <m/>
    <n v="4641176.4000000004"/>
    <n v="1370252.08"/>
    <n v="2143781.48"/>
    <n v="857512.59200000006"/>
  </r>
  <r>
    <n v="13"/>
    <d v="2006-11-01T00:00:00"/>
    <x v="10"/>
    <x v="6"/>
    <n v="365"/>
    <n v="2"/>
    <d v="2005-11-01T00:00:00"/>
    <n v="551867"/>
    <n v="6.65"/>
    <n v="7.2333333"/>
    <n v="2.8250000000000002"/>
    <n v="2"/>
    <m/>
    <n v="1.3583333"/>
    <m/>
    <n v="8"/>
    <n v="28"/>
    <m/>
    <n v="3991837.9482710999"/>
    <n v="1559024.2750000001"/>
    <n v="749619.32327109994"/>
    <n v="299847.72930844"/>
  </r>
  <r>
    <n v="13"/>
    <d v="2006-12-01T00:00:00"/>
    <x v="11"/>
    <x v="6"/>
    <n v="395"/>
    <n v="2"/>
    <d v="2005-11-01T00:00:00"/>
    <n v="551442"/>
    <n v="7.0000000000000007E-2"/>
    <n v="0.77"/>
    <n v="0.48"/>
    <n v="0"/>
    <m/>
    <n v="0"/>
    <m/>
    <n v="7"/>
    <n v="29"/>
    <m/>
    <n v="424610.34"/>
    <n v="264692.15999999997"/>
    <n v="0"/>
    <n v="0"/>
  </r>
  <r>
    <n v="13"/>
    <d v="2007-01-01T00:00:00"/>
    <x v="0"/>
    <x v="7"/>
    <n v="426"/>
    <n v="2"/>
    <d v="2005-11-01T00:00:00"/>
    <n v="551125"/>
    <n v="0.05"/>
    <n v="0.1166666"/>
    <n v="0.1"/>
    <n v="0"/>
    <m/>
    <n v="1.66666E-2"/>
    <m/>
    <n v="6"/>
    <n v="29"/>
    <m/>
    <n v="64297.879924999994"/>
    <n v="55112.5"/>
    <n v="9185.3799249999993"/>
    <n v="3674.1519699999999"/>
  </r>
  <r>
    <n v="13"/>
    <d v="2007-02-01T00:00:00"/>
    <x v="1"/>
    <x v="7"/>
    <n v="457"/>
    <n v="2"/>
    <d v="2005-11-01T00:00:00"/>
    <n v="550897"/>
    <n v="7.0000000000000007E-2"/>
    <n v="0.08"/>
    <n v="0.08"/>
    <n v="0"/>
    <m/>
    <n v="0"/>
    <m/>
    <n v="7"/>
    <n v="30"/>
    <m/>
    <n v="44071.76"/>
    <n v="44071.76"/>
    <n v="0"/>
    <n v="0"/>
  </r>
  <r>
    <n v="13"/>
    <d v="2007-03-01T00:00:00"/>
    <x v="2"/>
    <x v="7"/>
    <n v="485"/>
    <n v="2"/>
    <d v="2005-11-01T00:00:00"/>
    <n v="572386"/>
    <n v="0.27"/>
    <n v="7.0000000000000007E-2"/>
    <n v="0.03"/>
    <n v="0"/>
    <m/>
    <n v="0.08"/>
    <m/>
    <n v="7"/>
    <n v="29"/>
    <m/>
    <n v="40067.020000000004"/>
    <n v="17171.579999999998"/>
    <n v="45790.879999999997"/>
    <n v="18316.351999999999"/>
  </r>
  <r>
    <n v="13"/>
    <d v="2007-04-01T00:00:00"/>
    <x v="3"/>
    <x v="7"/>
    <n v="516"/>
    <n v="2"/>
    <d v="2005-11-01T00:00:00"/>
    <n v="572072"/>
    <n v="1.3"/>
    <n v="0.1"/>
    <n v="0"/>
    <n v="0"/>
    <m/>
    <n v="0.1"/>
    <m/>
    <n v="8"/>
    <n v="29"/>
    <m/>
    <n v="57207.200000000004"/>
    <n v="0"/>
    <n v="57207.200000000004"/>
    <n v="22882.880000000005"/>
  </r>
  <r>
    <n v="13"/>
    <d v="2007-05-01T00:00:00"/>
    <x v="4"/>
    <x v="7"/>
    <n v="546"/>
    <n v="2"/>
    <d v="2005-11-01T00:00:00"/>
    <n v="550895"/>
    <n v="5.28"/>
    <n v="1.1299999999999999"/>
    <n v="0.2"/>
    <n v="0"/>
    <m/>
    <n v="0.93"/>
    <m/>
    <n v="9"/>
    <n v="30"/>
    <m/>
    <n v="622511.35"/>
    <n v="110179"/>
    <n v="512332.35000000003"/>
    <n v="204932.94000000003"/>
  </r>
  <r>
    <n v="13"/>
    <d v="2007-06-01T00:00:00"/>
    <x v="5"/>
    <x v="7"/>
    <n v="577"/>
    <n v="2"/>
    <d v="2005-11-01T00:00:00"/>
    <n v="550603"/>
    <n v="4.7699999999999996"/>
    <n v="0.33"/>
    <n v="0.15"/>
    <n v="0"/>
    <m/>
    <n v="1.72"/>
    <m/>
    <n v="10"/>
    <n v="28"/>
    <m/>
    <n v="181698.99000000002"/>
    <n v="82590.45"/>
    <n v="947037.16"/>
    <n v="378814.86400000006"/>
  </r>
  <r>
    <n v="13"/>
    <d v="2007-07-01T00:00:00"/>
    <x v="6"/>
    <x v="7"/>
    <n v="607"/>
    <n v="2"/>
    <d v="2005-11-01T00:00:00"/>
    <n v="550125"/>
    <n v="0.57999999999999996"/>
    <n v="0.85"/>
    <n v="0.33"/>
    <n v="0"/>
    <m/>
    <n v="1.48"/>
    <m/>
    <n v="10"/>
    <n v="23"/>
    <m/>
    <n v="467606.25"/>
    <n v="181541.25"/>
    <n v="814185"/>
    <n v="325674"/>
  </r>
  <r>
    <n v="13"/>
    <d v="2007-08-01T00:00:00"/>
    <x v="7"/>
    <x v="7"/>
    <n v="638"/>
    <n v="2"/>
    <d v="2005-11-01T00:00:00"/>
    <n v="549263"/>
    <n v="0.35"/>
    <n v="0.73"/>
    <n v="0.42"/>
    <n v="0"/>
    <m/>
    <n v="0.17"/>
    <m/>
    <n v="11"/>
    <n v="28"/>
    <m/>
    <n v="400961.99"/>
    <n v="230690.46"/>
    <n v="93374.71"/>
    <n v="37349.884000000005"/>
  </r>
  <r>
    <n v="13"/>
    <d v="2007-09-01T00:00:00"/>
    <x v="8"/>
    <x v="7"/>
    <n v="669"/>
    <n v="2"/>
    <d v="2005-11-01T00:00:00"/>
    <n v="547749"/>
    <n v="0.52"/>
    <n v="2.13"/>
    <n v="1.03"/>
    <n v="0"/>
    <m/>
    <n v="0.32"/>
    <m/>
    <n v="10"/>
    <n v="29"/>
    <m/>
    <n v="1166705.3699999999"/>
    <n v="564181.47"/>
    <n v="175279.68"/>
    <n v="70111.872000000003"/>
  </r>
  <r>
    <n v="13"/>
    <d v="2007-10-01T00:00:00"/>
    <x v="9"/>
    <x v="7"/>
    <n v="699"/>
    <n v="2"/>
    <d v="2005-11-01T00:00:00"/>
    <n v="546972"/>
    <n v="0.28000000000000003"/>
    <n v="2.33"/>
    <n v="1.23"/>
    <n v="1"/>
    <m/>
    <n v="0.13"/>
    <m/>
    <n v="9"/>
    <s v="M"/>
    <m/>
    <n v="1274444.76"/>
    <n v="672775.55999999994"/>
    <n v="71106.36"/>
    <n v="28442.544000000002"/>
  </r>
  <r>
    <n v="13"/>
    <d v="2007-11-01T00:00:00"/>
    <x v="10"/>
    <x v="7"/>
    <n v="730"/>
    <n v="3"/>
    <d v="2005-11-01T00:00:00"/>
    <n v="400858"/>
    <n v="0.12"/>
    <n v="2.08"/>
    <n v="1.1000000000000001"/>
    <n v="0"/>
    <m/>
    <n v="7.0000000000000007E-2"/>
    <m/>
    <n v="8"/>
    <s v="M"/>
    <s v="start harvesting"/>
    <n v="833784.64"/>
    <n v="440943.80000000005"/>
    <n v="28060.06"/>
    <n v="11224.024000000001"/>
  </r>
  <r>
    <n v="13"/>
    <d v="2007-12-01T00:00:00"/>
    <x v="11"/>
    <x v="7"/>
    <n v="760"/>
    <n v="3"/>
    <d v="2005-11-01T00:00:00"/>
    <n v="400179"/>
    <n v="0.25"/>
    <n v="1.93"/>
    <n v="1.1499999999999999"/>
    <n v="0"/>
    <m/>
    <n v="0.3"/>
    <m/>
    <n v="7"/>
    <s v="M"/>
    <m/>
    <n v="772345.47"/>
    <n v="460205.85"/>
    <n v="120053.7"/>
    <n v="48021.48"/>
  </r>
  <r>
    <n v="13"/>
    <d v="2008-01-01T00:00:00"/>
    <x v="0"/>
    <x v="8"/>
    <n v="791"/>
    <n v="3"/>
    <d v="2005-11-01T00:00:00"/>
    <n v="399437"/>
    <n v="0.25"/>
    <n v="1.87"/>
    <n v="0.93"/>
    <m/>
    <m/>
    <n v="0.25"/>
    <m/>
    <m/>
    <m/>
    <m/>
    <n v="746947.19000000006"/>
    <n v="371476.41000000003"/>
    <n v="99859.25"/>
    <n v="39943.700000000004"/>
  </r>
  <r>
    <n v="13"/>
    <d v="2008-02-01T00:00:00"/>
    <x v="1"/>
    <x v="8"/>
    <m/>
    <m/>
    <m/>
    <m/>
    <m/>
    <m/>
    <m/>
    <m/>
    <m/>
    <m/>
    <m/>
    <m/>
    <m/>
    <m/>
    <m/>
    <m/>
    <m/>
    <m/>
  </r>
  <r>
    <n v="13"/>
    <d v="2008-03-01T00:00:00"/>
    <x v="2"/>
    <x v="8"/>
    <m/>
    <m/>
    <m/>
    <m/>
    <m/>
    <m/>
    <m/>
    <m/>
    <m/>
    <m/>
    <m/>
    <m/>
    <m/>
    <m/>
    <m/>
    <m/>
    <m/>
    <m/>
  </r>
  <r>
    <n v="13"/>
    <d v="2008-04-01T00:00:00"/>
    <x v="3"/>
    <x v="8"/>
    <m/>
    <m/>
    <m/>
    <m/>
    <m/>
    <m/>
    <m/>
    <m/>
    <m/>
    <m/>
    <m/>
    <m/>
    <m/>
    <m/>
    <m/>
    <m/>
    <m/>
    <m/>
  </r>
  <r>
    <n v="13"/>
    <d v="2008-05-01T00:00:00"/>
    <x v="4"/>
    <x v="8"/>
    <m/>
    <m/>
    <m/>
    <m/>
    <m/>
    <m/>
    <m/>
    <m/>
    <m/>
    <m/>
    <m/>
    <m/>
    <m/>
    <m/>
    <m/>
    <m/>
    <m/>
    <m/>
  </r>
  <r>
    <n v="13"/>
    <d v="2008-06-01T00:00:00"/>
    <x v="5"/>
    <x v="8"/>
    <m/>
    <m/>
    <m/>
    <m/>
    <m/>
    <m/>
    <m/>
    <m/>
    <m/>
    <m/>
    <m/>
    <m/>
    <m/>
    <m/>
    <m/>
    <m/>
    <m/>
    <m/>
  </r>
  <r>
    <n v="13"/>
    <d v="2008-07-01T00:00:00"/>
    <x v="6"/>
    <x v="8"/>
    <m/>
    <m/>
    <m/>
    <m/>
    <m/>
    <m/>
    <m/>
    <m/>
    <m/>
    <m/>
    <m/>
    <m/>
    <m/>
    <m/>
    <m/>
    <m/>
    <m/>
    <m/>
  </r>
  <r>
    <n v="13"/>
    <d v="2008-08-01T00:00:00"/>
    <x v="7"/>
    <x v="8"/>
    <n v="274"/>
    <n v="1"/>
    <d v="2007-11-01T00:00:00"/>
    <n v="679874"/>
    <n v="1.28"/>
    <n v="0.92"/>
    <n v="0.28000000000000003"/>
    <m/>
    <m/>
    <n v="0.2"/>
    <m/>
    <m/>
    <m/>
    <s v="transfer from farm #17 on 29 July"/>
    <n v="625484.08000000007"/>
    <n v="190364.72000000003"/>
    <n v="135974.80000000002"/>
    <n v="54389.920000000013"/>
  </r>
  <r>
    <n v="13"/>
    <d v="2008-09-01T00:00:00"/>
    <x v="8"/>
    <x v="8"/>
    <n v="305"/>
    <n v="1"/>
    <d v="2007-11-01T00:00:00"/>
    <n v="679000"/>
    <n v="1.22"/>
    <n v="2.13"/>
    <n v="0.68"/>
    <n v="0"/>
    <m/>
    <n v="0.4"/>
    <m/>
    <m/>
    <m/>
    <m/>
    <n v="1446270"/>
    <n v="461720.00000000006"/>
    <n v="271600"/>
    <n v="108640"/>
  </r>
  <r>
    <n v="13"/>
    <d v="2008-10-01T00:00:00"/>
    <x v="9"/>
    <x v="8"/>
    <n v="335"/>
    <n v="1"/>
    <d v="2007-11-01T00:00:00"/>
    <n v="678000"/>
    <n v="3.12"/>
    <n v="2.9"/>
    <n v="1.05"/>
    <n v="0"/>
    <m/>
    <n v="0.71"/>
    <m/>
    <m/>
    <m/>
    <m/>
    <n v="1966200"/>
    <n v="711900"/>
    <n v="481380"/>
    <n v="192552"/>
  </r>
  <r>
    <n v="13"/>
    <d v="2008-11-01T00:00:00"/>
    <x v="10"/>
    <x v="8"/>
    <n v="366"/>
    <n v="2"/>
    <d v="2007-11-01T00:00:00"/>
    <n v="678000"/>
    <n v="2.86"/>
    <n v="2.6"/>
    <n v="1.1599999999999999"/>
    <n v="2"/>
    <m/>
    <n v="0.88"/>
    <n v="1"/>
    <m/>
    <m/>
    <m/>
    <n v="1762800"/>
    <n v="786480"/>
    <n v="596640"/>
    <n v="238656"/>
  </r>
  <r>
    <n v="13"/>
    <d v="2008-12-01T00:00:00"/>
    <x v="11"/>
    <x v="8"/>
    <n v="396"/>
    <n v="2"/>
    <d v="2007-11-01T00:00:00"/>
    <n v="677960"/>
    <n v="0"/>
    <n v="0.66666666666666663"/>
    <n v="0.35"/>
    <n v="0"/>
    <m/>
    <n v="0"/>
    <m/>
    <m/>
    <m/>
    <m/>
    <n v="451973.33333333331"/>
    <n v="237285.99999999997"/>
    <n v="0"/>
    <n v="0"/>
  </r>
  <r>
    <n v="13"/>
    <d v="2009-01-01T00:00:00"/>
    <x v="0"/>
    <x v="9"/>
    <n v="427"/>
    <n v="2"/>
    <d v="2007-11-01T00:00:00"/>
    <n v="677463"/>
    <n v="0.03"/>
    <n v="0.08"/>
    <n v="0.03"/>
    <n v="0"/>
    <m/>
    <n v="0"/>
    <m/>
    <m/>
    <m/>
    <m/>
    <n v="54197.04"/>
    <n v="20323.89"/>
    <n v="0"/>
    <n v="0"/>
  </r>
  <r>
    <n v="13"/>
    <d v="2009-02-01T00:00:00"/>
    <x v="1"/>
    <x v="9"/>
    <n v="458"/>
    <n v="2"/>
    <d v="2007-11-01T00:00:00"/>
    <n v="676979"/>
    <n v="0.05"/>
    <n v="7.0000000000000007E-2"/>
    <n v="0.05"/>
    <n v="0"/>
    <m/>
    <n v="0"/>
    <m/>
    <m/>
    <m/>
    <m/>
    <n v="47388.530000000006"/>
    <n v="33848.950000000004"/>
    <n v="0"/>
    <n v="0"/>
  </r>
  <r>
    <n v="13"/>
    <d v="2009-03-01T00:00:00"/>
    <x v="2"/>
    <x v="9"/>
    <n v="486"/>
    <n v="2"/>
    <d v="2007-11-01T00:00:00"/>
    <n v="676454"/>
    <n v="0.17"/>
    <n v="0.13"/>
    <n v="0.09"/>
    <n v="0"/>
    <m/>
    <n v="0.02"/>
    <m/>
    <m/>
    <m/>
    <m/>
    <n v="87939.02"/>
    <n v="60880.86"/>
    <n v="13529.08"/>
    <n v="5411.6320000000005"/>
  </r>
  <r>
    <n v="13"/>
    <d v="2009-04-01T00:00:00"/>
    <x v="3"/>
    <x v="9"/>
    <n v="517"/>
    <n v="2"/>
    <d v="2007-11-01T00:00:00"/>
    <n v="675956"/>
    <n v="2.25"/>
    <n v="0.05"/>
    <n v="0.02"/>
    <n v="0"/>
    <m/>
    <n v="0.02"/>
    <m/>
    <m/>
    <m/>
    <m/>
    <n v="33797.800000000003"/>
    <n v="13519.12"/>
    <n v="13519.12"/>
    <n v="5407.648000000001"/>
  </r>
  <r>
    <n v="13"/>
    <d v="2009-05-01T00:00:00"/>
    <x v="4"/>
    <x v="9"/>
    <n v="547"/>
    <n v="2"/>
    <d v="2007-11-01T00:00:00"/>
    <n v="675000"/>
    <n v="1.75"/>
    <n v="0.18"/>
    <n v="0.03"/>
    <n v="0"/>
    <m/>
    <n v="0.3"/>
    <m/>
    <m/>
    <m/>
    <m/>
    <n v="121500"/>
    <n v="20250"/>
    <n v="202500"/>
    <n v="81000"/>
  </r>
  <r>
    <n v="13"/>
    <d v="2009-06-01T00:00:00"/>
    <x v="5"/>
    <x v="9"/>
    <n v="578"/>
    <n v="2"/>
    <d v="2007-11-01T00:00:00"/>
    <n v="674539"/>
    <n v="0.61"/>
    <n v="0.3"/>
    <n v="0.11"/>
    <n v="0"/>
    <m/>
    <n v="0.16"/>
    <m/>
    <m/>
    <m/>
    <m/>
    <n v="202361.69999999998"/>
    <n v="74199.289999999994"/>
    <n v="107926.24"/>
    <n v="43170.496000000006"/>
  </r>
  <r>
    <n v="13"/>
    <d v="2009-07-01T00:00:00"/>
    <x v="6"/>
    <x v="9"/>
    <n v="602"/>
    <n v="2"/>
    <d v="2007-11-07T00:00:00"/>
    <n v="678580"/>
    <n v="0.43"/>
    <n v="0.42"/>
    <n v="0.23"/>
    <n v="0"/>
    <m/>
    <n v="0.27"/>
    <m/>
    <m/>
    <m/>
    <m/>
    <n v="285003.59999999998"/>
    <n v="156073.4"/>
    <n v="183216.6"/>
    <n v="73286.64"/>
  </r>
  <r>
    <n v="13"/>
    <d v="2009-08-01T00:00:00"/>
    <x v="7"/>
    <x v="9"/>
    <n v="633"/>
    <n v="2"/>
    <d v="2007-11-07T00:00:00"/>
    <n v="672485"/>
    <n v="8.3000000000000004E-2"/>
    <n v="0.53300000000000003"/>
    <n v="0.23300000000000001"/>
    <n v="0"/>
    <m/>
    <n v="0.317"/>
    <m/>
    <m/>
    <m/>
    <m/>
    <n v="358434.505"/>
    <n v="156689.005"/>
    <n v="213177.745"/>
    <n v="85271.097999999998"/>
  </r>
  <r>
    <n v="13"/>
    <d v="2009-09-01T00:00:00"/>
    <x v="8"/>
    <x v="9"/>
    <n v="664"/>
    <n v="2"/>
    <d v="2007-11-07T00:00:00"/>
    <n v="603829"/>
    <n v="2.48"/>
    <n v="2.73"/>
    <n v="1.47"/>
    <n v="0"/>
    <m/>
    <n v="0.57999999999999996"/>
    <m/>
    <m/>
    <m/>
    <m/>
    <n v="1648453.17"/>
    <n v="887628.63"/>
    <n v="350220.81999999995"/>
    <n v="140088.32799999998"/>
  </r>
  <r>
    <n v="13"/>
    <d v="2009-10-01T00:00:00"/>
    <x v="9"/>
    <x v="9"/>
    <n v="694"/>
    <n v="2"/>
    <d v="2007-11-07T00:00:00"/>
    <n v="601402"/>
    <n v="0.25"/>
    <n v="8.9499999999999993"/>
    <n v="4.22"/>
    <n v="0"/>
    <m/>
    <n v="0.38"/>
    <m/>
    <m/>
    <m/>
    <m/>
    <n v="5382547.8999999994"/>
    <n v="2537916.44"/>
    <n v="228532.76"/>
    <n v="91413.104000000007"/>
  </r>
  <r>
    <n v="13"/>
    <d v="2009-11-01T00:00:00"/>
    <x v="10"/>
    <x v="9"/>
    <n v="725"/>
    <n v="2"/>
    <d v="2007-11-07T00:00:00"/>
    <n v="600613"/>
    <n v="1.55"/>
    <n v="6.3"/>
    <n v="4.133"/>
    <n v="0"/>
    <m/>
    <n v="0.71699999999999997"/>
    <m/>
    <m/>
    <m/>
    <m/>
    <n v="3783861.9"/>
    <n v="2482333.5290000001"/>
    <n v="430639.52100000001"/>
    <n v="172255.80840000001"/>
  </r>
  <r>
    <n v="13"/>
    <d v="2009-12-01T00:00:00"/>
    <x v="11"/>
    <x v="9"/>
    <n v="755"/>
    <n v="2"/>
    <d v="2007-11-07T00:00:00"/>
    <n v="520835"/>
    <n v="0.52"/>
    <n v="4.99"/>
    <n v="3.17"/>
    <m/>
    <m/>
    <n v="0.24"/>
    <m/>
    <m/>
    <m/>
    <m/>
    <n v="2598966.65"/>
    <n v="1651046.95"/>
    <n v="125000.4"/>
    <n v="50000.160000000003"/>
  </r>
  <r>
    <n v="14"/>
    <d v="2000-01-01T00:00:00"/>
    <x v="0"/>
    <x v="0"/>
    <m/>
    <m/>
    <m/>
    <m/>
    <m/>
    <m/>
    <m/>
    <m/>
    <m/>
    <m/>
    <m/>
    <m/>
    <m/>
    <m/>
    <m/>
    <m/>
    <m/>
    <m/>
  </r>
  <r>
    <n v="14"/>
    <d v="2000-02-01T00:00:00"/>
    <x v="1"/>
    <x v="0"/>
    <m/>
    <m/>
    <m/>
    <m/>
    <m/>
    <m/>
    <m/>
    <m/>
    <m/>
    <m/>
    <m/>
    <m/>
    <m/>
    <m/>
    <m/>
    <m/>
    <m/>
    <m/>
  </r>
  <r>
    <n v="14"/>
    <d v="2000-03-01T00:00:00"/>
    <x v="2"/>
    <x v="0"/>
    <m/>
    <m/>
    <m/>
    <m/>
    <m/>
    <m/>
    <m/>
    <m/>
    <m/>
    <m/>
    <m/>
    <m/>
    <m/>
    <m/>
    <m/>
    <m/>
    <m/>
    <m/>
  </r>
  <r>
    <n v="14"/>
    <d v="2000-04-01T00:00:00"/>
    <x v="3"/>
    <x v="0"/>
    <n v="0"/>
    <n v="1"/>
    <d v="2000-04-01T00:00:00"/>
    <n v="439914"/>
    <m/>
    <m/>
    <m/>
    <m/>
    <m/>
    <m/>
    <m/>
    <m/>
    <m/>
    <s v="smolt entry"/>
    <m/>
    <m/>
    <m/>
    <m/>
  </r>
  <r>
    <n v="14"/>
    <d v="2000-05-01T00:00:00"/>
    <x v="4"/>
    <x v="0"/>
    <n v="30"/>
    <n v="1"/>
    <d v="2000-04-01T00:00:00"/>
    <n v="437231"/>
    <m/>
    <m/>
    <m/>
    <m/>
    <m/>
    <m/>
    <m/>
    <m/>
    <m/>
    <m/>
    <m/>
    <m/>
    <m/>
    <m/>
  </r>
  <r>
    <n v="14"/>
    <d v="2000-06-01T00:00:00"/>
    <x v="5"/>
    <x v="0"/>
    <n v="61"/>
    <n v="1"/>
    <d v="2000-04-01T00:00:00"/>
    <n v="428855"/>
    <m/>
    <m/>
    <m/>
    <m/>
    <m/>
    <m/>
    <m/>
    <m/>
    <m/>
    <m/>
    <m/>
    <m/>
    <m/>
    <m/>
  </r>
  <r>
    <n v="14"/>
    <d v="2000-07-01T00:00:00"/>
    <x v="6"/>
    <x v="0"/>
    <n v="91"/>
    <n v="1"/>
    <d v="2000-04-01T00:00:00"/>
    <n v="410544"/>
    <m/>
    <m/>
    <m/>
    <m/>
    <m/>
    <m/>
    <m/>
    <m/>
    <m/>
    <m/>
    <m/>
    <m/>
    <m/>
    <m/>
  </r>
  <r>
    <n v="14"/>
    <d v="2000-08-01T00:00:00"/>
    <x v="7"/>
    <x v="0"/>
    <n v="122"/>
    <n v="1"/>
    <d v="2000-04-01T00:00:00"/>
    <n v="399498"/>
    <m/>
    <m/>
    <m/>
    <m/>
    <m/>
    <m/>
    <m/>
    <m/>
    <m/>
    <m/>
    <m/>
    <m/>
    <m/>
    <m/>
  </r>
  <r>
    <n v="14"/>
    <d v="2000-09-01T00:00:00"/>
    <x v="8"/>
    <x v="0"/>
    <m/>
    <m/>
    <m/>
    <m/>
    <m/>
    <m/>
    <m/>
    <m/>
    <m/>
    <m/>
    <m/>
    <m/>
    <m/>
    <s v="moved 397,000 to farm #20 2nd week of Sept"/>
    <m/>
    <m/>
    <m/>
    <m/>
  </r>
  <r>
    <n v="14"/>
    <d v="2000-10-01T00:00:00"/>
    <x v="9"/>
    <x v="0"/>
    <m/>
    <m/>
    <m/>
    <m/>
    <m/>
    <m/>
    <m/>
    <m/>
    <m/>
    <m/>
    <m/>
    <m/>
    <m/>
    <m/>
    <m/>
    <m/>
    <m/>
    <m/>
  </r>
  <r>
    <n v="14"/>
    <d v="2000-11-01T00:00:00"/>
    <x v="10"/>
    <x v="0"/>
    <m/>
    <m/>
    <m/>
    <m/>
    <m/>
    <m/>
    <m/>
    <m/>
    <m/>
    <m/>
    <m/>
    <m/>
    <m/>
    <m/>
    <m/>
    <m/>
    <m/>
    <m/>
  </r>
  <r>
    <n v="14"/>
    <d v="2000-12-01T00:00:00"/>
    <x v="11"/>
    <x v="0"/>
    <m/>
    <m/>
    <m/>
    <m/>
    <m/>
    <m/>
    <m/>
    <m/>
    <m/>
    <m/>
    <m/>
    <m/>
    <m/>
    <m/>
    <m/>
    <m/>
    <m/>
    <m/>
  </r>
  <r>
    <n v="14"/>
    <d v="2001-01-01T00:00:00"/>
    <x v="0"/>
    <x v="1"/>
    <m/>
    <m/>
    <m/>
    <m/>
    <m/>
    <m/>
    <m/>
    <m/>
    <m/>
    <m/>
    <m/>
    <m/>
    <m/>
    <m/>
    <m/>
    <m/>
    <m/>
    <m/>
  </r>
  <r>
    <n v="14"/>
    <d v="2001-02-01T00:00:00"/>
    <x v="1"/>
    <x v="1"/>
    <m/>
    <m/>
    <m/>
    <m/>
    <m/>
    <m/>
    <m/>
    <m/>
    <m/>
    <m/>
    <m/>
    <m/>
    <m/>
    <m/>
    <m/>
    <m/>
    <m/>
    <m/>
  </r>
  <r>
    <n v="14"/>
    <d v="2001-03-01T00:00:00"/>
    <x v="2"/>
    <x v="1"/>
    <m/>
    <m/>
    <m/>
    <m/>
    <m/>
    <m/>
    <m/>
    <m/>
    <m/>
    <m/>
    <m/>
    <m/>
    <m/>
    <m/>
    <m/>
    <m/>
    <m/>
    <m/>
  </r>
  <r>
    <n v="14"/>
    <d v="2001-04-01T00:00:00"/>
    <x v="3"/>
    <x v="1"/>
    <n v="0"/>
    <n v="1"/>
    <d v="2001-04-01T00:00:00"/>
    <n v="335306"/>
    <m/>
    <m/>
    <m/>
    <m/>
    <m/>
    <m/>
    <m/>
    <m/>
    <m/>
    <s v="smolt entry"/>
    <m/>
    <m/>
    <m/>
    <m/>
  </r>
  <r>
    <n v="14"/>
    <d v="2001-05-01T00:00:00"/>
    <x v="4"/>
    <x v="1"/>
    <n v="30"/>
    <n v="1"/>
    <d v="2001-04-01T00:00:00"/>
    <n v="370611"/>
    <m/>
    <m/>
    <m/>
    <m/>
    <m/>
    <m/>
    <m/>
    <m/>
    <m/>
    <m/>
    <m/>
    <m/>
    <m/>
    <m/>
  </r>
  <r>
    <n v="14"/>
    <d v="2001-06-01T00:00:00"/>
    <x v="5"/>
    <x v="1"/>
    <n v="61"/>
    <n v="1"/>
    <d v="2001-04-01T00:00:00"/>
    <n v="349468"/>
    <n v="11.8"/>
    <n v="10.6"/>
    <n v="0.6"/>
    <m/>
    <m/>
    <n v="0"/>
    <n v="1"/>
    <n v="9.4"/>
    <m/>
    <m/>
    <n v="3704360.8"/>
    <n v="209680.8"/>
    <n v="0"/>
    <n v="0"/>
  </r>
  <r>
    <n v="14"/>
    <d v="2001-07-01T00:00:00"/>
    <x v="6"/>
    <x v="1"/>
    <n v="91"/>
    <n v="1"/>
    <d v="2001-04-01T00:00:00"/>
    <n v="322041"/>
    <n v="3.95"/>
    <n v="2.0499999999999998"/>
    <n v="0.1"/>
    <n v="0"/>
    <m/>
    <n v="0"/>
    <m/>
    <m/>
    <m/>
    <m/>
    <n v="660184.04999999993"/>
    <n v="32204.100000000002"/>
    <n v="0"/>
    <n v="0"/>
  </r>
  <r>
    <n v="14"/>
    <d v="2001-08-01T00:00:00"/>
    <x v="7"/>
    <x v="1"/>
    <n v="122"/>
    <n v="1"/>
    <d v="2001-04-01T00:00:00"/>
    <n v="319093"/>
    <n v="0.5"/>
    <n v="0.15"/>
    <n v="0"/>
    <m/>
    <m/>
    <n v="0"/>
    <m/>
    <n v="10"/>
    <m/>
    <m/>
    <n v="47863.95"/>
    <n v="0"/>
    <n v="0"/>
    <n v="0"/>
  </r>
  <r>
    <n v="14"/>
    <d v="2001-09-01T00:00:00"/>
    <x v="8"/>
    <x v="1"/>
    <m/>
    <m/>
    <m/>
    <m/>
    <m/>
    <m/>
    <m/>
    <m/>
    <m/>
    <m/>
    <m/>
    <m/>
    <m/>
    <s v="moved 318,696 to farm #13"/>
    <m/>
    <m/>
    <m/>
    <m/>
  </r>
  <r>
    <n v="14"/>
    <d v="2001-10-01T00:00:00"/>
    <x v="9"/>
    <x v="1"/>
    <m/>
    <m/>
    <m/>
    <m/>
    <m/>
    <m/>
    <m/>
    <m/>
    <m/>
    <m/>
    <m/>
    <m/>
    <m/>
    <m/>
    <m/>
    <m/>
    <m/>
    <m/>
  </r>
  <r>
    <n v="14"/>
    <d v="2001-11-01T00:00:00"/>
    <x v="10"/>
    <x v="1"/>
    <m/>
    <m/>
    <m/>
    <m/>
    <m/>
    <m/>
    <m/>
    <m/>
    <m/>
    <m/>
    <m/>
    <m/>
    <m/>
    <m/>
    <m/>
    <m/>
    <m/>
    <m/>
  </r>
  <r>
    <n v="14"/>
    <d v="2001-12-01T00:00:00"/>
    <x v="11"/>
    <x v="1"/>
    <m/>
    <m/>
    <m/>
    <m/>
    <m/>
    <m/>
    <m/>
    <m/>
    <m/>
    <m/>
    <m/>
    <m/>
    <m/>
    <m/>
    <m/>
    <m/>
    <m/>
    <m/>
  </r>
  <r>
    <n v="14"/>
    <d v="2002-01-01T00:00:00"/>
    <x v="0"/>
    <x v="2"/>
    <m/>
    <m/>
    <m/>
    <m/>
    <m/>
    <m/>
    <m/>
    <m/>
    <m/>
    <m/>
    <m/>
    <m/>
    <m/>
    <m/>
    <m/>
    <m/>
    <m/>
    <m/>
  </r>
  <r>
    <n v="14"/>
    <d v="2002-02-01T00:00:00"/>
    <x v="1"/>
    <x v="2"/>
    <m/>
    <m/>
    <m/>
    <m/>
    <m/>
    <m/>
    <m/>
    <m/>
    <m/>
    <m/>
    <m/>
    <m/>
    <m/>
    <m/>
    <m/>
    <m/>
    <m/>
    <m/>
  </r>
  <r>
    <n v="14"/>
    <d v="2002-03-01T00:00:00"/>
    <x v="2"/>
    <x v="2"/>
    <m/>
    <m/>
    <m/>
    <m/>
    <m/>
    <m/>
    <m/>
    <m/>
    <m/>
    <m/>
    <m/>
    <m/>
    <m/>
    <m/>
    <m/>
    <m/>
    <m/>
    <m/>
  </r>
  <r>
    <n v="14"/>
    <d v="2002-04-01T00:00:00"/>
    <x v="3"/>
    <x v="2"/>
    <m/>
    <m/>
    <m/>
    <m/>
    <m/>
    <m/>
    <m/>
    <m/>
    <m/>
    <m/>
    <m/>
    <m/>
    <m/>
    <m/>
    <m/>
    <m/>
    <m/>
    <m/>
  </r>
  <r>
    <n v="14"/>
    <d v="2002-05-01T00:00:00"/>
    <x v="4"/>
    <x v="2"/>
    <m/>
    <m/>
    <m/>
    <m/>
    <m/>
    <m/>
    <m/>
    <m/>
    <m/>
    <m/>
    <m/>
    <m/>
    <m/>
    <m/>
    <m/>
    <m/>
    <m/>
    <m/>
  </r>
  <r>
    <n v="14"/>
    <d v="2002-06-01T00:00:00"/>
    <x v="5"/>
    <x v="2"/>
    <m/>
    <m/>
    <m/>
    <m/>
    <m/>
    <m/>
    <m/>
    <m/>
    <m/>
    <m/>
    <m/>
    <m/>
    <m/>
    <m/>
    <m/>
    <m/>
    <m/>
    <m/>
  </r>
  <r>
    <n v="14"/>
    <d v="2002-07-01T00:00:00"/>
    <x v="6"/>
    <x v="2"/>
    <m/>
    <m/>
    <m/>
    <m/>
    <m/>
    <m/>
    <m/>
    <m/>
    <m/>
    <m/>
    <m/>
    <m/>
    <m/>
    <m/>
    <m/>
    <m/>
    <m/>
    <m/>
  </r>
  <r>
    <n v="14"/>
    <d v="2002-08-01T00:00:00"/>
    <x v="7"/>
    <x v="2"/>
    <m/>
    <m/>
    <m/>
    <m/>
    <m/>
    <m/>
    <m/>
    <m/>
    <m/>
    <m/>
    <m/>
    <m/>
    <m/>
    <m/>
    <m/>
    <m/>
    <m/>
    <m/>
  </r>
  <r>
    <n v="14"/>
    <d v="2002-09-01T00:00:00"/>
    <x v="8"/>
    <x v="2"/>
    <m/>
    <m/>
    <m/>
    <m/>
    <m/>
    <m/>
    <m/>
    <m/>
    <m/>
    <m/>
    <m/>
    <m/>
    <m/>
    <m/>
    <m/>
    <m/>
    <m/>
    <m/>
  </r>
  <r>
    <n v="14"/>
    <d v="2002-10-01T00:00:00"/>
    <x v="9"/>
    <x v="2"/>
    <m/>
    <m/>
    <m/>
    <m/>
    <m/>
    <m/>
    <m/>
    <m/>
    <m/>
    <m/>
    <m/>
    <m/>
    <m/>
    <m/>
    <m/>
    <m/>
    <m/>
    <m/>
  </r>
  <r>
    <n v="14"/>
    <d v="2002-11-01T00:00:00"/>
    <x v="10"/>
    <x v="2"/>
    <m/>
    <m/>
    <m/>
    <m/>
    <m/>
    <m/>
    <m/>
    <m/>
    <m/>
    <m/>
    <m/>
    <m/>
    <m/>
    <m/>
    <m/>
    <m/>
    <m/>
    <m/>
  </r>
  <r>
    <n v="14"/>
    <d v="2002-12-01T00:00:00"/>
    <x v="11"/>
    <x v="2"/>
    <m/>
    <m/>
    <m/>
    <m/>
    <m/>
    <m/>
    <m/>
    <m/>
    <m/>
    <m/>
    <m/>
    <m/>
    <m/>
    <m/>
    <m/>
    <m/>
    <m/>
    <m/>
  </r>
  <r>
    <n v="15"/>
    <d v="2000-01-01T00:00:00"/>
    <x v="0"/>
    <x v="0"/>
    <m/>
    <m/>
    <m/>
    <m/>
    <m/>
    <m/>
    <m/>
    <m/>
    <m/>
    <m/>
    <m/>
    <m/>
    <m/>
    <m/>
    <m/>
    <m/>
    <m/>
    <m/>
  </r>
  <r>
    <n v="15"/>
    <d v="2000-02-01T00:00:00"/>
    <x v="1"/>
    <x v="0"/>
    <m/>
    <m/>
    <m/>
    <m/>
    <m/>
    <m/>
    <m/>
    <m/>
    <m/>
    <m/>
    <m/>
    <m/>
    <m/>
    <m/>
    <m/>
    <m/>
    <m/>
    <m/>
  </r>
  <r>
    <n v="15"/>
    <d v="2000-03-01T00:00:00"/>
    <x v="2"/>
    <x v="0"/>
    <m/>
    <m/>
    <m/>
    <m/>
    <m/>
    <m/>
    <m/>
    <m/>
    <m/>
    <m/>
    <m/>
    <m/>
    <m/>
    <m/>
    <m/>
    <m/>
    <m/>
    <m/>
  </r>
  <r>
    <n v="15"/>
    <d v="2000-04-01T00:00:00"/>
    <x v="3"/>
    <x v="0"/>
    <n v="0"/>
    <n v="1"/>
    <d v="2000-04-01T00:00:00"/>
    <n v="258823"/>
    <m/>
    <m/>
    <m/>
    <m/>
    <m/>
    <m/>
    <m/>
    <m/>
    <m/>
    <s v="smolt entry"/>
    <m/>
    <m/>
    <m/>
    <m/>
  </r>
  <r>
    <n v="15"/>
    <d v="2000-05-01T00:00:00"/>
    <x v="4"/>
    <x v="0"/>
    <n v="30"/>
    <n v="1"/>
    <d v="2000-04-01T00:00:00"/>
    <n v="373529"/>
    <m/>
    <m/>
    <m/>
    <m/>
    <m/>
    <m/>
    <m/>
    <m/>
    <m/>
    <m/>
    <m/>
    <m/>
    <m/>
    <m/>
  </r>
  <r>
    <n v="15"/>
    <d v="2000-06-01T00:00:00"/>
    <x v="5"/>
    <x v="0"/>
    <n v="61"/>
    <n v="1"/>
    <d v="2000-04-01T00:00:00"/>
    <n v="365120"/>
    <m/>
    <m/>
    <m/>
    <m/>
    <m/>
    <m/>
    <m/>
    <m/>
    <m/>
    <m/>
    <m/>
    <m/>
    <m/>
    <m/>
  </r>
  <r>
    <n v="15"/>
    <d v="2000-07-01T00:00:00"/>
    <x v="6"/>
    <x v="0"/>
    <n v="91"/>
    <n v="1"/>
    <d v="2000-04-01T00:00:00"/>
    <n v="338671"/>
    <m/>
    <m/>
    <m/>
    <m/>
    <m/>
    <m/>
    <m/>
    <m/>
    <m/>
    <m/>
    <m/>
    <m/>
    <m/>
    <m/>
  </r>
  <r>
    <n v="15"/>
    <d v="2000-08-01T00:00:00"/>
    <x v="7"/>
    <x v="0"/>
    <n v="122"/>
    <n v="1"/>
    <d v="2000-04-01T00:00:00"/>
    <n v="318500"/>
    <m/>
    <m/>
    <m/>
    <m/>
    <m/>
    <m/>
    <m/>
    <m/>
    <m/>
    <m/>
    <m/>
    <m/>
    <m/>
    <m/>
  </r>
  <r>
    <n v="15"/>
    <d v="2000-09-01T00:00:00"/>
    <x v="8"/>
    <x v="0"/>
    <n v="153"/>
    <n v="1"/>
    <d v="2000-04-01T00:00:00"/>
    <n v="313602"/>
    <m/>
    <m/>
    <m/>
    <m/>
    <m/>
    <m/>
    <m/>
    <m/>
    <m/>
    <m/>
    <m/>
    <m/>
    <m/>
    <m/>
  </r>
  <r>
    <n v="15"/>
    <d v="2000-10-01T00:00:00"/>
    <x v="9"/>
    <x v="0"/>
    <m/>
    <m/>
    <m/>
    <m/>
    <m/>
    <m/>
    <m/>
    <m/>
    <m/>
    <m/>
    <m/>
    <m/>
    <m/>
    <s v="transfer to farm #16"/>
    <m/>
    <m/>
    <m/>
    <m/>
  </r>
  <r>
    <n v="15"/>
    <d v="2000-11-01T00:00:00"/>
    <x v="10"/>
    <x v="0"/>
    <m/>
    <m/>
    <m/>
    <m/>
    <m/>
    <m/>
    <m/>
    <m/>
    <m/>
    <m/>
    <m/>
    <m/>
    <m/>
    <m/>
    <m/>
    <m/>
    <m/>
    <m/>
  </r>
  <r>
    <n v="15"/>
    <d v="2000-12-01T00:00:00"/>
    <x v="11"/>
    <x v="0"/>
    <m/>
    <m/>
    <m/>
    <m/>
    <m/>
    <m/>
    <m/>
    <m/>
    <m/>
    <m/>
    <m/>
    <m/>
    <m/>
    <m/>
    <m/>
    <m/>
    <m/>
    <m/>
  </r>
  <r>
    <n v="15"/>
    <d v="2001-01-01T00:00:00"/>
    <x v="0"/>
    <x v="1"/>
    <m/>
    <m/>
    <m/>
    <m/>
    <m/>
    <m/>
    <m/>
    <m/>
    <m/>
    <m/>
    <m/>
    <m/>
    <m/>
    <m/>
    <m/>
    <m/>
    <m/>
    <m/>
  </r>
  <r>
    <n v="15"/>
    <d v="2001-02-01T00:00:00"/>
    <x v="1"/>
    <x v="1"/>
    <m/>
    <m/>
    <m/>
    <m/>
    <m/>
    <m/>
    <m/>
    <m/>
    <m/>
    <m/>
    <m/>
    <m/>
    <m/>
    <m/>
    <m/>
    <m/>
    <m/>
    <m/>
  </r>
  <r>
    <n v="15"/>
    <d v="2001-03-01T00:00:00"/>
    <x v="2"/>
    <x v="1"/>
    <n v="0"/>
    <n v="1"/>
    <d v="2001-03-01T00:00:00"/>
    <n v="62780"/>
    <m/>
    <m/>
    <m/>
    <m/>
    <m/>
    <m/>
    <m/>
    <m/>
    <m/>
    <s v="smolt entry"/>
    <m/>
    <m/>
    <m/>
    <m/>
  </r>
  <r>
    <n v="15"/>
    <d v="2001-04-01T00:00:00"/>
    <x v="3"/>
    <x v="1"/>
    <n v="31"/>
    <n v="1"/>
    <d v="2001-03-01T00:00:00"/>
    <n v="421600"/>
    <m/>
    <m/>
    <m/>
    <m/>
    <m/>
    <m/>
    <m/>
    <m/>
    <m/>
    <m/>
    <m/>
    <m/>
    <m/>
    <m/>
  </r>
  <r>
    <n v="15"/>
    <d v="2001-05-01T00:00:00"/>
    <x v="4"/>
    <x v="1"/>
    <n v="61"/>
    <n v="1"/>
    <d v="2001-03-01T00:00:00"/>
    <n v="415822"/>
    <m/>
    <m/>
    <m/>
    <m/>
    <m/>
    <m/>
    <m/>
    <m/>
    <m/>
    <m/>
    <m/>
    <m/>
    <m/>
    <m/>
  </r>
  <r>
    <n v="15"/>
    <d v="2001-06-01T00:00:00"/>
    <x v="5"/>
    <x v="1"/>
    <n v="92"/>
    <n v="1"/>
    <d v="2001-03-01T00:00:00"/>
    <n v="408909"/>
    <n v="5.9749999999999996"/>
    <n v="8.2750000000000004"/>
    <n v="0.35"/>
    <m/>
    <m/>
    <n v="0"/>
    <n v="1"/>
    <n v="9.4"/>
    <m/>
    <m/>
    <n v="3383721.9750000001"/>
    <n v="143118.15"/>
    <n v="0"/>
    <n v="0"/>
  </r>
  <r>
    <n v="15"/>
    <d v="2001-07-01T00:00:00"/>
    <x v="6"/>
    <x v="1"/>
    <n v="122"/>
    <n v="1"/>
    <d v="2001-03-01T00:00:00"/>
    <n v="392009"/>
    <n v="1.35"/>
    <n v="1.5"/>
    <n v="1.6666666666666666E-2"/>
    <n v="0"/>
    <m/>
    <n v="0"/>
    <m/>
    <n v="9.9"/>
    <m/>
    <m/>
    <n v="588013.5"/>
    <n v="6533.4833333333336"/>
    <n v="0"/>
    <n v="0"/>
  </r>
  <r>
    <n v="15"/>
    <d v="2001-08-01T00:00:00"/>
    <x v="7"/>
    <x v="1"/>
    <n v="153"/>
    <n v="1"/>
    <d v="2001-03-01T00:00:00"/>
    <n v="389141"/>
    <n v="1.3333333333333333"/>
    <n v="3.3333333333333333E-2"/>
    <n v="0"/>
    <m/>
    <m/>
    <n v="0"/>
    <m/>
    <n v="10.4"/>
    <m/>
    <m/>
    <n v="12971.366666666667"/>
    <n v="0"/>
    <n v="0"/>
    <n v="0"/>
  </r>
  <r>
    <n v="15"/>
    <d v="2001-09-01T00:00:00"/>
    <x v="8"/>
    <x v="1"/>
    <n v="184"/>
    <n v="1"/>
    <d v="2001-03-01T00:00:00"/>
    <n v="372749"/>
    <m/>
    <n v="2.3616666666666668"/>
    <n v="0.4"/>
    <m/>
    <n v="1"/>
    <n v="0"/>
    <m/>
    <m/>
    <m/>
    <m/>
    <n v="880308.88833333342"/>
    <n v="149099.6"/>
    <n v="0"/>
    <n v="0"/>
  </r>
  <r>
    <n v="15"/>
    <d v="2001-10-01T00:00:00"/>
    <x v="9"/>
    <x v="1"/>
    <n v="214"/>
    <n v="1"/>
    <d v="2001-03-01T00:00:00"/>
    <m/>
    <n v="8"/>
    <n v="4.6900000000000004"/>
    <n v="0.8"/>
    <m/>
    <m/>
    <n v="0"/>
    <m/>
    <m/>
    <m/>
    <s v="fish moved: ~250,000 to farm #13 and ~115,000 to farm #18; counts originally listed here are used at those farms"/>
    <m/>
    <m/>
    <m/>
    <m/>
  </r>
  <r>
    <n v="15"/>
    <d v="2001-11-01T00:00:00"/>
    <x v="10"/>
    <x v="1"/>
    <m/>
    <m/>
    <m/>
    <m/>
    <m/>
    <m/>
    <m/>
    <m/>
    <m/>
    <m/>
    <m/>
    <m/>
    <m/>
    <m/>
    <m/>
    <m/>
    <m/>
    <m/>
  </r>
  <r>
    <n v="15"/>
    <d v="2001-12-01T00:00:00"/>
    <x v="11"/>
    <x v="1"/>
    <m/>
    <m/>
    <m/>
    <m/>
    <m/>
    <m/>
    <m/>
    <m/>
    <m/>
    <m/>
    <m/>
    <m/>
    <m/>
    <m/>
    <m/>
    <m/>
    <m/>
    <m/>
  </r>
  <r>
    <n v="15"/>
    <d v="2002-01-01T00:00:00"/>
    <x v="0"/>
    <x v="2"/>
    <m/>
    <m/>
    <m/>
    <m/>
    <m/>
    <m/>
    <m/>
    <m/>
    <m/>
    <m/>
    <m/>
    <m/>
    <m/>
    <m/>
    <m/>
    <m/>
    <m/>
    <m/>
  </r>
  <r>
    <n v="15"/>
    <d v="2002-02-01T00:00:00"/>
    <x v="1"/>
    <x v="2"/>
    <m/>
    <m/>
    <m/>
    <m/>
    <m/>
    <m/>
    <m/>
    <m/>
    <m/>
    <m/>
    <m/>
    <m/>
    <m/>
    <m/>
    <m/>
    <m/>
    <m/>
    <m/>
  </r>
  <r>
    <n v="15"/>
    <d v="2002-03-01T00:00:00"/>
    <x v="2"/>
    <x v="2"/>
    <m/>
    <m/>
    <m/>
    <m/>
    <m/>
    <m/>
    <m/>
    <m/>
    <m/>
    <m/>
    <m/>
    <m/>
    <m/>
    <m/>
    <m/>
    <m/>
    <m/>
    <m/>
  </r>
  <r>
    <n v="15"/>
    <d v="2002-04-01T00:00:00"/>
    <x v="3"/>
    <x v="2"/>
    <m/>
    <m/>
    <m/>
    <m/>
    <m/>
    <m/>
    <m/>
    <m/>
    <m/>
    <m/>
    <m/>
    <m/>
    <m/>
    <m/>
    <m/>
    <m/>
    <m/>
    <m/>
  </r>
  <r>
    <n v="15"/>
    <d v="2002-05-01T00:00:00"/>
    <x v="4"/>
    <x v="2"/>
    <m/>
    <m/>
    <m/>
    <m/>
    <m/>
    <m/>
    <m/>
    <m/>
    <m/>
    <m/>
    <m/>
    <m/>
    <m/>
    <m/>
    <m/>
    <m/>
    <m/>
    <m/>
  </r>
  <r>
    <n v="15"/>
    <d v="2002-06-01T00:00:00"/>
    <x v="5"/>
    <x v="2"/>
    <m/>
    <m/>
    <m/>
    <m/>
    <m/>
    <m/>
    <m/>
    <m/>
    <m/>
    <m/>
    <m/>
    <m/>
    <m/>
    <m/>
    <m/>
    <m/>
    <m/>
    <m/>
  </r>
  <r>
    <n v="15"/>
    <d v="2002-07-01T00:00:00"/>
    <x v="6"/>
    <x v="2"/>
    <m/>
    <m/>
    <m/>
    <m/>
    <m/>
    <m/>
    <m/>
    <m/>
    <m/>
    <m/>
    <m/>
    <m/>
    <m/>
    <m/>
    <m/>
    <m/>
    <m/>
    <m/>
  </r>
  <r>
    <n v="15"/>
    <d v="2002-08-01T00:00:00"/>
    <x v="7"/>
    <x v="2"/>
    <m/>
    <m/>
    <m/>
    <m/>
    <m/>
    <m/>
    <m/>
    <m/>
    <m/>
    <m/>
    <m/>
    <m/>
    <m/>
    <m/>
    <m/>
    <m/>
    <m/>
    <m/>
  </r>
  <r>
    <n v="15"/>
    <d v="2002-09-01T00:00:00"/>
    <x v="8"/>
    <x v="2"/>
    <m/>
    <m/>
    <m/>
    <m/>
    <m/>
    <m/>
    <m/>
    <m/>
    <m/>
    <m/>
    <m/>
    <m/>
    <m/>
    <m/>
    <m/>
    <m/>
    <m/>
    <m/>
  </r>
  <r>
    <n v="15"/>
    <d v="2002-10-01T00:00:00"/>
    <x v="9"/>
    <x v="2"/>
    <m/>
    <m/>
    <m/>
    <m/>
    <m/>
    <m/>
    <m/>
    <m/>
    <m/>
    <m/>
    <m/>
    <m/>
    <m/>
    <m/>
    <m/>
    <m/>
    <m/>
    <m/>
  </r>
  <r>
    <n v="15"/>
    <d v="2002-11-01T00:00:00"/>
    <x v="10"/>
    <x v="2"/>
    <n v="0"/>
    <n v="1"/>
    <d v="2002-11-01T00:00:00"/>
    <n v="102637"/>
    <m/>
    <m/>
    <m/>
    <m/>
    <m/>
    <m/>
    <m/>
    <m/>
    <m/>
    <s v="smolt entry"/>
    <m/>
    <m/>
    <m/>
    <m/>
  </r>
  <r>
    <n v="15"/>
    <d v="2002-12-01T00:00:00"/>
    <x v="11"/>
    <x v="2"/>
    <n v="30"/>
    <n v="1"/>
    <d v="2002-11-01T00:00:00"/>
    <n v="390430"/>
    <m/>
    <m/>
    <m/>
    <m/>
    <m/>
    <m/>
    <m/>
    <m/>
    <m/>
    <s v="smolt entry"/>
    <m/>
    <m/>
    <m/>
    <m/>
  </r>
  <r>
    <n v="15"/>
    <d v="2003-01-01T00:00:00"/>
    <x v="0"/>
    <x v="3"/>
    <n v="61"/>
    <n v="1"/>
    <d v="2002-11-01T00:00:00"/>
    <n v="584888"/>
    <n v="5.5"/>
    <n v="0.3"/>
    <n v="0"/>
    <m/>
    <m/>
    <n v="0.05"/>
    <m/>
    <m/>
    <m/>
    <m/>
    <n v="175466.4"/>
    <n v="0"/>
    <n v="29244.400000000001"/>
    <n v="11697.760000000002"/>
  </r>
  <r>
    <n v="15"/>
    <d v="2003-02-01T00:00:00"/>
    <x v="1"/>
    <x v="3"/>
    <n v="92"/>
    <n v="1"/>
    <d v="2002-11-01T00:00:00"/>
    <n v="694335"/>
    <n v="2.5"/>
    <n v="1.1000000000000001"/>
    <n v="0"/>
    <n v="0"/>
    <m/>
    <n v="0"/>
    <m/>
    <m/>
    <m/>
    <m/>
    <n v="763768.50000000012"/>
    <n v="0"/>
    <n v="0"/>
    <n v="0"/>
  </r>
  <r>
    <n v="15"/>
    <d v="2003-03-01T00:00:00"/>
    <x v="2"/>
    <x v="3"/>
    <n v="120"/>
    <n v="1"/>
    <d v="2002-11-01T00:00:00"/>
    <n v="689943"/>
    <n v="3.9"/>
    <n v="1"/>
    <n v="0"/>
    <n v="0"/>
    <m/>
    <n v="2.1"/>
    <m/>
    <n v="7.7"/>
    <n v="33"/>
    <m/>
    <n v="689943"/>
    <n v="0"/>
    <n v="1448880.3"/>
    <n v="579552.12"/>
  </r>
  <r>
    <n v="15"/>
    <d v="2003-04-01T00:00:00"/>
    <x v="3"/>
    <x v="3"/>
    <n v="151"/>
    <n v="1"/>
    <d v="2002-11-01T00:00:00"/>
    <n v="676503"/>
    <n v="3.45"/>
    <n v="0.75"/>
    <n v="0.15"/>
    <n v="0"/>
    <m/>
    <n v="2.35"/>
    <m/>
    <n v="8"/>
    <n v="32"/>
    <m/>
    <n v="507377.25"/>
    <n v="101475.45"/>
    <n v="1589782.05"/>
    <n v="635912.82000000007"/>
  </r>
  <r>
    <n v="15"/>
    <d v="2003-05-01T00:00:00"/>
    <x v="4"/>
    <x v="3"/>
    <n v="181"/>
    <n v="1"/>
    <d v="2002-11-01T00:00:00"/>
    <n v="669484"/>
    <n v="2.9"/>
    <n v="0.65"/>
    <n v="0.1"/>
    <n v="0"/>
    <m/>
    <n v="2.95"/>
    <m/>
    <n v="9.4"/>
    <n v="31"/>
    <m/>
    <n v="435164.60000000003"/>
    <n v="66948.400000000009"/>
    <n v="1974977.8"/>
    <n v="789991.12000000011"/>
  </r>
  <r>
    <n v="15"/>
    <d v="2003-06-01T00:00:00"/>
    <x v="5"/>
    <x v="3"/>
    <n v="212"/>
    <n v="1"/>
    <d v="2002-11-01T00:00:00"/>
    <n v="662747"/>
    <n v="0.6"/>
    <n v="1.2"/>
    <n v="0.1"/>
    <n v="0"/>
    <m/>
    <n v="1.9"/>
    <m/>
    <n v="10"/>
    <n v="28"/>
    <m/>
    <n v="795296.4"/>
    <n v="66274.7"/>
    <n v="1259219.3"/>
    <n v="503687.72000000003"/>
  </r>
  <r>
    <n v="15"/>
    <d v="2003-07-01T00:00:00"/>
    <x v="6"/>
    <x v="3"/>
    <n v="242"/>
    <n v="1"/>
    <d v="2002-11-01T00:00:00"/>
    <n v="662747"/>
    <n v="0.5"/>
    <n v="0.6"/>
    <n v="0.1"/>
    <m/>
    <m/>
    <n v="1.4"/>
    <m/>
    <m/>
    <m/>
    <s v="transferred to farm #9"/>
    <n v="397648.2"/>
    <n v="66274.7"/>
    <n v="927845.79999999993"/>
    <n v="371138.32"/>
  </r>
  <r>
    <n v="15"/>
    <d v="2003-08-01T00:00:00"/>
    <x v="7"/>
    <x v="3"/>
    <m/>
    <m/>
    <m/>
    <m/>
    <m/>
    <m/>
    <m/>
    <m/>
    <m/>
    <m/>
    <m/>
    <m/>
    <m/>
    <m/>
    <m/>
    <m/>
    <m/>
    <m/>
  </r>
  <r>
    <n v="15"/>
    <d v="2003-09-01T00:00:00"/>
    <x v="8"/>
    <x v="3"/>
    <m/>
    <m/>
    <m/>
    <m/>
    <m/>
    <m/>
    <m/>
    <m/>
    <m/>
    <m/>
    <m/>
    <m/>
    <m/>
    <m/>
    <m/>
    <m/>
    <m/>
    <m/>
  </r>
  <r>
    <n v="15"/>
    <d v="2003-10-01T00:00:00"/>
    <x v="9"/>
    <x v="3"/>
    <m/>
    <m/>
    <m/>
    <m/>
    <m/>
    <m/>
    <m/>
    <m/>
    <m/>
    <m/>
    <m/>
    <m/>
    <m/>
    <m/>
    <m/>
    <m/>
    <m/>
    <m/>
  </r>
  <r>
    <n v="15"/>
    <d v="2003-11-01T00:00:00"/>
    <x v="10"/>
    <x v="3"/>
    <m/>
    <m/>
    <m/>
    <m/>
    <m/>
    <m/>
    <m/>
    <m/>
    <m/>
    <m/>
    <m/>
    <m/>
    <m/>
    <m/>
    <m/>
    <m/>
    <m/>
    <m/>
  </r>
  <r>
    <n v="15"/>
    <d v="2003-12-01T00:00:00"/>
    <x v="11"/>
    <x v="3"/>
    <m/>
    <m/>
    <m/>
    <m/>
    <m/>
    <m/>
    <m/>
    <m/>
    <m/>
    <m/>
    <m/>
    <m/>
    <m/>
    <m/>
    <m/>
    <m/>
    <m/>
    <m/>
  </r>
  <r>
    <n v="16"/>
    <d v="2000-01-01T00:00:00"/>
    <x v="0"/>
    <x v="0"/>
    <n v="640"/>
    <n v="2"/>
    <d v="1998-04-01T00:00:00"/>
    <n v="249897"/>
    <m/>
    <m/>
    <m/>
    <m/>
    <m/>
    <m/>
    <m/>
    <m/>
    <m/>
    <m/>
    <m/>
    <m/>
    <m/>
    <m/>
  </r>
  <r>
    <n v="16"/>
    <d v="2000-02-01T00:00:00"/>
    <x v="1"/>
    <x v="0"/>
    <n v="671"/>
    <n v="2"/>
    <d v="1998-04-01T00:00:00"/>
    <n v="190664"/>
    <m/>
    <m/>
    <m/>
    <m/>
    <m/>
    <m/>
    <m/>
    <m/>
    <m/>
    <m/>
    <m/>
    <m/>
    <m/>
    <m/>
  </r>
  <r>
    <n v="16"/>
    <d v="2000-03-01T00:00:00"/>
    <x v="2"/>
    <x v="0"/>
    <n v="700"/>
    <n v="2"/>
    <d v="1998-04-01T00:00:00"/>
    <n v="128654"/>
    <m/>
    <m/>
    <m/>
    <m/>
    <m/>
    <m/>
    <m/>
    <m/>
    <m/>
    <m/>
    <m/>
    <m/>
    <m/>
    <m/>
  </r>
  <r>
    <n v="16"/>
    <d v="2000-04-01T00:00:00"/>
    <x v="3"/>
    <x v="0"/>
    <n v="731"/>
    <n v="3"/>
    <d v="1998-04-01T00:00:00"/>
    <n v="65501"/>
    <m/>
    <m/>
    <m/>
    <m/>
    <m/>
    <m/>
    <m/>
    <m/>
    <m/>
    <m/>
    <m/>
    <m/>
    <m/>
    <m/>
  </r>
  <r>
    <n v="16"/>
    <d v="2000-05-01T00:00:00"/>
    <x v="4"/>
    <x v="0"/>
    <n v="761"/>
    <n v="3"/>
    <d v="1998-04-01T00:00:00"/>
    <n v="52936"/>
    <m/>
    <m/>
    <m/>
    <m/>
    <m/>
    <m/>
    <m/>
    <m/>
    <m/>
    <m/>
    <m/>
    <m/>
    <m/>
    <m/>
  </r>
  <r>
    <n v="16"/>
    <d v="2000-06-01T00:00:00"/>
    <x v="5"/>
    <x v="0"/>
    <n v="792"/>
    <n v="3"/>
    <d v="1998-04-01T00:00:00"/>
    <n v="8500"/>
    <m/>
    <m/>
    <m/>
    <m/>
    <m/>
    <m/>
    <m/>
    <m/>
    <m/>
    <m/>
    <m/>
    <m/>
    <m/>
    <m/>
  </r>
  <r>
    <n v="16"/>
    <d v="2000-07-01T00:00:00"/>
    <x v="6"/>
    <x v="0"/>
    <m/>
    <m/>
    <m/>
    <m/>
    <m/>
    <m/>
    <m/>
    <m/>
    <m/>
    <m/>
    <m/>
    <m/>
    <m/>
    <m/>
    <m/>
    <m/>
    <m/>
    <m/>
  </r>
  <r>
    <n v="16"/>
    <d v="2000-08-01T00:00:00"/>
    <x v="7"/>
    <x v="0"/>
    <m/>
    <m/>
    <m/>
    <m/>
    <m/>
    <m/>
    <m/>
    <m/>
    <m/>
    <m/>
    <m/>
    <m/>
    <m/>
    <m/>
    <m/>
    <m/>
    <m/>
    <m/>
  </r>
  <r>
    <n v="16"/>
    <d v="2000-09-01T00:00:00"/>
    <x v="8"/>
    <x v="0"/>
    <m/>
    <m/>
    <m/>
    <m/>
    <m/>
    <m/>
    <m/>
    <m/>
    <m/>
    <m/>
    <m/>
    <m/>
    <m/>
    <m/>
    <m/>
    <m/>
    <m/>
    <m/>
  </r>
  <r>
    <n v="16"/>
    <d v="2000-10-01T00:00:00"/>
    <x v="9"/>
    <x v="0"/>
    <n v="183"/>
    <n v="1"/>
    <d v="2000-04-01T00:00:00"/>
    <n v="312595"/>
    <m/>
    <m/>
    <m/>
    <m/>
    <m/>
    <m/>
    <m/>
    <m/>
    <m/>
    <m/>
    <m/>
    <m/>
    <m/>
    <m/>
  </r>
  <r>
    <n v="16"/>
    <d v="2000-11-01T00:00:00"/>
    <x v="10"/>
    <x v="0"/>
    <n v="214"/>
    <n v="1"/>
    <d v="2000-04-01T00:00:00"/>
    <n v="312203"/>
    <m/>
    <m/>
    <m/>
    <m/>
    <m/>
    <m/>
    <m/>
    <m/>
    <m/>
    <m/>
    <m/>
    <m/>
    <m/>
    <m/>
  </r>
  <r>
    <n v="16"/>
    <d v="2000-12-01T00:00:00"/>
    <x v="11"/>
    <x v="0"/>
    <n v="244"/>
    <n v="1"/>
    <d v="2000-04-01T00:00:00"/>
    <n v="311044"/>
    <m/>
    <m/>
    <m/>
    <m/>
    <m/>
    <m/>
    <m/>
    <m/>
    <m/>
    <m/>
    <m/>
    <m/>
    <m/>
    <m/>
  </r>
  <r>
    <n v="16"/>
    <d v="2001-01-01T00:00:00"/>
    <x v="0"/>
    <x v="1"/>
    <n v="275"/>
    <n v="1"/>
    <d v="2000-04-01T00:00:00"/>
    <n v="310599"/>
    <m/>
    <m/>
    <m/>
    <m/>
    <m/>
    <m/>
    <m/>
    <n v="8"/>
    <m/>
    <m/>
    <m/>
    <m/>
    <m/>
    <m/>
  </r>
  <r>
    <n v="16"/>
    <d v="2001-02-01T00:00:00"/>
    <x v="1"/>
    <x v="1"/>
    <n v="306"/>
    <n v="1"/>
    <d v="2000-04-01T00:00:00"/>
    <n v="310006"/>
    <m/>
    <m/>
    <m/>
    <m/>
    <m/>
    <m/>
    <m/>
    <m/>
    <m/>
    <m/>
    <m/>
    <m/>
    <m/>
    <m/>
  </r>
  <r>
    <n v="16"/>
    <d v="2001-03-01T00:00:00"/>
    <x v="2"/>
    <x v="1"/>
    <n v="334"/>
    <n v="1"/>
    <d v="2000-04-01T00:00:00"/>
    <n v="309608"/>
    <m/>
    <m/>
    <m/>
    <m/>
    <m/>
    <m/>
    <m/>
    <m/>
    <m/>
    <m/>
    <m/>
    <m/>
    <m/>
    <m/>
  </r>
  <r>
    <n v="16"/>
    <d v="2001-04-01T00:00:00"/>
    <x v="3"/>
    <x v="1"/>
    <n v="365"/>
    <n v="2"/>
    <d v="2000-04-01T00:00:00"/>
    <n v="309057"/>
    <m/>
    <m/>
    <m/>
    <m/>
    <m/>
    <m/>
    <m/>
    <m/>
    <m/>
    <m/>
    <m/>
    <m/>
    <m/>
    <m/>
  </r>
  <r>
    <n v="16"/>
    <d v="2001-05-01T00:00:00"/>
    <x v="4"/>
    <x v="1"/>
    <n v="395"/>
    <n v="2"/>
    <d v="2000-04-01T00:00:00"/>
    <n v="308500"/>
    <m/>
    <m/>
    <m/>
    <m/>
    <m/>
    <m/>
    <m/>
    <m/>
    <m/>
    <m/>
    <m/>
    <m/>
    <m/>
    <m/>
  </r>
  <r>
    <n v="16"/>
    <d v="2001-06-01T00:00:00"/>
    <x v="5"/>
    <x v="1"/>
    <n v="426"/>
    <n v="2"/>
    <d v="2000-04-01T00:00:00"/>
    <n v="308000"/>
    <m/>
    <m/>
    <m/>
    <m/>
    <m/>
    <m/>
    <m/>
    <n v="9.5"/>
    <m/>
    <m/>
    <m/>
    <m/>
    <m/>
    <m/>
  </r>
  <r>
    <n v="16"/>
    <d v="2001-07-01T00:00:00"/>
    <x v="6"/>
    <x v="1"/>
    <n v="456"/>
    <n v="2"/>
    <d v="2000-04-01T00:00:00"/>
    <n v="307724"/>
    <n v="5.4"/>
    <n v="21.4"/>
    <n v="10.1"/>
    <m/>
    <m/>
    <n v="0"/>
    <m/>
    <m/>
    <m/>
    <m/>
    <n v="6585293.5999999996"/>
    <n v="3108012.4"/>
    <n v="0"/>
    <n v="0"/>
  </r>
  <r>
    <n v="16"/>
    <d v="2001-08-01T00:00:00"/>
    <x v="7"/>
    <x v="1"/>
    <n v="487"/>
    <n v="2"/>
    <d v="2000-04-01T00:00:00"/>
    <n v="288834"/>
    <n v="1"/>
    <n v="13"/>
    <n v="6.7"/>
    <m/>
    <m/>
    <n v="0"/>
    <m/>
    <n v="10.4"/>
    <m/>
    <m/>
    <n v="3754842"/>
    <n v="1935187.8"/>
    <n v="0"/>
    <n v="0"/>
  </r>
  <r>
    <n v="16"/>
    <d v="2001-09-01T00:00:00"/>
    <x v="8"/>
    <x v="1"/>
    <n v="518"/>
    <n v="2"/>
    <d v="2000-04-01T00:00:00"/>
    <n v="188389"/>
    <m/>
    <m/>
    <n v="7"/>
    <m/>
    <s v="h"/>
    <n v="0"/>
    <m/>
    <n v="9.4"/>
    <m/>
    <s v="begin harvesting"/>
    <m/>
    <n v="1318723"/>
    <n v="0"/>
    <n v="0"/>
  </r>
  <r>
    <n v="16"/>
    <d v="2001-10-01T00:00:00"/>
    <x v="9"/>
    <x v="1"/>
    <n v="548"/>
    <n v="2"/>
    <d v="2000-04-01T00:00:00"/>
    <n v="168129"/>
    <m/>
    <m/>
    <n v="8"/>
    <m/>
    <s v="h"/>
    <n v="0"/>
    <m/>
    <n v="9.1"/>
    <m/>
    <m/>
    <m/>
    <n v="1345032"/>
    <n v="0"/>
    <n v="0"/>
  </r>
  <r>
    <n v="16"/>
    <d v="2001-11-01T00:00:00"/>
    <x v="10"/>
    <x v="1"/>
    <n v="579"/>
    <n v="2"/>
    <d v="2000-04-01T00:00:00"/>
    <n v="167858"/>
    <m/>
    <m/>
    <n v="9"/>
    <m/>
    <s v="h"/>
    <n v="0"/>
    <m/>
    <n v="8.6"/>
    <m/>
    <m/>
    <m/>
    <n v="1510722"/>
    <n v="0"/>
    <n v="0"/>
  </r>
  <r>
    <n v="16"/>
    <d v="2001-12-01T00:00:00"/>
    <x v="11"/>
    <x v="1"/>
    <n v="609"/>
    <n v="2"/>
    <d v="2000-04-01T00:00:00"/>
    <n v="167666"/>
    <m/>
    <m/>
    <n v="10"/>
    <m/>
    <s v="h"/>
    <n v="0"/>
    <m/>
    <n v="7.2"/>
    <m/>
    <m/>
    <m/>
    <n v="1676660"/>
    <n v="0"/>
    <n v="0"/>
  </r>
  <r>
    <n v="16"/>
    <d v="2002-01-01T00:00:00"/>
    <x v="0"/>
    <x v="2"/>
    <n v="640"/>
    <n v="2"/>
    <d v="2000-04-01T00:00:00"/>
    <n v="106982"/>
    <m/>
    <m/>
    <n v="11"/>
    <m/>
    <s v="h"/>
    <n v="0"/>
    <m/>
    <m/>
    <m/>
    <m/>
    <m/>
    <n v="1176802"/>
    <n v="0"/>
    <n v="0"/>
  </r>
  <r>
    <n v="16"/>
    <d v="2002-02-01T00:00:00"/>
    <x v="1"/>
    <x v="2"/>
    <m/>
    <m/>
    <m/>
    <m/>
    <m/>
    <m/>
    <m/>
    <m/>
    <m/>
    <m/>
    <m/>
    <n v="8.4"/>
    <m/>
    <m/>
    <m/>
    <m/>
    <m/>
    <m/>
  </r>
  <r>
    <n v="16"/>
    <d v="2002-03-01T00:00:00"/>
    <x v="2"/>
    <x v="2"/>
    <m/>
    <m/>
    <m/>
    <m/>
    <m/>
    <m/>
    <m/>
    <m/>
    <m/>
    <m/>
    <m/>
    <m/>
    <m/>
    <m/>
    <m/>
    <m/>
    <m/>
    <m/>
  </r>
  <r>
    <n v="16"/>
    <d v="2002-04-01T00:00:00"/>
    <x v="3"/>
    <x v="2"/>
    <m/>
    <m/>
    <m/>
    <m/>
    <m/>
    <m/>
    <m/>
    <m/>
    <m/>
    <m/>
    <m/>
    <m/>
    <m/>
    <m/>
    <m/>
    <m/>
    <m/>
    <m/>
  </r>
  <r>
    <n v="16"/>
    <d v="2002-05-01T00:00:00"/>
    <x v="4"/>
    <x v="2"/>
    <m/>
    <m/>
    <m/>
    <m/>
    <m/>
    <m/>
    <m/>
    <m/>
    <m/>
    <m/>
    <m/>
    <m/>
    <m/>
    <m/>
    <m/>
    <m/>
    <m/>
    <m/>
  </r>
  <r>
    <n v="16"/>
    <d v="2002-06-01T00:00:00"/>
    <x v="5"/>
    <x v="2"/>
    <m/>
    <m/>
    <m/>
    <m/>
    <m/>
    <m/>
    <m/>
    <m/>
    <m/>
    <m/>
    <m/>
    <m/>
    <m/>
    <m/>
    <m/>
    <m/>
    <m/>
    <m/>
  </r>
  <r>
    <n v="16"/>
    <d v="2002-07-01T00:00:00"/>
    <x v="6"/>
    <x v="2"/>
    <m/>
    <m/>
    <m/>
    <m/>
    <m/>
    <m/>
    <m/>
    <m/>
    <m/>
    <m/>
    <m/>
    <m/>
    <m/>
    <m/>
    <m/>
    <m/>
    <m/>
    <m/>
  </r>
  <r>
    <n v="16"/>
    <d v="2002-08-01T00:00:00"/>
    <x v="7"/>
    <x v="2"/>
    <m/>
    <m/>
    <m/>
    <m/>
    <m/>
    <m/>
    <m/>
    <m/>
    <m/>
    <m/>
    <m/>
    <m/>
    <m/>
    <m/>
    <m/>
    <m/>
    <m/>
    <m/>
  </r>
  <r>
    <n v="16"/>
    <d v="2002-09-01T00:00:00"/>
    <x v="8"/>
    <x v="2"/>
    <m/>
    <m/>
    <m/>
    <m/>
    <m/>
    <m/>
    <m/>
    <m/>
    <m/>
    <m/>
    <m/>
    <m/>
    <m/>
    <m/>
    <m/>
    <m/>
    <m/>
    <m/>
  </r>
  <r>
    <n v="16"/>
    <d v="2002-10-01T00:00:00"/>
    <x v="9"/>
    <x v="2"/>
    <m/>
    <m/>
    <m/>
    <m/>
    <m/>
    <m/>
    <m/>
    <m/>
    <m/>
    <m/>
    <m/>
    <m/>
    <m/>
    <m/>
    <m/>
    <m/>
    <m/>
    <m/>
  </r>
  <r>
    <n v="16"/>
    <d v="2002-11-01T00:00:00"/>
    <x v="10"/>
    <x v="2"/>
    <m/>
    <m/>
    <m/>
    <m/>
    <m/>
    <m/>
    <m/>
    <m/>
    <m/>
    <m/>
    <m/>
    <m/>
    <m/>
    <m/>
    <m/>
    <m/>
    <m/>
    <m/>
  </r>
  <r>
    <n v="16"/>
    <d v="2002-12-01T00:00:00"/>
    <x v="11"/>
    <x v="2"/>
    <m/>
    <m/>
    <m/>
    <m/>
    <m/>
    <m/>
    <m/>
    <m/>
    <m/>
    <m/>
    <m/>
    <m/>
    <m/>
    <m/>
    <m/>
    <m/>
    <m/>
    <m/>
  </r>
  <r>
    <n v="17"/>
    <d v="2000-01-01T00:00:00"/>
    <x v="0"/>
    <x v="0"/>
    <n v="275"/>
    <n v="1"/>
    <d v="1999-04-01T00:00:00"/>
    <n v="362872"/>
    <m/>
    <m/>
    <m/>
    <m/>
    <m/>
    <m/>
    <m/>
    <m/>
    <m/>
    <m/>
    <m/>
    <m/>
    <m/>
    <m/>
  </r>
  <r>
    <n v="17"/>
    <d v="2000-02-01T00:00:00"/>
    <x v="1"/>
    <x v="0"/>
    <n v="306"/>
    <n v="1"/>
    <d v="1999-04-01T00:00:00"/>
    <n v="362547"/>
    <m/>
    <m/>
    <m/>
    <m/>
    <m/>
    <m/>
    <m/>
    <m/>
    <m/>
    <m/>
    <m/>
    <m/>
    <m/>
    <m/>
  </r>
  <r>
    <n v="17"/>
    <d v="2000-03-01T00:00:00"/>
    <x v="2"/>
    <x v="0"/>
    <n v="335"/>
    <n v="1"/>
    <d v="1999-04-01T00:00:00"/>
    <n v="362102"/>
    <m/>
    <m/>
    <m/>
    <m/>
    <m/>
    <m/>
    <m/>
    <m/>
    <m/>
    <m/>
    <m/>
    <m/>
    <m/>
    <m/>
  </r>
  <r>
    <n v="17"/>
    <d v="2000-04-01T00:00:00"/>
    <x v="3"/>
    <x v="0"/>
    <n v="366"/>
    <n v="2"/>
    <d v="1999-04-01T00:00:00"/>
    <n v="361569"/>
    <m/>
    <m/>
    <m/>
    <m/>
    <m/>
    <m/>
    <m/>
    <m/>
    <m/>
    <m/>
    <m/>
    <m/>
    <m/>
    <m/>
  </r>
  <r>
    <n v="17"/>
    <d v="2000-05-01T00:00:00"/>
    <x v="4"/>
    <x v="0"/>
    <n v="396"/>
    <n v="2"/>
    <d v="1999-04-01T00:00:00"/>
    <n v="361267"/>
    <m/>
    <m/>
    <m/>
    <m/>
    <m/>
    <m/>
    <m/>
    <m/>
    <m/>
    <m/>
    <m/>
    <m/>
    <m/>
    <m/>
  </r>
  <r>
    <n v="17"/>
    <d v="2000-06-01T00:00:00"/>
    <x v="5"/>
    <x v="0"/>
    <n v="427"/>
    <n v="2"/>
    <d v="1999-04-01T00:00:00"/>
    <n v="356443"/>
    <m/>
    <m/>
    <m/>
    <m/>
    <m/>
    <m/>
    <m/>
    <m/>
    <m/>
    <m/>
    <m/>
    <m/>
    <m/>
    <m/>
  </r>
  <r>
    <n v="17"/>
    <d v="2000-07-01T00:00:00"/>
    <x v="6"/>
    <x v="0"/>
    <n v="457"/>
    <n v="2"/>
    <d v="1999-04-01T00:00:00"/>
    <n v="356106"/>
    <m/>
    <m/>
    <m/>
    <m/>
    <m/>
    <m/>
    <m/>
    <m/>
    <m/>
    <m/>
    <m/>
    <m/>
    <m/>
    <m/>
  </r>
  <r>
    <n v="17"/>
    <d v="2000-08-01T00:00:00"/>
    <x v="7"/>
    <x v="0"/>
    <n v="488"/>
    <n v="2"/>
    <d v="1999-04-01T00:00:00"/>
    <n v="355853"/>
    <m/>
    <m/>
    <m/>
    <m/>
    <m/>
    <m/>
    <m/>
    <m/>
    <m/>
    <m/>
    <m/>
    <m/>
    <m/>
    <m/>
  </r>
  <r>
    <n v="17"/>
    <d v="2000-09-01T00:00:00"/>
    <x v="8"/>
    <x v="0"/>
    <n v="519"/>
    <n v="2"/>
    <d v="1999-04-01T00:00:00"/>
    <n v="355540"/>
    <m/>
    <m/>
    <m/>
    <m/>
    <m/>
    <m/>
    <m/>
    <m/>
    <m/>
    <m/>
    <m/>
    <m/>
    <m/>
    <m/>
  </r>
  <r>
    <n v="17"/>
    <d v="2000-10-01T00:00:00"/>
    <x v="9"/>
    <x v="0"/>
    <n v="549"/>
    <n v="2"/>
    <d v="1999-04-01T00:00:00"/>
    <n v="354938"/>
    <m/>
    <m/>
    <m/>
    <m/>
    <m/>
    <m/>
    <m/>
    <m/>
    <m/>
    <m/>
    <m/>
    <m/>
    <m/>
    <m/>
  </r>
  <r>
    <n v="17"/>
    <d v="2000-11-01T00:00:00"/>
    <x v="10"/>
    <x v="0"/>
    <n v="580"/>
    <n v="2"/>
    <d v="1999-04-01T00:00:00"/>
    <n v="354637"/>
    <m/>
    <m/>
    <m/>
    <m/>
    <m/>
    <m/>
    <m/>
    <m/>
    <m/>
    <m/>
    <m/>
    <m/>
    <m/>
    <m/>
  </r>
  <r>
    <n v="17"/>
    <d v="2000-12-01T00:00:00"/>
    <x v="11"/>
    <x v="0"/>
    <n v="610"/>
    <n v="2"/>
    <d v="1999-04-01T00:00:00"/>
    <n v="247556"/>
    <m/>
    <m/>
    <m/>
    <m/>
    <m/>
    <m/>
    <m/>
    <m/>
    <m/>
    <s v="Begin harvesting"/>
    <m/>
    <m/>
    <m/>
    <m/>
  </r>
  <r>
    <n v="17"/>
    <d v="2001-01-01T00:00:00"/>
    <x v="0"/>
    <x v="1"/>
    <n v="641"/>
    <n v="2"/>
    <d v="1999-04-01T00:00:00"/>
    <n v="193664"/>
    <m/>
    <m/>
    <m/>
    <m/>
    <m/>
    <m/>
    <m/>
    <m/>
    <m/>
    <m/>
    <m/>
    <m/>
    <m/>
    <m/>
  </r>
  <r>
    <n v="17"/>
    <d v="2001-02-01T00:00:00"/>
    <x v="1"/>
    <x v="1"/>
    <n v="672"/>
    <n v="2"/>
    <d v="1999-04-01T00:00:00"/>
    <n v="140808"/>
    <m/>
    <m/>
    <m/>
    <m/>
    <m/>
    <m/>
    <m/>
    <m/>
    <m/>
    <m/>
    <m/>
    <m/>
    <m/>
    <m/>
  </r>
  <r>
    <n v="17"/>
    <d v="2001-03-01T00:00:00"/>
    <x v="2"/>
    <x v="1"/>
    <n v="700"/>
    <n v="2"/>
    <d v="1999-04-01T00:00:00"/>
    <n v="101538"/>
    <m/>
    <m/>
    <m/>
    <m/>
    <m/>
    <m/>
    <m/>
    <m/>
    <m/>
    <m/>
    <m/>
    <m/>
    <m/>
    <m/>
  </r>
  <r>
    <n v="17"/>
    <d v="2001-04-01T00:00:00"/>
    <x v="3"/>
    <x v="1"/>
    <n v="731"/>
    <n v="2"/>
    <d v="1999-04-01T00:00:00"/>
    <n v="63772"/>
    <m/>
    <m/>
    <m/>
    <m/>
    <m/>
    <m/>
    <m/>
    <m/>
    <m/>
    <m/>
    <m/>
    <m/>
    <m/>
    <m/>
  </r>
  <r>
    <n v="17"/>
    <d v="2001-05-01T00:00:00"/>
    <x v="4"/>
    <x v="1"/>
    <m/>
    <m/>
    <m/>
    <m/>
    <m/>
    <m/>
    <m/>
    <m/>
    <m/>
    <m/>
    <m/>
    <m/>
    <m/>
    <m/>
    <m/>
    <m/>
    <m/>
    <m/>
  </r>
  <r>
    <n v="17"/>
    <d v="2001-06-01T00:00:00"/>
    <x v="5"/>
    <x v="1"/>
    <m/>
    <m/>
    <m/>
    <m/>
    <m/>
    <m/>
    <m/>
    <m/>
    <m/>
    <m/>
    <m/>
    <m/>
    <m/>
    <m/>
    <m/>
    <m/>
    <m/>
    <m/>
  </r>
  <r>
    <n v="17"/>
    <d v="2001-07-01T00:00:00"/>
    <x v="6"/>
    <x v="1"/>
    <m/>
    <m/>
    <m/>
    <m/>
    <m/>
    <m/>
    <m/>
    <m/>
    <m/>
    <m/>
    <m/>
    <m/>
    <m/>
    <m/>
    <m/>
    <m/>
    <m/>
    <m/>
  </r>
  <r>
    <n v="17"/>
    <d v="2001-08-01T00:00:00"/>
    <x v="7"/>
    <x v="1"/>
    <m/>
    <m/>
    <m/>
    <m/>
    <m/>
    <m/>
    <m/>
    <m/>
    <m/>
    <m/>
    <m/>
    <m/>
    <m/>
    <m/>
    <m/>
    <m/>
    <m/>
    <m/>
  </r>
  <r>
    <n v="17"/>
    <d v="2001-09-01T00:00:00"/>
    <x v="8"/>
    <x v="1"/>
    <m/>
    <m/>
    <m/>
    <m/>
    <m/>
    <m/>
    <m/>
    <m/>
    <m/>
    <m/>
    <m/>
    <m/>
    <m/>
    <m/>
    <m/>
    <m/>
    <m/>
    <m/>
  </r>
  <r>
    <n v="17"/>
    <d v="2001-10-01T00:00:00"/>
    <x v="9"/>
    <x v="1"/>
    <m/>
    <m/>
    <m/>
    <m/>
    <m/>
    <m/>
    <m/>
    <m/>
    <m/>
    <m/>
    <m/>
    <m/>
    <m/>
    <m/>
    <m/>
    <m/>
    <m/>
    <m/>
  </r>
  <r>
    <n v="17"/>
    <d v="2001-11-01T00:00:00"/>
    <x v="10"/>
    <x v="1"/>
    <m/>
    <m/>
    <m/>
    <m/>
    <m/>
    <m/>
    <m/>
    <m/>
    <m/>
    <m/>
    <m/>
    <m/>
    <m/>
    <m/>
    <m/>
    <m/>
    <m/>
    <m/>
  </r>
  <r>
    <n v="17"/>
    <d v="2001-12-01T00:00:00"/>
    <x v="11"/>
    <x v="1"/>
    <n v="0"/>
    <n v="1"/>
    <d v="2001-12-01T00:00:00"/>
    <n v="172633"/>
    <m/>
    <m/>
    <m/>
    <m/>
    <m/>
    <m/>
    <m/>
    <n v="7.4"/>
    <m/>
    <s v="smolt entry"/>
    <m/>
    <m/>
    <m/>
    <m/>
  </r>
  <r>
    <n v="17"/>
    <d v="2002-01-01T00:00:00"/>
    <x v="0"/>
    <x v="2"/>
    <n v="31"/>
    <n v="1"/>
    <d v="2001-12-01T00:00:00"/>
    <n v="200000"/>
    <m/>
    <m/>
    <m/>
    <m/>
    <m/>
    <m/>
    <m/>
    <m/>
    <m/>
    <s v="smolt entry"/>
    <m/>
    <m/>
    <m/>
    <m/>
  </r>
  <r>
    <n v="17"/>
    <d v="2002-02-01T00:00:00"/>
    <x v="1"/>
    <x v="2"/>
    <n v="62"/>
    <n v="1"/>
    <d v="2001-12-01T00:00:00"/>
    <n v="269613"/>
    <m/>
    <m/>
    <m/>
    <m/>
    <m/>
    <m/>
    <m/>
    <n v="7"/>
    <m/>
    <m/>
    <m/>
    <m/>
    <m/>
    <m/>
  </r>
  <r>
    <n v="17"/>
    <d v="2002-03-01T00:00:00"/>
    <x v="2"/>
    <x v="2"/>
    <n v="90"/>
    <n v="1"/>
    <d v="2001-12-01T00:00:00"/>
    <n v="242001"/>
    <m/>
    <m/>
    <m/>
    <m/>
    <m/>
    <m/>
    <m/>
    <n v="7"/>
    <m/>
    <m/>
    <m/>
    <m/>
    <m/>
    <m/>
  </r>
  <r>
    <n v="17"/>
    <d v="2002-04-01T00:00:00"/>
    <x v="3"/>
    <x v="2"/>
    <n v="121"/>
    <n v="1"/>
    <d v="2001-12-01T00:00:00"/>
    <n v="232492"/>
    <m/>
    <m/>
    <m/>
    <m/>
    <m/>
    <m/>
    <m/>
    <n v="7.6"/>
    <m/>
    <m/>
    <m/>
    <m/>
    <m/>
    <m/>
  </r>
  <r>
    <n v="17"/>
    <d v="2002-05-01T00:00:00"/>
    <x v="4"/>
    <x v="2"/>
    <n v="151"/>
    <n v="1"/>
    <d v="2001-12-01T00:00:00"/>
    <n v="222067"/>
    <m/>
    <m/>
    <m/>
    <m/>
    <m/>
    <m/>
    <m/>
    <n v="8.3000000000000007"/>
    <m/>
    <m/>
    <m/>
    <m/>
    <m/>
    <m/>
  </r>
  <r>
    <n v="17"/>
    <d v="2002-06-01T00:00:00"/>
    <x v="5"/>
    <x v="2"/>
    <n v="182"/>
    <n v="1"/>
    <d v="2001-12-01T00:00:00"/>
    <n v="218423"/>
    <m/>
    <m/>
    <m/>
    <m/>
    <m/>
    <m/>
    <m/>
    <n v="8.9"/>
    <m/>
    <m/>
    <m/>
    <m/>
    <m/>
    <m/>
  </r>
  <r>
    <n v="17"/>
    <d v="2002-07-01T00:00:00"/>
    <x v="6"/>
    <x v="2"/>
    <n v="212"/>
    <n v="1"/>
    <d v="2001-12-01T00:00:00"/>
    <n v="217150"/>
    <n v="2.8"/>
    <n v="4.9000000000000004"/>
    <n v="0.4"/>
    <m/>
    <m/>
    <n v="0"/>
    <m/>
    <n v="9.4"/>
    <m/>
    <m/>
    <n v="1064035"/>
    <n v="86860"/>
    <n v="0"/>
    <n v="0"/>
  </r>
  <r>
    <n v="17"/>
    <d v="2002-08-01T00:00:00"/>
    <x v="7"/>
    <x v="2"/>
    <n v="243"/>
    <n v="1"/>
    <d v="2001-12-01T00:00:00"/>
    <n v="216706"/>
    <n v="4"/>
    <n v="7.08"/>
    <n v="0.9"/>
    <m/>
    <m/>
    <n v="0"/>
    <m/>
    <n v="9.4"/>
    <m/>
    <m/>
    <n v="1534278.48"/>
    <n v="195035.4"/>
    <n v="0"/>
    <n v="0"/>
  </r>
  <r>
    <n v="17"/>
    <d v="2002-09-01T00:00:00"/>
    <x v="8"/>
    <x v="2"/>
    <n v="274"/>
    <n v="1"/>
    <d v="2001-12-01T00:00:00"/>
    <n v="216500"/>
    <m/>
    <m/>
    <n v="1.4"/>
    <m/>
    <n v="2"/>
    <n v="0"/>
    <m/>
    <m/>
    <m/>
    <m/>
    <m/>
    <n v="303100"/>
    <n v="0"/>
    <n v="0"/>
  </r>
  <r>
    <n v="17"/>
    <d v="2002-10-01T00:00:00"/>
    <x v="9"/>
    <x v="2"/>
    <n v="304"/>
    <n v="1"/>
    <d v="2001-12-01T00:00:00"/>
    <n v="216195"/>
    <m/>
    <m/>
    <n v="2"/>
    <m/>
    <n v="2"/>
    <n v="0"/>
    <m/>
    <m/>
    <m/>
    <m/>
    <m/>
    <n v="432390"/>
    <n v="0"/>
    <n v="0"/>
  </r>
  <r>
    <n v="17"/>
    <d v="2002-11-01T00:00:00"/>
    <x v="10"/>
    <x v="2"/>
    <n v="335"/>
    <n v="1"/>
    <d v="2001-12-01T00:00:00"/>
    <n v="215998"/>
    <n v="1.05"/>
    <n v="7.35"/>
    <n v="2.4500000000000002"/>
    <m/>
    <m/>
    <n v="0"/>
    <m/>
    <n v="8"/>
    <m/>
    <m/>
    <n v="1587585.2999999998"/>
    <n v="529195.10000000009"/>
    <n v="0"/>
    <n v="0"/>
  </r>
  <r>
    <n v="17"/>
    <d v="2002-12-01T00:00:00"/>
    <x v="11"/>
    <x v="2"/>
    <n v="365"/>
    <n v="2"/>
    <d v="2001-12-01T00:00:00"/>
    <n v="215848"/>
    <m/>
    <n v="8.3249999999999993"/>
    <n v="3.2250000000000001"/>
    <m/>
    <n v="1"/>
    <n v="0.05"/>
    <m/>
    <n v="7.8"/>
    <m/>
    <m/>
    <n v="1796934.5999999999"/>
    <n v="696109.8"/>
    <n v="10792.400000000001"/>
    <n v="4316.9600000000009"/>
  </r>
  <r>
    <n v="17"/>
    <d v="2003-01-01T00:00:00"/>
    <x v="0"/>
    <x v="3"/>
    <n v="396"/>
    <n v="2"/>
    <d v="2001-12-01T00:00:00"/>
    <n v="215709"/>
    <n v="7"/>
    <n v="9.3000000000000007"/>
    <n v="4"/>
    <m/>
    <m/>
    <n v="0.1"/>
    <n v="1"/>
    <n v="7.3"/>
    <m/>
    <m/>
    <n v="2006093.7000000002"/>
    <n v="862836"/>
    <n v="21570.9"/>
    <n v="8628.36"/>
  </r>
  <r>
    <n v="17"/>
    <d v="2003-02-01T00:00:00"/>
    <x v="1"/>
    <x v="3"/>
    <n v="427"/>
    <n v="2"/>
    <d v="2001-12-01T00:00:00"/>
    <n v="215591"/>
    <n v="6.9"/>
    <n v="6"/>
    <n v="3.2"/>
    <n v="0"/>
    <m/>
    <n v="0"/>
    <m/>
    <n v="7.5"/>
    <m/>
    <m/>
    <n v="1293546"/>
    <n v="689891.20000000007"/>
    <n v="0"/>
    <n v="0"/>
  </r>
  <r>
    <n v="17"/>
    <d v="2003-03-01T00:00:00"/>
    <x v="2"/>
    <x v="3"/>
    <n v="455"/>
    <n v="2"/>
    <d v="2001-12-01T00:00:00"/>
    <n v="215473"/>
    <n v="0.05"/>
    <n v="0.25"/>
    <n v="0.1"/>
    <n v="0"/>
    <m/>
    <n v="0"/>
    <m/>
    <n v="7.6"/>
    <n v="33.5"/>
    <m/>
    <n v="53868.25"/>
    <n v="21547.300000000003"/>
    <n v="0"/>
    <n v="0"/>
  </r>
  <r>
    <n v="17"/>
    <d v="2003-04-01T00:00:00"/>
    <x v="3"/>
    <x v="3"/>
    <n v="486"/>
    <n v="2"/>
    <d v="2001-12-01T00:00:00"/>
    <n v="215348"/>
    <n v="0"/>
    <n v="7.0000000000000007E-2"/>
    <n v="0"/>
    <n v="0"/>
    <m/>
    <n v="0.03"/>
    <m/>
    <n v="8"/>
    <n v="32.700000000000003"/>
    <m/>
    <n v="15074.36"/>
    <n v="0"/>
    <n v="6460.44"/>
    <n v="2584.1759999999999"/>
  </r>
  <r>
    <n v="17"/>
    <d v="2003-05-01T00:00:00"/>
    <x v="4"/>
    <x v="3"/>
    <n v="516"/>
    <n v="2"/>
    <d v="2001-12-01T00:00:00"/>
    <n v="214749"/>
    <n v="0.2"/>
    <n v="0.05"/>
    <n v="0"/>
    <n v="0"/>
    <m/>
    <n v="0.1"/>
    <m/>
    <n v="9.1"/>
    <n v="32.5"/>
    <m/>
    <n v="10737.45"/>
    <n v="0"/>
    <n v="21474.9"/>
    <n v="8589.9600000000009"/>
  </r>
  <r>
    <n v="17"/>
    <d v="2003-06-01T00:00:00"/>
    <x v="5"/>
    <x v="3"/>
    <n v="547"/>
    <n v="2"/>
    <d v="2001-12-01T00:00:00"/>
    <n v="214399"/>
    <n v="0.1"/>
    <n v="0.1"/>
    <n v="0"/>
    <m/>
    <m/>
    <n v="0.5"/>
    <m/>
    <n v="9.6999999999999993"/>
    <n v="33"/>
    <s v="IHNV Diagnosis"/>
    <n v="21439.9"/>
    <n v="0"/>
    <n v="107199.5"/>
    <n v="42879.8"/>
  </r>
  <r>
    <n v="17"/>
    <d v="2003-07-01T00:00:00"/>
    <x v="6"/>
    <x v="3"/>
    <n v="577"/>
    <n v="2"/>
    <d v="2001-12-01T00:00:00"/>
    <n v="111231"/>
    <m/>
    <m/>
    <n v="1"/>
    <m/>
    <s v="h"/>
    <n v="1"/>
    <m/>
    <m/>
    <m/>
    <m/>
    <m/>
    <n v="111231"/>
    <n v="111231"/>
    <n v="44492.4"/>
  </r>
  <r>
    <n v="17"/>
    <d v="2003-08-01T00:00:00"/>
    <x v="7"/>
    <x v="3"/>
    <m/>
    <m/>
    <m/>
    <m/>
    <m/>
    <m/>
    <m/>
    <m/>
    <m/>
    <m/>
    <m/>
    <m/>
    <m/>
    <s v="Harvest complete"/>
    <m/>
    <m/>
    <m/>
    <m/>
  </r>
  <r>
    <n v="17"/>
    <d v="2003-09-01T00:00:00"/>
    <x v="8"/>
    <x v="3"/>
    <m/>
    <m/>
    <m/>
    <m/>
    <m/>
    <m/>
    <m/>
    <m/>
    <m/>
    <m/>
    <m/>
    <m/>
    <m/>
    <m/>
    <m/>
    <m/>
    <m/>
    <m/>
  </r>
  <r>
    <n v="17"/>
    <d v="2003-10-01T00:00:00"/>
    <x v="9"/>
    <x v="3"/>
    <m/>
    <m/>
    <m/>
    <m/>
    <m/>
    <m/>
    <m/>
    <m/>
    <m/>
    <m/>
    <m/>
    <m/>
    <m/>
    <m/>
    <m/>
    <m/>
    <m/>
    <m/>
  </r>
  <r>
    <n v="17"/>
    <d v="2003-11-01T00:00:00"/>
    <x v="10"/>
    <x v="3"/>
    <m/>
    <m/>
    <m/>
    <m/>
    <m/>
    <m/>
    <m/>
    <m/>
    <m/>
    <m/>
    <m/>
    <m/>
    <m/>
    <m/>
    <m/>
    <m/>
    <m/>
    <m/>
  </r>
  <r>
    <n v="17"/>
    <d v="2003-12-01T00:00:00"/>
    <x v="11"/>
    <x v="3"/>
    <m/>
    <m/>
    <m/>
    <m/>
    <m/>
    <m/>
    <m/>
    <m/>
    <m/>
    <m/>
    <m/>
    <m/>
    <m/>
    <m/>
    <m/>
    <m/>
    <m/>
    <m/>
  </r>
  <r>
    <n v="17"/>
    <d v="2004-01-01T00:00:00"/>
    <x v="0"/>
    <x v="4"/>
    <m/>
    <m/>
    <m/>
    <m/>
    <m/>
    <m/>
    <m/>
    <m/>
    <m/>
    <m/>
    <m/>
    <m/>
    <m/>
    <m/>
    <m/>
    <m/>
    <m/>
    <m/>
  </r>
  <r>
    <n v="17"/>
    <d v="2004-02-01T00:00:00"/>
    <x v="1"/>
    <x v="4"/>
    <m/>
    <m/>
    <m/>
    <m/>
    <m/>
    <m/>
    <m/>
    <m/>
    <m/>
    <m/>
    <m/>
    <m/>
    <m/>
    <m/>
    <m/>
    <m/>
    <m/>
    <m/>
  </r>
  <r>
    <n v="17"/>
    <d v="2004-03-01T00:00:00"/>
    <x v="2"/>
    <x v="4"/>
    <m/>
    <m/>
    <m/>
    <m/>
    <m/>
    <m/>
    <m/>
    <m/>
    <m/>
    <m/>
    <m/>
    <m/>
    <m/>
    <m/>
    <m/>
    <m/>
    <m/>
    <m/>
  </r>
  <r>
    <n v="17"/>
    <d v="2004-04-01T00:00:00"/>
    <x v="3"/>
    <x v="4"/>
    <m/>
    <m/>
    <m/>
    <m/>
    <m/>
    <m/>
    <m/>
    <m/>
    <m/>
    <m/>
    <m/>
    <m/>
    <m/>
    <m/>
    <m/>
    <m/>
    <m/>
    <m/>
  </r>
  <r>
    <n v="17"/>
    <d v="2004-05-01T00:00:00"/>
    <x v="4"/>
    <x v="4"/>
    <m/>
    <m/>
    <m/>
    <m/>
    <m/>
    <m/>
    <m/>
    <m/>
    <m/>
    <m/>
    <m/>
    <m/>
    <m/>
    <m/>
    <m/>
    <m/>
    <m/>
    <m/>
  </r>
  <r>
    <n v="17"/>
    <d v="2004-06-01T00:00:00"/>
    <x v="5"/>
    <x v="4"/>
    <m/>
    <m/>
    <m/>
    <m/>
    <m/>
    <m/>
    <m/>
    <m/>
    <m/>
    <m/>
    <m/>
    <m/>
    <m/>
    <m/>
    <m/>
    <m/>
    <m/>
    <m/>
  </r>
  <r>
    <n v="17"/>
    <d v="2004-07-01T00:00:00"/>
    <x v="6"/>
    <x v="4"/>
    <m/>
    <m/>
    <m/>
    <m/>
    <m/>
    <m/>
    <m/>
    <m/>
    <m/>
    <m/>
    <m/>
    <m/>
    <m/>
    <m/>
    <m/>
    <m/>
    <m/>
    <m/>
  </r>
  <r>
    <n v="17"/>
    <d v="2004-08-01T00:00:00"/>
    <x v="7"/>
    <x v="4"/>
    <m/>
    <m/>
    <m/>
    <m/>
    <m/>
    <m/>
    <m/>
    <m/>
    <m/>
    <m/>
    <m/>
    <m/>
    <m/>
    <m/>
    <m/>
    <m/>
    <m/>
    <m/>
  </r>
  <r>
    <n v="17"/>
    <d v="2004-09-01T00:00:00"/>
    <x v="8"/>
    <x v="4"/>
    <m/>
    <m/>
    <m/>
    <m/>
    <m/>
    <m/>
    <m/>
    <m/>
    <m/>
    <m/>
    <m/>
    <m/>
    <m/>
    <m/>
    <m/>
    <m/>
    <m/>
    <m/>
  </r>
  <r>
    <n v="17"/>
    <d v="2004-10-01T00:00:00"/>
    <x v="9"/>
    <x v="4"/>
    <m/>
    <m/>
    <m/>
    <m/>
    <m/>
    <m/>
    <m/>
    <m/>
    <m/>
    <m/>
    <m/>
    <m/>
    <m/>
    <m/>
    <m/>
    <m/>
    <m/>
    <m/>
  </r>
  <r>
    <n v="17"/>
    <d v="2004-11-01T00:00:00"/>
    <x v="10"/>
    <x v="4"/>
    <m/>
    <m/>
    <m/>
    <m/>
    <m/>
    <m/>
    <m/>
    <m/>
    <m/>
    <m/>
    <m/>
    <m/>
    <m/>
    <m/>
    <m/>
    <m/>
    <m/>
    <m/>
  </r>
  <r>
    <n v="17"/>
    <d v="2004-12-01T00:00:00"/>
    <x v="11"/>
    <x v="4"/>
    <n v="0"/>
    <n v="1"/>
    <d v="2004-12-01T00:00:00"/>
    <n v="47153"/>
    <m/>
    <m/>
    <n v="0"/>
    <m/>
    <s v="s"/>
    <n v="0"/>
    <m/>
    <m/>
    <m/>
    <m/>
    <m/>
    <n v="0"/>
    <n v="0"/>
    <n v="0"/>
  </r>
  <r>
    <n v="17"/>
    <d v="2005-01-01T00:00:00"/>
    <x v="0"/>
    <x v="5"/>
    <n v="31"/>
    <n v="1"/>
    <d v="2004-12-01T00:00:00"/>
    <n v="342250"/>
    <n v="1.67"/>
    <n v="0.17"/>
    <n v="0"/>
    <m/>
    <m/>
    <n v="0.17"/>
    <m/>
    <n v="7"/>
    <n v="33"/>
    <m/>
    <n v="58182.500000000007"/>
    <n v="0"/>
    <n v="58182.500000000007"/>
    <n v="23273.000000000004"/>
  </r>
  <r>
    <n v="17"/>
    <d v="2005-02-01T00:00:00"/>
    <x v="1"/>
    <x v="5"/>
    <n v="62"/>
    <n v="1"/>
    <d v="2004-12-01T00:00:00"/>
    <n v="500000"/>
    <n v="2.78"/>
    <n v="0.42"/>
    <n v="0.02"/>
    <n v="0"/>
    <m/>
    <n v="0.42"/>
    <m/>
    <n v="8"/>
    <n v="32"/>
    <m/>
    <n v="210000"/>
    <n v="10000"/>
    <n v="210000"/>
    <n v="84000"/>
  </r>
  <r>
    <n v="17"/>
    <d v="2005-03-01T00:00:00"/>
    <x v="2"/>
    <x v="5"/>
    <n v="90"/>
    <n v="1"/>
    <d v="2004-12-01T00:00:00"/>
    <n v="655000"/>
    <n v="1.29"/>
    <n v="0.61"/>
    <n v="0.1"/>
    <n v="0"/>
    <m/>
    <n v="0.43"/>
    <m/>
    <n v="8"/>
    <n v="32"/>
    <m/>
    <n v="399550"/>
    <n v="65500"/>
    <n v="281650"/>
    <n v="112660"/>
  </r>
  <r>
    <n v="17"/>
    <d v="2005-04-01T00:00:00"/>
    <x v="3"/>
    <x v="5"/>
    <n v="121"/>
    <n v="1"/>
    <d v="2004-12-01T00:00:00"/>
    <n v="622000"/>
    <n v="3.6"/>
    <n v="0.98"/>
    <n v="0.05"/>
    <n v="0"/>
    <m/>
    <n v="0.38"/>
    <m/>
    <n v="8"/>
    <n v="31"/>
    <m/>
    <n v="609560"/>
    <n v="31100"/>
    <n v="236360"/>
    <n v="94544"/>
  </r>
  <r>
    <n v="17"/>
    <d v="2005-05-01T00:00:00"/>
    <x v="4"/>
    <x v="5"/>
    <n v="151"/>
    <n v="1"/>
    <d v="2004-12-01T00:00:00"/>
    <n v="613000"/>
    <n v="2.96"/>
    <n v="1.32"/>
    <n v="0.17"/>
    <n v="0"/>
    <m/>
    <n v="0.87"/>
    <m/>
    <n v="10"/>
    <n v="32"/>
    <m/>
    <n v="809160"/>
    <n v="104210.00000000001"/>
    <n v="533310"/>
    <n v="213324"/>
  </r>
  <r>
    <n v="17"/>
    <d v="2005-06-01T00:00:00"/>
    <x v="5"/>
    <x v="5"/>
    <n v="182"/>
    <n v="1"/>
    <d v="2004-12-01T00:00:00"/>
    <n v="605000"/>
    <n v="2.48"/>
    <n v="1.2"/>
    <n v="0.18"/>
    <n v="0"/>
    <m/>
    <n v="0.62"/>
    <m/>
    <n v="10"/>
    <n v="30"/>
    <m/>
    <n v="726000"/>
    <n v="108900"/>
    <n v="375100"/>
    <n v="150040"/>
  </r>
  <r>
    <n v="17"/>
    <d v="2005-07-01T00:00:00"/>
    <x v="6"/>
    <x v="5"/>
    <n v="212"/>
    <n v="1"/>
    <d v="2004-12-01T00:00:00"/>
    <n v="600000"/>
    <n v="0.67"/>
    <n v="0.8"/>
    <n v="0.22"/>
    <n v="2"/>
    <m/>
    <n v="0.8"/>
    <n v="1"/>
    <n v="11"/>
    <n v="28"/>
    <m/>
    <n v="480000"/>
    <n v="132000"/>
    <n v="480000"/>
    <n v="192000"/>
  </r>
  <r>
    <n v="17"/>
    <d v="2005-08-01T00:00:00"/>
    <x v="7"/>
    <x v="5"/>
    <n v="243"/>
    <n v="1"/>
    <d v="2004-12-01T00:00:00"/>
    <n v="64773"/>
    <n v="7.0000000000000007E-2"/>
    <n v="0.4"/>
    <n v="0.02"/>
    <n v="0"/>
    <m/>
    <n v="0"/>
    <m/>
    <m/>
    <m/>
    <s v="fish moved to farm #9"/>
    <n v="25909.200000000001"/>
    <n v="1295.46"/>
    <n v="0"/>
    <n v="0"/>
  </r>
  <r>
    <n v="17"/>
    <d v="2005-09-01T00:00:00"/>
    <x v="8"/>
    <x v="5"/>
    <n v="274"/>
    <n v="1"/>
    <d v="2004-12-01T00:00:00"/>
    <n v="10000"/>
    <n v="0.38"/>
    <n v="0"/>
    <n v="0"/>
    <m/>
    <m/>
    <n v="0.05"/>
    <m/>
    <n v="10"/>
    <n v="33"/>
    <m/>
    <n v="0"/>
    <n v="0"/>
    <n v="500"/>
    <n v="200"/>
  </r>
  <r>
    <n v="17"/>
    <d v="2005-10-01T00:00:00"/>
    <x v="9"/>
    <x v="5"/>
    <m/>
    <m/>
    <m/>
    <m/>
    <m/>
    <m/>
    <m/>
    <m/>
    <m/>
    <m/>
    <m/>
    <m/>
    <m/>
    <m/>
    <m/>
    <m/>
    <m/>
    <m/>
  </r>
  <r>
    <n v="17"/>
    <d v="2005-11-01T00:00:00"/>
    <x v="10"/>
    <x v="5"/>
    <n v="0"/>
    <n v="1"/>
    <d v="2005-11-01T00:00:00"/>
    <n v="168580"/>
    <m/>
    <m/>
    <n v="0"/>
    <m/>
    <s v="s"/>
    <n v="0"/>
    <m/>
    <m/>
    <m/>
    <s v="smolt entry"/>
    <m/>
    <n v="0"/>
    <n v="0"/>
    <n v="0"/>
  </r>
  <r>
    <n v="17"/>
    <d v="2005-12-01T00:00:00"/>
    <x v="11"/>
    <x v="5"/>
    <n v="30"/>
    <n v="1"/>
    <d v="2005-11-01T00:00:00"/>
    <n v="701534"/>
    <m/>
    <m/>
    <n v="0"/>
    <m/>
    <s v="s"/>
    <n v="0.06"/>
    <m/>
    <m/>
    <m/>
    <m/>
    <m/>
    <n v="0"/>
    <n v="42092.04"/>
    <n v="16836.816000000003"/>
  </r>
  <r>
    <n v="17"/>
    <d v="2006-01-01T00:00:00"/>
    <x v="0"/>
    <x v="6"/>
    <n v="61"/>
    <n v="1"/>
    <d v="2005-11-01T00:00:00"/>
    <n v="1223413"/>
    <n v="0.18"/>
    <n v="0.4"/>
    <n v="0"/>
    <m/>
    <m/>
    <n v="0.13"/>
    <m/>
    <n v="8"/>
    <n v="33"/>
    <m/>
    <n v="489365.2"/>
    <n v="0"/>
    <n v="159043.69"/>
    <n v="63617.476000000002"/>
  </r>
  <r>
    <n v="17"/>
    <d v="2006-02-01T00:00:00"/>
    <x v="1"/>
    <x v="6"/>
    <n v="92"/>
    <n v="1"/>
    <d v="2005-11-01T00:00:00"/>
    <n v="1162483"/>
    <n v="0.28000000000000003"/>
    <n v="0.54"/>
    <n v="0.11"/>
    <n v="0"/>
    <m/>
    <n v="0.11"/>
    <m/>
    <n v="7"/>
    <m/>
    <m/>
    <n v="627740.82000000007"/>
    <n v="127873.13"/>
    <n v="127873.13"/>
    <n v="51149.252000000008"/>
  </r>
  <r>
    <n v="17"/>
    <d v="2006-03-01T00:00:00"/>
    <x v="2"/>
    <x v="6"/>
    <n v="120"/>
    <n v="1"/>
    <d v="2005-11-01T00:00:00"/>
    <n v="1158423"/>
    <n v="0.55000000000000004"/>
    <n v="0.55000000000000004"/>
    <n v="0.03"/>
    <n v="0"/>
    <m/>
    <n v="0.27"/>
    <m/>
    <n v="8"/>
    <n v="31"/>
    <m/>
    <n v="637132.65"/>
    <n v="34752.69"/>
    <n v="312774.21000000002"/>
    <n v="125109.68400000001"/>
  </r>
  <r>
    <n v="17"/>
    <d v="2006-04-01T00:00:00"/>
    <x v="3"/>
    <x v="6"/>
    <n v="151"/>
    <n v="1"/>
    <d v="2005-11-01T00:00:00"/>
    <n v="1180669"/>
    <n v="0.27"/>
    <n v="0.43"/>
    <n v="0.03"/>
    <n v="0"/>
    <m/>
    <n v="0.08"/>
    <m/>
    <n v="8"/>
    <n v="33"/>
    <m/>
    <n v="507687.67"/>
    <n v="35420.07"/>
    <n v="94453.52"/>
    <n v="37781.408000000003"/>
  </r>
  <r>
    <n v="17"/>
    <d v="2006-05-01T00:00:00"/>
    <x v="4"/>
    <x v="6"/>
    <n v="181"/>
    <n v="1"/>
    <d v="2005-11-01T00:00:00"/>
    <n v="1167212"/>
    <n v="0.4"/>
    <n v="0.55000000000000004"/>
    <n v="0.08"/>
    <n v="0"/>
    <m/>
    <n v="0.04"/>
    <m/>
    <n v="9"/>
    <n v="32"/>
    <m/>
    <n v="641966.60000000009"/>
    <n v="93376.960000000006"/>
    <n v="46688.480000000003"/>
    <n v="18675.392000000003"/>
  </r>
  <r>
    <n v="17"/>
    <d v="2006-06-01T00:00:00"/>
    <x v="5"/>
    <x v="6"/>
    <n v="212"/>
    <n v="1"/>
    <d v="2005-11-01T00:00:00"/>
    <n v="1163063"/>
    <n v="0.13"/>
    <n v="0.48"/>
    <n v="7.0000000000000007E-2"/>
    <n v="0"/>
    <m/>
    <n v="0.13"/>
    <m/>
    <n v="10"/>
    <n v="31"/>
    <s v="transfer to farm #24"/>
    <n v="558270.24"/>
    <n v="81414.41"/>
    <n v="151198.19"/>
    <n v="60479.276000000005"/>
  </r>
  <r>
    <n v="17"/>
    <d v="2006-07-01T00:00:00"/>
    <x v="6"/>
    <x v="6"/>
    <n v="242"/>
    <n v="1"/>
    <d v="2005-11-01T00:00:00"/>
    <n v="592907"/>
    <n v="0.17"/>
    <n v="0.47"/>
    <n v="7.0000000000000007E-2"/>
    <m/>
    <m/>
    <n v="0.22"/>
    <m/>
    <n v="10"/>
    <n v="31"/>
    <s v="Transfer to farm #13"/>
    <n v="278666.28999999998"/>
    <n v="41503.490000000005"/>
    <n v="130439.54"/>
    <n v="52175.815999999999"/>
  </r>
  <r>
    <n v="17"/>
    <d v="2006-08-01T00:00:00"/>
    <x v="7"/>
    <x v="6"/>
    <m/>
    <m/>
    <m/>
    <m/>
    <m/>
    <m/>
    <m/>
    <m/>
    <m/>
    <m/>
    <m/>
    <m/>
    <m/>
    <m/>
    <m/>
    <m/>
    <m/>
    <m/>
  </r>
  <r>
    <n v="17"/>
    <d v="2006-09-01T00:00:00"/>
    <x v="8"/>
    <x v="6"/>
    <m/>
    <m/>
    <m/>
    <m/>
    <m/>
    <m/>
    <m/>
    <m/>
    <m/>
    <m/>
    <m/>
    <m/>
    <m/>
    <m/>
    <m/>
    <m/>
    <m/>
    <m/>
  </r>
  <r>
    <n v="17"/>
    <d v="2006-10-01T00:00:00"/>
    <x v="9"/>
    <x v="6"/>
    <m/>
    <m/>
    <m/>
    <m/>
    <m/>
    <m/>
    <m/>
    <m/>
    <m/>
    <m/>
    <m/>
    <m/>
    <m/>
    <s v="smolt entry"/>
    <m/>
    <m/>
    <m/>
    <m/>
  </r>
  <r>
    <n v="17"/>
    <d v="2006-11-01T00:00:00"/>
    <x v="10"/>
    <x v="6"/>
    <n v="0"/>
    <n v="1"/>
    <d v="2006-11-01T00:00:00"/>
    <n v="1257000"/>
    <m/>
    <m/>
    <n v="0"/>
    <m/>
    <s v="s"/>
    <n v="0"/>
    <m/>
    <m/>
    <m/>
    <m/>
    <m/>
    <n v="0"/>
    <n v="0"/>
    <n v="0"/>
  </r>
  <r>
    <n v="17"/>
    <d v="2006-12-01T00:00:00"/>
    <x v="11"/>
    <x v="6"/>
    <n v="30"/>
    <n v="1"/>
    <d v="2006-11-01T00:00:00"/>
    <n v="1257000"/>
    <m/>
    <m/>
    <n v="0.02"/>
    <m/>
    <s v="s"/>
    <n v="0.05"/>
    <m/>
    <m/>
    <m/>
    <m/>
    <m/>
    <n v="25140"/>
    <n v="62850"/>
    <n v="25140"/>
  </r>
  <r>
    <n v="17"/>
    <d v="2007-01-01T00:00:00"/>
    <x v="0"/>
    <x v="7"/>
    <n v="61"/>
    <n v="1"/>
    <d v="2006-11-01T00:00:00"/>
    <n v="1213544"/>
    <n v="0.43"/>
    <n v="0.28000000000000003"/>
    <n v="0.05"/>
    <m/>
    <m/>
    <n v="0.1"/>
    <m/>
    <n v="7"/>
    <n v="31"/>
    <m/>
    <n v="339792.32"/>
    <n v="60677.200000000004"/>
    <n v="121354.40000000001"/>
    <n v="48541.760000000009"/>
  </r>
  <r>
    <n v="17"/>
    <d v="2007-02-01T00:00:00"/>
    <x v="1"/>
    <x v="7"/>
    <n v="92"/>
    <n v="1"/>
    <d v="2006-11-01T00:00:00"/>
    <n v="1204000"/>
    <m/>
    <n v="0.44"/>
    <n v="7.0000000000000007E-2"/>
    <m/>
    <n v="1"/>
    <n v="0.26666666666666666"/>
    <m/>
    <m/>
    <m/>
    <s v="no count, fish health reasons"/>
    <n v="529760"/>
    <n v="84280.000000000015"/>
    <n v="321066.66666666669"/>
    <n v="128426.66666666669"/>
  </r>
  <r>
    <n v="17"/>
    <d v="2007-03-01T00:00:00"/>
    <x v="2"/>
    <x v="7"/>
    <n v="120"/>
    <n v="1"/>
    <d v="2006-11-01T00:00:00"/>
    <n v="1195669"/>
    <n v="0.53333333333333333"/>
    <n v="0.6"/>
    <n v="0.09"/>
    <m/>
    <m/>
    <n v="0.43333333333333335"/>
    <m/>
    <n v="7"/>
    <n v="29"/>
    <m/>
    <n v="717401.4"/>
    <n v="107610.20999999999"/>
    <n v="518123.23333333334"/>
    <n v="207249.29333333333"/>
  </r>
  <r>
    <n v="17"/>
    <d v="2007-04-01T00:00:00"/>
    <x v="3"/>
    <x v="7"/>
    <n v="151"/>
    <n v="1"/>
    <d v="2006-11-01T00:00:00"/>
    <n v="1191119"/>
    <n v="1.1833333333333333"/>
    <n v="0.8833333333333333"/>
    <n v="0.15"/>
    <n v="0"/>
    <m/>
    <n v="1.0166666666666666"/>
    <m/>
    <n v="8"/>
    <n v="29"/>
    <m/>
    <n v="1052155.1166666667"/>
    <n v="178667.85"/>
    <n v="1210970.9833333332"/>
    <n v="484388.39333333331"/>
  </r>
  <r>
    <n v="17"/>
    <d v="2007-05-01T00:00:00"/>
    <x v="4"/>
    <x v="7"/>
    <n v="181"/>
    <n v="1"/>
    <d v="2006-11-01T00:00:00"/>
    <n v="1184967"/>
    <n v="0.68333333333333335"/>
    <n v="0.23333333333333334"/>
    <n v="0.05"/>
    <n v="0"/>
    <m/>
    <n v="0.38333333333333336"/>
    <m/>
    <n v="8"/>
    <n v="30"/>
    <m/>
    <n v="276492.3"/>
    <n v="59248.350000000006"/>
    <n v="454237.35000000003"/>
    <n v="181694.94000000003"/>
  </r>
  <r>
    <n v="17"/>
    <d v="2007-06-01T00:00:00"/>
    <x v="5"/>
    <x v="7"/>
    <n v="212"/>
    <n v="1"/>
    <d v="2006-11-01T00:00:00"/>
    <n v="1182742"/>
    <n v="0.46666666666666667"/>
    <n v="0.4"/>
    <n v="0.04"/>
    <n v="0"/>
    <m/>
    <n v="0.41666666666666669"/>
    <m/>
    <n v="9"/>
    <n v="29"/>
    <m/>
    <n v="473096.80000000005"/>
    <n v="47309.68"/>
    <n v="492809.16666666669"/>
    <n v="197123.66666666669"/>
  </r>
  <r>
    <n v="17"/>
    <d v="2007-07-01T00:00:00"/>
    <x v="6"/>
    <x v="7"/>
    <n v="242"/>
    <n v="1"/>
    <d v="2006-11-01T00:00:00"/>
    <n v="563902"/>
    <n v="0.22500000000000001"/>
    <n v="7.4999999999999997E-2"/>
    <n v="0"/>
    <n v="0"/>
    <m/>
    <n v="0.32500000000000001"/>
    <m/>
    <n v="10"/>
    <n v="28"/>
    <s v="about 1/2 fish moved to farm #9"/>
    <n v="42292.65"/>
    <n v="0"/>
    <n v="183268.15"/>
    <n v="73307.259999999995"/>
  </r>
  <r>
    <n v="17"/>
    <d v="2007-08-01T00:00:00"/>
    <x v="7"/>
    <x v="7"/>
    <n v="273"/>
    <n v="1"/>
    <d v="2006-11-01T00:00:00"/>
    <n v="556197"/>
    <n v="0.11666666666666667"/>
    <n v="8.3333333333333329E-2"/>
    <n v="0.02"/>
    <m/>
    <m/>
    <n v="0.11666666666666667"/>
    <m/>
    <n v="10"/>
    <n v="29"/>
    <s v="remainder transferred to farm #18"/>
    <n v="46349.75"/>
    <n v="11123.94"/>
    <n v="64889.65"/>
    <n v="25955.86"/>
  </r>
  <r>
    <n v="17"/>
    <d v="2007-09-01T00:00:00"/>
    <x v="8"/>
    <x v="7"/>
    <m/>
    <m/>
    <m/>
    <m/>
    <m/>
    <m/>
    <m/>
    <m/>
    <m/>
    <m/>
    <m/>
    <m/>
    <m/>
    <m/>
    <m/>
    <m/>
    <m/>
    <m/>
  </r>
  <r>
    <n v="17"/>
    <d v="2007-10-01T00:00:00"/>
    <x v="9"/>
    <x v="7"/>
    <m/>
    <m/>
    <m/>
    <m/>
    <m/>
    <m/>
    <m/>
    <m/>
    <m/>
    <m/>
    <m/>
    <m/>
    <m/>
    <m/>
    <m/>
    <m/>
    <m/>
    <m/>
  </r>
  <r>
    <n v="17"/>
    <d v="2007-11-01T00:00:00"/>
    <x v="10"/>
    <x v="7"/>
    <n v="0"/>
    <n v="1"/>
    <d v="2007-11-01T00:00:00"/>
    <n v="482039"/>
    <m/>
    <m/>
    <n v="0"/>
    <m/>
    <s v="s"/>
    <n v="0"/>
    <m/>
    <m/>
    <m/>
    <s v="smolt entry"/>
    <m/>
    <n v="0"/>
    <n v="0"/>
    <n v="0"/>
  </r>
  <r>
    <n v="17"/>
    <d v="2007-12-01T00:00:00"/>
    <x v="11"/>
    <x v="7"/>
    <n v="30"/>
    <n v="1"/>
    <d v="2007-11-01T00:00:00"/>
    <n v="1364761"/>
    <m/>
    <m/>
    <n v="0"/>
    <m/>
    <s v="s"/>
    <n v="0.13"/>
    <m/>
    <m/>
    <m/>
    <m/>
    <m/>
    <n v="0"/>
    <n v="177418.93"/>
    <n v="70967.572"/>
  </r>
  <r>
    <n v="17"/>
    <d v="2008-01-01T00:00:00"/>
    <x v="0"/>
    <x v="8"/>
    <n v="61"/>
    <n v="1"/>
    <d v="2007-11-01T00:00:00"/>
    <n v="1354649"/>
    <n v="0.38"/>
    <n v="0.08"/>
    <n v="0.02"/>
    <m/>
    <m/>
    <n v="0.27"/>
    <m/>
    <m/>
    <m/>
    <m/>
    <n v="108371.92"/>
    <n v="27092.98"/>
    <n v="365755.23000000004"/>
    <n v="146302.09200000003"/>
  </r>
  <r>
    <n v="17"/>
    <d v="2008-02-01T00:00:00"/>
    <x v="1"/>
    <x v="8"/>
    <n v="92"/>
    <n v="1"/>
    <d v="2007-11-01T00:00:00"/>
    <n v="1346442"/>
    <n v="0.25"/>
    <n v="6.6666600000000006E-2"/>
    <n v="0"/>
    <n v="0"/>
    <m/>
    <n v="3.3333300000000003E-2"/>
    <m/>
    <m/>
    <m/>
    <m/>
    <n v="89762.710237200008"/>
    <n v="0"/>
    <n v="44881.355118600004"/>
    <n v="17952.542047440002"/>
  </r>
  <r>
    <n v="17"/>
    <d v="2008-03-01T00:00:00"/>
    <x v="2"/>
    <x v="8"/>
    <n v="121"/>
    <n v="1"/>
    <d v="2007-11-01T00:00:00"/>
    <n v="1344515"/>
    <n v="7.0000000000000007E-2"/>
    <n v="0.2"/>
    <n v="0"/>
    <n v="0"/>
    <m/>
    <n v="0.1"/>
    <m/>
    <m/>
    <m/>
    <m/>
    <n v="268903"/>
    <n v="0"/>
    <n v="134451.5"/>
    <n v="53780.600000000006"/>
  </r>
  <r>
    <n v="17"/>
    <d v="2008-04-01T00:00:00"/>
    <x v="3"/>
    <x v="8"/>
    <n v="152"/>
    <n v="1"/>
    <d v="2007-11-01T00:00:00"/>
    <n v="1342119"/>
    <n v="0.1"/>
    <n v="0.02"/>
    <n v="0"/>
    <n v="0"/>
    <m/>
    <n v="0.1"/>
    <m/>
    <m/>
    <m/>
    <m/>
    <n v="26842.38"/>
    <n v="0"/>
    <n v="134211.9"/>
    <n v="53684.76"/>
  </r>
  <r>
    <n v="17"/>
    <d v="2008-05-01T00:00:00"/>
    <x v="4"/>
    <x v="8"/>
    <n v="182"/>
    <n v="1"/>
    <d v="2007-11-01T00:00:00"/>
    <n v="1335317"/>
    <n v="0.25"/>
    <n v="0.28000000000000003"/>
    <n v="0.03"/>
    <n v="0"/>
    <m/>
    <n v="0.03"/>
    <m/>
    <m/>
    <m/>
    <m/>
    <n v="373888.76"/>
    <n v="40059.51"/>
    <n v="40059.51"/>
    <n v="16023.804000000002"/>
  </r>
  <r>
    <n v="17"/>
    <d v="2008-06-01T00:00:00"/>
    <x v="5"/>
    <x v="8"/>
    <n v="213"/>
    <n v="1"/>
    <d v="2007-11-01T00:00:00"/>
    <n v="1326393"/>
    <n v="0.1"/>
    <n v="0.13333333333333333"/>
    <n v="0"/>
    <n v="0"/>
    <m/>
    <n v="0.28333333333333338"/>
    <m/>
    <m/>
    <m/>
    <m/>
    <n v="176852.4"/>
    <n v="0"/>
    <n v="375811.35000000003"/>
    <n v="150324.54"/>
  </r>
  <r>
    <n v="17"/>
    <d v="2008-07-01T00:00:00"/>
    <x v="6"/>
    <x v="8"/>
    <n v="243"/>
    <n v="1"/>
    <d v="2007-11-01T00:00:00"/>
    <n v="1318883.66666667"/>
    <n v="0.08"/>
    <n v="7.0000000000000007E-2"/>
    <n v="0.03"/>
    <m/>
    <m/>
    <n v="0"/>
    <m/>
    <m/>
    <m/>
    <m/>
    <n v="92321.856666666907"/>
    <n v="39566.510000000097"/>
    <n v="0"/>
    <n v="0"/>
  </r>
  <r>
    <n v="17"/>
    <d v="2008-08-01T00:00:00"/>
    <x v="7"/>
    <x v="8"/>
    <m/>
    <m/>
    <m/>
    <m/>
    <m/>
    <m/>
    <m/>
    <m/>
    <m/>
    <m/>
    <m/>
    <m/>
    <m/>
    <s v="fish transferred out to farm #13 and farm #24"/>
    <m/>
    <m/>
    <m/>
    <m/>
  </r>
  <r>
    <n v="17"/>
    <d v="2008-09-01T00:00:00"/>
    <x v="8"/>
    <x v="8"/>
    <m/>
    <m/>
    <m/>
    <m/>
    <m/>
    <m/>
    <m/>
    <m/>
    <m/>
    <m/>
    <m/>
    <m/>
    <m/>
    <m/>
    <m/>
    <m/>
    <m/>
    <m/>
  </r>
  <r>
    <n v="17"/>
    <d v="2008-10-01T00:00:00"/>
    <x v="9"/>
    <x v="8"/>
    <n v="0"/>
    <n v="1"/>
    <d v="2008-10-01T00:00:00"/>
    <n v="592592"/>
    <m/>
    <m/>
    <n v="0"/>
    <m/>
    <s v="s"/>
    <n v="0"/>
    <m/>
    <m/>
    <m/>
    <m/>
    <m/>
    <n v="0"/>
    <n v="0"/>
    <n v="0"/>
  </r>
  <r>
    <n v="17"/>
    <d v="2008-11-01T00:00:00"/>
    <x v="10"/>
    <x v="8"/>
    <n v="31"/>
    <n v="1"/>
    <d v="2008-10-01T00:00:00"/>
    <n v="1243339"/>
    <m/>
    <m/>
    <n v="0.01"/>
    <m/>
    <s v="s"/>
    <n v="0.2"/>
    <m/>
    <m/>
    <m/>
    <m/>
    <m/>
    <n v="12433.39"/>
    <n v="248667.80000000002"/>
    <n v="99467.12000000001"/>
  </r>
  <r>
    <n v="17"/>
    <d v="2008-12-01T00:00:00"/>
    <x v="11"/>
    <x v="8"/>
    <n v="61"/>
    <n v="1"/>
    <d v="2008-10-01T00:00:00"/>
    <n v="1225645"/>
    <m/>
    <m/>
    <n v="0.02"/>
    <m/>
    <s v="s"/>
    <n v="0.4"/>
    <m/>
    <m/>
    <m/>
    <m/>
    <m/>
    <n v="24512.9"/>
    <n v="490258"/>
    <n v="196103.2"/>
  </r>
  <r>
    <n v="17"/>
    <d v="2009-01-01T00:00:00"/>
    <x v="0"/>
    <x v="9"/>
    <n v="92"/>
    <n v="1"/>
    <d v="2008-10-01T00:00:00"/>
    <n v="1223166"/>
    <n v="1.4"/>
    <n v="0.3"/>
    <n v="0.03"/>
    <m/>
    <m/>
    <n v="0.78"/>
    <m/>
    <m/>
    <m/>
    <m/>
    <n v="366949.8"/>
    <n v="36694.979999999996"/>
    <n v="954069.48"/>
    <n v="381627.79200000002"/>
  </r>
  <r>
    <n v="17"/>
    <d v="2009-02-01T00:00:00"/>
    <x v="1"/>
    <x v="9"/>
    <n v="123"/>
    <n v="1"/>
    <d v="2008-10-01T00:00:00"/>
    <n v="1213412"/>
    <n v="0.25"/>
    <n v="0.3"/>
    <n v="0.02"/>
    <n v="0"/>
    <m/>
    <n v="0.37"/>
    <m/>
    <m/>
    <m/>
    <m/>
    <n v="364023.6"/>
    <n v="24268.240000000002"/>
    <n v="448962.44"/>
    <n v="179584.97600000002"/>
  </r>
  <r>
    <n v="17"/>
    <d v="2009-03-01T00:00:00"/>
    <x v="2"/>
    <x v="9"/>
    <n v="151"/>
    <n v="1"/>
    <d v="2008-10-01T00:00:00"/>
    <n v="1199249"/>
    <n v="1.47"/>
    <n v="0.12"/>
    <n v="0.02"/>
    <n v="0"/>
    <m/>
    <n v="0.87"/>
    <m/>
    <m/>
    <m/>
    <m/>
    <n v="143909.88"/>
    <n v="23984.98"/>
    <n v="1043346.63"/>
    <n v="417338.652"/>
  </r>
  <r>
    <n v="17"/>
    <d v="2009-04-01T00:00:00"/>
    <x v="3"/>
    <x v="9"/>
    <n v="182"/>
    <n v="1"/>
    <d v="2008-10-01T00:00:00"/>
    <n v="1195692"/>
    <n v="0.38"/>
    <n v="0.18"/>
    <n v="0.05"/>
    <n v="0"/>
    <m/>
    <n v="0.25"/>
    <m/>
    <m/>
    <m/>
    <m/>
    <n v="215224.56"/>
    <n v="59784.600000000006"/>
    <n v="298923"/>
    <n v="119569.20000000001"/>
  </r>
  <r>
    <n v="17"/>
    <d v="2009-05-01T00:00:00"/>
    <x v="4"/>
    <x v="9"/>
    <n v="212"/>
    <n v="1"/>
    <d v="2008-10-01T00:00:00"/>
    <n v="1193290"/>
    <n v="0.5"/>
    <n v="0.23"/>
    <n v="7.0000000000000007E-2"/>
    <n v="0"/>
    <m/>
    <n v="0.9"/>
    <m/>
    <m/>
    <m/>
    <m/>
    <n v="274456.7"/>
    <n v="83530.3"/>
    <n v="1073961"/>
    <n v="429584.4"/>
  </r>
  <r>
    <n v="17"/>
    <d v="2009-06-01T00:00:00"/>
    <x v="5"/>
    <x v="9"/>
    <n v="243"/>
    <n v="1"/>
    <d v="2008-10-01T00:00:00"/>
    <n v="1192843"/>
    <n v="0.25"/>
    <n v="0.14000000000000001"/>
    <n v="0.08"/>
    <n v="0"/>
    <m/>
    <n v="0.84"/>
    <m/>
    <m/>
    <m/>
    <m/>
    <n v="166998.02000000002"/>
    <n v="95427.44"/>
    <n v="1001988.12"/>
    <n v="400795.24800000002"/>
  </r>
  <r>
    <n v="17"/>
    <d v="2009-07-01T00:00:00"/>
    <x v="6"/>
    <x v="9"/>
    <n v="273"/>
    <n v="1"/>
    <d v="2008-10-01T00:00:00"/>
    <n v="427917"/>
    <n v="0.12"/>
    <n v="0.05"/>
    <n v="0.02"/>
    <n v="0"/>
    <m/>
    <n v="7.0000000000000007E-2"/>
    <m/>
    <m/>
    <m/>
    <m/>
    <m/>
    <m/>
    <m/>
    <m/>
  </r>
  <r>
    <n v="17"/>
    <d v="2009-08-01T00:00:00"/>
    <x v="7"/>
    <x v="9"/>
    <n v="304"/>
    <n v="1"/>
    <d v="2008-10-01T00:00:00"/>
    <n v="427010"/>
    <n v="0.1"/>
    <n v="0.28299999999999997"/>
    <n v="6.7000000000000004E-2"/>
    <m/>
    <m/>
    <n v="0.13300000000000001"/>
    <m/>
    <m/>
    <m/>
    <m/>
    <m/>
    <m/>
    <m/>
    <m/>
  </r>
  <r>
    <n v="17"/>
    <d v="2009-09-01T00:00:00"/>
    <x v="8"/>
    <x v="9"/>
    <m/>
    <m/>
    <m/>
    <m/>
    <m/>
    <m/>
    <m/>
    <m/>
    <m/>
    <m/>
    <m/>
    <m/>
    <m/>
    <s v="moved fish to farm #18"/>
    <m/>
    <m/>
    <m/>
    <m/>
  </r>
  <r>
    <n v="17"/>
    <d v="2009-10-01T00:00:00"/>
    <x v="9"/>
    <x v="9"/>
    <m/>
    <m/>
    <m/>
    <m/>
    <m/>
    <m/>
    <m/>
    <m/>
    <m/>
    <m/>
    <m/>
    <m/>
    <m/>
    <m/>
    <m/>
    <m/>
    <m/>
    <m/>
  </r>
  <r>
    <n v="17"/>
    <d v="2009-11-01T00:00:00"/>
    <x v="10"/>
    <x v="9"/>
    <m/>
    <m/>
    <m/>
    <m/>
    <m/>
    <m/>
    <m/>
    <m/>
    <m/>
    <m/>
    <m/>
    <m/>
    <m/>
    <m/>
    <m/>
    <m/>
    <m/>
    <m/>
  </r>
  <r>
    <n v="17"/>
    <d v="2009-12-01T00:00:00"/>
    <x v="11"/>
    <x v="9"/>
    <m/>
    <m/>
    <m/>
    <m/>
    <m/>
    <m/>
    <m/>
    <m/>
    <m/>
    <m/>
    <m/>
    <m/>
    <m/>
    <m/>
    <m/>
    <m/>
    <m/>
    <m/>
  </r>
  <r>
    <n v="18"/>
    <d v="2000-01-01T00:00:00"/>
    <x v="0"/>
    <x v="0"/>
    <n v="306"/>
    <n v="1"/>
    <d v="1999-03-01T00:00:00"/>
    <n v="346619"/>
    <m/>
    <m/>
    <m/>
    <m/>
    <m/>
    <m/>
    <m/>
    <m/>
    <m/>
    <s v="moved from farm #15 Aug 1999"/>
    <m/>
    <m/>
    <m/>
    <m/>
  </r>
  <r>
    <n v="18"/>
    <d v="2000-02-01T00:00:00"/>
    <x v="1"/>
    <x v="0"/>
    <n v="337"/>
    <n v="1"/>
    <d v="1999-03-01T00:00:00"/>
    <n v="346335"/>
    <m/>
    <m/>
    <m/>
    <m/>
    <m/>
    <m/>
    <m/>
    <m/>
    <m/>
    <m/>
    <m/>
    <m/>
    <m/>
    <m/>
  </r>
  <r>
    <n v="18"/>
    <d v="2000-03-01T00:00:00"/>
    <x v="2"/>
    <x v="0"/>
    <n v="366"/>
    <n v="2"/>
    <d v="1999-03-01T00:00:00"/>
    <n v="346056"/>
    <m/>
    <m/>
    <m/>
    <m/>
    <m/>
    <m/>
    <m/>
    <m/>
    <m/>
    <m/>
    <m/>
    <m/>
    <m/>
    <m/>
  </r>
  <r>
    <n v="18"/>
    <d v="2000-04-01T00:00:00"/>
    <x v="3"/>
    <x v="0"/>
    <n v="397"/>
    <n v="2"/>
    <d v="1999-03-01T00:00:00"/>
    <n v="345717"/>
    <m/>
    <m/>
    <m/>
    <m/>
    <m/>
    <m/>
    <m/>
    <m/>
    <m/>
    <m/>
    <m/>
    <m/>
    <m/>
    <m/>
  </r>
  <r>
    <n v="18"/>
    <d v="2000-05-01T00:00:00"/>
    <x v="4"/>
    <x v="0"/>
    <n v="427"/>
    <n v="2"/>
    <d v="1999-03-01T00:00:00"/>
    <n v="345412"/>
    <m/>
    <m/>
    <m/>
    <m/>
    <m/>
    <m/>
    <m/>
    <m/>
    <m/>
    <m/>
    <m/>
    <m/>
    <m/>
    <m/>
  </r>
  <r>
    <n v="18"/>
    <d v="2000-06-01T00:00:00"/>
    <x v="5"/>
    <x v="0"/>
    <n v="458"/>
    <n v="2"/>
    <d v="1999-03-01T00:00:00"/>
    <n v="344935"/>
    <m/>
    <m/>
    <m/>
    <m/>
    <m/>
    <m/>
    <m/>
    <m/>
    <m/>
    <m/>
    <m/>
    <m/>
    <m/>
    <m/>
  </r>
  <r>
    <n v="18"/>
    <d v="2000-07-01T00:00:00"/>
    <x v="6"/>
    <x v="0"/>
    <n v="488"/>
    <n v="2"/>
    <d v="1999-03-01T00:00:00"/>
    <n v="340773"/>
    <m/>
    <m/>
    <m/>
    <m/>
    <m/>
    <m/>
    <m/>
    <m/>
    <m/>
    <m/>
    <m/>
    <m/>
    <m/>
    <m/>
  </r>
  <r>
    <n v="18"/>
    <d v="2000-08-01T00:00:00"/>
    <x v="7"/>
    <x v="0"/>
    <n v="519"/>
    <n v="2"/>
    <d v="1999-03-01T00:00:00"/>
    <n v="338447"/>
    <m/>
    <m/>
    <m/>
    <m/>
    <m/>
    <m/>
    <m/>
    <m/>
    <m/>
    <m/>
    <m/>
    <m/>
    <m/>
    <m/>
  </r>
  <r>
    <n v="18"/>
    <d v="2000-09-01T00:00:00"/>
    <x v="8"/>
    <x v="0"/>
    <n v="550"/>
    <n v="2"/>
    <d v="1999-03-01T00:00:00"/>
    <n v="338193"/>
    <m/>
    <m/>
    <m/>
    <m/>
    <m/>
    <m/>
    <m/>
    <m/>
    <m/>
    <m/>
    <m/>
    <m/>
    <m/>
    <m/>
  </r>
  <r>
    <n v="18"/>
    <d v="2000-10-01T00:00:00"/>
    <x v="9"/>
    <x v="0"/>
    <n v="580"/>
    <n v="2"/>
    <d v="1999-03-01T00:00:00"/>
    <n v="337862"/>
    <m/>
    <m/>
    <m/>
    <m/>
    <m/>
    <m/>
    <m/>
    <m/>
    <m/>
    <m/>
    <m/>
    <m/>
    <m/>
    <m/>
  </r>
  <r>
    <n v="18"/>
    <d v="2000-11-01T00:00:00"/>
    <x v="10"/>
    <x v="0"/>
    <n v="611"/>
    <n v="2"/>
    <d v="1999-03-01T00:00:00"/>
    <n v="337521"/>
    <m/>
    <m/>
    <m/>
    <m/>
    <m/>
    <m/>
    <m/>
    <m/>
    <m/>
    <m/>
    <m/>
    <m/>
    <m/>
    <m/>
  </r>
  <r>
    <n v="18"/>
    <d v="2000-12-01T00:00:00"/>
    <x v="11"/>
    <x v="0"/>
    <n v="641"/>
    <n v="2"/>
    <d v="1999-03-01T00:00:00"/>
    <n v="337239"/>
    <m/>
    <m/>
    <m/>
    <m/>
    <m/>
    <m/>
    <m/>
    <m/>
    <m/>
    <m/>
    <m/>
    <m/>
    <m/>
    <m/>
  </r>
  <r>
    <n v="18"/>
    <d v="2001-01-01T00:00:00"/>
    <x v="0"/>
    <x v="1"/>
    <n v="672"/>
    <n v="2"/>
    <d v="1999-03-01T00:00:00"/>
    <n v="336967"/>
    <m/>
    <m/>
    <m/>
    <m/>
    <m/>
    <m/>
    <m/>
    <m/>
    <m/>
    <m/>
    <m/>
    <m/>
    <m/>
    <m/>
  </r>
  <r>
    <n v="18"/>
    <d v="2001-02-01T00:00:00"/>
    <x v="1"/>
    <x v="1"/>
    <n v="703"/>
    <n v="2"/>
    <d v="1999-03-01T00:00:00"/>
    <n v="336680"/>
    <m/>
    <m/>
    <m/>
    <m/>
    <m/>
    <m/>
    <m/>
    <m/>
    <m/>
    <m/>
    <m/>
    <m/>
    <m/>
    <m/>
  </r>
  <r>
    <n v="18"/>
    <d v="2001-03-01T00:00:00"/>
    <x v="2"/>
    <x v="1"/>
    <n v="731"/>
    <n v="3"/>
    <d v="1999-03-01T00:00:00"/>
    <n v="309615"/>
    <m/>
    <m/>
    <m/>
    <m/>
    <m/>
    <m/>
    <m/>
    <m/>
    <m/>
    <s v="begin harvesting"/>
    <m/>
    <m/>
    <m/>
    <m/>
  </r>
  <r>
    <n v="18"/>
    <d v="2001-04-01T00:00:00"/>
    <x v="3"/>
    <x v="1"/>
    <n v="762"/>
    <n v="3"/>
    <d v="1999-03-01T00:00:00"/>
    <n v="214997"/>
    <m/>
    <m/>
    <m/>
    <m/>
    <m/>
    <m/>
    <m/>
    <m/>
    <m/>
    <m/>
    <m/>
    <m/>
    <m/>
    <m/>
  </r>
  <r>
    <n v="18"/>
    <d v="2001-05-01T00:00:00"/>
    <x v="4"/>
    <x v="1"/>
    <n v="792"/>
    <n v="3"/>
    <d v="1999-03-01T00:00:00"/>
    <n v="125865"/>
    <m/>
    <m/>
    <m/>
    <m/>
    <m/>
    <m/>
    <m/>
    <m/>
    <m/>
    <m/>
    <m/>
    <m/>
    <m/>
    <m/>
  </r>
  <r>
    <n v="18"/>
    <d v="2001-06-01T00:00:00"/>
    <x v="5"/>
    <x v="1"/>
    <n v="823"/>
    <n v="3"/>
    <d v="1999-03-01T00:00:00"/>
    <n v="64304"/>
    <m/>
    <m/>
    <m/>
    <m/>
    <m/>
    <m/>
    <m/>
    <n v="8.6"/>
    <m/>
    <m/>
    <m/>
    <m/>
    <m/>
    <m/>
  </r>
  <r>
    <n v="18"/>
    <d v="2001-07-01T00:00:00"/>
    <x v="6"/>
    <x v="1"/>
    <m/>
    <m/>
    <m/>
    <m/>
    <m/>
    <m/>
    <m/>
    <m/>
    <m/>
    <m/>
    <m/>
    <m/>
    <m/>
    <m/>
    <m/>
    <m/>
    <m/>
    <m/>
  </r>
  <r>
    <n v="18"/>
    <d v="2001-08-01T00:00:00"/>
    <x v="7"/>
    <x v="1"/>
    <m/>
    <m/>
    <m/>
    <m/>
    <m/>
    <m/>
    <m/>
    <m/>
    <m/>
    <m/>
    <m/>
    <m/>
    <m/>
    <m/>
    <m/>
    <m/>
    <m/>
    <m/>
  </r>
  <r>
    <n v="18"/>
    <d v="2001-09-01T00:00:00"/>
    <x v="8"/>
    <x v="1"/>
    <m/>
    <m/>
    <m/>
    <m/>
    <m/>
    <m/>
    <m/>
    <m/>
    <m/>
    <m/>
    <m/>
    <m/>
    <m/>
    <m/>
    <m/>
    <m/>
    <m/>
    <m/>
  </r>
  <r>
    <n v="18"/>
    <d v="2001-10-01T00:00:00"/>
    <x v="9"/>
    <x v="1"/>
    <n v="214"/>
    <n v="1"/>
    <d v="2001-03-01T00:00:00"/>
    <n v="418997"/>
    <m/>
    <n v="4.6900000000000004"/>
    <n v="0.8"/>
    <m/>
    <s v="t"/>
    <n v="0"/>
    <m/>
    <n v="8.8000000000000007"/>
    <m/>
    <s v="115K moved from farm #15 (counts made while still at farm #15) and 303K from farm #25"/>
    <n v="1965095.9300000002"/>
    <n v="335197.60000000003"/>
    <n v="0"/>
    <n v="0"/>
  </r>
  <r>
    <n v="18"/>
    <d v="2001-11-01T00:00:00"/>
    <x v="10"/>
    <x v="1"/>
    <n v="245"/>
    <n v="1"/>
    <d v="2001-03-01T00:00:00"/>
    <n v="416894"/>
    <n v="5.7"/>
    <n v="3.63"/>
    <n v="1.2"/>
    <m/>
    <m/>
    <n v="0"/>
    <m/>
    <n v="8.4"/>
    <m/>
    <m/>
    <n v="1513325.22"/>
    <n v="500272.8"/>
    <n v="0"/>
    <n v="0"/>
  </r>
  <r>
    <n v="18"/>
    <d v="2001-12-01T00:00:00"/>
    <x v="11"/>
    <x v="1"/>
    <n v="275"/>
    <n v="1"/>
    <d v="2001-03-01T00:00:00"/>
    <n v="416320"/>
    <m/>
    <n v="4.5649999999999995"/>
    <n v="0.95"/>
    <m/>
    <n v="1"/>
    <n v="0.25"/>
    <m/>
    <n v="7.7"/>
    <m/>
    <m/>
    <n v="1900500.7999999998"/>
    <n v="395504"/>
    <n v="104080"/>
    <n v="41632"/>
  </r>
  <r>
    <n v="18"/>
    <d v="2002-01-01T00:00:00"/>
    <x v="0"/>
    <x v="2"/>
    <n v="306"/>
    <n v="1"/>
    <d v="2001-03-01T00:00:00"/>
    <n v="415781"/>
    <n v="7"/>
    <n v="5.5"/>
    <n v="0.7"/>
    <m/>
    <m/>
    <n v="0.5"/>
    <m/>
    <n v="7.3"/>
    <m/>
    <m/>
    <n v="2286795.5"/>
    <n v="291046.69999999995"/>
    <n v="207890.5"/>
    <n v="83156.200000000012"/>
  </r>
  <r>
    <n v="18"/>
    <d v="2002-02-01T00:00:00"/>
    <x v="1"/>
    <x v="2"/>
    <n v="337"/>
    <n v="1"/>
    <d v="2001-03-01T00:00:00"/>
    <n v="415355"/>
    <m/>
    <n v="7.53"/>
    <n v="2.1"/>
    <m/>
    <n v="1"/>
    <n v="2.5"/>
    <m/>
    <n v="7.1"/>
    <m/>
    <m/>
    <n v="3127623.15"/>
    <n v="872245.5"/>
    <n v="1038387.5"/>
    <n v="415355"/>
  </r>
  <r>
    <n v="18"/>
    <d v="2002-03-01T00:00:00"/>
    <x v="2"/>
    <x v="2"/>
    <n v="365"/>
    <n v="2"/>
    <d v="2001-03-01T00:00:00"/>
    <n v="414466"/>
    <n v="19.899999999999999"/>
    <n v="9.56"/>
    <n v="3.5"/>
    <m/>
    <m/>
    <n v="4.5"/>
    <m/>
    <n v="7.4"/>
    <m/>
    <m/>
    <n v="3962294.9600000004"/>
    <n v="1450631"/>
    <n v="1865097"/>
    <n v="746038.8"/>
  </r>
  <r>
    <n v="18"/>
    <d v="2002-04-01T00:00:00"/>
    <x v="3"/>
    <x v="2"/>
    <n v="396"/>
    <n v="2"/>
    <d v="2001-03-01T00:00:00"/>
    <n v="414064"/>
    <n v="21.23"/>
    <n v="10.15"/>
    <n v="3.33"/>
    <n v="2"/>
    <m/>
    <n v="0"/>
    <n v="1"/>
    <n v="7.5"/>
    <m/>
    <m/>
    <n v="4202749.6000000006"/>
    <n v="1378833.12"/>
    <n v="0"/>
    <n v="0"/>
  </r>
  <r>
    <n v="18"/>
    <d v="2002-05-01T00:00:00"/>
    <x v="4"/>
    <x v="2"/>
    <n v="426"/>
    <n v="2"/>
    <d v="2001-03-01T00:00:00"/>
    <n v="412065"/>
    <n v="5"/>
    <n v="1.9"/>
    <n v="0.6"/>
    <n v="0"/>
    <m/>
    <n v="0"/>
    <m/>
    <n v="8.1999999999999993"/>
    <m/>
    <m/>
    <n v="782923.5"/>
    <n v="247239"/>
    <n v="0"/>
    <n v="0"/>
  </r>
  <r>
    <n v="18"/>
    <d v="2002-06-01T00:00:00"/>
    <x v="5"/>
    <x v="2"/>
    <n v="457"/>
    <n v="2"/>
    <d v="2001-03-01T00:00:00"/>
    <n v="400584"/>
    <n v="0"/>
    <n v="0.1"/>
    <n v="0.03"/>
    <m/>
    <m/>
    <n v="0"/>
    <m/>
    <m/>
    <m/>
    <m/>
    <n v="40058.400000000001"/>
    <n v="12017.52"/>
    <n v="0"/>
    <n v="0"/>
  </r>
  <r>
    <n v="18"/>
    <d v="2002-07-01T00:00:00"/>
    <x v="6"/>
    <x v="2"/>
    <n v="487"/>
    <n v="2"/>
    <d v="2001-03-01T00:00:00"/>
    <n v="400248"/>
    <m/>
    <m/>
    <m/>
    <m/>
    <m/>
    <m/>
    <m/>
    <n v="8.6999999999999993"/>
    <m/>
    <m/>
    <m/>
    <m/>
    <m/>
    <m/>
  </r>
  <r>
    <n v="18"/>
    <d v="2002-08-01T00:00:00"/>
    <x v="7"/>
    <x v="2"/>
    <n v="518"/>
    <n v="2"/>
    <d v="2001-03-01T00:00:00"/>
    <n v="389153"/>
    <m/>
    <m/>
    <m/>
    <m/>
    <m/>
    <m/>
    <m/>
    <n v="9.6999999999999993"/>
    <m/>
    <m/>
    <m/>
    <m/>
    <m/>
    <m/>
  </r>
  <r>
    <n v="18"/>
    <d v="2002-09-01T00:00:00"/>
    <x v="8"/>
    <x v="2"/>
    <n v="549"/>
    <n v="2"/>
    <d v="2001-03-01T00:00:00"/>
    <n v="388000"/>
    <m/>
    <m/>
    <m/>
    <m/>
    <m/>
    <m/>
    <m/>
    <m/>
    <m/>
    <m/>
    <m/>
    <m/>
    <m/>
    <m/>
  </r>
  <r>
    <n v="18"/>
    <d v="2002-10-01T00:00:00"/>
    <x v="9"/>
    <x v="2"/>
    <n v="579"/>
    <n v="2"/>
    <d v="2001-03-01T00:00:00"/>
    <n v="387195"/>
    <m/>
    <m/>
    <m/>
    <m/>
    <m/>
    <m/>
    <m/>
    <m/>
    <m/>
    <m/>
    <m/>
    <m/>
    <m/>
    <m/>
  </r>
  <r>
    <n v="18"/>
    <d v="2002-11-01T00:00:00"/>
    <x v="10"/>
    <x v="2"/>
    <n v="610"/>
    <n v="2"/>
    <d v="2001-03-01T00:00:00"/>
    <n v="327990"/>
    <m/>
    <m/>
    <m/>
    <m/>
    <m/>
    <m/>
    <m/>
    <n v="8"/>
    <m/>
    <s v="harvest started"/>
    <m/>
    <m/>
    <m/>
    <m/>
  </r>
  <r>
    <n v="18"/>
    <d v="2002-12-01T00:00:00"/>
    <x v="11"/>
    <x v="2"/>
    <n v="640"/>
    <n v="2"/>
    <d v="2001-03-01T00:00:00"/>
    <n v="327325"/>
    <m/>
    <m/>
    <m/>
    <m/>
    <m/>
    <m/>
    <m/>
    <n v="7.8"/>
    <m/>
    <m/>
    <m/>
    <m/>
    <m/>
    <m/>
  </r>
  <r>
    <n v="18"/>
    <d v="2003-01-01T00:00:00"/>
    <x v="0"/>
    <x v="3"/>
    <n v="457"/>
    <n v="2"/>
    <d v="2001-10-01T00:00:00"/>
    <n v="306628"/>
    <m/>
    <m/>
    <n v="4.5999999999999996"/>
    <m/>
    <s v="h"/>
    <n v="0.3"/>
    <m/>
    <m/>
    <m/>
    <s v="harvesting"/>
    <m/>
    <n v="1410488.7999999998"/>
    <n v="91988.4"/>
    <n v="36795.360000000001"/>
  </r>
  <r>
    <n v="18"/>
    <d v="2003-02-01T00:00:00"/>
    <x v="1"/>
    <x v="3"/>
    <n v="488"/>
    <n v="2"/>
    <d v="2001-10-01T00:00:00"/>
    <n v="256913"/>
    <n v="38.1"/>
    <n v="13.6"/>
    <n v="5.8"/>
    <m/>
    <m/>
    <n v="0.4"/>
    <m/>
    <n v="7.4"/>
    <n v="32"/>
    <s v="harvesting"/>
    <n v="3494016.8"/>
    <n v="1490095.4"/>
    <n v="102765.20000000001"/>
    <n v="41106.080000000009"/>
  </r>
  <r>
    <n v="18"/>
    <d v="2003-03-01T00:00:00"/>
    <x v="2"/>
    <x v="3"/>
    <n v="516"/>
    <n v="2"/>
    <d v="2001-10-01T00:00:00"/>
    <n v="230163"/>
    <n v="15.7"/>
    <n v="22.85"/>
    <n v="7.95"/>
    <n v="1"/>
    <m/>
    <n v="9.85"/>
    <m/>
    <n v="7.2"/>
    <n v="31"/>
    <s v="harvesting"/>
    <n v="5259224.5500000007"/>
    <n v="1829795.85"/>
    <n v="2267105.5499999998"/>
    <n v="906842.22"/>
  </r>
  <r>
    <n v="18"/>
    <d v="2003-04-01T00:00:00"/>
    <x v="3"/>
    <x v="3"/>
    <n v="547"/>
    <n v="2"/>
    <d v="2001-10-01T00:00:00"/>
    <n v="84468"/>
    <n v="1.95"/>
    <n v="18.149999999999999"/>
    <n v="7.65"/>
    <m/>
    <m/>
    <n v="13.5"/>
    <m/>
    <n v="7.5"/>
    <n v="30"/>
    <s v="harvesting"/>
    <n v="1533094.2"/>
    <n v="646180.20000000007"/>
    <n v="1140318"/>
    <n v="456127.2"/>
  </r>
  <r>
    <n v="18"/>
    <d v="2003-05-01T00:00:00"/>
    <x v="4"/>
    <x v="3"/>
    <m/>
    <m/>
    <m/>
    <m/>
    <m/>
    <m/>
    <m/>
    <m/>
    <m/>
    <m/>
    <m/>
    <m/>
    <m/>
    <m/>
    <m/>
    <m/>
    <m/>
    <m/>
  </r>
  <r>
    <n v="18"/>
    <d v="2003-06-01T00:00:00"/>
    <x v="5"/>
    <x v="3"/>
    <m/>
    <m/>
    <m/>
    <m/>
    <m/>
    <m/>
    <m/>
    <m/>
    <m/>
    <m/>
    <m/>
    <m/>
    <m/>
    <m/>
    <m/>
    <m/>
    <m/>
    <m/>
  </r>
  <r>
    <n v="18"/>
    <d v="2003-07-01T00:00:00"/>
    <x v="6"/>
    <x v="3"/>
    <m/>
    <m/>
    <m/>
    <m/>
    <m/>
    <m/>
    <m/>
    <m/>
    <m/>
    <m/>
    <m/>
    <m/>
    <m/>
    <m/>
    <m/>
    <m/>
    <m/>
    <m/>
  </r>
  <r>
    <n v="18"/>
    <d v="2003-08-01T00:00:00"/>
    <x v="7"/>
    <x v="3"/>
    <m/>
    <m/>
    <m/>
    <m/>
    <m/>
    <m/>
    <m/>
    <m/>
    <m/>
    <m/>
    <m/>
    <m/>
    <m/>
    <m/>
    <m/>
    <m/>
    <m/>
    <m/>
  </r>
  <r>
    <n v="18"/>
    <d v="2003-09-01T00:00:00"/>
    <x v="8"/>
    <x v="3"/>
    <m/>
    <m/>
    <m/>
    <m/>
    <m/>
    <m/>
    <m/>
    <m/>
    <m/>
    <m/>
    <m/>
    <m/>
    <m/>
    <m/>
    <m/>
    <m/>
    <m/>
    <m/>
  </r>
  <r>
    <n v="18"/>
    <d v="2003-10-01T00:00:00"/>
    <x v="9"/>
    <x v="3"/>
    <m/>
    <m/>
    <m/>
    <m/>
    <m/>
    <m/>
    <m/>
    <m/>
    <m/>
    <m/>
    <m/>
    <m/>
    <m/>
    <m/>
    <m/>
    <m/>
    <m/>
    <m/>
  </r>
  <r>
    <n v="18"/>
    <d v="2003-11-01T00:00:00"/>
    <x v="10"/>
    <x v="3"/>
    <m/>
    <m/>
    <m/>
    <m/>
    <m/>
    <m/>
    <m/>
    <m/>
    <m/>
    <m/>
    <m/>
    <m/>
    <m/>
    <m/>
    <m/>
    <m/>
    <m/>
    <m/>
  </r>
  <r>
    <n v="18"/>
    <d v="2003-12-01T00:00:00"/>
    <x v="11"/>
    <x v="3"/>
    <n v="303"/>
    <n v="1"/>
    <d v="2003-02-01T00:00:00"/>
    <n v="420226"/>
    <n v="1.33"/>
    <n v="3.33"/>
    <n v="0.87"/>
    <m/>
    <m/>
    <n v="1.43"/>
    <m/>
    <n v="7.5"/>
    <n v="31"/>
    <s v="transferred from farm #25"/>
    <n v="1399352.58"/>
    <n v="365596.62"/>
    <n v="600923.17999999993"/>
    <n v="240369.272"/>
  </r>
  <r>
    <n v="18"/>
    <d v="2004-01-01T00:00:00"/>
    <x v="0"/>
    <x v="4"/>
    <n v="334"/>
    <n v="1"/>
    <d v="2003-02-01T00:00:00"/>
    <n v="420226"/>
    <n v="0.73"/>
    <n v="4"/>
    <n v="1.27"/>
    <n v="2"/>
    <m/>
    <n v="10.63"/>
    <n v="1"/>
    <n v="6.8"/>
    <n v="33"/>
    <m/>
    <n v="1680904"/>
    <n v="533687.02"/>
    <n v="4467002.38"/>
    <n v="1786800.952"/>
  </r>
  <r>
    <n v="18"/>
    <d v="2004-02-01T00:00:00"/>
    <x v="1"/>
    <x v="4"/>
    <n v="365"/>
    <n v="2"/>
    <d v="2003-02-01T00:00:00"/>
    <n v="420000"/>
    <n v="0.4"/>
    <n v="2.5"/>
    <n v="0.8"/>
    <n v="0"/>
    <m/>
    <n v="3.1"/>
    <m/>
    <n v="7.4"/>
    <n v="31"/>
    <m/>
    <n v="1050000"/>
    <n v="336000"/>
    <n v="1302000"/>
    <n v="520800"/>
  </r>
  <r>
    <n v="18"/>
    <d v="2004-03-01T00:00:00"/>
    <x v="2"/>
    <x v="4"/>
    <n v="394"/>
    <n v="2"/>
    <d v="2003-02-01T00:00:00"/>
    <n v="419858"/>
    <n v="0"/>
    <n v="0.4"/>
    <n v="0.2"/>
    <n v="0"/>
    <m/>
    <n v="0"/>
    <m/>
    <n v="7.7"/>
    <n v="32"/>
    <m/>
    <n v="167943.2"/>
    <n v="83971.6"/>
    <n v="0"/>
    <n v="0"/>
  </r>
  <r>
    <n v="18"/>
    <d v="2004-04-01T00:00:00"/>
    <x v="3"/>
    <x v="4"/>
    <n v="425"/>
    <n v="2"/>
    <d v="2003-02-01T00:00:00"/>
    <n v="419660"/>
    <n v="0.1"/>
    <n v="0.1"/>
    <n v="0.02"/>
    <n v="2"/>
    <m/>
    <n v="0.13"/>
    <m/>
    <n v="8"/>
    <n v="32"/>
    <m/>
    <n v="41966"/>
    <n v="8393.2000000000007"/>
    <n v="54555.8"/>
    <n v="21822.320000000003"/>
  </r>
  <r>
    <n v="18"/>
    <d v="2004-05-01T00:00:00"/>
    <x v="4"/>
    <x v="4"/>
    <n v="455"/>
    <n v="2"/>
    <d v="2003-02-01T00:00:00"/>
    <n v="419407"/>
    <n v="0.53"/>
    <n v="0.63"/>
    <n v="0.13"/>
    <n v="0"/>
    <m/>
    <n v="1.93"/>
    <m/>
    <n v="8.8000000000000007"/>
    <n v="32"/>
    <m/>
    <n v="264226.40999999997"/>
    <n v="54522.91"/>
    <n v="809455.51"/>
    <n v="323782.20400000003"/>
  </r>
  <r>
    <n v="18"/>
    <d v="2004-06-01T00:00:00"/>
    <x v="5"/>
    <x v="4"/>
    <n v="486"/>
    <n v="2"/>
    <d v="2003-02-01T00:00:00"/>
    <n v="417859"/>
    <n v="1.4"/>
    <n v="3.35"/>
    <n v="1"/>
    <n v="0"/>
    <m/>
    <n v="2.4500000000000002"/>
    <m/>
    <n v="9.75"/>
    <n v="32"/>
    <m/>
    <n v="1399827.6500000001"/>
    <n v="417859"/>
    <n v="1023754.55"/>
    <n v="409501.82000000007"/>
  </r>
  <r>
    <n v="18"/>
    <d v="2004-07-01T00:00:00"/>
    <x v="6"/>
    <x v="4"/>
    <n v="516"/>
    <n v="2"/>
    <d v="2003-02-01T00:00:00"/>
    <n v="417006"/>
    <n v="0.5"/>
    <n v="5"/>
    <n v="2.1"/>
    <n v="0"/>
    <m/>
    <n v="0.2"/>
    <m/>
    <n v="9.5"/>
    <n v="32"/>
    <m/>
    <n v="2085030"/>
    <n v="875712.60000000009"/>
    <n v="83401.200000000012"/>
    <n v="33360.480000000003"/>
  </r>
  <r>
    <n v="18"/>
    <d v="2004-08-01T00:00:00"/>
    <x v="7"/>
    <x v="4"/>
    <n v="547"/>
    <n v="2"/>
    <d v="2003-02-01T00:00:00"/>
    <n v="415340"/>
    <n v="0.03"/>
    <n v="5.8"/>
    <n v="3.83"/>
    <n v="0"/>
    <m/>
    <n v="0.03"/>
    <m/>
    <n v="9.6999999999999993"/>
    <n v="30.5"/>
    <m/>
    <n v="2408972"/>
    <n v="1590752.2"/>
    <n v="12460.199999999999"/>
    <n v="4984.08"/>
  </r>
  <r>
    <n v="18"/>
    <d v="2004-09-01T00:00:00"/>
    <x v="8"/>
    <x v="4"/>
    <n v="578"/>
    <n v="2"/>
    <d v="2003-02-01T00:00:00"/>
    <n v="414000"/>
    <n v="0.1"/>
    <n v="6.7"/>
    <n v="4.3"/>
    <m/>
    <m/>
    <n v="0.3"/>
    <m/>
    <n v="9.6999999999999993"/>
    <n v="31.8"/>
    <m/>
    <n v="2773800"/>
    <n v="1780200"/>
    <n v="124200"/>
    <n v="49680"/>
  </r>
  <r>
    <n v="18"/>
    <d v="2004-10-01T00:00:00"/>
    <x v="9"/>
    <x v="4"/>
    <n v="608"/>
    <n v="2"/>
    <d v="2003-02-01T00:00:00"/>
    <n v="413000"/>
    <m/>
    <n v="12.885"/>
    <n v="6.1999999999999993"/>
    <m/>
    <n v="1"/>
    <n v="0.91500000000000004"/>
    <m/>
    <n v="9"/>
    <n v="31.9"/>
    <m/>
    <n v="5321505"/>
    <n v="2560599.9999999995"/>
    <n v="377895"/>
    <n v="151158"/>
  </r>
  <r>
    <n v="18"/>
    <d v="2004-11-01T00:00:00"/>
    <x v="10"/>
    <x v="4"/>
    <n v="639"/>
    <n v="2"/>
    <d v="2003-02-01T00:00:00"/>
    <n v="412000"/>
    <n v="10.7"/>
    <n v="19.07"/>
    <n v="8.1"/>
    <m/>
    <m/>
    <n v="1.53"/>
    <m/>
    <n v="8.3000000000000007"/>
    <n v="32"/>
    <m/>
    <n v="7856840"/>
    <n v="3337200"/>
    <n v="630360"/>
    <n v="252144"/>
  </r>
  <r>
    <n v="18"/>
    <d v="2004-12-01T00:00:00"/>
    <x v="11"/>
    <x v="4"/>
    <n v="669"/>
    <n v="2"/>
    <d v="2003-02-01T00:00:00"/>
    <n v="411000"/>
    <n v="3.21"/>
    <n v="17.73"/>
    <n v="8.8800000000000008"/>
    <n v="0"/>
    <m/>
    <n v="6.13"/>
    <m/>
    <n v="8"/>
    <n v="32"/>
    <m/>
    <n v="7287030"/>
    <n v="3649680.0000000005"/>
    <n v="2519430"/>
    <n v="1007772"/>
  </r>
  <r>
    <n v="18"/>
    <d v="2005-01-01T00:00:00"/>
    <x v="0"/>
    <x v="5"/>
    <n v="700"/>
    <n v="2"/>
    <d v="2003-02-01T00:00:00"/>
    <n v="409675"/>
    <n v="4.3099999999999996"/>
    <n v="21.28"/>
    <n v="9.4499999999999993"/>
    <n v="2"/>
    <m/>
    <n v="5.83"/>
    <n v="1"/>
    <n v="7"/>
    <n v="32"/>
    <m/>
    <n v="8717884"/>
    <n v="3871428.7499999995"/>
    <n v="2388405.25"/>
    <n v="955362.10000000009"/>
  </r>
  <r>
    <n v="18"/>
    <d v="2005-02-01T00:00:00"/>
    <x v="1"/>
    <x v="5"/>
    <n v="731"/>
    <n v="2"/>
    <d v="2003-02-01T00:00:00"/>
    <n v="291000"/>
    <n v="0.08"/>
    <n v="1.91"/>
    <n v="1.1599999999999999"/>
    <m/>
    <m/>
    <n v="0"/>
    <m/>
    <n v="7"/>
    <n v="32"/>
    <s v="harvesting"/>
    <n v="555810"/>
    <n v="337560"/>
    <n v="0"/>
    <n v="0"/>
  </r>
  <r>
    <n v="18"/>
    <d v="2005-03-01T00:00:00"/>
    <x v="2"/>
    <x v="5"/>
    <n v="759"/>
    <n v="2"/>
    <d v="2003-02-01T00:00:00"/>
    <n v="150000"/>
    <m/>
    <m/>
    <n v="0.5"/>
    <m/>
    <s v="h"/>
    <n v="0"/>
    <m/>
    <m/>
    <m/>
    <s v="harvesting"/>
    <m/>
    <n v="75000"/>
    <n v="0"/>
    <n v="0"/>
  </r>
  <r>
    <n v="18"/>
    <d v="2005-04-01T00:00:00"/>
    <x v="3"/>
    <x v="5"/>
    <n v="790"/>
    <n v="2"/>
    <d v="2003-02-01T00:00:00"/>
    <n v="68102"/>
    <m/>
    <m/>
    <n v="0.3"/>
    <m/>
    <s v="h"/>
    <n v="0.05"/>
    <m/>
    <m/>
    <m/>
    <s v="harvesting"/>
    <m/>
    <n v="20430.599999999999"/>
    <n v="3405.1000000000004"/>
    <n v="1362.0400000000002"/>
  </r>
  <r>
    <n v="18"/>
    <d v="2005-05-01T00:00:00"/>
    <x v="4"/>
    <x v="5"/>
    <n v="820"/>
    <n v="2"/>
    <d v="2003-02-01T00:00:00"/>
    <n v="42346"/>
    <m/>
    <m/>
    <n v="0.2"/>
    <m/>
    <s v="h"/>
    <n v="0.1"/>
    <m/>
    <m/>
    <m/>
    <s v="harvesting"/>
    <m/>
    <n v="8469.2000000000007"/>
    <n v="4234.6000000000004"/>
    <n v="1693.8400000000001"/>
  </r>
  <r>
    <n v="18"/>
    <d v="2005-06-01T00:00:00"/>
    <x v="5"/>
    <x v="5"/>
    <m/>
    <m/>
    <m/>
    <m/>
    <m/>
    <m/>
    <m/>
    <m/>
    <m/>
    <m/>
    <m/>
    <m/>
    <m/>
    <m/>
    <m/>
    <m/>
    <m/>
    <m/>
  </r>
  <r>
    <n v="18"/>
    <d v="2005-07-01T00:00:00"/>
    <x v="6"/>
    <x v="5"/>
    <m/>
    <m/>
    <m/>
    <m/>
    <m/>
    <m/>
    <m/>
    <m/>
    <m/>
    <m/>
    <m/>
    <m/>
    <m/>
    <m/>
    <m/>
    <m/>
    <m/>
    <m/>
  </r>
  <r>
    <n v="18"/>
    <d v="2005-08-01T00:00:00"/>
    <x v="7"/>
    <x v="5"/>
    <m/>
    <m/>
    <m/>
    <m/>
    <m/>
    <m/>
    <m/>
    <m/>
    <m/>
    <m/>
    <m/>
    <m/>
    <m/>
    <m/>
    <m/>
    <m/>
    <m/>
    <m/>
  </r>
  <r>
    <n v="18"/>
    <d v="2005-09-01T00:00:00"/>
    <x v="8"/>
    <x v="5"/>
    <m/>
    <m/>
    <m/>
    <m/>
    <m/>
    <m/>
    <m/>
    <m/>
    <m/>
    <m/>
    <m/>
    <m/>
    <m/>
    <m/>
    <m/>
    <m/>
    <m/>
    <m/>
  </r>
  <r>
    <n v="18"/>
    <d v="2005-10-01T00:00:00"/>
    <x v="9"/>
    <x v="5"/>
    <m/>
    <m/>
    <m/>
    <m/>
    <m/>
    <m/>
    <m/>
    <m/>
    <m/>
    <m/>
    <m/>
    <m/>
    <m/>
    <m/>
    <m/>
    <m/>
    <m/>
    <m/>
  </r>
  <r>
    <n v="18"/>
    <d v="2005-11-01T00:00:00"/>
    <x v="10"/>
    <x v="5"/>
    <m/>
    <m/>
    <m/>
    <m/>
    <m/>
    <m/>
    <m/>
    <m/>
    <m/>
    <m/>
    <m/>
    <m/>
    <m/>
    <m/>
    <m/>
    <m/>
    <m/>
    <m/>
  </r>
  <r>
    <n v="18"/>
    <d v="2005-12-01T00:00:00"/>
    <x v="11"/>
    <x v="5"/>
    <m/>
    <m/>
    <m/>
    <m/>
    <m/>
    <m/>
    <m/>
    <m/>
    <m/>
    <m/>
    <m/>
    <m/>
    <m/>
    <m/>
    <m/>
    <m/>
    <m/>
    <m/>
  </r>
  <r>
    <n v="18"/>
    <d v="2006-01-01T00:00:00"/>
    <x v="0"/>
    <x v="6"/>
    <m/>
    <m/>
    <m/>
    <m/>
    <m/>
    <m/>
    <m/>
    <m/>
    <m/>
    <m/>
    <m/>
    <m/>
    <m/>
    <m/>
    <m/>
    <m/>
    <m/>
    <m/>
  </r>
  <r>
    <n v="18"/>
    <d v="2006-02-01T00:00:00"/>
    <x v="1"/>
    <x v="6"/>
    <m/>
    <m/>
    <m/>
    <m/>
    <m/>
    <m/>
    <m/>
    <m/>
    <m/>
    <m/>
    <m/>
    <m/>
    <m/>
    <m/>
    <m/>
    <m/>
    <m/>
    <m/>
  </r>
  <r>
    <n v="18"/>
    <d v="2006-03-01T00:00:00"/>
    <x v="2"/>
    <x v="6"/>
    <n v="455"/>
    <n v="2"/>
    <d v="2004-12-01T00:00:00"/>
    <n v="623110"/>
    <n v="0"/>
    <n v="0.15"/>
    <n v="0.02"/>
    <m/>
    <m/>
    <n v="0"/>
    <m/>
    <n v="7"/>
    <n v="32"/>
    <s v="fish moved  from farm #9"/>
    <n v="93466.5"/>
    <n v="12462.2"/>
    <n v="0"/>
    <n v="0"/>
  </r>
  <r>
    <n v="18"/>
    <d v="2006-04-01T00:00:00"/>
    <x v="3"/>
    <x v="6"/>
    <n v="486"/>
    <n v="2"/>
    <d v="2004-12-01T00:00:00"/>
    <n v="621791"/>
    <n v="3.67"/>
    <n v="0.02"/>
    <n v="0"/>
    <n v="0"/>
    <m/>
    <n v="0"/>
    <m/>
    <n v="8"/>
    <n v="32"/>
    <m/>
    <n v="12435.82"/>
    <n v="0"/>
    <n v="0"/>
    <n v="0"/>
  </r>
  <r>
    <n v="18"/>
    <d v="2006-05-01T00:00:00"/>
    <x v="4"/>
    <x v="6"/>
    <n v="516"/>
    <n v="2"/>
    <d v="2004-12-01T00:00:00"/>
    <n v="621224"/>
    <n v="2.34"/>
    <n v="0.38"/>
    <n v="0.11"/>
    <n v="0"/>
    <m/>
    <n v="1.67"/>
    <m/>
    <n v="8"/>
    <n v="31"/>
    <m/>
    <n v="236065.12"/>
    <n v="68334.64"/>
    <n v="1037444.08"/>
    <n v="414977.63199999998"/>
  </r>
  <r>
    <n v="18"/>
    <d v="2006-06-01T00:00:00"/>
    <x v="5"/>
    <x v="6"/>
    <n v="547"/>
    <n v="2"/>
    <d v="2004-12-01T00:00:00"/>
    <n v="619592"/>
    <n v="2.92"/>
    <n v="0.17"/>
    <n v="0.17"/>
    <n v="0"/>
    <m/>
    <n v="0"/>
    <m/>
    <n v="10"/>
    <n v="32"/>
    <m/>
    <n v="105330.64000000001"/>
    <n v="105330.64000000001"/>
    <n v="0"/>
    <n v="0"/>
  </r>
  <r>
    <n v="18"/>
    <d v="2006-07-01T00:00:00"/>
    <x v="6"/>
    <x v="6"/>
    <n v="577"/>
    <n v="2"/>
    <d v="2004-12-01T00:00:00"/>
    <n v="616000"/>
    <n v="0.48"/>
    <n v="2.2799999999999998"/>
    <n v="0.97"/>
    <n v="0"/>
    <m/>
    <n v="1.45"/>
    <m/>
    <n v="10"/>
    <m/>
    <m/>
    <n v="1404479.9999999998"/>
    <n v="597520"/>
    <n v="893200"/>
    <n v="357280"/>
  </r>
  <r>
    <n v="18"/>
    <d v="2006-08-01T00:00:00"/>
    <x v="7"/>
    <x v="6"/>
    <n v="608"/>
    <n v="2"/>
    <d v="2004-12-01T00:00:00"/>
    <n v="486181"/>
    <n v="6.6666666000000001"/>
    <n v="4.4833333"/>
    <n v="2.2166665999999999"/>
    <n v="0"/>
    <m/>
    <n v="1.0333333"/>
    <m/>
    <n v="10"/>
    <n v="32"/>
    <m/>
    <n v="2179711.4671272999"/>
    <n v="1077701.1842546"/>
    <n v="502387.01712730003"/>
    <n v="200954.80685092002"/>
  </r>
  <r>
    <n v="18"/>
    <d v="2006-09-01T00:00:00"/>
    <x v="8"/>
    <x v="6"/>
    <n v="639"/>
    <n v="2"/>
    <d v="2004-12-01T00:00:00"/>
    <n v="419199"/>
    <n v="18.13"/>
    <n v="4.83"/>
    <n v="2.42"/>
    <n v="0"/>
    <m/>
    <n v="0.18"/>
    <m/>
    <n v="9"/>
    <n v="31"/>
    <m/>
    <n v="2024731.17"/>
    <n v="1014461.58"/>
    <n v="75455.819999999992"/>
    <n v="30182.327999999998"/>
  </r>
  <r>
    <n v="18"/>
    <d v="2006-10-01T00:00:00"/>
    <x v="9"/>
    <x v="6"/>
    <n v="669"/>
    <n v="2"/>
    <d v="2004-12-01T00:00:00"/>
    <n v="310698"/>
    <n v="30.97"/>
    <n v="7.26"/>
    <n v="4.1399999999999997"/>
    <n v="0"/>
    <m/>
    <n v="0.81"/>
    <m/>
    <n v="9"/>
    <n v="31"/>
    <m/>
    <n v="2255667.48"/>
    <n v="1286289.72"/>
    <n v="251665.38"/>
    <n v="100666.152"/>
  </r>
  <r>
    <n v="18"/>
    <d v="2006-11-01T00:00:00"/>
    <x v="10"/>
    <x v="6"/>
    <n v="700"/>
    <n v="2"/>
    <d v="2004-12-01T00:00:00"/>
    <n v="185928"/>
    <n v="12.866666"/>
    <n v="10.85"/>
    <n v="6.7333333"/>
    <n v="0"/>
    <m/>
    <n v="0.43333329999999998"/>
    <m/>
    <n v="8"/>
    <m/>
    <m/>
    <n v="2017318.8"/>
    <n v="1251915.1938024"/>
    <n v="80568.793802399989"/>
    <n v="32227.517520959998"/>
  </r>
  <r>
    <n v="18"/>
    <d v="2006-12-01T00:00:00"/>
    <x v="11"/>
    <x v="6"/>
    <n v="730"/>
    <n v="3"/>
    <d v="2004-12-01T00:00:00"/>
    <n v="132890"/>
    <n v="28.83"/>
    <n v="18.72"/>
    <n v="11.28"/>
    <m/>
    <m/>
    <n v="0"/>
    <m/>
    <n v="7"/>
    <n v="32"/>
    <m/>
    <n v="2487700.7999999998"/>
    <n v="1498999.2"/>
    <n v="0"/>
    <n v="0"/>
  </r>
  <r>
    <n v="18"/>
    <d v="2007-01-01T00:00:00"/>
    <x v="0"/>
    <x v="7"/>
    <n v="761"/>
    <n v="3"/>
    <d v="2004-12-01T00:00:00"/>
    <n v="62350"/>
    <m/>
    <m/>
    <n v="14"/>
    <m/>
    <s v="h"/>
    <n v="0.2"/>
    <m/>
    <m/>
    <m/>
    <m/>
    <m/>
    <n v="872900"/>
    <n v="12470"/>
    <n v="4988"/>
  </r>
  <r>
    <n v="18"/>
    <d v="2007-02-01T00:00:00"/>
    <x v="1"/>
    <x v="7"/>
    <n v="792"/>
    <n v="3"/>
    <d v="2004-12-01T00:00:00"/>
    <n v="53220"/>
    <m/>
    <m/>
    <n v="18"/>
    <m/>
    <s v="h"/>
    <n v="0.2"/>
    <m/>
    <m/>
    <m/>
    <m/>
    <m/>
    <n v="957960"/>
    <n v="10644"/>
    <n v="4257.6000000000004"/>
  </r>
  <r>
    <n v="18"/>
    <d v="2007-03-01T00:00:00"/>
    <x v="2"/>
    <x v="7"/>
    <n v="820"/>
    <n v="3"/>
    <d v="2004-12-01T00:00:00"/>
    <n v="18926"/>
    <m/>
    <m/>
    <n v="22"/>
    <m/>
    <s v="h"/>
    <n v="0.2"/>
    <m/>
    <m/>
    <m/>
    <m/>
    <m/>
    <n v="416372"/>
    <n v="3785.2000000000003"/>
    <n v="1514.0800000000002"/>
  </r>
  <r>
    <n v="18"/>
    <d v="2007-04-01T00:00:00"/>
    <x v="3"/>
    <x v="7"/>
    <m/>
    <m/>
    <m/>
    <m/>
    <m/>
    <m/>
    <m/>
    <m/>
    <m/>
    <m/>
    <m/>
    <m/>
    <m/>
    <s v="Harvested out on April 4.  "/>
    <m/>
    <m/>
    <m/>
    <m/>
  </r>
  <r>
    <n v="18"/>
    <d v="2007-05-01T00:00:00"/>
    <x v="4"/>
    <x v="7"/>
    <m/>
    <m/>
    <m/>
    <m/>
    <m/>
    <m/>
    <m/>
    <m/>
    <m/>
    <m/>
    <m/>
    <m/>
    <m/>
    <m/>
    <m/>
    <m/>
    <m/>
    <m/>
  </r>
  <r>
    <n v="18"/>
    <d v="2007-06-01T00:00:00"/>
    <x v="5"/>
    <x v="7"/>
    <m/>
    <m/>
    <m/>
    <m/>
    <m/>
    <m/>
    <m/>
    <m/>
    <m/>
    <m/>
    <m/>
    <m/>
    <m/>
    <m/>
    <m/>
    <m/>
    <m/>
    <m/>
  </r>
  <r>
    <n v="18"/>
    <d v="2007-07-01T00:00:00"/>
    <x v="6"/>
    <x v="7"/>
    <m/>
    <m/>
    <m/>
    <m/>
    <m/>
    <m/>
    <m/>
    <m/>
    <m/>
    <m/>
    <m/>
    <m/>
    <m/>
    <m/>
    <m/>
    <m/>
    <m/>
    <m/>
  </r>
  <r>
    <n v="18"/>
    <d v="2007-08-01T00:00:00"/>
    <x v="7"/>
    <x v="7"/>
    <m/>
    <m/>
    <m/>
    <m/>
    <m/>
    <m/>
    <m/>
    <m/>
    <m/>
    <m/>
    <m/>
    <m/>
    <m/>
    <s v="Fish transferred in from farm #17"/>
    <m/>
    <m/>
    <m/>
    <m/>
  </r>
  <r>
    <n v="18"/>
    <d v="2007-09-01T00:00:00"/>
    <x v="8"/>
    <x v="7"/>
    <n v="304"/>
    <n v="1"/>
    <d v="2006-11-01T00:00:00"/>
    <n v="555524"/>
    <n v="0.1"/>
    <n v="0.1"/>
    <n v="0"/>
    <m/>
    <m/>
    <n v="0"/>
    <m/>
    <n v="9"/>
    <n v="32"/>
    <m/>
    <n v="55552.4"/>
    <n v="0"/>
    <n v="0"/>
    <n v="0"/>
  </r>
  <r>
    <n v="18"/>
    <d v="2007-10-01T00:00:00"/>
    <x v="9"/>
    <x v="7"/>
    <n v="334"/>
    <n v="1"/>
    <d v="2006-11-01T00:00:00"/>
    <n v="555091"/>
    <n v="0.92"/>
    <n v="0.28000000000000003"/>
    <n v="0.2"/>
    <n v="0"/>
    <m/>
    <n v="0"/>
    <m/>
    <n v="9"/>
    <m/>
    <m/>
    <n v="155425.48000000001"/>
    <n v="111018.20000000001"/>
    <n v="0"/>
    <n v="0"/>
  </r>
  <r>
    <n v="18"/>
    <d v="2007-11-01T00:00:00"/>
    <x v="10"/>
    <x v="7"/>
    <n v="365"/>
    <n v="2"/>
    <d v="2006-11-01T00:00:00"/>
    <n v="554390"/>
    <n v="1.32"/>
    <n v="1.7"/>
    <n v="0.56999999999999995"/>
    <n v="0"/>
    <m/>
    <n v="1.1200000000000001"/>
    <m/>
    <n v="8"/>
    <m/>
    <m/>
    <n v="942463"/>
    <n v="316002.3"/>
    <n v="620916.80000000005"/>
    <n v="248366.72000000003"/>
  </r>
  <r>
    <n v="18"/>
    <d v="2007-12-01T00:00:00"/>
    <x v="11"/>
    <x v="7"/>
    <n v="395"/>
    <n v="2"/>
    <d v="2006-11-01T00:00:00"/>
    <n v="554008"/>
    <n v="2.27"/>
    <n v="2.83"/>
    <n v="1.22"/>
    <n v="2"/>
    <m/>
    <n v="1.02"/>
    <m/>
    <n v="8"/>
    <m/>
    <m/>
    <n v="1567842.6400000001"/>
    <n v="675889.76"/>
    <n v="565088.16"/>
    <n v="226035.26400000002"/>
  </r>
  <r>
    <n v="18"/>
    <d v="2008-01-01T00:00:00"/>
    <x v="0"/>
    <x v="8"/>
    <n v="426"/>
    <n v="2"/>
    <d v="2006-11-01T00:00:00"/>
    <n v="553541"/>
    <n v="0.48"/>
    <n v="2.48"/>
    <n v="0.95"/>
    <n v="0"/>
    <m/>
    <n v="1.62"/>
    <n v="1"/>
    <m/>
    <m/>
    <m/>
    <n v="1372781.68"/>
    <n v="525863.94999999995"/>
    <n v="896736.42"/>
    <n v="358694.56800000003"/>
  </r>
  <r>
    <n v="18"/>
    <d v="2008-02-01T00:00:00"/>
    <x v="1"/>
    <x v="8"/>
    <n v="457"/>
    <n v="2"/>
    <d v="2006-11-01T00:00:00"/>
    <n v="553456"/>
    <n v="0.15"/>
    <n v="0.65"/>
    <n v="0.3"/>
    <n v="0"/>
    <m/>
    <n v="0"/>
    <m/>
    <m/>
    <m/>
    <m/>
    <n v="359746.4"/>
    <n v="166036.79999999999"/>
    <n v="0"/>
    <n v="0"/>
  </r>
  <r>
    <n v="18"/>
    <d v="2008-03-01T00:00:00"/>
    <x v="2"/>
    <x v="8"/>
    <n v="486"/>
    <n v="2"/>
    <d v="2006-11-01T00:00:00"/>
    <n v="553271"/>
    <n v="0"/>
    <n v="0.15"/>
    <n v="0.05"/>
    <n v="0"/>
    <m/>
    <n v="0"/>
    <m/>
    <m/>
    <m/>
    <m/>
    <n v="82990.649999999994"/>
    <n v="27663.550000000003"/>
    <n v="0"/>
    <n v="0"/>
  </r>
  <r>
    <n v="18"/>
    <d v="2008-04-01T00:00:00"/>
    <x v="3"/>
    <x v="8"/>
    <n v="517"/>
    <n v="2"/>
    <d v="2006-11-01T00:00:00"/>
    <n v="552733"/>
    <n v="0.23"/>
    <n v="0.17"/>
    <n v="0.02"/>
    <n v="0"/>
    <m/>
    <n v="0"/>
    <m/>
    <m/>
    <m/>
    <m/>
    <n v="93964.61"/>
    <n v="11054.66"/>
    <n v="0"/>
    <n v="0"/>
  </r>
  <r>
    <n v="18"/>
    <d v="2008-05-01T00:00:00"/>
    <x v="4"/>
    <x v="8"/>
    <n v="547"/>
    <n v="2"/>
    <d v="2006-11-01T00:00:00"/>
    <n v="552603"/>
    <n v="0.33"/>
    <n v="0.05"/>
    <n v="0.02"/>
    <n v="0"/>
    <m/>
    <n v="0"/>
    <m/>
    <m/>
    <m/>
    <m/>
    <n v="27630.15"/>
    <n v="11052.06"/>
    <n v="0"/>
    <n v="0"/>
  </r>
  <r>
    <n v="18"/>
    <d v="2008-06-01T00:00:00"/>
    <x v="5"/>
    <x v="8"/>
    <n v="578"/>
    <n v="2"/>
    <d v="2006-11-01T00:00:00"/>
    <n v="543560"/>
    <n v="0.32"/>
    <n v="0.13"/>
    <n v="0"/>
    <n v="0"/>
    <m/>
    <n v="0.17"/>
    <m/>
    <m/>
    <m/>
    <m/>
    <n v="70662.8"/>
    <n v="0"/>
    <n v="92405.200000000012"/>
    <n v="36962.080000000009"/>
  </r>
  <r>
    <n v="18"/>
    <d v="2008-07-01T00:00:00"/>
    <x v="6"/>
    <x v="8"/>
    <n v="608"/>
    <n v="2"/>
    <d v="2006-11-01T00:00:00"/>
    <n v="543000"/>
    <n v="0.1"/>
    <n v="0.13"/>
    <n v="0.05"/>
    <n v="0"/>
    <m/>
    <n v="7.0000000000000007E-2"/>
    <m/>
    <m/>
    <m/>
    <m/>
    <n v="70590"/>
    <n v="27150"/>
    <n v="38010"/>
    <n v="15204"/>
  </r>
  <r>
    <n v="18"/>
    <d v="2008-08-01T00:00:00"/>
    <x v="7"/>
    <x v="8"/>
    <n v="639"/>
    <n v="2"/>
    <d v="2006-11-01T00:00:00"/>
    <n v="542000"/>
    <n v="1.28"/>
    <n v="0.55000000000000004"/>
    <n v="0.12"/>
    <n v="0"/>
    <m/>
    <n v="0.02"/>
    <m/>
    <m/>
    <m/>
    <m/>
    <n v="298100"/>
    <n v="65040"/>
    <n v="10840"/>
    <n v="4336"/>
  </r>
  <r>
    <n v="18"/>
    <d v="2008-09-01T00:00:00"/>
    <x v="8"/>
    <x v="8"/>
    <n v="670"/>
    <n v="2"/>
    <d v="2006-11-01T00:00:00"/>
    <n v="541000"/>
    <n v="1.23"/>
    <n v="0.71"/>
    <n v="0.14000000000000001"/>
    <n v="0"/>
    <m/>
    <n v="0.08"/>
    <m/>
    <m/>
    <m/>
    <m/>
    <n v="384110"/>
    <n v="75740"/>
    <n v="43280"/>
    <n v="17312"/>
  </r>
  <r>
    <n v="18"/>
    <d v="2008-10-01T00:00:00"/>
    <x v="9"/>
    <x v="8"/>
    <n v="700"/>
    <n v="2"/>
    <d v="2006-11-01T00:00:00"/>
    <n v="538000"/>
    <n v="3.13"/>
    <n v="1.7"/>
    <n v="0.72"/>
    <n v="0"/>
    <m/>
    <n v="0.28000000000000003"/>
    <m/>
    <m/>
    <m/>
    <m/>
    <n v="914600"/>
    <n v="387360"/>
    <n v="150640"/>
    <n v="60256"/>
  </r>
  <r>
    <n v="18"/>
    <d v="2008-11-01T00:00:00"/>
    <x v="10"/>
    <x v="8"/>
    <n v="731"/>
    <n v="3"/>
    <d v="2006-11-01T00:00:00"/>
    <n v="538000"/>
    <n v="8.3000000000000007"/>
    <n v="4.28"/>
    <n v="1.81"/>
    <n v="0"/>
    <m/>
    <n v="0.78"/>
    <m/>
    <m/>
    <m/>
    <m/>
    <n v="2302640"/>
    <n v="973780"/>
    <n v="419640"/>
    <n v="167856"/>
  </r>
  <r>
    <n v="18"/>
    <d v="2008-12-01T00:00:00"/>
    <x v="11"/>
    <x v="8"/>
    <n v="761"/>
    <n v="3"/>
    <d v="2006-11-01T00:00:00"/>
    <n v="500000"/>
    <n v="2.85"/>
    <n v="5.0916666666666668"/>
    <n v="2.2416666666666667"/>
    <n v="2"/>
    <m/>
    <n v="0.84166666666666656"/>
    <n v="1"/>
    <m/>
    <m/>
    <m/>
    <n v="2545833.3333333335"/>
    <n v="1120833.3333333333"/>
    <n v="420833.33333333326"/>
    <n v="168333.33333333331"/>
  </r>
  <r>
    <n v="18"/>
    <d v="2009-01-01T00:00:00"/>
    <x v="0"/>
    <x v="9"/>
    <n v="762"/>
    <n v="3"/>
    <d v="2006-12-01T00:00:00"/>
    <n v="340161"/>
    <n v="1"/>
    <n v="2.1666666666666665"/>
    <n v="1.2333333333333334"/>
    <n v="0"/>
    <m/>
    <n v="0.23333333333333331"/>
    <m/>
    <m/>
    <m/>
    <m/>
    <n v="737015.5"/>
    <n v="419531.9"/>
    <n v="79370.899999999994"/>
    <n v="31748.36"/>
  </r>
  <r>
    <n v="18"/>
    <d v="2009-02-01T00:00:00"/>
    <x v="1"/>
    <x v="9"/>
    <n v="793"/>
    <n v="3"/>
    <d v="2006-12-01T00:00:00"/>
    <n v="247882"/>
    <n v="1.0249999999999999"/>
    <n v="1.7333333333333334"/>
    <n v="1.1083333333333334"/>
    <m/>
    <m/>
    <n v="9.166666666666666E-2"/>
    <m/>
    <m/>
    <m/>
    <m/>
    <n v="429662.13333333336"/>
    <n v="274735.88333333336"/>
    <n v="22722.516666666666"/>
    <n v="9089.0066666666662"/>
  </r>
  <r>
    <n v="18"/>
    <d v="2009-03-01T00:00:00"/>
    <x v="2"/>
    <x v="9"/>
    <m/>
    <m/>
    <m/>
    <n v="2124"/>
    <m/>
    <m/>
    <n v="1.4"/>
    <m/>
    <s v="h"/>
    <n v="0.1"/>
    <m/>
    <m/>
    <m/>
    <s v="harvest; inventory March1 = 247,549, empty by March 21"/>
    <m/>
    <n v="2973.6"/>
    <n v="212.4"/>
    <n v="84.960000000000008"/>
  </r>
  <r>
    <n v="18"/>
    <d v="2009-04-01T00:00:00"/>
    <x v="3"/>
    <x v="9"/>
    <m/>
    <m/>
    <m/>
    <m/>
    <m/>
    <m/>
    <m/>
    <m/>
    <m/>
    <m/>
    <m/>
    <m/>
    <m/>
    <m/>
    <m/>
    <m/>
    <m/>
    <m/>
  </r>
  <r>
    <n v="18"/>
    <d v="2009-05-01T00:00:00"/>
    <x v="4"/>
    <x v="9"/>
    <m/>
    <m/>
    <m/>
    <m/>
    <m/>
    <m/>
    <m/>
    <m/>
    <m/>
    <m/>
    <m/>
    <m/>
    <m/>
    <m/>
    <m/>
    <m/>
    <m/>
    <m/>
  </r>
  <r>
    <n v="18"/>
    <d v="2009-06-01T00:00:00"/>
    <x v="5"/>
    <x v="9"/>
    <m/>
    <m/>
    <m/>
    <m/>
    <m/>
    <m/>
    <m/>
    <m/>
    <m/>
    <m/>
    <m/>
    <m/>
    <m/>
    <m/>
    <m/>
    <m/>
    <m/>
    <m/>
  </r>
  <r>
    <n v="18"/>
    <d v="2009-07-01T00:00:00"/>
    <x v="6"/>
    <x v="9"/>
    <m/>
    <m/>
    <d v="2008-10-08T00:00:00"/>
    <m/>
    <m/>
    <m/>
    <m/>
    <m/>
    <m/>
    <m/>
    <m/>
    <m/>
    <m/>
    <m/>
    <m/>
    <m/>
    <m/>
    <m/>
  </r>
  <r>
    <n v="18"/>
    <d v="2009-08-01T00:00:00"/>
    <x v="7"/>
    <x v="9"/>
    <m/>
    <m/>
    <d v="2008-10-08T00:00:00"/>
    <m/>
    <m/>
    <m/>
    <m/>
    <m/>
    <m/>
    <m/>
    <m/>
    <m/>
    <m/>
    <m/>
    <m/>
    <m/>
    <m/>
    <m/>
  </r>
  <r>
    <n v="18"/>
    <d v="2009-09-01T00:00:00"/>
    <x v="8"/>
    <x v="9"/>
    <m/>
    <m/>
    <d v="2008-10-08T00:00:00"/>
    <m/>
    <m/>
    <m/>
    <m/>
    <m/>
    <m/>
    <m/>
    <m/>
    <m/>
    <m/>
    <m/>
    <m/>
    <m/>
    <m/>
    <m/>
  </r>
  <r>
    <n v="18"/>
    <d v="2009-10-01T00:00:00"/>
    <x v="9"/>
    <x v="9"/>
    <n v="358"/>
    <n v="1"/>
    <d v="2008-10-08T00:00:00"/>
    <n v="428988"/>
    <n v="5.72"/>
    <n v="2.17"/>
    <n v="0.77"/>
    <m/>
    <m/>
    <n v="0.43"/>
    <m/>
    <m/>
    <m/>
    <s v="fish from farm #17"/>
    <n v="930903.96"/>
    <n v="330320.76"/>
    <n v="184464.84"/>
    <n v="73785.936000000002"/>
  </r>
  <r>
    <n v="18"/>
    <d v="2009-11-01T00:00:00"/>
    <x v="10"/>
    <x v="9"/>
    <n v="389"/>
    <n v="2"/>
    <d v="2008-10-08T00:00:00"/>
    <n v="428940"/>
    <n v="7.0170000000000003"/>
    <n v="3.1829999999999998"/>
    <n v="1.1830000000000001"/>
    <n v="2"/>
    <m/>
    <n v="3.133"/>
    <n v="1"/>
    <m/>
    <m/>
    <m/>
    <n v="1365316.02"/>
    <n v="507436.02"/>
    <n v="1343869.02"/>
    <n v="537547.60800000001"/>
  </r>
  <r>
    <n v="18"/>
    <d v="2009-12-01T00:00:00"/>
    <x v="11"/>
    <x v="9"/>
    <n v="419"/>
    <n v="2"/>
    <d v="2008-10-08T00:00:00"/>
    <n v="428686"/>
    <n v="7.0000000000000007E-2"/>
    <n v="0.27"/>
    <n v="0.1"/>
    <m/>
    <m/>
    <n v="0.03"/>
    <m/>
    <m/>
    <m/>
    <m/>
    <n v="115745.22"/>
    <n v="42868.600000000006"/>
    <n v="12860.58"/>
    <n v="5144.232"/>
  </r>
  <r>
    <n v="19"/>
    <d v="2000-01-01T00:00:00"/>
    <x v="0"/>
    <x v="0"/>
    <m/>
    <m/>
    <m/>
    <m/>
    <m/>
    <m/>
    <m/>
    <m/>
    <m/>
    <m/>
    <m/>
    <m/>
    <m/>
    <m/>
    <m/>
    <m/>
    <m/>
    <m/>
  </r>
  <r>
    <n v="19"/>
    <d v="2000-02-01T00:00:00"/>
    <x v="1"/>
    <x v="0"/>
    <m/>
    <m/>
    <m/>
    <m/>
    <m/>
    <m/>
    <m/>
    <m/>
    <m/>
    <m/>
    <m/>
    <m/>
    <m/>
    <m/>
    <m/>
    <m/>
    <m/>
    <m/>
  </r>
  <r>
    <n v="19"/>
    <d v="2000-03-01T00:00:00"/>
    <x v="2"/>
    <x v="0"/>
    <m/>
    <m/>
    <m/>
    <m/>
    <m/>
    <m/>
    <m/>
    <m/>
    <m/>
    <m/>
    <m/>
    <m/>
    <m/>
    <m/>
    <m/>
    <m/>
    <m/>
    <m/>
  </r>
  <r>
    <n v="19"/>
    <d v="2000-04-01T00:00:00"/>
    <x v="3"/>
    <x v="0"/>
    <m/>
    <m/>
    <m/>
    <m/>
    <m/>
    <m/>
    <m/>
    <m/>
    <m/>
    <m/>
    <m/>
    <m/>
    <m/>
    <m/>
    <m/>
    <m/>
    <m/>
    <m/>
  </r>
  <r>
    <n v="19"/>
    <d v="2000-05-01T00:00:00"/>
    <x v="4"/>
    <x v="0"/>
    <m/>
    <m/>
    <m/>
    <m/>
    <m/>
    <m/>
    <m/>
    <m/>
    <m/>
    <m/>
    <m/>
    <m/>
    <m/>
    <m/>
    <m/>
    <m/>
    <m/>
    <m/>
  </r>
  <r>
    <n v="19"/>
    <d v="2000-06-01T00:00:00"/>
    <x v="5"/>
    <x v="0"/>
    <m/>
    <m/>
    <m/>
    <m/>
    <m/>
    <m/>
    <m/>
    <m/>
    <m/>
    <m/>
    <m/>
    <m/>
    <m/>
    <m/>
    <m/>
    <m/>
    <m/>
    <m/>
  </r>
  <r>
    <n v="19"/>
    <d v="2000-07-01T00:00:00"/>
    <x v="6"/>
    <x v="0"/>
    <m/>
    <m/>
    <m/>
    <m/>
    <m/>
    <m/>
    <m/>
    <m/>
    <m/>
    <m/>
    <m/>
    <m/>
    <m/>
    <m/>
    <m/>
    <m/>
    <m/>
    <m/>
  </r>
  <r>
    <n v="19"/>
    <d v="2000-08-01T00:00:00"/>
    <x v="7"/>
    <x v="0"/>
    <m/>
    <m/>
    <m/>
    <m/>
    <m/>
    <m/>
    <m/>
    <m/>
    <m/>
    <m/>
    <m/>
    <m/>
    <m/>
    <m/>
    <m/>
    <m/>
    <m/>
    <m/>
  </r>
  <r>
    <n v="19"/>
    <d v="2000-09-01T00:00:00"/>
    <x v="8"/>
    <x v="0"/>
    <m/>
    <m/>
    <m/>
    <m/>
    <m/>
    <m/>
    <m/>
    <m/>
    <m/>
    <m/>
    <m/>
    <m/>
    <m/>
    <m/>
    <m/>
    <m/>
    <m/>
    <m/>
  </r>
  <r>
    <n v="19"/>
    <d v="2000-10-01T00:00:00"/>
    <x v="9"/>
    <x v="0"/>
    <m/>
    <m/>
    <m/>
    <m/>
    <m/>
    <m/>
    <m/>
    <m/>
    <m/>
    <m/>
    <m/>
    <m/>
    <m/>
    <m/>
    <m/>
    <m/>
    <m/>
    <m/>
  </r>
  <r>
    <n v="19"/>
    <d v="2000-11-01T00:00:00"/>
    <x v="10"/>
    <x v="0"/>
    <m/>
    <m/>
    <m/>
    <m/>
    <m/>
    <m/>
    <m/>
    <m/>
    <m/>
    <m/>
    <m/>
    <m/>
    <m/>
    <m/>
    <m/>
    <m/>
    <m/>
    <m/>
  </r>
  <r>
    <n v="19"/>
    <d v="2000-12-01T00:00:00"/>
    <x v="11"/>
    <x v="0"/>
    <m/>
    <m/>
    <m/>
    <m/>
    <m/>
    <m/>
    <m/>
    <m/>
    <m/>
    <m/>
    <m/>
    <m/>
    <m/>
    <m/>
    <m/>
    <m/>
    <m/>
    <m/>
  </r>
  <r>
    <n v="19"/>
    <d v="2001-01-01T00:00:00"/>
    <x v="0"/>
    <x v="1"/>
    <m/>
    <m/>
    <m/>
    <m/>
    <m/>
    <m/>
    <m/>
    <m/>
    <m/>
    <m/>
    <m/>
    <m/>
    <m/>
    <m/>
    <m/>
    <m/>
    <m/>
    <m/>
  </r>
  <r>
    <n v="19"/>
    <d v="2001-02-01T00:00:00"/>
    <x v="1"/>
    <x v="1"/>
    <m/>
    <m/>
    <m/>
    <m/>
    <m/>
    <m/>
    <m/>
    <m/>
    <m/>
    <m/>
    <m/>
    <m/>
    <m/>
    <m/>
    <m/>
    <m/>
    <m/>
    <m/>
  </r>
  <r>
    <n v="19"/>
    <d v="2001-03-01T00:00:00"/>
    <x v="2"/>
    <x v="1"/>
    <m/>
    <m/>
    <m/>
    <m/>
    <m/>
    <m/>
    <m/>
    <m/>
    <m/>
    <m/>
    <m/>
    <m/>
    <m/>
    <m/>
    <m/>
    <m/>
    <m/>
    <m/>
  </r>
  <r>
    <n v="19"/>
    <d v="2001-04-01T00:00:00"/>
    <x v="3"/>
    <x v="1"/>
    <m/>
    <m/>
    <m/>
    <m/>
    <m/>
    <m/>
    <m/>
    <m/>
    <m/>
    <m/>
    <m/>
    <m/>
    <m/>
    <m/>
    <m/>
    <m/>
    <m/>
    <m/>
  </r>
  <r>
    <n v="19"/>
    <d v="2001-05-01T00:00:00"/>
    <x v="4"/>
    <x v="1"/>
    <n v="792"/>
    <n v="3"/>
    <d v="1999-03-01T00:00:00"/>
    <n v="17706"/>
    <m/>
    <m/>
    <m/>
    <m/>
    <m/>
    <m/>
    <m/>
    <m/>
    <m/>
    <m/>
    <m/>
    <m/>
    <m/>
    <m/>
  </r>
  <r>
    <n v="19"/>
    <d v="2001-06-01T00:00:00"/>
    <x v="5"/>
    <x v="1"/>
    <n v="823"/>
    <n v="3"/>
    <d v="1999-03-01T00:00:00"/>
    <n v="17485"/>
    <m/>
    <m/>
    <m/>
    <m/>
    <m/>
    <m/>
    <m/>
    <n v="8.8000000000000007"/>
    <m/>
    <m/>
    <m/>
    <m/>
    <m/>
    <m/>
  </r>
  <r>
    <n v="19"/>
    <d v="2001-07-01T00:00:00"/>
    <x v="6"/>
    <x v="1"/>
    <n v="853"/>
    <n v="3"/>
    <d v="1999-03-01T00:00:00"/>
    <n v="7367"/>
    <m/>
    <m/>
    <m/>
    <m/>
    <m/>
    <m/>
    <m/>
    <m/>
    <m/>
    <m/>
    <m/>
    <m/>
    <m/>
    <m/>
  </r>
  <r>
    <n v="19"/>
    <d v="2001-08-01T00:00:00"/>
    <x v="7"/>
    <x v="1"/>
    <n v="884"/>
    <n v="3"/>
    <d v="1999-03-01T00:00:00"/>
    <n v="7327"/>
    <m/>
    <m/>
    <m/>
    <m/>
    <m/>
    <m/>
    <m/>
    <n v="9.3000000000000007"/>
    <m/>
    <m/>
    <m/>
    <m/>
    <m/>
    <m/>
  </r>
  <r>
    <n v="19"/>
    <d v="2001-09-01T00:00:00"/>
    <x v="8"/>
    <x v="1"/>
    <n v="915"/>
    <n v="3"/>
    <d v="1999-03-01T00:00:00"/>
    <n v="7472"/>
    <m/>
    <m/>
    <m/>
    <m/>
    <m/>
    <m/>
    <m/>
    <n v="9.3000000000000007"/>
    <m/>
    <m/>
    <m/>
    <m/>
    <m/>
    <m/>
  </r>
  <r>
    <n v="19"/>
    <d v="2001-10-01T00:00:00"/>
    <x v="9"/>
    <x v="1"/>
    <n v="945"/>
    <n v="3"/>
    <d v="1999-03-01T00:00:00"/>
    <n v="7404"/>
    <m/>
    <m/>
    <m/>
    <m/>
    <m/>
    <m/>
    <m/>
    <n v="8.9"/>
    <m/>
    <m/>
    <m/>
    <m/>
    <m/>
    <m/>
  </r>
  <r>
    <n v="19"/>
    <d v="2001-11-01T00:00:00"/>
    <x v="10"/>
    <x v="1"/>
    <n v="976"/>
    <n v="3"/>
    <d v="1999-03-01T00:00:00"/>
    <n v="6694"/>
    <m/>
    <m/>
    <m/>
    <m/>
    <m/>
    <m/>
    <m/>
    <n v="8.3000000000000007"/>
    <m/>
    <m/>
    <m/>
    <m/>
    <m/>
    <m/>
  </r>
  <r>
    <n v="19"/>
    <d v="2001-12-01T00:00:00"/>
    <x v="11"/>
    <x v="1"/>
    <n v="1006"/>
    <n v="3"/>
    <d v="1999-03-01T00:00:00"/>
    <n v="6416"/>
    <m/>
    <m/>
    <m/>
    <m/>
    <m/>
    <m/>
    <m/>
    <n v="7.6"/>
    <m/>
    <m/>
    <m/>
    <m/>
    <m/>
    <m/>
  </r>
  <r>
    <n v="19"/>
    <d v="2002-01-01T00:00:00"/>
    <x v="0"/>
    <x v="2"/>
    <s v="?"/>
    <n v="2"/>
    <s v="mix of 99 and 00"/>
    <n v="19880"/>
    <m/>
    <m/>
    <m/>
    <m/>
    <m/>
    <m/>
    <m/>
    <n v="7.3"/>
    <m/>
    <m/>
    <m/>
    <m/>
    <m/>
    <m/>
  </r>
  <r>
    <n v="19"/>
    <d v="2002-02-01T00:00:00"/>
    <x v="1"/>
    <x v="2"/>
    <s v="?"/>
    <n v="2"/>
    <s v="mix of 99 and 00"/>
    <n v="19782"/>
    <m/>
    <m/>
    <m/>
    <m/>
    <m/>
    <m/>
    <m/>
    <n v="7.1"/>
    <m/>
    <m/>
    <m/>
    <m/>
    <m/>
    <m/>
  </r>
  <r>
    <n v="19"/>
    <d v="2002-03-01T00:00:00"/>
    <x v="2"/>
    <x v="2"/>
    <s v="?"/>
    <n v="2"/>
    <s v="mix of 99 and 00"/>
    <n v="19746"/>
    <m/>
    <m/>
    <m/>
    <m/>
    <m/>
    <m/>
    <m/>
    <n v="6.9"/>
    <m/>
    <m/>
    <m/>
    <m/>
    <m/>
    <m/>
  </r>
  <r>
    <n v="19"/>
    <d v="2002-04-01T00:00:00"/>
    <x v="3"/>
    <x v="2"/>
    <s v="?"/>
    <n v="2"/>
    <s v="mix of 99 and 00"/>
    <n v="19705"/>
    <m/>
    <m/>
    <m/>
    <m/>
    <m/>
    <m/>
    <m/>
    <n v="7.5"/>
    <m/>
    <m/>
    <m/>
    <m/>
    <m/>
    <m/>
  </r>
  <r>
    <n v="19"/>
    <d v="2002-05-01T00:00:00"/>
    <x v="4"/>
    <x v="2"/>
    <s v="?"/>
    <n v="2"/>
    <s v="mix of 99 and 00"/>
    <n v="19665"/>
    <m/>
    <m/>
    <m/>
    <m/>
    <m/>
    <m/>
    <m/>
    <n v="8.1"/>
    <m/>
    <m/>
    <m/>
    <m/>
    <m/>
    <m/>
  </r>
  <r>
    <n v="19"/>
    <d v="2002-06-01T00:00:00"/>
    <x v="5"/>
    <x v="2"/>
    <s v="?"/>
    <n v="2"/>
    <s v="mix of 99 and 00"/>
    <n v="19890"/>
    <m/>
    <m/>
    <m/>
    <m/>
    <m/>
    <m/>
    <m/>
    <n v="8.8000000000000007"/>
    <m/>
    <m/>
    <m/>
    <m/>
    <m/>
    <m/>
  </r>
  <r>
    <n v="19"/>
    <d v="2002-07-01T00:00:00"/>
    <x v="6"/>
    <x v="2"/>
    <s v="?"/>
    <n v="2"/>
    <s v="mix of 99 and 00"/>
    <n v="7386"/>
    <m/>
    <m/>
    <m/>
    <m/>
    <m/>
    <m/>
    <m/>
    <n v="9.1999999999999993"/>
    <m/>
    <m/>
    <m/>
    <m/>
    <m/>
    <m/>
  </r>
  <r>
    <n v="19"/>
    <d v="2002-08-01T00:00:00"/>
    <x v="7"/>
    <x v="2"/>
    <s v="?"/>
    <n v="2"/>
    <s v="mix of 99 and 00"/>
    <n v="5527"/>
    <m/>
    <m/>
    <m/>
    <m/>
    <m/>
    <m/>
    <m/>
    <n v="9.3000000000000007"/>
    <m/>
    <m/>
    <m/>
    <m/>
    <m/>
    <m/>
  </r>
  <r>
    <n v="19"/>
    <d v="2002-09-01T00:00:00"/>
    <x v="8"/>
    <x v="2"/>
    <s v="?"/>
    <n v="2"/>
    <s v="mix of 99 and 00"/>
    <n v="5300"/>
    <m/>
    <m/>
    <m/>
    <m/>
    <m/>
    <m/>
    <m/>
    <m/>
    <m/>
    <m/>
    <m/>
    <m/>
    <m/>
    <m/>
  </r>
  <r>
    <n v="19"/>
    <d v="2002-10-01T00:00:00"/>
    <x v="9"/>
    <x v="2"/>
    <s v="?"/>
    <n v="2"/>
    <s v="mix of 99 and 00"/>
    <n v="5098"/>
    <m/>
    <m/>
    <m/>
    <m/>
    <m/>
    <m/>
    <m/>
    <m/>
    <m/>
    <m/>
    <m/>
    <m/>
    <m/>
    <m/>
  </r>
  <r>
    <n v="19"/>
    <d v="2002-11-01T00:00:00"/>
    <x v="10"/>
    <x v="2"/>
    <s v="?"/>
    <n v="2"/>
    <s v="mix of 99 and 00"/>
    <n v="4411"/>
    <m/>
    <m/>
    <m/>
    <m/>
    <m/>
    <m/>
    <m/>
    <n v="8.3000000000000007"/>
    <m/>
    <m/>
    <m/>
    <m/>
    <m/>
    <m/>
  </r>
  <r>
    <n v="19"/>
    <d v="2002-12-01T00:00:00"/>
    <x v="11"/>
    <x v="2"/>
    <s v="?"/>
    <n v="2"/>
    <s v="mix of 99 and 00"/>
    <n v="4322"/>
    <m/>
    <m/>
    <m/>
    <m/>
    <m/>
    <m/>
    <m/>
    <n v="8.1"/>
    <m/>
    <m/>
    <m/>
    <m/>
    <m/>
    <m/>
  </r>
  <r>
    <n v="19"/>
    <d v="2003-01-01T00:00:00"/>
    <x v="0"/>
    <x v="3"/>
    <n v="1036"/>
    <n v="2"/>
    <d v="2000-03-01T00:00:00"/>
    <n v="1550"/>
    <m/>
    <m/>
    <n v="4.4000000000000004"/>
    <m/>
    <s v="o"/>
    <n v="0.15"/>
    <m/>
    <n v="7.6"/>
    <m/>
    <m/>
    <m/>
    <n v="6820.0000000000009"/>
    <n v="232.5"/>
    <n v="93"/>
  </r>
  <r>
    <n v="19"/>
    <d v="2003-02-01T00:00:00"/>
    <x v="1"/>
    <x v="3"/>
    <s v="?"/>
    <n v="2"/>
    <s v="mix of 00 and 01"/>
    <n v="26406"/>
    <n v="29"/>
    <n v="16.399999999999999"/>
    <n v="8.8000000000000007"/>
    <m/>
    <m/>
    <n v="0.3"/>
    <m/>
    <m/>
    <m/>
    <s v="Transferred from farm #18 and farm #13"/>
    <n v="433058.39999999997"/>
    <n v="232372.80000000002"/>
    <n v="7921.7999999999993"/>
    <n v="3168.72"/>
  </r>
  <r>
    <n v="19"/>
    <d v="2003-03-01T00:00:00"/>
    <x v="2"/>
    <x v="3"/>
    <s v="?"/>
    <n v="2"/>
    <s v="Brood"/>
    <n v="26322"/>
    <n v="22.3"/>
    <n v="8.5"/>
    <n v="4.3"/>
    <n v="2"/>
    <m/>
    <n v="0"/>
    <n v="1"/>
    <n v="7.5"/>
    <n v="32"/>
    <m/>
    <n v="223737"/>
    <n v="113184.59999999999"/>
    <n v="0"/>
    <n v="0"/>
  </r>
  <r>
    <n v="19"/>
    <d v="2003-04-01T00:00:00"/>
    <x v="3"/>
    <x v="3"/>
    <s v="?"/>
    <n v="2"/>
    <s v="Brood"/>
    <n v="29904"/>
    <n v="0.1"/>
    <n v="2.0299999999999998"/>
    <n v="1.03"/>
    <n v="0"/>
    <m/>
    <n v="1.5"/>
    <m/>
    <n v="9.33"/>
    <n v="32"/>
    <m/>
    <n v="60705.119999999995"/>
    <n v="30801.119999999999"/>
    <n v="44856"/>
    <n v="17942.400000000001"/>
  </r>
  <r>
    <n v="19"/>
    <d v="2003-05-01T00:00:00"/>
    <x v="4"/>
    <x v="3"/>
    <s v="?"/>
    <n v="2"/>
    <s v="Brood"/>
    <n v="29870"/>
    <n v="0.35"/>
    <n v="0.9"/>
    <n v="0.6"/>
    <n v="2"/>
    <m/>
    <n v="1.55"/>
    <m/>
    <n v="9.3000000000000007"/>
    <n v="32"/>
    <m/>
    <n v="26883"/>
    <n v="17922"/>
    <n v="46298.5"/>
    <n v="18519.400000000001"/>
  </r>
  <r>
    <n v="19"/>
    <d v="2003-06-01T00:00:00"/>
    <x v="5"/>
    <x v="3"/>
    <s v="?"/>
    <n v="2"/>
    <s v="Brood"/>
    <n v="29626"/>
    <n v="0.45"/>
    <n v="1.2"/>
    <n v="0.85"/>
    <n v="1"/>
    <m/>
    <n v="1.45"/>
    <m/>
    <n v="9.8000000000000007"/>
    <n v="32"/>
    <m/>
    <n v="35551.199999999997"/>
    <n v="25182.1"/>
    <n v="42957.7"/>
    <n v="17183.079999999998"/>
  </r>
  <r>
    <n v="19"/>
    <d v="2003-07-01T00:00:00"/>
    <x v="6"/>
    <x v="3"/>
    <s v="?"/>
    <n v="2"/>
    <s v="Brood"/>
    <n v="30000"/>
    <n v="0.15"/>
    <n v="0.3"/>
    <n v="0.1"/>
    <n v="0"/>
    <m/>
    <n v="1.2"/>
    <m/>
    <n v="10.199999999999999"/>
    <n v="32"/>
    <m/>
    <n v="9000"/>
    <n v="3000"/>
    <n v="36000"/>
    <n v="14400"/>
  </r>
  <r>
    <n v="19"/>
    <d v="2003-08-01T00:00:00"/>
    <x v="7"/>
    <x v="3"/>
    <s v="?"/>
    <n v="2"/>
    <s v="Brood"/>
    <n v="6500"/>
    <n v="0.4"/>
    <n v="0.5"/>
    <n v="0.2"/>
    <m/>
    <m/>
    <n v="2.2999999999999998"/>
    <m/>
    <n v="10"/>
    <n v="32"/>
    <m/>
    <n v="3250"/>
    <n v="1300"/>
    <n v="14949.999999999998"/>
    <n v="5980"/>
  </r>
  <r>
    <n v="19"/>
    <d v="2003-09-01T00:00:00"/>
    <x v="8"/>
    <x v="3"/>
    <s v="?"/>
    <n v="2"/>
    <s v="Brood"/>
    <n v="6000"/>
    <m/>
    <n v="9.7899999999999991"/>
    <n v="3.0500000000000003"/>
    <m/>
    <n v="1"/>
    <n v="7.0649999999999995"/>
    <m/>
    <n v="9.4499999999999993"/>
    <n v="32"/>
    <m/>
    <n v="58739.999999999993"/>
    <n v="18300"/>
    <n v="42390"/>
    <n v="16956"/>
  </r>
  <r>
    <n v="19"/>
    <d v="2003-10-01T00:00:00"/>
    <x v="9"/>
    <x v="3"/>
    <s v="?"/>
    <n v="2"/>
    <s v="Brood"/>
    <n v="6000"/>
    <n v="4.4800000000000004"/>
    <n v="19.079999999999998"/>
    <n v="5.9"/>
    <m/>
    <m/>
    <n v="11.83"/>
    <m/>
    <n v="8.9"/>
    <n v="32"/>
    <m/>
    <n v="114479.99999999999"/>
    <n v="35400"/>
    <n v="70980"/>
    <n v="28392"/>
  </r>
  <r>
    <n v="19"/>
    <d v="2003-11-01T00:00:00"/>
    <x v="10"/>
    <x v="3"/>
    <s v="?"/>
    <n v="2"/>
    <s v="Brood"/>
    <n v="5500"/>
    <n v="0.43"/>
    <n v="3.47"/>
    <n v="0.67"/>
    <n v="1"/>
    <m/>
    <n v="3.7"/>
    <m/>
    <n v="8"/>
    <n v="32"/>
    <m/>
    <n v="19085"/>
    <n v="3685"/>
    <n v="20350"/>
    <n v="8140"/>
  </r>
  <r>
    <n v="19"/>
    <d v="2003-12-01T00:00:00"/>
    <x v="11"/>
    <x v="3"/>
    <s v="?"/>
    <n v="2"/>
    <s v="Brood"/>
    <n v="3000"/>
    <n v="1.57"/>
    <n v="8.07"/>
    <n v="2.2999999999999998"/>
    <n v="0"/>
    <m/>
    <n v="15.53"/>
    <m/>
    <n v="7.6"/>
    <n v="32"/>
    <m/>
    <n v="24210"/>
    <n v="6899.9999999999991"/>
    <n v="46590"/>
    <n v="18636"/>
  </r>
  <r>
    <n v="19"/>
    <d v="2004-01-01T00:00:00"/>
    <x v="0"/>
    <x v="4"/>
    <s v="?"/>
    <n v="2"/>
    <s v="Brood"/>
    <n v="1745"/>
    <n v="5.65"/>
    <n v="35.35"/>
    <n v="19.399999999999999"/>
    <n v="2"/>
    <m/>
    <n v="28.9"/>
    <n v="0.5"/>
    <n v="7.3"/>
    <n v="32"/>
    <s v="Portion farm tx?"/>
    <n v="61685.75"/>
    <n v="33853"/>
    <n v="50430.5"/>
    <n v="20172.2"/>
  </r>
  <r>
    <n v="19"/>
    <d v="2004-02-01T00:00:00"/>
    <x v="1"/>
    <x v="4"/>
    <s v="?"/>
    <n v="2"/>
    <s v="Brood"/>
    <n v="38000"/>
    <n v="0"/>
    <n v="10.8"/>
    <n v="6.5"/>
    <n v="0"/>
    <m/>
    <n v="0.5"/>
    <n v="0.5"/>
    <n v="7.3"/>
    <n v="32"/>
    <s v="Portion farm tx?"/>
    <n v="410400"/>
    <n v="247000"/>
    <n v="19000"/>
    <n v="7600"/>
  </r>
  <r>
    <n v="19"/>
    <d v="2004-03-01T00:00:00"/>
    <x v="2"/>
    <x v="4"/>
    <s v="?"/>
    <n v="2"/>
    <s v="Brood"/>
    <n v="37831"/>
    <n v="0.1"/>
    <n v="0.8"/>
    <n v="0.4"/>
    <n v="0"/>
    <m/>
    <n v="0.4"/>
    <m/>
    <n v="7.55"/>
    <n v="32"/>
    <m/>
    <n v="30264.800000000003"/>
    <n v="15132.400000000001"/>
    <n v="15132.400000000001"/>
    <n v="6052.9600000000009"/>
  </r>
  <r>
    <n v="19"/>
    <d v="2004-04-01T00:00:00"/>
    <x v="3"/>
    <x v="4"/>
    <s v="?"/>
    <n v="2"/>
    <s v="Brood"/>
    <n v="37283"/>
    <n v="0"/>
    <n v="0.09"/>
    <n v="7.0000000000000007E-2"/>
    <n v="2"/>
    <m/>
    <n v="0.05"/>
    <m/>
    <n v="8.3000000000000007"/>
    <n v="32"/>
    <m/>
    <n v="3355.47"/>
    <n v="2609.8100000000004"/>
    <n v="1864.15"/>
    <n v="745.66000000000008"/>
  </r>
  <r>
    <n v="19"/>
    <d v="2004-05-01T00:00:00"/>
    <x v="4"/>
    <x v="4"/>
    <s v="?"/>
    <n v="2"/>
    <s v="Brood"/>
    <n v="37253"/>
    <n v="0.2"/>
    <n v="0.45"/>
    <n v="0.2"/>
    <n v="1"/>
    <m/>
    <n v="0.1"/>
    <m/>
    <n v="8.9499999999999993"/>
    <n v="32"/>
    <m/>
    <n v="16763.850000000002"/>
    <n v="7450.6"/>
    <n v="3725.3"/>
    <n v="1490.1200000000001"/>
  </r>
  <r>
    <n v="19"/>
    <d v="2004-06-01T00:00:00"/>
    <x v="5"/>
    <x v="4"/>
    <s v="?"/>
    <n v="2"/>
    <s v="Brood"/>
    <n v="15803"/>
    <n v="0.3"/>
    <n v="0.55000000000000004"/>
    <n v="0.05"/>
    <n v="0"/>
    <m/>
    <n v="0"/>
    <m/>
    <n v="9.4"/>
    <n v="32"/>
    <m/>
    <n v="8691.6500000000015"/>
    <n v="790.15000000000009"/>
    <n v="0"/>
    <n v="0"/>
  </r>
  <r>
    <n v="19"/>
    <d v="2004-07-01T00:00:00"/>
    <x v="6"/>
    <x v="4"/>
    <s v="?"/>
    <n v="2"/>
    <s v="Brood"/>
    <n v="5669"/>
    <n v="0.8"/>
    <n v="1.5"/>
    <n v="0.5"/>
    <n v="1"/>
    <m/>
    <n v="0"/>
    <m/>
    <n v="9.8000000000000007"/>
    <n v="32"/>
    <m/>
    <n v="8503.5"/>
    <n v="2834.5"/>
    <n v="0"/>
    <n v="0"/>
  </r>
  <r>
    <n v="19"/>
    <d v="2004-08-01T00:00:00"/>
    <x v="7"/>
    <x v="4"/>
    <s v="?"/>
    <n v="2"/>
    <s v="Brood"/>
    <n v="5000"/>
    <n v="0.47"/>
    <n v="0.8"/>
    <n v="0.2"/>
    <n v="1"/>
    <m/>
    <n v="0"/>
    <m/>
    <n v="10.1"/>
    <n v="32"/>
    <m/>
    <n v="4000"/>
    <n v="1000"/>
    <n v="0"/>
    <n v="0"/>
  </r>
  <r>
    <n v="19"/>
    <d v="2004-09-01T00:00:00"/>
    <x v="8"/>
    <x v="4"/>
    <s v="?"/>
    <n v="2"/>
    <s v="Brood"/>
    <n v="4000"/>
    <n v="0.6"/>
    <n v="2.2000000000000002"/>
    <n v="1"/>
    <n v="0"/>
    <m/>
    <n v="0.1"/>
    <m/>
    <n v="9.5"/>
    <n v="31.5"/>
    <m/>
    <n v="8800"/>
    <n v="4000"/>
    <n v="400"/>
    <n v="160"/>
  </r>
  <r>
    <n v="19"/>
    <d v="2004-10-01T00:00:00"/>
    <x v="9"/>
    <x v="4"/>
    <s v="?"/>
    <n v="2"/>
    <s v="Brood"/>
    <n v="3000"/>
    <n v="0"/>
    <n v="9.4499999999999993"/>
    <n v="5.7"/>
    <n v="0"/>
    <m/>
    <n v="2.95"/>
    <m/>
    <n v="9.1"/>
    <n v="31.8"/>
    <m/>
    <n v="28349.999999999996"/>
    <n v="17100"/>
    <n v="8850"/>
    <n v="3540"/>
  </r>
  <r>
    <n v="19"/>
    <d v="2004-11-01T00:00:00"/>
    <x v="10"/>
    <x v="4"/>
    <s v="?"/>
    <n v="2"/>
    <s v="Brood"/>
    <n v="2000"/>
    <n v="3.3"/>
    <n v="7.07"/>
    <n v="4.13"/>
    <n v="0"/>
    <m/>
    <n v="0"/>
    <m/>
    <n v="8.5"/>
    <n v="32"/>
    <m/>
    <n v="14140"/>
    <n v="8260"/>
    <n v="0"/>
    <n v="0"/>
  </r>
  <r>
    <n v="19"/>
    <d v="2004-12-01T00:00:00"/>
    <x v="11"/>
    <x v="4"/>
    <s v="?"/>
    <n v="2"/>
    <s v="Brood"/>
    <n v="1000"/>
    <n v="0.73"/>
    <n v="3.15"/>
    <n v="1.8"/>
    <n v="1"/>
    <m/>
    <n v="0"/>
    <m/>
    <n v="8"/>
    <n v="32"/>
    <m/>
    <n v="3150"/>
    <n v="1800"/>
    <n v="0"/>
    <n v="0"/>
  </r>
  <r>
    <n v="19"/>
    <d v="2005-01-01T00:00:00"/>
    <x v="0"/>
    <x v="5"/>
    <s v="?"/>
    <n v="2"/>
    <s v="Brood"/>
    <n v="1000"/>
    <n v="1.85"/>
    <n v="20.7"/>
    <n v="14.9"/>
    <m/>
    <m/>
    <n v="0.6"/>
    <n v="1"/>
    <n v="8"/>
    <n v="32"/>
    <m/>
    <n v="20700"/>
    <n v="14900"/>
    <n v="600"/>
    <n v="240"/>
  </r>
  <r>
    <n v="19"/>
    <d v="2005-02-01T00:00:00"/>
    <x v="1"/>
    <x v="5"/>
    <s v="?"/>
    <n v="2"/>
    <m/>
    <m/>
    <m/>
    <m/>
    <m/>
    <m/>
    <m/>
    <m/>
    <m/>
    <m/>
    <m/>
    <m/>
    <m/>
    <m/>
    <m/>
    <m/>
  </r>
  <r>
    <n v="19"/>
    <d v="2005-03-01T00:00:00"/>
    <x v="2"/>
    <x v="5"/>
    <s v="?"/>
    <n v="2"/>
    <s v="Brood"/>
    <n v="26728"/>
    <n v="0"/>
    <n v="3.85"/>
    <n v="3.35"/>
    <m/>
    <m/>
    <n v="0"/>
    <m/>
    <n v="7.5"/>
    <n v="32"/>
    <m/>
    <n v="102902.8"/>
    <n v="89538.8"/>
    <n v="0"/>
    <n v="0"/>
  </r>
  <r>
    <n v="19"/>
    <d v="2005-04-01T00:00:00"/>
    <x v="3"/>
    <x v="5"/>
    <s v="?"/>
    <n v="2"/>
    <s v="Brood"/>
    <n v="20000"/>
    <m/>
    <n v="1.99"/>
    <n v="1.7"/>
    <m/>
    <n v="1"/>
    <n v="0"/>
    <m/>
    <m/>
    <m/>
    <m/>
    <n v="39800"/>
    <n v="34000"/>
    <n v="0"/>
    <n v="0"/>
  </r>
  <r>
    <n v="19"/>
    <d v="2005-05-01T00:00:00"/>
    <x v="4"/>
    <x v="5"/>
    <s v="?"/>
    <n v="2"/>
    <s v="Brood"/>
    <n v="10140"/>
    <n v="0.1"/>
    <n v="0.13"/>
    <n v="0.05"/>
    <m/>
    <m/>
    <n v="0"/>
    <m/>
    <n v="9"/>
    <n v="32"/>
    <m/>
    <n v="1318.2"/>
    <n v="507"/>
    <n v="0"/>
    <n v="0"/>
  </r>
  <r>
    <n v="19"/>
    <d v="2005-06-01T00:00:00"/>
    <x v="5"/>
    <x v="5"/>
    <s v="?"/>
    <n v="2"/>
    <s v="Brood"/>
    <n v="20000"/>
    <m/>
    <n v="0.4"/>
    <n v="0.1"/>
    <m/>
    <n v="1"/>
    <n v="0.01"/>
    <m/>
    <m/>
    <m/>
    <m/>
    <n v="8000"/>
    <n v="2000"/>
    <n v="200"/>
    <n v="80"/>
  </r>
  <r>
    <n v="19"/>
    <d v="2005-07-01T00:00:00"/>
    <x v="6"/>
    <x v="5"/>
    <s v="?"/>
    <n v="2"/>
    <s v="Brood"/>
    <n v="20000"/>
    <n v="0.88"/>
    <n v="0.67"/>
    <n v="0.15"/>
    <m/>
    <m/>
    <n v="0.02"/>
    <m/>
    <n v="10"/>
    <n v="32"/>
    <m/>
    <n v="13400"/>
    <n v="3000"/>
    <n v="400"/>
    <n v="160"/>
  </r>
  <r>
    <n v="19"/>
    <d v="2005-08-01T00:00:00"/>
    <x v="7"/>
    <x v="5"/>
    <s v="?"/>
    <n v="2"/>
    <s v="Brood"/>
    <n v="20000"/>
    <n v="2.4500000000000002"/>
    <n v="4.55"/>
    <n v="0.8"/>
    <n v="2"/>
    <m/>
    <n v="0.1"/>
    <n v="1"/>
    <n v="10"/>
    <n v="32"/>
    <m/>
    <n v="91000"/>
    <n v="16000"/>
    <n v="2000"/>
    <n v="800"/>
  </r>
  <r>
    <n v="19"/>
    <d v="2005-09-01T00:00:00"/>
    <x v="8"/>
    <x v="5"/>
    <s v="?"/>
    <n v="2"/>
    <s v="Brood"/>
    <n v="20000"/>
    <n v="0.15"/>
    <n v="0.1"/>
    <n v="0"/>
    <m/>
    <m/>
    <n v="0"/>
    <m/>
    <n v="10"/>
    <n v="32"/>
    <m/>
    <n v="2000"/>
    <n v="0"/>
    <n v="0"/>
    <n v="0"/>
  </r>
  <r>
    <n v="19"/>
    <d v="2005-10-01T00:00:00"/>
    <x v="9"/>
    <x v="5"/>
    <s v="?"/>
    <n v="2"/>
    <s v="Brood"/>
    <n v="20000"/>
    <m/>
    <n v="1.175"/>
    <n v="0"/>
    <m/>
    <n v="1"/>
    <n v="0.82499999999999996"/>
    <m/>
    <m/>
    <m/>
    <m/>
    <n v="23500"/>
    <n v="0"/>
    <n v="16500"/>
    <n v="6600"/>
  </r>
  <r>
    <n v="19"/>
    <d v="2005-11-01T00:00:00"/>
    <x v="10"/>
    <x v="5"/>
    <s v="?"/>
    <n v="2"/>
    <s v="Brood"/>
    <n v="20000"/>
    <n v="19"/>
    <n v="2.25"/>
    <n v="0"/>
    <m/>
    <m/>
    <n v="1.65"/>
    <m/>
    <n v="8"/>
    <n v="32"/>
    <m/>
    <n v="45000"/>
    <n v="0"/>
    <n v="33000"/>
    <n v="13200"/>
  </r>
  <r>
    <n v="19"/>
    <d v="2005-12-01T00:00:00"/>
    <x v="11"/>
    <x v="5"/>
    <s v="?"/>
    <n v="2"/>
    <s v="Brood"/>
    <n v="20000"/>
    <m/>
    <n v="8.4149999999999991"/>
    <n v="1.75"/>
    <m/>
    <n v="1"/>
    <n v="2.4500000000000002"/>
    <m/>
    <m/>
    <m/>
    <m/>
    <n v="168299.99999999997"/>
    <n v="35000"/>
    <n v="49000"/>
    <n v="19600"/>
  </r>
  <r>
    <n v="19"/>
    <d v="2006-01-01T00:00:00"/>
    <x v="0"/>
    <x v="6"/>
    <s v="?"/>
    <n v="2"/>
    <s v="Brood"/>
    <n v="20000"/>
    <n v="28.92"/>
    <n v="14.58"/>
    <n v="3.5"/>
    <m/>
    <m/>
    <n v="3.25"/>
    <n v="1"/>
    <n v="8"/>
    <n v="32"/>
    <m/>
    <n v="291600"/>
    <n v="70000"/>
    <n v="65000"/>
    <n v="26000"/>
  </r>
  <r>
    <n v="19"/>
    <d v="2006-02-01T00:00:00"/>
    <x v="1"/>
    <x v="6"/>
    <s v="?"/>
    <n v="2"/>
    <s v="Brood"/>
    <n v="20000"/>
    <m/>
    <n v="9.24"/>
    <n v="2.9249999999999998"/>
    <m/>
    <n v="1"/>
    <n v="1.625"/>
    <m/>
    <m/>
    <m/>
    <m/>
    <n v="184800"/>
    <n v="58500"/>
    <n v="32500"/>
    <n v="13000"/>
  </r>
  <r>
    <n v="19"/>
    <d v="2006-03-01T00:00:00"/>
    <x v="2"/>
    <x v="6"/>
    <s v="?"/>
    <n v="2"/>
    <s v="Brood"/>
    <n v="28371"/>
    <n v="0.55000000000000004"/>
    <n v="3.9"/>
    <n v="2.35"/>
    <m/>
    <m/>
    <n v="0"/>
    <m/>
    <n v="7"/>
    <n v="32"/>
    <m/>
    <n v="110646.9"/>
    <n v="66671.850000000006"/>
    <n v="0"/>
    <n v="0"/>
  </r>
  <r>
    <n v="19"/>
    <d v="2006-04-01T00:00:00"/>
    <x v="3"/>
    <x v="6"/>
    <s v="?"/>
    <n v="2"/>
    <s v="Brood"/>
    <n v="27948"/>
    <n v="0"/>
    <n v="0.15"/>
    <n v="0.05"/>
    <n v="0"/>
    <m/>
    <n v="0"/>
    <m/>
    <n v="8"/>
    <n v="32"/>
    <m/>
    <n v="4192.2"/>
    <n v="1397.4"/>
    <n v="0"/>
    <n v="0"/>
  </r>
  <r>
    <n v="19"/>
    <d v="2006-05-01T00:00:00"/>
    <x v="4"/>
    <x v="6"/>
    <s v="?"/>
    <n v="2"/>
    <s v="Brood"/>
    <n v="22049"/>
    <n v="0.33"/>
    <n v="0.03"/>
    <n v="0.03"/>
    <m/>
    <m/>
    <n v="0"/>
    <m/>
    <n v="9"/>
    <n v="32"/>
    <m/>
    <n v="661.47"/>
    <n v="661.47"/>
    <n v="0"/>
    <n v="0"/>
  </r>
  <r>
    <n v="19"/>
    <d v="2006-06-01T00:00:00"/>
    <x v="5"/>
    <x v="6"/>
    <s v="?"/>
    <n v="2"/>
    <s v="Brood"/>
    <n v="20000"/>
    <m/>
    <m/>
    <n v="0.5"/>
    <m/>
    <n v="2"/>
    <n v="0.2"/>
    <m/>
    <m/>
    <m/>
    <m/>
    <m/>
    <n v="10000"/>
    <n v="4000"/>
    <n v="1600"/>
  </r>
  <r>
    <n v="19"/>
    <d v="2006-07-01T00:00:00"/>
    <x v="6"/>
    <x v="6"/>
    <s v="?"/>
    <n v="2"/>
    <s v="Brood"/>
    <n v="20000"/>
    <m/>
    <m/>
    <n v="1"/>
    <m/>
    <n v="2"/>
    <n v="0.4"/>
    <m/>
    <m/>
    <m/>
    <m/>
    <m/>
    <n v="20000"/>
    <n v="8000"/>
    <n v="3200"/>
  </r>
  <r>
    <n v="19"/>
    <d v="2006-08-01T00:00:00"/>
    <x v="7"/>
    <x v="6"/>
    <s v="?"/>
    <n v="2"/>
    <s v="Brood"/>
    <n v="20000"/>
    <n v="11.6"/>
    <n v="3.95"/>
    <n v="1.575"/>
    <m/>
    <m/>
    <n v="0.6"/>
    <m/>
    <n v="10"/>
    <n v="32"/>
    <m/>
    <n v="79000"/>
    <n v="31500"/>
    <n v="12000"/>
    <n v="4800"/>
  </r>
  <r>
    <n v="19"/>
    <d v="2006-09-01T00:00:00"/>
    <x v="8"/>
    <x v="6"/>
    <s v="?"/>
    <n v="2"/>
    <s v="Brood"/>
    <n v="20000"/>
    <m/>
    <n v="5.95"/>
    <n v="2.6524999999999999"/>
    <m/>
    <n v="1"/>
    <n v="2.8649999999999998"/>
    <m/>
    <m/>
    <m/>
    <m/>
    <n v="119000"/>
    <n v="53050"/>
    <n v="57299.999999999993"/>
    <n v="22920"/>
  </r>
  <r>
    <n v="19"/>
    <d v="2006-10-01T00:00:00"/>
    <x v="9"/>
    <x v="6"/>
    <s v="?"/>
    <n v="2"/>
    <s v="Brood"/>
    <n v="20000"/>
    <n v="23.48"/>
    <n v="7.95"/>
    <n v="3.73"/>
    <m/>
    <m/>
    <n v="5.13"/>
    <m/>
    <m/>
    <m/>
    <m/>
    <n v="159000"/>
    <n v="74600"/>
    <n v="102600"/>
    <n v="41040"/>
  </r>
  <r>
    <n v="19"/>
    <d v="2006-11-01T00:00:00"/>
    <x v="10"/>
    <x v="6"/>
    <s v="?"/>
    <n v="2"/>
    <s v="Brood"/>
    <n v="20000"/>
    <m/>
    <n v="9.2750000000000004"/>
    <n v="4.9800000000000004"/>
    <m/>
    <n v="1"/>
    <n v="2.58"/>
    <m/>
    <m/>
    <m/>
    <m/>
    <n v="185500"/>
    <n v="99600.000000000015"/>
    <n v="51600"/>
    <n v="20640"/>
  </r>
  <r>
    <n v="19"/>
    <d v="2006-12-01T00:00:00"/>
    <x v="11"/>
    <x v="6"/>
    <s v="?"/>
    <n v="2"/>
    <s v="Brood"/>
    <n v="20000"/>
    <n v="32.5"/>
    <n v="10.6"/>
    <n v="6.23"/>
    <m/>
    <m/>
    <n v="0.03"/>
    <m/>
    <n v="7"/>
    <n v="32"/>
    <m/>
    <n v="212000"/>
    <n v="124600.00000000001"/>
    <n v="600"/>
    <n v="240"/>
  </r>
  <r>
    <n v="19"/>
    <d v="2007-01-01T00:00:00"/>
    <x v="0"/>
    <x v="7"/>
    <m/>
    <m/>
    <s v="Brood"/>
    <n v="3066"/>
    <m/>
    <n v="12"/>
    <n v="7.5"/>
    <m/>
    <n v="1"/>
    <n v="0.04"/>
    <n v="1"/>
    <m/>
    <m/>
    <m/>
    <n v="36792"/>
    <n v="22995"/>
    <n v="122.64"/>
    <n v="49.056000000000004"/>
  </r>
  <r>
    <n v="19"/>
    <d v="2007-02-01T00:00:00"/>
    <x v="1"/>
    <x v="7"/>
    <m/>
    <m/>
    <s v="Brood"/>
    <n v="13983"/>
    <n v="0.15"/>
    <n v="3.4"/>
    <n v="2.4500000000000002"/>
    <m/>
    <m/>
    <n v="0.05"/>
    <m/>
    <n v="7"/>
    <n v="32"/>
    <s v="transferred from farm #18 and farm #22 "/>
    <n v="47542.2"/>
    <n v="34258.350000000006"/>
    <n v="699.15000000000009"/>
    <n v="279.66000000000003"/>
  </r>
  <r>
    <n v="19"/>
    <d v="2007-03-01T00:00:00"/>
    <x v="2"/>
    <x v="7"/>
    <m/>
    <m/>
    <s v="Brood"/>
    <n v="14179"/>
    <n v="0.45"/>
    <n v="0.55000000000000004"/>
    <n v="0.2"/>
    <n v="0"/>
    <m/>
    <n v="0.45"/>
    <m/>
    <n v="7"/>
    <n v="32"/>
    <m/>
    <n v="7798.4500000000007"/>
    <n v="2835.8"/>
    <n v="6380.55"/>
    <n v="2552.2200000000003"/>
  </r>
  <r>
    <n v="19"/>
    <d v="2007-04-01T00:00:00"/>
    <x v="3"/>
    <x v="7"/>
    <m/>
    <m/>
    <s v="Brood"/>
    <n v="14136"/>
    <n v="0.8"/>
    <n v="0"/>
    <n v="0"/>
    <m/>
    <m/>
    <n v="0.1"/>
    <m/>
    <n v="8"/>
    <n v="32"/>
    <m/>
    <n v="0"/>
    <n v="0"/>
    <n v="1413.6000000000001"/>
    <n v="565.44000000000005"/>
  </r>
  <r>
    <n v="19"/>
    <d v="2007-05-01T00:00:00"/>
    <x v="4"/>
    <x v="7"/>
    <m/>
    <m/>
    <s v="Brood"/>
    <n v="14027"/>
    <m/>
    <m/>
    <n v="0"/>
    <m/>
    <n v="2"/>
    <n v="0.6"/>
    <m/>
    <m/>
    <m/>
    <m/>
    <m/>
    <n v="0"/>
    <n v="8416.1999999999989"/>
    <n v="3366.4799999999996"/>
  </r>
  <r>
    <n v="19"/>
    <d v="2007-06-01T00:00:00"/>
    <x v="5"/>
    <x v="7"/>
    <m/>
    <m/>
    <s v="Brood"/>
    <n v="12020"/>
    <m/>
    <m/>
    <n v="0.05"/>
    <m/>
    <n v="2"/>
    <n v="1.2"/>
    <m/>
    <m/>
    <m/>
    <m/>
    <m/>
    <n v="601"/>
    <n v="14424"/>
    <n v="5769.6"/>
  </r>
  <r>
    <n v="19"/>
    <d v="2007-07-01T00:00:00"/>
    <x v="6"/>
    <x v="7"/>
    <m/>
    <m/>
    <s v="Brood"/>
    <n v="11117"/>
    <n v="3"/>
    <n v="0.35"/>
    <n v="0.1"/>
    <m/>
    <m/>
    <n v="1.9"/>
    <m/>
    <n v="9"/>
    <n v="32"/>
    <m/>
    <n v="3890.95"/>
    <n v="1111.7"/>
    <n v="21122.3"/>
    <n v="8448.92"/>
  </r>
  <r>
    <n v="19"/>
    <d v="2007-08-01T00:00:00"/>
    <x v="7"/>
    <x v="7"/>
    <m/>
    <m/>
    <s v="Brood"/>
    <n v="10140"/>
    <m/>
    <n v="1.55"/>
    <n v="0.65"/>
    <m/>
    <n v="1"/>
    <n v="1"/>
    <m/>
    <m/>
    <m/>
    <m/>
    <n v="15717"/>
    <n v="6591"/>
    <n v="10140"/>
    <n v="4056"/>
  </r>
  <r>
    <n v="19"/>
    <d v="2007-09-01T00:00:00"/>
    <x v="8"/>
    <x v="7"/>
    <m/>
    <m/>
    <s v="Brood"/>
    <n v="7571"/>
    <n v="0"/>
    <n v="2.75"/>
    <n v="1.2"/>
    <m/>
    <m/>
    <n v="0.1"/>
    <m/>
    <n v="9"/>
    <n v="32"/>
    <m/>
    <n v="20820.25"/>
    <n v="9085.1999999999989"/>
    <n v="757.1"/>
    <n v="302.84000000000003"/>
  </r>
  <r>
    <n v="19"/>
    <d v="2007-10-01T00:00:00"/>
    <x v="9"/>
    <x v="7"/>
    <m/>
    <m/>
    <s v="Brood"/>
    <n v="7429"/>
    <n v="0.9"/>
    <n v="2.2999999999999998"/>
    <n v="1.2"/>
    <n v="0"/>
    <m/>
    <n v="0"/>
    <m/>
    <n v="9"/>
    <m/>
    <m/>
    <n v="17086.699999999997"/>
    <n v="8914.7999999999993"/>
    <n v="0"/>
    <n v="0"/>
  </r>
  <r>
    <n v="19"/>
    <d v="2007-11-01T00:00:00"/>
    <x v="10"/>
    <x v="7"/>
    <m/>
    <m/>
    <s v="Brood"/>
    <n v="5312"/>
    <n v="3.65"/>
    <n v="1.4"/>
    <n v="0.3"/>
    <n v="1"/>
    <m/>
    <n v="0.25"/>
    <m/>
    <n v="8"/>
    <m/>
    <m/>
    <n v="7436.7999999999993"/>
    <n v="1593.6"/>
    <n v="1328"/>
    <n v="531.20000000000005"/>
  </r>
  <r>
    <n v="19"/>
    <d v="2007-12-01T00:00:00"/>
    <x v="11"/>
    <x v="7"/>
    <m/>
    <m/>
    <s v="Brood"/>
    <n v="2786"/>
    <n v="0.7"/>
    <n v="4.1500000000000004"/>
    <n v="3.2"/>
    <m/>
    <m/>
    <n v="0"/>
    <m/>
    <n v="7"/>
    <m/>
    <m/>
    <n v="11561.900000000001"/>
    <n v="8915.2000000000007"/>
    <n v="0"/>
    <n v="0"/>
  </r>
  <r>
    <n v="19"/>
    <d v="2008-01-01T00:00:00"/>
    <x v="0"/>
    <x v="8"/>
    <m/>
    <m/>
    <m/>
    <m/>
    <m/>
    <m/>
    <m/>
    <m/>
    <m/>
    <m/>
    <m/>
    <m/>
    <m/>
    <m/>
    <m/>
    <m/>
    <m/>
    <m/>
  </r>
  <r>
    <n v="19"/>
    <d v="2008-02-01T00:00:00"/>
    <x v="1"/>
    <x v="8"/>
    <m/>
    <m/>
    <m/>
    <m/>
    <m/>
    <m/>
    <m/>
    <m/>
    <m/>
    <m/>
    <m/>
    <m/>
    <m/>
    <m/>
    <m/>
    <m/>
    <m/>
    <m/>
  </r>
  <r>
    <n v="19"/>
    <d v="2008-03-01T00:00:00"/>
    <x v="2"/>
    <x v="8"/>
    <m/>
    <m/>
    <s v="Brood"/>
    <n v="35800"/>
    <n v="2.15"/>
    <n v="4.4000000000000004"/>
    <n v="3.1"/>
    <m/>
    <m/>
    <n v="0"/>
    <n v="1"/>
    <m/>
    <m/>
    <m/>
    <n v="157520"/>
    <n v="110980"/>
    <n v="0"/>
    <n v="0"/>
  </r>
  <r>
    <n v="19"/>
    <d v="2008-04-01T00:00:00"/>
    <x v="3"/>
    <x v="8"/>
    <m/>
    <m/>
    <s v="Brood"/>
    <n v="35557"/>
    <n v="0.05"/>
    <n v="0.9"/>
    <n v="0.6"/>
    <n v="0"/>
    <m/>
    <n v="0"/>
    <m/>
    <m/>
    <m/>
    <m/>
    <n v="32001.3"/>
    <n v="21334.2"/>
    <n v="0"/>
    <n v="0"/>
  </r>
  <r>
    <n v="19"/>
    <d v="2008-05-01T00:00:00"/>
    <x v="4"/>
    <x v="8"/>
    <m/>
    <m/>
    <s v="Brood"/>
    <n v="35411"/>
    <n v="0.83"/>
    <n v="0.2"/>
    <n v="0.03"/>
    <n v="0"/>
    <m/>
    <n v="0.2"/>
    <m/>
    <m/>
    <m/>
    <m/>
    <n v="7082.2000000000007"/>
    <n v="1062.33"/>
    <n v="7082.2000000000007"/>
    <n v="2832.8800000000006"/>
  </r>
  <r>
    <n v="19"/>
    <d v="2008-06-01T00:00:00"/>
    <x v="5"/>
    <x v="8"/>
    <m/>
    <m/>
    <s v="Brood"/>
    <n v="30188"/>
    <n v="0.13"/>
    <n v="0.27"/>
    <n v="0.02"/>
    <n v="0"/>
    <m/>
    <n v="0.12"/>
    <m/>
    <m/>
    <m/>
    <m/>
    <n v="8150.76"/>
    <n v="603.76"/>
    <n v="3622.56"/>
    <n v="1449.0240000000001"/>
  </r>
  <r>
    <n v="19"/>
    <d v="2008-07-01T00:00:00"/>
    <x v="6"/>
    <x v="8"/>
    <m/>
    <m/>
    <s v="Brood"/>
    <n v="21000"/>
    <n v="0.08"/>
    <n v="0.15"/>
    <n v="7.0000000000000007E-2"/>
    <n v="0"/>
    <m/>
    <n v="0.03"/>
    <m/>
    <m/>
    <m/>
    <m/>
    <n v="3150"/>
    <n v="1470.0000000000002"/>
    <n v="630"/>
    <n v="252"/>
  </r>
  <r>
    <n v="19"/>
    <d v="2008-08-01T00:00:00"/>
    <x v="7"/>
    <x v="8"/>
    <m/>
    <m/>
    <s v="Brood"/>
    <n v="20000"/>
    <n v="0.68"/>
    <n v="0.13"/>
    <n v="0"/>
    <n v="0"/>
    <m/>
    <n v="0.03"/>
    <m/>
    <m/>
    <m/>
    <m/>
    <n v="2600"/>
    <n v="0"/>
    <n v="600"/>
    <n v="240"/>
  </r>
  <r>
    <n v="19"/>
    <d v="2008-09-01T00:00:00"/>
    <x v="8"/>
    <x v="8"/>
    <m/>
    <m/>
    <s v="Brood"/>
    <n v="17000"/>
    <n v="0.95"/>
    <n v="0.35"/>
    <n v="0.03"/>
    <n v="0"/>
    <m/>
    <n v="0.08"/>
    <m/>
    <m/>
    <m/>
    <m/>
    <n v="5950"/>
    <n v="510"/>
    <n v="1360"/>
    <n v="544"/>
  </r>
  <r>
    <n v="19"/>
    <d v="2008-10-01T00:00:00"/>
    <x v="9"/>
    <x v="8"/>
    <m/>
    <m/>
    <s v="Brood"/>
    <n v="17000"/>
    <n v="0.88"/>
    <n v="0.85"/>
    <n v="0.38"/>
    <n v="0"/>
    <m/>
    <n v="0"/>
    <m/>
    <m/>
    <m/>
    <m/>
    <n v="14450"/>
    <n v="6460"/>
    <n v="0"/>
    <n v="0"/>
  </r>
  <r>
    <n v="19"/>
    <d v="2008-11-01T00:00:00"/>
    <x v="10"/>
    <x v="8"/>
    <m/>
    <m/>
    <s v="Brood"/>
    <n v="16000"/>
    <n v="7.55"/>
    <n v="2.15"/>
    <n v="1.23"/>
    <m/>
    <m/>
    <n v="1.25"/>
    <m/>
    <m/>
    <m/>
    <m/>
    <n v="34400"/>
    <n v="19680"/>
    <n v="20000"/>
    <n v="8000"/>
  </r>
  <r>
    <n v="19"/>
    <d v="2008-12-01T00:00:00"/>
    <x v="11"/>
    <x v="8"/>
    <m/>
    <m/>
    <s v="Brood"/>
    <n v="15000"/>
    <m/>
    <n v="3.45"/>
    <n v="2.08"/>
    <m/>
    <n v="2"/>
    <n v="2.5"/>
    <m/>
    <m/>
    <m/>
    <m/>
    <n v="51750"/>
    <n v="31200"/>
    <n v="37500"/>
    <n v="15000"/>
  </r>
  <r>
    <n v="19"/>
    <d v="2009-01-01T00:00:00"/>
    <x v="0"/>
    <x v="9"/>
    <m/>
    <m/>
    <s v="Brood"/>
    <n v="23147"/>
    <m/>
    <n v="4"/>
    <n v="2.8"/>
    <m/>
    <n v="2"/>
    <n v="3.5"/>
    <n v="1"/>
    <m/>
    <m/>
    <m/>
    <n v="92588"/>
    <n v="64811.6"/>
    <n v="81014.5"/>
    <n v="32405.800000000003"/>
  </r>
  <r>
    <n v="19"/>
    <d v="2009-02-01T00:00:00"/>
    <x v="1"/>
    <x v="9"/>
    <m/>
    <m/>
    <s v="Brood"/>
    <n v="28173"/>
    <n v="0.15"/>
    <n v="0.53"/>
    <n v="0.1"/>
    <m/>
    <m/>
    <n v="0"/>
    <m/>
    <m/>
    <m/>
    <m/>
    <n v="14931.69"/>
    <n v="2817.3"/>
    <n v="0"/>
    <n v="0"/>
  </r>
  <r>
    <n v="19"/>
    <d v="2009-03-01T00:00:00"/>
    <x v="2"/>
    <x v="9"/>
    <m/>
    <m/>
    <s v="Brood"/>
    <n v="17554"/>
    <n v="0"/>
    <n v="0"/>
    <n v="0"/>
    <n v="0"/>
    <m/>
    <n v="0"/>
    <m/>
    <m/>
    <m/>
    <m/>
    <n v="0"/>
    <n v="0"/>
    <n v="0"/>
    <n v="0"/>
  </r>
  <r>
    <n v="19"/>
    <d v="2009-04-01T00:00:00"/>
    <x v="3"/>
    <x v="9"/>
    <m/>
    <m/>
    <s v="Brood"/>
    <n v="17526"/>
    <n v="0.12"/>
    <n v="0.15"/>
    <n v="0.04"/>
    <n v="0"/>
    <m/>
    <n v="0"/>
    <m/>
    <m/>
    <m/>
    <m/>
    <n v="2628.9"/>
    <n v="701.04"/>
    <n v="0"/>
    <n v="0"/>
  </r>
  <r>
    <n v="19"/>
    <d v="2009-05-01T00:00:00"/>
    <x v="4"/>
    <x v="9"/>
    <m/>
    <m/>
    <s v="Brood"/>
    <n v="16335"/>
    <n v="0"/>
    <n v="0"/>
    <n v="0"/>
    <n v="0"/>
    <m/>
    <n v="0"/>
    <m/>
    <m/>
    <m/>
    <m/>
    <n v="0"/>
    <n v="0"/>
    <n v="0"/>
    <n v="0"/>
  </r>
  <r>
    <n v="19"/>
    <d v="2009-06-01T00:00:00"/>
    <x v="5"/>
    <x v="9"/>
    <m/>
    <m/>
    <s v="Brood"/>
    <n v="16609"/>
    <n v="0.05"/>
    <n v="0.03"/>
    <n v="0"/>
    <n v="0"/>
    <m/>
    <n v="0"/>
    <m/>
    <m/>
    <m/>
    <m/>
    <n v="498.27"/>
    <n v="0"/>
    <n v="0"/>
    <n v="0"/>
  </r>
  <r>
    <n v="19"/>
    <d v="2009-07-01T00:00:00"/>
    <x v="6"/>
    <x v="9"/>
    <n v="456"/>
    <n v="2"/>
    <d v="2008-04-01T00:00:00"/>
    <n v="13282"/>
    <n v="0.3"/>
    <n v="0.45"/>
    <n v="0.13"/>
    <n v="0"/>
    <m/>
    <n v="0.25"/>
    <m/>
    <m/>
    <m/>
    <m/>
    <n v="5976.9000000000005"/>
    <n v="1726.66"/>
    <n v="3320.5"/>
    <n v="1328.2"/>
  </r>
  <r>
    <n v="19"/>
    <d v="2009-08-01T00:00:00"/>
    <x v="7"/>
    <x v="9"/>
    <n v="487"/>
    <n v="2"/>
    <d v="2008-04-01T00:00:00"/>
    <n v="13265"/>
    <n v="1.7749999999999999"/>
    <n v="0.47499999999999998"/>
    <n v="0.1"/>
    <m/>
    <m/>
    <n v="0.1"/>
    <m/>
    <m/>
    <m/>
    <m/>
    <n v="6300.875"/>
    <n v="1326.5"/>
    <n v="1326.5"/>
    <n v="530.6"/>
  </r>
  <r>
    <n v="19"/>
    <d v="2009-09-01T00:00:00"/>
    <x v="8"/>
    <x v="9"/>
    <n v="518"/>
    <n v="2"/>
    <d v="2008-04-01T00:00:00"/>
    <n v="13238.5"/>
    <m/>
    <n v="1.6625000000000001"/>
    <n v="0.59000000000000008"/>
    <m/>
    <n v="1"/>
    <n v="0.05"/>
    <m/>
    <m/>
    <m/>
    <s v="no  count"/>
    <n v="22009.006250000002"/>
    <n v="7810.7150000000011"/>
    <n v="661.92500000000007"/>
    <n v="264.77000000000004"/>
  </r>
  <r>
    <n v="19"/>
    <d v="2009-10-01T00:00:00"/>
    <x v="9"/>
    <x v="9"/>
    <n v="548"/>
    <n v="2"/>
    <d v="2008-04-01T00:00:00"/>
    <n v="13212"/>
    <n v="0.9"/>
    <n v="2.85"/>
    <n v="1.08"/>
    <m/>
    <m/>
    <n v="0"/>
    <m/>
    <m/>
    <m/>
    <m/>
    <n v="37654.200000000004"/>
    <n v="14268.960000000001"/>
    <n v="0"/>
    <n v="0"/>
  </r>
  <r>
    <n v="19"/>
    <d v="2009-11-01T00:00:00"/>
    <x v="10"/>
    <x v="9"/>
    <n v="579"/>
    <n v="2"/>
    <d v="2008-04-01T00:00:00"/>
    <n v="13107"/>
    <n v="1.65"/>
    <n v="7.95"/>
    <n v="6.0750000000000002"/>
    <n v="0"/>
    <m/>
    <n v="0.2"/>
    <m/>
    <m/>
    <m/>
    <m/>
    <n v="104200.65000000001"/>
    <n v="79625.025000000009"/>
    <n v="2621.4"/>
    <n v="1048.5600000000002"/>
  </r>
  <r>
    <n v="19"/>
    <d v="2009-12-01T00:00:00"/>
    <x v="11"/>
    <x v="9"/>
    <n v="609"/>
    <n v="2"/>
    <d v="2008-04-01T00:00:00"/>
    <n v="13071"/>
    <n v="10.7"/>
    <n v="22.55"/>
    <n v="7.75"/>
    <m/>
    <m/>
    <n v="4.2"/>
    <n v="1"/>
    <m/>
    <m/>
    <m/>
    <n v="294751.05"/>
    <n v="101300.25"/>
    <n v="54898.200000000004"/>
    <n v="21959.280000000002"/>
  </r>
  <r>
    <n v="20"/>
    <d v="2000-01-01T00:00:00"/>
    <x v="0"/>
    <x v="0"/>
    <n v="671"/>
    <n v="2"/>
    <d v="1998-03-01T00:00:00"/>
    <n v="37959"/>
    <m/>
    <m/>
    <m/>
    <m/>
    <m/>
    <m/>
    <m/>
    <m/>
    <m/>
    <s v="harvesting"/>
    <m/>
    <m/>
    <m/>
    <m/>
  </r>
  <r>
    <n v="20"/>
    <d v="2000-02-01T00:00:00"/>
    <x v="1"/>
    <x v="0"/>
    <m/>
    <m/>
    <m/>
    <m/>
    <m/>
    <m/>
    <m/>
    <m/>
    <m/>
    <m/>
    <m/>
    <m/>
    <m/>
    <m/>
    <m/>
    <m/>
    <m/>
    <m/>
  </r>
  <r>
    <n v="20"/>
    <d v="2000-03-01T00:00:00"/>
    <x v="2"/>
    <x v="0"/>
    <m/>
    <m/>
    <m/>
    <m/>
    <m/>
    <m/>
    <m/>
    <m/>
    <m/>
    <m/>
    <m/>
    <m/>
    <m/>
    <m/>
    <m/>
    <m/>
    <m/>
    <m/>
  </r>
  <r>
    <n v="20"/>
    <d v="2000-04-01T00:00:00"/>
    <x v="3"/>
    <x v="0"/>
    <m/>
    <m/>
    <m/>
    <m/>
    <m/>
    <m/>
    <m/>
    <m/>
    <m/>
    <m/>
    <m/>
    <m/>
    <m/>
    <m/>
    <m/>
    <m/>
    <m/>
    <m/>
  </r>
  <r>
    <n v="20"/>
    <d v="2000-05-01T00:00:00"/>
    <x v="4"/>
    <x v="0"/>
    <m/>
    <m/>
    <m/>
    <m/>
    <m/>
    <m/>
    <m/>
    <m/>
    <m/>
    <m/>
    <m/>
    <m/>
    <m/>
    <m/>
    <m/>
    <m/>
    <m/>
    <m/>
  </r>
  <r>
    <n v="20"/>
    <d v="2000-06-01T00:00:00"/>
    <x v="5"/>
    <x v="0"/>
    <m/>
    <m/>
    <m/>
    <m/>
    <m/>
    <m/>
    <m/>
    <m/>
    <m/>
    <m/>
    <m/>
    <m/>
    <m/>
    <m/>
    <m/>
    <m/>
    <m/>
    <m/>
  </r>
  <r>
    <n v="20"/>
    <d v="2000-07-01T00:00:00"/>
    <x v="6"/>
    <x v="0"/>
    <m/>
    <m/>
    <m/>
    <m/>
    <m/>
    <m/>
    <m/>
    <m/>
    <m/>
    <m/>
    <m/>
    <m/>
    <m/>
    <m/>
    <m/>
    <m/>
    <m/>
    <m/>
  </r>
  <r>
    <n v="20"/>
    <d v="2000-08-01T00:00:00"/>
    <x v="7"/>
    <x v="0"/>
    <m/>
    <m/>
    <m/>
    <m/>
    <m/>
    <m/>
    <m/>
    <m/>
    <m/>
    <m/>
    <m/>
    <m/>
    <m/>
    <m/>
    <m/>
    <m/>
    <m/>
    <m/>
  </r>
  <r>
    <n v="20"/>
    <d v="2000-09-01T00:00:00"/>
    <x v="8"/>
    <x v="0"/>
    <n v="153"/>
    <n v="1"/>
    <d v="2000-04-01T00:00:00"/>
    <n v="397165"/>
    <m/>
    <m/>
    <m/>
    <m/>
    <m/>
    <m/>
    <m/>
    <m/>
    <m/>
    <s v="transferred from farm #14 "/>
    <m/>
    <m/>
    <m/>
    <m/>
  </r>
  <r>
    <n v="20"/>
    <d v="2000-10-01T00:00:00"/>
    <x v="9"/>
    <x v="0"/>
    <n v="183"/>
    <n v="1"/>
    <d v="2000-04-01T00:00:00"/>
    <n v="396933"/>
    <m/>
    <m/>
    <m/>
    <m/>
    <m/>
    <m/>
    <m/>
    <m/>
    <m/>
    <m/>
    <m/>
    <m/>
    <m/>
    <m/>
  </r>
  <r>
    <n v="20"/>
    <d v="2000-11-01T00:00:00"/>
    <x v="10"/>
    <x v="0"/>
    <n v="214"/>
    <n v="1"/>
    <d v="2000-04-01T00:00:00"/>
    <n v="396744"/>
    <m/>
    <m/>
    <m/>
    <m/>
    <m/>
    <m/>
    <m/>
    <m/>
    <m/>
    <m/>
    <m/>
    <m/>
    <m/>
    <m/>
  </r>
  <r>
    <n v="20"/>
    <d v="2000-12-01T00:00:00"/>
    <x v="11"/>
    <x v="0"/>
    <n v="244"/>
    <n v="1"/>
    <d v="2000-04-01T00:00:00"/>
    <n v="396565"/>
    <m/>
    <m/>
    <m/>
    <m/>
    <m/>
    <m/>
    <m/>
    <m/>
    <m/>
    <m/>
    <m/>
    <m/>
    <m/>
    <m/>
  </r>
  <r>
    <n v="20"/>
    <d v="2001-01-01T00:00:00"/>
    <x v="0"/>
    <x v="1"/>
    <n v="275"/>
    <n v="1"/>
    <d v="2000-04-01T00:00:00"/>
    <n v="396299"/>
    <m/>
    <m/>
    <m/>
    <m/>
    <m/>
    <m/>
    <m/>
    <n v="8"/>
    <m/>
    <m/>
    <m/>
    <m/>
    <m/>
    <m/>
  </r>
  <r>
    <n v="20"/>
    <d v="2001-02-01T00:00:00"/>
    <x v="1"/>
    <x v="1"/>
    <n v="306"/>
    <n v="1"/>
    <d v="2000-04-01T00:00:00"/>
    <n v="396293"/>
    <m/>
    <m/>
    <m/>
    <m/>
    <m/>
    <m/>
    <m/>
    <m/>
    <m/>
    <m/>
    <m/>
    <m/>
    <m/>
    <m/>
  </r>
  <r>
    <n v="20"/>
    <d v="2001-03-01T00:00:00"/>
    <x v="2"/>
    <x v="1"/>
    <n v="334"/>
    <n v="1"/>
    <d v="2000-04-01T00:00:00"/>
    <n v="395945"/>
    <m/>
    <m/>
    <m/>
    <m/>
    <m/>
    <m/>
    <m/>
    <m/>
    <m/>
    <m/>
    <m/>
    <m/>
    <m/>
    <m/>
  </r>
  <r>
    <n v="20"/>
    <d v="2001-04-01T00:00:00"/>
    <x v="3"/>
    <x v="1"/>
    <n v="365"/>
    <n v="2"/>
    <d v="2000-04-01T00:00:00"/>
    <n v="395728"/>
    <m/>
    <m/>
    <m/>
    <m/>
    <m/>
    <m/>
    <m/>
    <m/>
    <m/>
    <m/>
    <m/>
    <m/>
    <m/>
    <m/>
  </r>
  <r>
    <n v="20"/>
    <d v="2001-05-01T00:00:00"/>
    <x v="4"/>
    <x v="1"/>
    <n v="395"/>
    <n v="2"/>
    <d v="2000-04-01T00:00:00"/>
    <n v="395539"/>
    <m/>
    <m/>
    <m/>
    <m/>
    <m/>
    <m/>
    <m/>
    <m/>
    <m/>
    <m/>
    <m/>
    <m/>
    <m/>
    <m/>
  </r>
  <r>
    <n v="20"/>
    <d v="2001-06-01T00:00:00"/>
    <x v="5"/>
    <x v="1"/>
    <n v="426"/>
    <n v="2"/>
    <d v="2000-04-01T00:00:00"/>
    <n v="395311"/>
    <m/>
    <m/>
    <n v="7"/>
    <m/>
    <s v="o"/>
    <n v="0"/>
    <m/>
    <n v="8.9"/>
    <m/>
    <m/>
    <m/>
    <n v="2767177"/>
    <n v="0"/>
    <n v="0"/>
  </r>
  <r>
    <n v="20"/>
    <d v="2001-07-01T00:00:00"/>
    <x v="6"/>
    <x v="1"/>
    <n v="456"/>
    <n v="2"/>
    <d v="2000-04-01T00:00:00"/>
    <n v="392362"/>
    <n v="7.1"/>
    <n v="19.55"/>
    <n v="10"/>
    <m/>
    <m/>
    <n v="0"/>
    <m/>
    <m/>
    <m/>
    <m/>
    <n v="7670677.1000000006"/>
    <n v="3923620"/>
    <n v="0"/>
    <n v="0"/>
  </r>
  <r>
    <n v="20"/>
    <d v="2001-08-01T00:00:00"/>
    <x v="7"/>
    <x v="1"/>
    <n v="487"/>
    <n v="2"/>
    <d v="2000-04-01T00:00:00"/>
    <n v="389593"/>
    <m/>
    <m/>
    <n v="10"/>
    <m/>
    <s v="o"/>
    <n v="0"/>
    <m/>
    <n v="11.7"/>
    <m/>
    <m/>
    <m/>
    <n v="3895930"/>
    <n v="0"/>
    <n v="0"/>
  </r>
  <r>
    <n v="20"/>
    <d v="2001-09-01T00:00:00"/>
    <x v="8"/>
    <x v="1"/>
    <n v="518"/>
    <n v="2"/>
    <d v="2000-04-01T00:00:00"/>
    <n v="290889"/>
    <m/>
    <m/>
    <n v="11"/>
    <m/>
    <s v="o"/>
    <n v="0"/>
    <m/>
    <n v="10.7"/>
    <m/>
    <s v="begin harvesting"/>
    <m/>
    <n v="3199779"/>
    <n v="0"/>
    <n v="0"/>
  </r>
  <r>
    <n v="20"/>
    <d v="2001-10-01T00:00:00"/>
    <x v="9"/>
    <x v="1"/>
    <n v="548"/>
    <n v="2"/>
    <d v="2000-04-01T00:00:00"/>
    <n v="219719"/>
    <m/>
    <m/>
    <n v="12"/>
    <m/>
    <s v="h"/>
    <n v="0"/>
    <m/>
    <n v="8.8000000000000007"/>
    <m/>
    <m/>
    <m/>
    <n v="2636628"/>
    <n v="0"/>
    <n v="0"/>
  </r>
  <r>
    <n v="20"/>
    <d v="2001-11-01T00:00:00"/>
    <x v="10"/>
    <x v="1"/>
    <n v="579"/>
    <n v="2"/>
    <d v="2000-04-01T00:00:00"/>
    <n v="68112"/>
    <m/>
    <m/>
    <n v="13"/>
    <m/>
    <s v="h"/>
    <n v="0"/>
    <m/>
    <n v="7.5"/>
    <m/>
    <m/>
    <m/>
    <n v="885456"/>
    <n v="0"/>
    <n v="0"/>
  </r>
  <r>
    <n v="20"/>
    <d v="2001-12-01T00:00:00"/>
    <x v="11"/>
    <x v="1"/>
    <n v="609"/>
    <n v="2"/>
    <d v="2000-04-01T00:00:00"/>
    <n v="8129"/>
    <m/>
    <m/>
    <n v="14"/>
    <m/>
    <s v="h"/>
    <n v="0"/>
    <m/>
    <n v="6.8"/>
    <m/>
    <m/>
    <m/>
    <n v="113806"/>
    <n v="0"/>
    <n v="0"/>
  </r>
  <r>
    <n v="20"/>
    <d v="2002-01-01T00:00:00"/>
    <x v="0"/>
    <x v="2"/>
    <m/>
    <m/>
    <m/>
    <m/>
    <m/>
    <m/>
    <m/>
    <m/>
    <m/>
    <m/>
    <m/>
    <m/>
    <m/>
    <m/>
    <m/>
    <m/>
    <m/>
    <m/>
  </r>
  <r>
    <n v="20"/>
    <d v="2002-02-01T00:00:00"/>
    <x v="1"/>
    <x v="2"/>
    <m/>
    <m/>
    <m/>
    <m/>
    <m/>
    <m/>
    <m/>
    <m/>
    <m/>
    <m/>
    <m/>
    <m/>
    <m/>
    <m/>
    <m/>
    <m/>
    <m/>
    <m/>
  </r>
  <r>
    <n v="20"/>
    <d v="2002-03-01T00:00:00"/>
    <x v="2"/>
    <x v="2"/>
    <m/>
    <m/>
    <m/>
    <m/>
    <m/>
    <m/>
    <m/>
    <m/>
    <m/>
    <m/>
    <m/>
    <m/>
    <m/>
    <m/>
    <m/>
    <m/>
    <m/>
    <m/>
  </r>
  <r>
    <n v="20"/>
    <d v="2002-04-01T00:00:00"/>
    <x v="3"/>
    <x v="2"/>
    <n v="0"/>
    <n v="1"/>
    <d v="2002-04-01T00:00:00"/>
    <n v="962597"/>
    <m/>
    <m/>
    <m/>
    <m/>
    <m/>
    <m/>
    <m/>
    <n v="8.4"/>
    <m/>
    <m/>
    <m/>
    <m/>
    <m/>
    <m/>
  </r>
  <r>
    <n v="20"/>
    <d v="2002-05-01T00:00:00"/>
    <x v="4"/>
    <x v="2"/>
    <n v="30"/>
    <n v="1"/>
    <d v="2002-04-01T00:00:00"/>
    <n v="1276845"/>
    <m/>
    <m/>
    <m/>
    <m/>
    <m/>
    <m/>
    <m/>
    <n v="9.1999999999999993"/>
    <m/>
    <m/>
    <m/>
    <m/>
    <m/>
    <m/>
  </r>
  <r>
    <n v="20"/>
    <d v="2002-06-01T00:00:00"/>
    <x v="5"/>
    <x v="2"/>
    <n v="61"/>
    <n v="1"/>
    <d v="2002-04-01T00:00:00"/>
    <n v="1255645"/>
    <m/>
    <m/>
    <m/>
    <m/>
    <m/>
    <m/>
    <m/>
    <n v="9.6"/>
    <m/>
    <m/>
    <m/>
    <m/>
    <m/>
    <m/>
  </r>
  <r>
    <n v="20"/>
    <d v="2002-07-01T00:00:00"/>
    <x v="6"/>
    <x v="2"/>
    <n v="91"/>
    <n v="1"/>
    <d v="2002-04-01T00:00:00"/>
    <n v="1193270"/>
    <m/>
    <m/>
    <m/>
    <m/>
    <m/>
    <m/>
    <m/>
    <m/>
    <m/>
    <m/>
    <m/>
    <m/>
    <m/>
    <m/>
  </r>
  <r>
    <n v="20"/>
    <d v="2002-08-01T00:00:00"/>
    <x v="7"/>
    <x v="2"/>
    <n v="122"/>
    <n v="1"/>
    <d v="2002-04-01T00:00:00"/>
    <n v="1139780"/>
    <m/>
    <m/>
    <m/>
    <m/>
    <m/>
    <m/>
    <m/>
    <n v="11.3"/>
    <m/>
    <m/>
    <m/>
    <m/>
    <m/>
    <m/>
  </r>
  <r>
    <n v="20"/>
    <d v="2002-09-01T00:00:00"/>
    <x v="8"/>
    <x v="2"/>
    <n v="153"/>
    <n v="1"/>
    <d v="2002-04-01T00:00:00"/>
    <n v="1135008"/>
    <m/>
    <m/>
    <m/>
    <m/>
    <m/>
    <m/>
    <m/>
    <m/>
    <m/>
    <m/>
    <m/>
    <m/>
    <m/>
    <m/>
  </r>
  <r>
    <n v="20"/>
    <d v="2002-10-01T00:00:00"/>
    <x v="9"/>
    <x v="2"/>
    <n v="183"/>
    <n v="1"/>
    <d v="2002-04-01T00:00:00"/>
    <n v="1130236"/>
    <m/>
    <m/>
    <m/>
    <m/>
    <m/>
    <m/>
    <m/>
    <m/>
    <m/>
    <m/>
    <m/>
    <m/>
    <m/>
    <m/>
  </r>
  <r>
    <n v="20"/>
    <d v="2002-11-01T00:00:00"/>
    <x v="10"/>
    <x v="2"/>
    <n v="214"/>
    <n v="1"/>
    <d v="2002-04-01T00:00:00"/>
    <n v="1128871"/>
    <m/>
    <m/>
    <m/>
    <m/>
    <m/>
    <m/>
    <m/>
    <n v="7.9"/>
    <m/>
    <m/>
    <m/>
    <m/>
    <m/>
    <m/>
  </r>
  <r>
    <n v="20"/>
    <d v="2002-12-01T00:00:00"/>
    <x v="11"/>
    <x v="2"/>
    <n v="244"/>
    <n v="1"/>
    <d v="2002-04-01T00:00:00"/>
    <n v="605921"/>
    <n v="3.4"/>
    <n v="1.8"/>
    <n v="0.85"/>
    <m/>
    <m/>
    <n v="0"/>
    <m/>
    <n v="7"/>
    <m/>
    <s v="transfer 539,792 fish to farm #24"/>
    <n v="1090657.8"/>
    <n v="515032.85"/>
    <n v="0"/>
    <n v="0"/>
  </r>
  <r>
    <n v="20"/>
    <d v="2003-01-01T00:00:00"/>
    <x v="0"/>
    <x v="3"/>
    <n v="275"/>
    <n v="1"/>
    <d v="2002-04-01T00:00:00"/>
    <n v="574017"/>
    <n v="4.5"/>
    <n v="1.6"/>
    <n v="0.6"/>
    <n v="0"/>
    <m/>
    <n v="0.2"/>
    <n v="1"/>
    <n v="6.8"/>
    <m/>
    <m/>
    <n v="918427.20000000007"/>
    <n v="344410.2"/>
    <n v="114803.40000000001"/>
    <n v="45921.360000000008"/>
  </r>
  <r>
    <n v="20"/>
    <d v="2003-02-01T00:00:00"/>
    <x v="1"/>
    <x v="3"/>
    <n v="306"/>
    <n v="1"/>
    <d v="2002-04-01T00:00:00"/>
    <n v="570726"/>
    <n v="0.1"/>
    <n v="0.1"/>
    <n v="0"/>
    <n v="0"/>
    <m/>
    <n v="0"/>
    <m/>
    <n v="7.2"/>
    <m/>
    <m/>
    <n v="57072.600000000006"/>
    <n v="0"/>
    <n v="0"/>
    <n v="0"/>
  </r>
  <r>
    <n v="20"/>
    <d v="2003-03-01T00:00:00"/>
    <x v="2"/>
    <x v="3"/>
    <n v="334"/>
    <n v="1"/>
    <d v="2002-04-01T00:00:00"/>
    <n v="577771"/>
    <n v="0.3"/>
    <n v="0"/>
    <n v="0"/>
    <n v="0"/>
    <m/>
    <n v="0"/>
    <m/>
    <n v="7.4"/>
    <n v="30"/>
    <m/>
    <n v="0"/>
    <n v="0"/>
    <n v="0"/>
    <n v="0"/>
  </r>
  <r>
    <n v="20"/>
    <d v="2003-04-01T00:00:00"/>
    <x v="3"/>
    <x v="3"/>
    <n v="365"/>
    <n v="2"/>
    <d v="2002-04-01T00:00:00"/>
    <n v="577271"/>
    <n v="0.2"/>
    <n v="0"/>
    <n v="0"/>
    <n v="0"/>
    <m/>
    <n v="0.05"/>
    <m/>
    <n v="8.3000000000000007"/>
    <n v="30.5"/>
    <m/>
    <n v="0"/>
    <n v="0"/>
    <n v="28863.550000000003"/>
    <n v="11545.420000000002"/>
  </r>
  <r>
    <n v="20"/>
    <d v="2003-05-01T00:00:00"/>
    <x v="4"/>
    <x v="3"/>
    <n v="395"/>
    <n v="2"/>
    <d v="2002-04-01T00:00:00"/>
    <n v="576797"/>
    <n v="0.77"/>
    <n v="0.13"/>
    <n v="0"/>
    <n v="0"/>
    <m/>
    <n v="1.47"/>
    <m/>
    <n v="9.6"/>
    <n v="29.3"/>
    <m/>
    <n v="74983.61"/>
    <n v="0"/>
    <n v="847891.59"/>
    <n v="339156.636"/>
  </r>
  <r>
    <n v="20"/>
    <d v="2003-06-01T00:00:00"/>
    <x v="5"/>
    <x v="3"/>
    <n v="426"/>
    <n v="2"/>
    <d v="2002-04-01T00:00:00"/>
    <n v="570480"/>
    <n v="1.1000000000000001"/>
    <n v="0.2"/>
    <n v="0.05"/>
    <n v="0"/>
    <m/>
    <n v="2.5"/>
    <m/>
    <n v="10.9"/>
    <n v="29"/>
    <m/>
    <n v="114096"/>
    <n v="28524"/>
    <n v="1426200"/>
    <n v="570480"/>
  </r>
  <r>
    <n v="20"/>
    <d v="2003-07-01T00:00:00"/>
    <x v="6"/>
    <x v="3"/>
    <n v="456"/>
    <n v="2"/>
    <d v="2002-04-01T00:00:00"/>
    <n v="556691.5"/>
    <n v="0.1"/>
    <n v="0.2"/>
    <n v="0.1"/>
    <n v="0"/>
    <m/>
    <n v="1"/>
    <m/>
    <n v="10.9"/>
    <n v="31"/>
    <m/>
    <n v="111338.3"/>
    <n v="55669.15"/>
    <n v="556691.5"/>
    <n v="222676.6"/>
  </r>
  <r>
    <n v="20"/>
    <d v="2003-08-01T00:00:00"/>
    <x v="7"/>
    <x v="3"/>
    <n v="487"/>
    <n v="2"/>
    <d v="2002-04-01T00:00:00"/>
    <n v="542903"/>
    <n v="0.3"/>
    <n v="0.9"/>
    <n v="0.5"/>
    <n v="0"/>
    <m/>
    <n v="0.3"/>
    <m/>
    <n v="13.2"/>
    <n v="29"/>
    <s v="harvesting"/>
    <n v="488612.7"/>
    <n v="271451.5"/>
    <n v="162870.9"/>
    <n v="65148.36"/>
  </r>
  <r>
    <n v="20"/>
    <d v="2003-09-01T00:00:00"/>
    <x v="8"/>
    <x v="3"/>
    <n v="518"/>
    <n v="2"/>
    <d v="2002-04-01T00:00:00"/>
    <n v="501067.5"/>
    <n v="0"/>
    <n v="2.4"/>
    <n v="1.2"/>
    <n v="0"/>
    <m/>
    <n v="0"/>
    <m/>
    <n v="11.5"/>
    <n v="25"/>
    <m/>
    <n v="1202562"/>
    <n v="601281"/>
    <n v="0"/>
    <n v="0"/>
  </r>
  <r>
    <n v="20"/>
    <d v="2003-10-01T00:00:00"/>
    <x v="9"/>
    <x v="3"/>
    <n v="548"/>
    <n v="2"/>
    <d v="2002-04-01T00:00:00"/>
    <n v="459232"/>
    <n v="0.45"/>
    <n v="5.15"/>
    <n v="2.4500000000000002"/>
    <n v="0"/>
    <m/>
    <n v="0.5"/>
    <m/>
    <n v="6.7"/>
    <m/>
    <s v="harvesting"/>
    <n v="2365044.8000000003"/>
    <n v="1125118.4000000001"/>
    <n v="229616"/>
    <n v="91846.400000000009"/>
  </r>
  <r>
    <n v="20"/>
    <d v="2003-11-01T00:00:00"/>
    <x v="10"/>
    <x v="3"/>
    <n v="579"/>
    <n v="2"/>
    <d v="2002-04-01T00:00:00"/>
    <n v="373873"/>
    <n v="0.3"/>
    <n v="5.07"/>
    <n v="3"/>
    <n v="0"/>
    <m/>
    <n v="0.33"/>
    <m/>
    <n v="9.1999999999999993"/>
    <n v="33"/>
    <s v="harvesting"/>
    <n v="1895536.11"/>
    <n v="1121619"/>
    <n v="123378.09000000001"/>
    <n v="49351.236000000004"/>
  </r>
  <r>
    <n v="20"/>
    <d v="2003-12-01T00:00:00"/>
    <x v="11"/>
    <x v="3"/>
    <n v="609"/>
    <n v="2"/>
    <d v="2002-04-01T00:00:00"/>
    <n v="355903"/>
    <n v="2.0299999999999998"/>
    <n v="7.93"/>
    <n v="3.53"/>
    <n v="0"/>
    <m/>
    <n v="3.1"/>
    <m/>
    <n v="7.7"/>
    <n v="26"/>
    <s v="harvesting"/>
    <n v="2822310.79"/>
    <n v="1256337.5899999999"/>
    <n v="1103299.3"/>
    <n v="441319.72000000003"/>
  </r>
  <r>
    <n v="20"/>
    <d v="2004-01-01T00:00:00"/>
    <x v="0"/>
    <x v="4"/>
    <n v="640"/>
    <n v="2"/>
    <d v="2002-04-01T00:00:00"/>
    <n v="231784"/>
    <n v="2.7"/>
    <n v="10.1"/>
    <n v="4.95"/>
    <m/>
    <m/>
    <n v="2.15"/>
    <n v="1"/>
    <n v="6.1"/>
    <n v="30"/>
    <s v="harvesting"/>
    <n v="2341018.4"/>
    <n v="1147330.8"/>
    <n v="498335.6"/>
    <n v="199334.24"/>
  </r>
  <r>
    <n v="20"/>
    <d v="2004-02-01T00:00:00"/>
    <x v="1"/>
    <x v="4"/>
    <n v="671"/>
    <n v="2"/>
    <d v="2002-04-01T00:00:00"/>
    <n v="230656"/>
    <m/>
    <n v="5.3"/>
    <n v="2.7250000000000001"/>
    <m/>
    <n v="1"/>
    <n v="1.075"/>
    <m/>
    <n v="6.55"/>
    <n v="29.5"/>
    <s v="harvesting"/>
    <n v="1222476.8"/>
    <n v="628537.59999999998"/>
    <n v="247955.19999999998"/>
    <n v="99182.080000000002"/>
  </r>
  <r>
    <n v="20"/>
    <d v="2004-03-01T00:00:00"/>
    <x v="2"/>
    <x v="4"/>
    <n v="700"/>
    <n v="2"/>
    <d v="2002-04-01T00:00:00"/>
    <n v="220510"/>
    <n v="0"/>
    <n v="0.5"/>
    <n v="0.5"/>
    <m/>
    <m/>
    <n v="0"/>
    <m/>
    <n v="7"/>
    <n v="29"/>
    <s v="harvesting"/>
    <n v="110255"/>
    <n v="110255"/>
    <n v="0"/>
    <n v="0"/>
  </r>
  <r>
    <n v="20"/>
    <d v="2004-04-01T00:00:00"/>
    <x v="3"/>
    <x v="4"/>
    <n v="731"/>
    <n v="3"/>
    <d v="2002-04-01T00:00:00"/>
    <n v="35116"/>
    <m/>
    <m/>
    <n v="0.2"/>
    <m/>
    <s v="h"/>
    <n v="0"/>
    <m/>
    <m/>
    <m/>
    <s v="harvesting"/>
    <m/>
    <n v="7023.2000000000007"/>
    <n v="0"/>
    <n v="0"/>
  </r>
  <r>
    <n v="20"/>
    <d v="2004-05-01T00:00:00"/>
    <x v="4"/>
    <x v="4"/>
    <m/>
    <m/>
    <m/>
    <m/>
    <m/>
    <m/>
    <m/>
    <m/>
    <m/>
    <m/>
    <m/>
    <m/>
    <m/>
    <m/>
    <m/>
    <m/>
    <m/>
    <m/>
  </r>
  <r>
    <n v="20"/>
    <d v="2004-06-01T00:00:00"/>
    <x v="5"/>
    <x v="4"/>
    <m/>
    <m/>
    <m/>
    <m/>
    <m/>
    <m/>
    <m/>
    <m/>
    <m/>
    <m/>
    <m/>
    <m/>
    <m/>
    <m/>
    <m/>
    <m/>
    <m/>
    <m/>
  </r>
  <r>
    <n v="20"/>
    <d v="2004-07-01T00:00:00"/>
    <x v="6"/>
    <x v="4"/>
    <m/>
    <m/>
    <m/>
    <m/>
    <m/>
    <m/>
    <m/>
    <m/>
    <m/>
    <m/>
    <m/>
    <m/>
    <m/>
    <m/>
    <m/>
    <m/>
    <m/>
    <m/>
  </r>
  <r>
    <n v="20"/>
    <d v="2004-08-01T00:00:00"/>
    <x v="7"/>
    <x v="4"/>
    <m/>
    <m/>
    <m/>
    <m/>
    <m/>
    <m/>
    <m/>
    <m/>
    <m/>
    <m/>
    <m/>
    <m/>
    <m/>
    <m/>
    <m/>
    <m/>
    <m/>
    <m/>
  </r>
  <r>
    <n v="20"/>
    <d v="2004-09-01T00:00:00"/>
    <x v="8"/>
    <x v="4"/>
    <m/>
    <m/>
    <m/>
    <m/>
    <m/>
    <m/>
    <m/>
    <m/>
    <m/>
    <m/>
    <m/>
    <m/>
    <m/>
    <m/>
    <m/>
    <m/>
    <m/>
    <m/>
  </r>
  <r>
    <n v="20"/>
    <d v="2004-10-01T00:00:00"/>
    <x v="9"/>
    <x v="4"/>
    <n v="243"/>
    <n v="1"/>
    <d v="2004-02-01T00:00:00"/>
    <n v="82348"/>
    <m/>
    <m/>
    <n v="0.7"/>
    <m/>
    <s v="t"/>
    <n v="0.2"/>
    <m/>
    <m/>
    <m/>
    <s v="transferred from farm #25"/>
    <m/>
    <n v="57643.6"/>
    <n v="16469.600000000002"/>
    <n v="6587.8400000000011"/>
  </r>
  <r>
    <n v="20"/>
    <d v="2004-11-01T00:00:00"/>
    <x v="10"/>
    <x v="4"/>
    <n v="274"/>
    <n v="1"/>
    <d v="2004-02-01T00:00:00"/>
    <n v="386567"/>
    <n v="5.2"/>
    <n v="0.47"/>
    <n v="1.47"/>
    <m/>
    <m/>
    <n v="0.03"/>
    <m/>
    <n v="8.3000000000000007"/>
    <n v="27"/>
    <m/>
    <n v="181686.49"/>
    <n v="568253.49"/>
    <n v="11597.01"/>
    <n v="4638.8040000000001"/>
  </r>
  <r>
    <n v="20"/>
    <d v="2004-12-01T00:00:00"/>
    <x v="11"/>
    <x v="4"/>
    <n v="304"/>
    <n v="1"/>
    <d v="2004-02-01T00:00:00"/>
    <n v="420494"/>
    <n v="7.22"/>
    <n v="2.4500000000000002"/>
    <n v="0.87"/>
    <n v="1"/>
    <m/>
    <n v="0"/>
    <m/>
    <n v="7"/>
    <n v="30"/>
    <m/>
    <n v="1030210.3"/>
    <n v="365829.77999999997"/>
    <n v="0"/>
    <n v="0"/>
  </r>
  <r>
    <n v="20"/>
    <d v="2005-01-01T00:00:00"/>
    <x v="0"/>
    <x v="5"/>
    <n v="335"/>
    <n v="1"/>
    <d v="2004-02-01T00:00:00"/>
    <n v="521327"/>
    <n v="7.69"/>
    <n v="4.2699999999999996"/>
    <n v="1.43"/>
    <n v="0"/>
    <m/>
    <n v="1.97"/>
    <m/>
    <n v="7"/>
    <n v="30"/>
    <m/>
    <n v="2226066.2899999996"/>
    <n v="745497.61"/>
    <n v="1027014.19"/>
    <n v="410805.67599999998"/>
  </r>
  <r>
    <n v="20"/>
    <d v="2005-02-01T00:00:00"/>
    <x v="1"/>
    <x v="5"/>
    <n v="366"/>
    <n v="2"/>
    <d v="2004-02-01T00:00:00"/>
    <n v="520163.5"/>
    <n v="4.05"/>
    <n v="5.57"/>
    <n v="1.9"/>
    <m/>
    <m/>
    <n v="2.15"/>
    <n v="1"/>
    <n v="9"/>
    <n v="29"/>
    <m/>
    <n v="2897310.6950000003"/>
    <n v="988310.64999999991"/>
    <n v="1118351.5249999999"/>
    <n v="447340.61"/>
  </r>
  <r>
    <n v="20"/>
    <d v="2005-03-01T00:00:00"/>
    <x v="2"/>
    <x v="5"/>
    <n v="394"/>
    <n v="2"/>
    <d v="2004-02-01T00:00:00"/>
    <n v="519000"/>
    <m/>
    <n v="3.0500000000000003"/>
    <n v="1.04"/>
    <m/>
    <n v="1"/>
    <n v="1.085"/>
    <m/>
    <n v="9"/>
    <n v="24.5"/>
    <m/>
    <n v="1582950.0000000002"/>
    <n v="539760"/>
    <n v="563115"/>
    <n v="225246"/>
  </r>
  <r>
    <n v="20"/>
    <d v="2005-04-01T00:00:00"/>
    <x v="3"/>
    <x v="5"/>
    <n v="425"/>
    <n v="2"/>
    <d v="2004-02-01T00:00:00"/>
    <n v="517990"/>
    <n v="0.1"/>
    <n v="0.53"/>
    <n v="0.18"/>
    <m/>
    <m/>
    <n v="0.02"/>
    <m/>
    <n v="9"/>
    <n v="20"/>
    <m/>
    <n v="274534.7"/>
    <n v="93238.2"/>
    <n v="10359.800000000001"/>
    <n v="4143.920000000001"/>
  </r>
  <r>
    <n v="20"/>
    <d v="2005-05-01T00:00:00"/>
    <x v="4"/>
    <x v="5"/>
    <n v="455"/>
    <n v="2"/>
    <d v="2004-02-01T00:00:00"/>
    <n v="516367"/>
    <n v="1.73"/>
    <n v="0.68"/>
    <n v="0.32"/>
    <n v="0"/>
    <m/>
    <n v="0.27"/>
    <m/>
    <n v="11"/>
    <n v="29"/>
    <m/>
    <n v="351129.56"/>
    <n v="165237.44"/>
    <n v="139419.09"/>
    <n v="55767.635999999999"/>
  </r>
  <r>
    <n v="20"/>
    <d v="2005-06-01T00:00:00"/>
    <x v="5"/>
    <x v="5"/>
    <n v="486"/>
    <n v="2"/>
    <d v="2004-02-01T00:00:00"/>
    <n v="515000"/>
    <n v="2.13"/>
    <n v="1.1200000000000001"/>
    <n v="0.45"/>
    <n v="0"/>
    <m/>
    <n v="0.18"/>
    <m/>
    <n v="11"/>
    <n v="28"/>
    <m/>
    <n v="576800"/>
    <n v="231750"/>
    <n v="92700"/>
    <n v="37080"/>
  </r>
  <r>
    <n v="20"/>
    <d v="2005-07-01T00:00:00"/>
    <x v="6"/>
    <x v="5"/>
    <n v="516"/>
    <n v="2"/>
    <d v="2004-02-01T00:00:00"/>
    <n v="476247"/>
    <n v="0.2"/>
    <n v="6.1"/>
    <n v="2.67"/>
    <n v="0"/>
    <m/>
    <n v="7.0000000000000007E-2"/>
    <m/>
    <n v="12"/>
    <n v="25"/>
    <m/>
    <n v="2905106.6999999997"/>
    <n v="1271579.49"/>
    <n v="33337.29"/>
    <n v="13334.916000000001"/>
  </r>
  <r>
    <n v="20"/>
    <d v="2005-08-01T00:00:00"/>
    <x v="7"/>
    <x v="5"/>
    <n v="547"/>
    <n v="2"/>
    <d v="2004-02-01T00:00:00"/>
    <n v="457213"/>
    <n v="0.28000000000000003"/>
    <n v="5.33"/>
    <n v="3.28"/>
    <n v="0"/>
    <m/>
    <n v="0"/>
    <m/>
    <n v="11"/>
    <n v="25"/>
    <m/>
    <n v="2436945.29"/>
    <n v="1499658.64"/>
    <n v="0"/>
    <n v="0"/>
  </r>
  <r>
    <n v="20"/>
    <d v="2005-09-01T00:00:00"/>
    <x v="8"/>
    <x v="5"/>
    <n v="578"/>
    <n v="2"/>
    <d v="2004-02-01T00:00:00"/>
    <n v="438239"/>
    <n v="2.4500000000000002"/>
    <n v="13.5"/>
    <n v="6.98"/>
    <n v="1"/>
    <m/>
    <n v="0.05"/>
    <m/>
    <n v="10"/>
    <n v="19"/>
    <m/>
    <n v="5916226.5"/>
    <n v="3058908.22"/>
    <n v="21911.95"/>
    <n v="8764.7800000000007"/>
  </r>
  <r>
    <n v="20"/>
    <d v="2005-10-01T00:00:00"/>
    <x v="9"/>
    <x v="5"/>
    <n v="608"/>
    <n v="2"/>
    <d v="2004-02-01T00:00:00"/>
    <n v="425669"/>
    <n v="0.92"/>
    <n v="10.87"/>
    <n v="6.03"/>
    <n v="1"/>
    <m/>
    <n v="0"/>
    <m/>
    <n v="8"/>
    <n v="24"/>
    <m/>
    <n v="4627022.0299999993"/>
    <n v="2566784.0700000003"/>
    <n v="0"/>
    <n v="0"/>
  </r>
  <r>
    <n v="20"/>
    <d v="2005-11-01T00:00:00"/>
    <x v="10"/>
    <x v="5"/>
    <n v="639"/>
    <n v="2"/>
    <d v="2004-02-01T00:00:00"/>
    <n v="424141"/>
    <n v="0.88"/>
    <n v="12.23"/>
    <n v="6.92"/>
    <n v="0"/>
    <m/>
    <n v="0.27"/>
    <m/>
    <n v="8"/>
    <n v="26"/>
    <m/>
    <n v="5187244.4300000006"/>
    <n v="2935055.7199999997"/>
    <n v="114518.07"/>
    <n v="45807.228000000003"/>
  </r>
  <r>
    <n v="20"/>
    <d v="2005-12-01T00:00:00"/>
    <x v="11"/>
    <x v="5"/>
    <n v="669"/>
    <n v="2"/>
    <d v="2004-02-01T00:00:00"/>
    <n v="352936"/>
    <n v="0.72"/>
    <n v="19.82"/>
    <n v="14.85"/>
    <n v="2"/>
    <m/>
    <n v="7.05"/>
    <n v="1"/>
    <n v="7"/>
    <n v="30"/>
    <m/>
    <n v="6995191.5200000005"/>
    <n v="5241099.5999999996"/>
    <n v="2488198.7999999998"/>
    <n v="995279.52"/>
  </r>
  <r>
    <n v="20"/>
    <d v="2006-01-01T00:00:00"/>
    <x v="0"/>
    <x v="6"/>
    <n v="700"/>
    <n v="2"/>
    <d v="2004-02-01T00:00:00"/>
    <n v="245038"/>
    <n v="0.23"/>
    <n v="3.43"/>
    <n v="2.2400000000000002"/>
    <n v="0"/>
    <m/>
    <n v="0"/>
    <m/>
    <n v="8"/>
    <n v="26"/>
    <m/>
    <n v="840480.34000000008"/>
    <n v="548885.12"/>
    <n v="0"/>
    <n v="0"/>
  </r>
  <r>
    <n v="20"/>
    <d v="2006-02-01T00:00:00"/>
    <x v="1"/>
    <x v="6"/>
    <n v="731"/>
    <n v="3"/>
    <d v="2004-02-01T00:00:00"/>
    <n v="234085"/>
    <n v="0"/>
    <n v="7.0000000000000007E-2"/>
    <n v="0"/>
    <n v="0"/>
    <m/>
    <n v="0"/>
    <m/>
    <n v="8"/>
    <n v="28"/>
    <m/>
    <n v="16385.95"/>
    <n v="0"/>
    <n v="0"/>
    <n v="0"/>
  </r>
  <r>
    <n v="20"/>
    <d v="2006-03-01T00:00:00"/>
    <x v="2"/>
    <x v="6"/>
    <n v="759"/>
    <n v="3"/>
    <d v="2004-02-01T00:00:00"/>
    <n v="166178"/>
    <n v="0.05"/>
    <n v="0.15"/>
    <n v="0.08"/>
    <m/>
    <m/>
    <n v="0.05"/>
    <m/>
    <n v="8"/>
    <n v="26"/>
    <s v="harvesting"/>
    <n v="24926.7"/>
    <n v="13294.24"/>
    <n v="8308.9"/>
    <n v="3323.56"/>
  </r>
  <r>
    <n v="20"/>
    <d v="2006-04-01T00:00:00"/>
    <x v="3"/>
    <x v="6"/>
    <m/>
    <m/>
    <m/>
    <m/>
    <m/>
    <m/>
    <m/>
    <m/>
    <m/>
    <m/>
    <m/>
    <m/>
    <m/>
    <s v="harvesting"/>
    <m/>
    <m/>
    <m/>
    <m/>
  </r>
  <r>
    <n v="20"/>
    <d v="2006-05-01T00:00:00"/>
    <x v="4"/>
    <x v="6"/>
    <m/>
    <m/>
    <m/>
    <m/>
    <m/>
    <m/>
    <m/>
    <m/>
    <m/>
    <m/>
    <m/>
    <m/>
    <m/>
    <m/>
    <m/>
    <m/>
    <m/>
    <m/>
  </r>
  <r>
    <n v="20"/>
    <d v="2006-06-01T00:00:00"/>
    <x v="5"/>
    <x v="6"/>
    <m/>
    <m/>
    <m/>
    <m/>
    <m/>
    <m/>
    <m/>
    <m/>
    <m/>
    <m/>
    <m/>
    <m/>
    <m/>
    <m/>
    <m/>
    <m/>
    <m/>
    <m/>
  </r>
  <r>
    <n v="20"/>
    <d v="2006-07-01T00:00:00"/>
    <x v="6"/>
    <x v="6"/>
    <m/>
    <m/>
    <m/>
    <m/>
    <m/>
    <m/>
    <m/>
    <m/>
    <m/>
    <m/>
    <m/>
    <m/>
    <m/>
    <m/>
    <m/>
    <m/>
    <m/>
    <m/>
  </r>
  <r>
    <n v="20"/>
    <d v="2006-08-01T00:00:00"/>
    <x v="7"/>
    <x v="6"/>
    <m/>
    <m/>
    <m/>
    <m/>
    <m/>
    <m/>
    <m/>
    <m/>
    <m/>
    <m/>
    <m/>
    <m/>
    <m/>
    <m/>
    <m/>
    <m/>
    <m/>
    <m/>
  </r>
  <r>
    <n v="20"/>
    <d v="2006-09-01T00:00:00"/>
    <x v="8"/>
    <x v="6"/>
    <n v="238"/>
    <n v="1"/>
    <d v="2006-01-06T00:00:00"/>
    <n v="240852"/>
    <m/>
    <m/>
    <n v="0.06"/>
    <m/>
    <s v="t"/>
    <n v="0.47"/>
    <m/>
    <m/>
    <m/>
    <s v="from farm #25"/>
    <m/>
    <n v="14451.119999999999"/>
    <n v="113200.43999999999"/>
    <n v="45280.175999999999"/>
  </r>
  <r>
    <n v="20"/>
    <d v="2006-10-01T00:00:00"/>
    <x v="9"/>
    <x v="6"/>
    <n v="268"/>
    <n v="1"/>
    <d v="2006-01-06T00:00:00"/>
    <n v="546989"/>
    <n v="0.68"/>
    <n v="0.63"/>
    <n v="7.0000000000000007E-2"/>
    <m/>
    <m/>
    <n v="7.0000000000000007E-2"/>
    <m/>
    <m/>
    <m/>
    <m/>
    <n v="344603.07"/>
    <n v="38289.230000000003"/>
    <n v="38289.230000000003"/>
    <n v="15315.692000000003"/>
  </r>
  <r>
    <n v="20"/>
    <d v="2006-11-01T00:00:00"/>
    <x v="10"/>
    <x v="6"/>
    <n v="299"/>
    <n v="1"/>
    <d v="2006-01-06T00:00:00"/>
    <n v="546655"/>
    <n v="1.4666665999999999"/>
    <n v="2.7"/>
    <n v="0.38333329999999999"/>
    <n v="0"/>
    <m/>
    <n v="0.1166666"/>
    <m/>
    <n v="8"/>
    <n v="27"/>
    <m/>
    <n v="1475968.5"/>
    <n v="209551.06511150001"/>
    <n v="63776.380223"/>
    <n v="25510.552089200002"/>
  </r>
  <r>
    <n v="20"/>
    <d v="2006-12-01T00:00:00"/>
    <x v="11"/>
    <x v="6"/>
    <n v="329"/>
    <n v="1"/>
    <d v="2006-01-06T00:00:00"/>
    <n v="546292"/>
    <n v="1.63"/>
    <n v="2.2000000000000002"/>
    <n v="1.1200000000000001"/>
    <n v="0"/>
    <m/>
    <n v="0.17"/>
    <m/>
    <n v="8"/>
    <n v="29"/>
    <m/>
    <n v="1201842.4000000001"/>
    <n v="611847.04"/>
    <n v="92869.64"/>
    <n v="37147.856"/>
  </r>
  <r>
    <n v="20"/>
    <d v="2007-01-01T00:00:00"/>
    <x v="0"/>
    <x v="7"/>
    <n v="360"/>
    <n v="1"/>
    <d v="2006-01-06T00:00:00"/>
    <n v="545161"/>
    <n v="3.6666666000000001"/>
    <n v="3.6"/>
    <n v="1.3416665999999999"/>
    <n v="2"/>
    <m/>
    <n v="0.6"/>
    <n v="1"/>
    <n v="6"/>
    <n v="29"/>
    <m/>
    <n v="1962579.6"/>
    <n v="731424.30532259995"/>
    <n v="327096.59999999998"/>
    <n v="130838.64"/>
  </r>
  <r>
    <n v="20"/>
    <d v="2007-02-01T00:00:00"/>
    <x v="1"/>
    <x v="7"/>
    <n v="391"/>
    <n v="2"/>
    <d v="2006-01-06T00:00:00"/>
    <n v="544850"/>
    <n v="0.36"/>
    <n v="1.08"/>
    <n v="0.38"/>
    <n v="0"/>
    <m/>
    <n v="0.03"/>
    <m/>
    <n v="7"/>
    <n v="29"/>
    <m/>
    <n v="588438"/>
    <n v="207043"/>
    <n v="16345.5"/>
    <n v="6538.2000000000007"/>
  </r>
  <r>
    <n v="20"/>
    <d v="2007-03-01T00:00:00"/>
    <x v="2"/>
    <x v="7"/>
    <n v="419"/>
    <n v="2"/>
    <d v="2006-01-06T00:00:00"/>
    <n v="544650"/>
    <n v="7.0000000000000007E-2"/>
    <n v="0.2"/>
    <n v="0.03"/>
    <n v="0"/>
    <m/>
    <n v="0"/>
    <m/>
    <n v="7"/>
    <n v="29"/>
    <m/>
    <n v="108930"/>
    <n v="16339.5"/>
    <n v="0"/>
    <n v="0"/>
  </r>
  <r>
    <n v="20"/>
    <d v="2007-04-01T00:00:00"/>
    <x v="3"/>
    <x v="7"/>
    <n v="450"/>
    <n v="2"/>
    <d v="2006-01-06T00:00:00"/>
    <n v="544415"/>
    <n v="0.2"/>
    <n v="0"/>
    <n v="0"/>
    <n v="0"/>
    <m/>
    <n v="0"/>
    <m/>
    <n v="8"/>
    <n v="29"/>
    <m/>
    <n v="0"/>
    <n v="0"/>
    <n v="0"/>
    <n v="0"/>
  </r>
  <r>
    <n v="20"/>
    <d v="2007-05-01T00:00:00"/>
    <x v="4"/>
    <x v="7"/>
    <n v="480"/>
    <n v="2"/>
    <d v="2006-01-06T00:00:00"/>
    <n v="543930"/>
    <n v="0.42"/>
    <n v="0.17"/>
    <n v="0.02"/>
    <n v="0"/>
    <m/>
    <n v="0.02"/>
    <m/>
    <n v="10"/>
    <n v="29"/>
    <m/>
    <n v="92468.1"/>
    <n v="10878.6"/>
    <n v="10878.6"/>
    <n v="4351.4400000000005"/>
  </r>
  <r>
    <n v="20"/>
    <d v="2007-06-01T00:00:00"/>
    <x v="5"/>
    <x v="7"/>
    <n v="511"/>
    <n v="2"/>
    <d v="2006-01-06T00:00:00"/>
    <n v="534492"/>
    <n v="0.13"/>
    <n v="0.43"/>
    <n v="0.08"/>
    <n v="0"/>
    <m/>
    <n v="0"/>
    <m/>
    <n v="11"/>
    <n v="20"/>
    <m/>
    <n v="229831.56"/>
    <n v="42759.360000000001"/>
    <n v="0"/>
    <n v="0"/>
  </r>
  <r>
    <n v="20"/>
    <d v="2007-07-01T00:00:00"/>
    <x v="6"/>
    <x v="7"/>
    <n v="541"/>
    <n v="2"/>
    <d v="2006-01-06T00:00:00"/>
    <n v="533769"/>
    <n v="0.03"/>
    <n v="1.02"/>
    <n v="0.45"/>
    <n v="0"/>
    <m/>
    <n v="0.02"/>
    <m/>
    <n v="11"/>
    <n v="16"/>
    <m/>
    <n v="544444.38"/>
    <n v="240196.05000000002"/>
    <n v="10675.380000000001"/>
    <n v="4270.152000000001"/>
  </r>
  <r>
    <n v="20"/>
    <d v="2007-08-01T00:00:00"/>
    <x v="7"/>
    <x v="7"/>
    <n v="572"/>
    <n v="2"/>
    <d v="2006-01-06T00:00:00"/>
    <n v="524334"/>
    <n v="7.0000000000000007E-2"/>
    <n v="1.02"/>
    <n v="0.55000000000000004"/>
    <n v="0"/>
    <m/>
    <n v="0"/>
    <m/>
    <n v="11"/>
    <n v="27"/>
    <m/>
    <n v="534820.68000000005"/>
    <n v="288383.7"/>
    <n v="0"/>
    <n v="0"/>
  </r>
  <r>
    <n v="20"/>
    <d v="2007-09-01T00:00:00"/>
    <x v="8"/>
    <x v="7"/>
    <n v="603"/>
    <n v="2"/>
    <d v="2006-01-06T00:00:00"/>
    <n v="520619"/>
    <n v="0.18"/>
    <n v="2.12"/>
    <n v="0.93"/>
    <n v="0"/>
    <m/>
    <n v="0.03"/>
    <m/>
    <n v="10"/>
    <n v="26"/>
    <m/>
    <n v="1103712.28"/>
    <n v="484175.67000000004"/>
    <n v="15618.57"/>
    <n v="6247.4279999999999"/>
  </r>
  <r>
    <n v="20"/>
    <d v="2007-10-01T00:00:00"/>
    <x v="9"/>
    <x v="7"/>
    <n v="633"/>
    <n v="2"/>
    <d v="2006-01-06T00:00:00"/>
    <n v="517313"/>
    <n v="0.25"/>
    <n v="2.48"/>
    <n v="1.03"/>
    <n v="0"/>
    <m/>
    <n v="0"/>
    <m/>
    <n v="9"/>
    <m/>
    <m/>
    <n v="1282936.24"/>
    <n v="532832.39"/>
    <n v="0"/>
    <n v="0"/>
  </r>
  <r>
    <n v="20"/>
    <d v="2007-11-01T00:00:00"/>
    <x v="10"/>
    <x v="7"/>
    <n v="664"/>
    <n v="2"/>
    <d v="2006-01-06T00:00:00"/>
    <n v="508130"/>
    <n v="0.08"/>
    <n v="2.72"/>
    <n v="1.28"/>
    <n v="0"/>
    <m/>
    <n v="0.05"/>
    <m/>
    <n v="8"/>
    <m/>
    <m/>
    <n v="1382113.6"/>
    <n v="650406.40000000002"/>
    <n v="25406.5"/>
    <n v="10162.6"/>
  </r>
  <r>
    <n v="20"/>
    <d v="2007-12-01T00:00:00"/>
    <x v="11"/>
    <x v="7"/>
    <n v="694"/>
    <n v="2"/>
    <d v="2006-01-06T00:00:00"/>
    <n v="406631"/>
    <n v="0.18"/>
    <n v="4.22"/>
    <n v="2.1800000000000002"/>
    <n v="0"/>
    <m/>
    <n v="0.12"/>
    <m/>
    <n v="7"/>
    <m/>
    <m/>
    <n v="1715982.8199999998"/>
    <n v="886455.58000000007"/>
    <n v="48795.72"/>
    <n v="19518.288"/>
  </r>
  <r>
    <n v="20"/>
    <d v="2008-01-01T00:00:00"/>
    <x v="0"/>
    <x v="8"/>
    <n v="725"/>
    <n v="2"/>
    <d v="2006-01-06T00:00:00"/>
    <n v="406000"/>
    <n v="0.3"/>
    <n v="4.43"/>
    <n v="2.19"/>
    <m/>
    <m/>
    <n v="7.0000000000000007E-2"/>
    <m/>
    <m/>
    <m/>
    <s v="Harvesting"/>
    <n v="1798580"/>
    <n v="889140"/>
    <n v="28420.000000000004"/>
    <n v="11368.000000000002"/>
  </r>
  <r>
    <n v="20"/>
    <d v="2008-02-01T00:00:00"/>
    <x v="1"/>
    <x v="8"/>
    <n v="756"/>
    <n v="3"/>
    <d v="2006-01-06T00:00:00"/>
    <n v="113000"/>
    <m/>
    <m/>
    <n v="3"/>
    <m/>
    <s v="h"/>
    <n v="0.1"/>
    <m/>
    <m/>
    <m/>
    <m/>
    <m/>
    <n v="339000"/>
    <n v="11300"/>
    <n v="4520"/>
  </r>
  <r>
    <n v="20"/>
    <d v="2008-03-01T00:00:00"/>
    <x v="2"/>
    <x v="8"/>
    <m/>
    <m/>
    <m/>
    <m/>
    <m/>
    <m/>
    <m/>
    <m/>
    <m/>
    <m/>
    <m/>
    <m/>
    <m/>
    <m/>
    <m/>
    <m/>
    <m/>
    <m/>
  </r>
  <r>
    <n v="20"/>
    <d v="2008-04-01T00:00:00"/>
    <x v="3"/>
    <x v="8"/>
    <m/>
    <m/>
    <m/>
    <m/>
    <m/>
    <m/>
    <m/>
    <m/>
    <m/>
    <m/>
    <m/>
    <m/>
    <m/>
    <m/>
    <m/>
    <m/>
    <m/>
    <m/>
  </r>
  <r>
    <n v="20"/>
    <d v="2008-05-01T00:00:00"/>
    <x v="4"/>
    <x v="8"/>
    <m/>
    <m/>
    <m/>
    <m/>
    <m/>
    <m/>
    <m/>
    <m/>
    <m/>
    <m/>
    <m/>
    <m/>
    <m/>
    <m/>
    <m/>
    <m/>
    <m/>
    <m/>
  </r>
  <r>
    <n v="20"/>
    <d v="2008-06-01T00:00:00"/>
    <x v="5"/>
    <x v="8"/>
    <m/>
    <m/>
    <m/>
    <m/>
    <m/>
    <m/>
    <m/>
    <m/>
    <m/>
    <m/>
    <m/>
    <m/>
    <m/>
    <m/>
    <m/>
    <m/>
    <m/>
    <m/>
  </r>
  <r>
    <n v="20"/>
    <d v="2008-07-01T00:00:00"/>
    <x v="6"/>
    <x v="8"/>
    <m/>
    <m/>
    <m/>
    <m/>
    <m/>
    <m/>
    <m/>
    <m/>
    <m/>
    <m/>
    <m/>
    <m/>
    <m/>
    <m/>
    <m/>
    <m/>
    <m/>
    <m/>
  </r>
  <r>
    <n v="20"/>
    <d v="2008-08-01T00:00:00"/>
    <x v="7"/>
    <x v="8"/>
    <n v="244"/>
    <n v="1"/>
    <d v="2007-12-01T00:00:00"/>
    <n v="524000"/>
    <n v="7.0000000000000007E-2"/>
    <n v="0.2"/>
    <n v="0"/>
    <m/>
    <m/>
    <n v="0"/>
    <m/>
    <m/>
    <m/>
    <s v="transferred from farm #25"/>
    <n v="104800"/>
    <n v="0"/>
    <n v="0"/>
    <n v="0"/>
  </r>
  <r>
    <n v="20"/>
    <d v="2008-09-01T00:00:00"/>
    <x v="8"/>
    <x v="8"/>
    <n v="275"/>
    <n v="1"/>
    <d v="2007-12-01T00:00:00"/>
    <n v="524000"/>
    <n v="0.33"/>
    <n v="0.17"/>
    <n v="0.05"/>
    <n v="0"/>
    <m/>
    <n v="0"/>
    <m/>
    <m/>
    <m/>
    <m/>
    <n v="89080"/>
    <n v="26200"/>
    <n v="0"/>
    <n v="0"/>
  </r>
  <r>
    <n v="20"/>
    <d v="2008-10-01T00:00:00"/>
    <x v="9"/>
    <x v="8"/>
    <n v="305"/>
    <n v="1"/>
    <d v="2007-12-01T00:00:00"/>
    <n v="524000"/>
    <n v="1.25"/>
    <n v="0.72"/>
    <n v="0.27"/>
    <n v="1"/>
    <m/>
    <n v="0.53"/>
    <m/>
    <m/>
    <m/>
    <m/>
    <n v="377280"/>
    <n v="141480"/>
    <n v="277720"/>
    <n v="111088"/>
  </r>
  <r>
    <n v="20"/>
    <d v="2008-11-01T00:00:00"/>
    <x v="10"/>
    <x v="8"/>
    <n v="336"/>
    <n v="1"/>
    <d v="2007-12-01T00:00:00"/>
    <n v="524000"/>
    <n v="2.65"/>
    <n v="1.72"/>
    <n v="0.1"/>
    <n v="0"/>
    <m/>
    <n v="0.05"/>
    <m/>
    <m/>
    <m/>
    <m/>
    <n v="901280"/>
    <n v="52400"/>
    <n v="26200"/>
    <n v="10480"/>
  </r>
  <r>
    <n v="20"/>
    <d v="2008-12-01T00:00:00"/>
    <x v="11"/>
    <x v="8"/>
    <n v="366"/>
    <n v="2"/>
    <d v="2007-12-01T00:00:00"/>
    <n v="522000"/>
    <n v="3.45"/>
    <n v="0.71666666666666667"/>
    <n v="0.25"/>
    <n v="1"/>
    <m/>
    <n v="0.16666666666666666"/>
    <m/>
    <m/>
    <m/>
    <m/>
    <n v="374100"/>
    <n v="130500"/>
    <n v="87000"/>
    <n v="34800"/>
  </r>
  <r>
    <n v="20"/>
    <d v="2009-01-01T00:00:00"/>
    <x v="0"/>
    <x v="9"/>
    <n v="397"/>
    <n v="2"/>
    <d v="2007-12-01T00:00:00"/>
    <n v="522214"/>
    <n v="4.03"/>
    <n v="0.4"/>
    <n v="0.13"/>
    <n v="0"/>
    <m/>
    <n v="0"/>
    <n v="1"/>
    <m/>
    <m/>
    <m/>
    <n v="208885.6"/>
    <n v="67887.820000000007"/>
    <n v="0"/>
    <n v="0"/>
  </r>
  <r>
    <n v="20"/>
    <d v="2009-02-01T00:00:00"/>
    <x v="1"/>
    <x v="9"/>
    <n v="428"/>
    <n v="2"/>
    <d v="2007-12-01T00:00:00"/>
    <n v="521909"/>
    <n v="0.02"/>
    <n v="0.48"/>
    <n v="0.17"/>
    <n v="0"/>
    <m/>
    <n v="0"/>
    <m/>
    <m/>
    <m/>
    <m/>
    <n v="250516.31999999998"/>
    <n v="88724.530000000013"/>
    <n v="0"/>
    <n v="0"/>
  </r>
  <r>
    <n v="20"/>
    <d v="2009-03-01T00:00:00"/>
    <x v="2"/>
    <x v="9"/>
    <n v="456"/>
    <n v="2"/>
    <d v="2007-12-01T00:00:00"/>
    <n v="521236"/>
    <n v="0.05"/>
    <n v="0.13"/>
    <n v="0.05"/>
    <n v="0"/>
    <m/>
    <n v="0.02"/>
    <m/>
    <m/>
    <m/>
    <m/>
    <n v="67760.680000000008"/>
    <n v="26061.800000000003"/>
    <n v="10424.719999999999"/>
    <n v="4169.8879999999999"/>
  </r>
  <r>
    <n v="20"/>
    <d v="2009-04-01T00:00:00"/>
    <x v="3"/>
    <x v="9"/>
    <n v="487"/>
    <n v="2"/>
    <d v="2007-12-01T00:00:00"/>
    <n v="520309"/>
    <n v="7.0000000000000007E-2"/>
    <n v="7.0000000000000007E-2"/>
    <n v="0"/>
    <n v="0"/>
    <m/>
    <n v="0.03"/>
    <m/>
    <m/>
    <m/>
    <m/>
    <n v="36421.630000000005"/>
    <n v="0"/>
    <n v="15609.269999999999"/>
    <n v="6243.7079999999996"/>
  </r>
  <r>
    <n v="20"/>
    <d v="2009-05-01T00:00:00"/>
    <x v="4"/>
    <x v="9"/>
    <n v="517"/>
    <n v="2"/>
    <d v="2007-12-01T00:00:00"/>
    <n v="519438"/>
    <n v="0.08"/>
    <n v="0.03"/>
    <n v="0"/>
    <n v="0"/>
    <m/>
    <n v="0.02"/>
    <m/>
    <m/>
    <m/>
    <m/>
    <n v="15583.14"/>
    <n v="0"/>
    <n v="10388.76"/>
    <n v="4155.5039999999999"/>
  </r>
  <r>
    <n v="20"/>
    <d v="2009-06-01T00:00:00"/>
    <x v="5"/>
    <x v="9"/>
    <n v="548"/>
    <n v="2"/>
    <d v="2007-12-01T00:00:00"/>
    <n v="518227"/>
    <n v="0.08"/>
    <n v="0.05"/>
    <n v="0"/>
    <n v="0"/>
    <m/>
    <n v="0.05"/>
    <m/>
    <m/>
    <m/>
    <m/>
    <n v="25911.350000000002"/>
    <n v="0"/>
    <n v="25911.350000000002"/>
    <n v="10364.540000000001"/>
  </r>
  <r>
    <n v="20"/>
    <d v="2009-07-01T00:00:00"/>
    <x v="6"/>
    <x v="9"/>
    <n v="602"/>
    <n v="2"/>
    <d v="2007-11-07T00:00:00"/>
    <n v="517699"/>
    <n v="0.02"/>
    <n v="0.18"/>
    <n v="7.0000000000000007E-2"/>
    <n v="0"/>
    <m/>
    <n v="0.03"/>
    <m/>
    <m/>
    <m/>
    <m/>
    <n v="93185.819999999992"/>
    <n v="36238.93"/>
    <n v="15530.97"/>
    <n v="6212.3879999999999"/>
  </r>
  <r>
    <n v="20"/>
    <d v="2009-08-01T00:00:00"/>
    <x v="7"/>
    <x v="9"/>
    <n v="633"/>
    <n v="2"/>
    <d v="2007-11-07T00:00:00"/>
    <n v="516654"/>
    <n v="0"/>
    <n v="0.13300000000000001"/>
    <n v="8.3000000000000004E-2"/>
    <n v="0"/>
    <m/>
    <n v="0"/>
    <m/>
    <m/>
    <m/>
    <m/>
    <n v="68714.982000000004"/>
    <n v="42882.281999999999"/>
    <n v="0"/>
    <n v="0"/>
  </r>
  <r>
    <n v="20"/>
    <d v="2009-09-01T00:00:00"/>
    <x v="8"/>
    <x v="9"/>
    <n v="664"/>
    <n v="2"/>
    <d v="2007-11-07T00:00:00"/>
    <n v="515641"/>
    <n v="0.05"/>
    <n v="0.82"/>
    <n v="0.48"/>
    <n v="0"/>
    <m/>
    <n v="0"/>
    <m/>
    <m/>
    <m/>
    <m/>
    <n v="422825.62"/>
    <n v="247507.68"/>
    <n v="0"/>
    <n v="0"/>
  </r>
  <r>
    <n v="20"/>
    <d v="2009-10-01T00:00:00"/>
    <x v="9"/>
    <x v="9"/>
    <n v="694"/>
    <n v="2"/>
    <d v="2007-11-07T00:00:00"/>
    <n v="402789"/>
    <n v="7.0000000000000007E-2"/>
    <n v="1.08"/>
    <n v="0.55000000000000004"/>
    <n v="0"/>
    <m/>
    <n v="0.02"/>
    <m/>
    <m/>
    <m/>
    <m/>
    <n v="435012.12000000005"/>
    <n v="221533.95"/>
    <n v="8055.78"/>
    <n v="3222.3119999999999"/>
  </r>
  <r>
    <n v="20"/>
    <d v="2009-11-01T00:00:00"/>
    <x v="10"/>
    <x v="9"/>
    <n v="725"/>
    <n v="2"/>
    <d v="2007-11-07T00:00:00"/>
    <n v="339948"/>
    <n v="0"/>
    <n v="0.75"/>
    <n v="0.438"/>
    <n v="1"/>
    <m/>
    <n v="0.22500000000000001"/>
    <m/>
    <m/>
    <m/>
    <m/>
    <n v="254961"/>
    <n v="148897.22399999999"/>
    <n v="76488.3"/>
    <n v="30595.320000000003"/>
  </r>
  <r>
    <n v="20"/>
    <d v="2009-12-01T00:00:00"/>
    <x v="11"/>
    <x v="9"/>
    <n v="755"/>
    <n v="2"/>
    <d v="2007-11-07T00:00:00"/>
    <n v="338914"/>
    <n v="0.43"/>
    <n v="2.85"/>
    <n v="1.02"/>
    <m/>
    <m/>
    <n v="0"/>
    <m/>
    <m/>
    <m/>
    <m/>
    <n v="965904.9"/>
    <n v="345692.28"/>
    <n v="0"/>
    <n v="0"/>
  </r>
  <r>
    <n v="21"/>
    <d v="2000-01-01T00:00:00"/>
    <x v="0"/>
    <x v="0"/>
    <m/>
    <m/>
    <m/>
    <m/>
    <m/>
    <m/>
    <m/>
    <m/>
    <m/>
    <m/>
    <m/>
    <m/>
    <m/>
    <m/>
    <m/>
    <m/>
    <m/>
    <m/>
  </r>
  <r>
    <n v="21"/>
    <d v="2000-02-01T00:00:00"/>
    <x v="1"/>
    <x v="0"/>
    <m/>
    <m/>
    <m/>
    <m/>
    <m/>
    <m/>
    <m/>
    <m/>
    <m/>
    <m/>
    <m/>
    <m/>
    <m/>
    <m/>
    <m/>
    <m/>
    <m/>
    <m/>
  </r>
  <r>
    <n v="21"/>
    <d v="2000-03-01T00:00:00"/>
    <x v="2"/>
    <x v="0"/>
    <m/>
    <m/>
    <m/>
    <m/>
    <m/>
    <m/>
    <m/>
    <m/>
    <m/>
    <m/>
    <m/>
    <m/>
    <m/>
    <m/>
    <m/>
    <m/>
    <m/>
    <m/>
  </r>
  <r>
    <n v="21"/>
    <d v="2000-04-01T00:00:00"/>
    <x v="3"/>
    <x v="0"/>
    <m/>
    <m/>
    <m/>
    <m/>
    <m/>
    <m/>
    <m/>
    <m/>
    <m/>
    <m/>
    <m/>
    <m/>
    <m/>
    <m/>
    <m/>
    <m/>
    <m/>
    <m/>
  </r>
  <r>
    <n v="21"/>
    <d v="2000-05-01T00:00:00"/>
    <x v="4"/>
    <x v="0"/>
    <m/>
    <m/>
    <m/>
    <m/>
    <m/>
    <m/>
    <m/>
    <m/>
    <m/>
    <m/>
    <m/>
    <m/>
    <m/>
    <m/>
    <m/>
    <m/>
    <m/>
    <m/>
  </r>
  <r>
    <n v="21"/>
    <d v="2000-06-01T00:00:00"/>
    <x v="5"/>
    <x v="0"/>
    <m/>
    <m/>
    <m/>
    <m/>
    <m/>
    <m/>
    <m/>
    <m/>
    <m/>
    <m/>
    <m/>
    <m/>
    <m/>
    <m/>
    <m/>
    <m/>
    <m/>
    <m/>
  </r>
  <r>
    <n v="21"/>
    <d v="2000-07-01T00:00:00"/>
    <x v="6"/>
    <x v="0"/>
    <m/>
    <m/>
    <m/>
    <m/>
    <m/>
    <m/>
    <m/>
    <m/>
    <m/>
    <m/>
    <m/>
    <m/>
    <m/>
    <m/>
    <m/>
    <m/>
    <m/>
    <m/>
  </r>
  <r>
    <n v="21"/>
    <d v="2000-08-01T00:00:00"/>
    <x v="7"/>
    <x v="0"/>
    <m/>
    <m/>
    <m/>
    <m/>
    <m/>
    <m/>
    <m/>
    <m/>
    <m/>
    <m/>
    <m/>
    <m/>
    <m/>
    <m/>
    <m/>
    <m/>
    <m/>
    <m/>
  </r>
  <r>
    <n v="21"/>
    <d v="2000-09-01T00:00:00"/>
    <x v="8"/>
    <x v="0"/>
    <m/>
    <m/>
    <m/>
    <m/>
    <m/>
    <m/>
    <m/>
    <m/>
    <m/>
    <m/>
    <m/>
    <m/>
    <m/>
    <m/>
    <m/>
    <m/>
    <m/>
    <m/>
  </r>
  <r>
    <n v="21"/>
    <d v="2000-10-01T00:00:00"/>
    <x v="9"/>
    <x v="0"/>
    <m/>
    <m/>
    <m/>
    <m/>
    <m/>
    <m/>
    <m/>
    <m/>
    <m/>
    <m/>
    <m/>
    <m/>
    <m/>
    <m/>
    <m/>
    <m/>
    <m/>
    <m/>
  </r>
  <r>
    <n v="21"/>
    <d v="2000-11-01T00:00:00"/>
    <x v="10"/>
    <x v="0"/>
    <m/>
    <m/>
    <m/>
    <m/>
    <m/>
    <m/>
    <m/>
    <m/>
    <m/>
    <m/>
    <m/>
    <m/>
    <m/>
    <m/>
    <m/>
    <m/>
    <m/>
    <m/>
  </r>
  <r>
    <n v="21"/>
    <d v="2000-12-01T00:00:00"/>
    <x v="11"/>
    <x v="0"/>
    <m/>
    <m/>
    <m/>
    <m/>
    <m/>
    <m/>
    <m/>
    <m/>
    <m/>
    <m/>
    <m/>
    <m/>
    <m/>
    <m/>
    <m/>
    <m/>
    <m/>
    <m/>
  </r>
  <r>
    <n v="21"/>
    <d v="2001-01-01T00:00:00"/>
    <x v="0"/>
    <x v="1"/>
    <m/>
    <m/>
    <m/>
    <m/>
    <m/>
    <m/>
    <m/>
    <m/>
    <m/>
    <m/>
    <m/>
    <m/>
    <m/>
    <m/>
    <m/>
    <m/>
    <m/>
    <m/>
  </r>
  <r>
    <n v="21"/>
    <d v="2001-02-01T00:00:00"/>
    <x v="1"/>
    <x v="1"/>
    <m/>
    <m/>
    <m/>
    <m/>
    <m/>
    <m/>
    <m/>
    <m/>
    <m/>
    <m/>
    <m/>
    <m/>
    <m/>
    <m/>
    <m/>
    <m/>
    <m/>
    <m/>
  </r>
  <r>
    <n v="21"/>
    <d v="2001-03-01T00:00:00"/>
    <x v="2"/>
    <x v="1"/>
    <m/>
    <m/>
    <m/>
    <m/>
    <m/>
    <m/>
    <m/>
    <m/>
    <m/>
    <m/>
    <m/>
    <m/>
    <m/>
    <m/>
    <m/>
    <m/>
    <m/>
    <m/>
  </r>
  <r>
    <n v="21"/>
    <d v="2001-04-01T00:00:00"/>
    <x v="3"/>
    <x v="1"/>
    <m/>
    <m/>
    <m/>
    <m/>
    <m/>
    <m/>
    <m/>
    <m/>
    <m/>
    <m/>
    <m/>
    <m/>
    <m/>
    <m/>
    <m/>
    <m/>
    <m/>
    <m/>
  </r>
  <r>
    <n v="21"/>
    <d v="2001-05-01T00:00:00"/>
    <x v="4"/>
    <x v="1"/>
    <m/>
    <m/>
    <m/>
    <m/>
    <m/>
    <m/>
    <m/>
    <m/>
    <m/>
    <m/>
    <m/>
    <m/>
    <m/>
    <m/>
    <m/>
    <m/>
    <m/>
    <m/>
  </r>
  <r>
    <n v="21"/>
    <d v="2001-06-01T00:00:00"/>
    <x v="5"/>
    <x v="1"/>
    <m/>
    <m/>
    <m/>
    <m/>
    <m/>
    <m/>
    <m/>
    <m/>
    <m/>
    <m/>
    <m/>
    <m/>
    <m/>
    <m/>
    <m/>
    <m/>
    <m/>
    <m/>
  </r>
  <r>
    <n v="21"/>
    <d v="2001-07-01T00:00:00"/>
    <x v="6"/>
    <x v="1"/>
    <m/>
    <m/>
    <m/>
    <m/>
    <m/>
    <m/>
    <m/>
    <m/>
    <m/>
    <m/>
    <m/>
    <m/>
    <m/>
    <m/>
    <m/>
    <m/>
    <m/>
    <m/>
  </r>
  <r>
    <n v="21"/>
    <d v="2001-08-01T00:00:00"/>
    <x v="7"/>
    <x v="1"/>
    <m/>
    <m/>
    <m/>
    <m/>
    <m/>
    <m/>
    <m/>
    <m/>
    <m/>
    <m/>
    <m/>
    <m/>
    <m/>
    <m/>
    <m/>
    <m/>
    <m/>
    <m/>
  </r>
  <r>
    <n v="21"/>
    <d v="2001-09-01T00:00:00"/>
    <x v="8"/>
    <x v="1"/>
    <m/>
    <m/>
    <m/>
    <m/>
    <m/>
    <m/>
    <m/>
    <m/>
    <m/>
    <m/>
    <m/>
    <m/>
    <m/>
    <m/>
    <m/>
    <m/>
    <m/>
    <m/>
  </r>
  <r>
    <n v="21"/>
    <d v="2001-10-01T00:00:00"/>
    <x v="9"/>
    <x v="1"/>
    <m/>
    <m/>
    <m/>
    <m/>
    <m/>
    <m/>
    <m/>
    <m/>
    <m/>
    <m/>
    <m/>
    <m/>
    <m/>
    <m/>
    <m/>
    <m/>
    <m/>
    <m/>
  </r>
  <r>
    <n v="21"/>
    <d v="2001-11-01T00:00:00"/>
    <x v="10"/>
    <x v="1"/>
    <m/>
    <m/>
    <m/>
    <m/>
    <m/>
    <m/>
    <m/>
    <m/>
    <m/>
    <m/>
    <m/>
    <m/>
    <m/>
    <m/>
    <m/>
    <m/>
    <m/>
    <m/>
  </r>
  <r>
    <n v="21"/>
    <d v="2001-12-01T00:00:00"/>
    <x v="11"/>
    <x v="1"/>
    <m/>
    <m/>
    <m/>
    <m/>
    <m/>
    <m/>
    <m/>
    <m/>
    <m/>
    <m/>
    <m/>
    <m/>
    <m/>
    <m/>
    <m/>
    <m/>
    <m/>
    <m/>
  </r>
  <r>
    <n v="21"/>
    <d v="2002-01-01T00:00:00"/>
    <x v="0"/>
    <x v="2"/>
    <m/>
    <m/>
    <m/>
    <m/>
    <m/>
    <m/>
    <m/>
    <m/>
    <m/>
    <m/>
    <m/>
    <m/>
    <m/>
    <m/>
    <m/>
    <m/>
    <m/>
    <m/>
  </r>
  <r>
    <n v="21"/>
    <d v="2002-02-01T00:00:00"/>
    <x v="1"/>
    <x v="2"/>
    <m/>
    <m/>
    <m/>
    <m/>
    <m/>
    <m/>
    <m/>
    <m/>
    <m/>
    <m/>
    <m/>
    <m/>
    <m/>
    <m/>
    <m/>
    <m/>
    <m/>
    <m/>
  </r>
  <r>
    <n v="21"/>
    <d v="2002-03-01T00:00:00"/>
    <x v="2"/>
    <x v="2"/>
    <m/>
    <m/>
    <m/>
    <m/>
    <m/>
    <m/>
    <m/>
    <m/>
    <m/>
    <m/>
    <m/>
    <m/>
    <m/>
    <m/>
    <m/>
    <m/>
    <m/>
    <m/>
  </r>
  <r>
    <n v="21"/>
    <d v="2002-04-01T00:00:00"/>
    <x v="3"/>
    <x v="2"/>
    <m/>
    <m/>
    <m/>
    <m/>
    <m/>
    <m/>
    <m/>
    <m/>
    <m/>
    <m/>
    <m/>
    <m/>
    <m/>
    <m/>
    <m/>
    <m/>
    <m/>
    <m/>
  </r>
  <r>
    <n v="21"/>
    <d v="2002-05-01T00:00:00"/>
    <x v="4"/>
    <x v="2"/>
    <m/>
    <m/>
    <m/>
    <m/>
    <m/>
    <m/>
    <m/>
    <m/>
    <m/>
    <m/>
    <m/>
    <m/>
    <m/>
    <m/>
    <m/>
    <m/>
    <m/>
    <m/>
  </r>
  <r>
    <n v="21"/>
    <d v="2002-06-01T00:00:00"/>
    <x v="5"/>
    <x v="2"/>
    <m/>
    <m/>
    <m/>
    <m/>
    <m/>
    <m/>
    <m/>
    <m/>
    <m/>
    <m/>
    <m/>
    <m/>
    <m/>
    <m/>
    <m/>
    <m/>
    <m/>
    <m/>
  </r>
  <r>
    <n v="21"/>
    <d v="2002-07-01T00:00:00"/>
    <x v="6"/>
    <x v="2"/>
    <m/>
    <m/>
    <m/>
    <m/>
    <m/>
    <m/>
    <m/>
    <m/>
    <m/>
    <m/>
    <m/>
    <m/>
    <m/>
    <m/>
    <m/>
    <m/>
    <m/>
    <m/>
  </r>
  <r>
    <n v="21"/>
    <d v="2002-08-01T00:00:00"/>
    <x v="7"/>
    <x v="2"/>
    <m/>
    <m/>
    <m/>
    <m/>
    <m/>
    <m/>
    <m/>
    <m/>
    <m/>
    <m/>
    <m/>
    <m/>
    <m/>
    <m/>
    <m/>
    <m/>
    <m/>
    <m/>
  </r>
  <r>
    <n v="21"/>
    <d v="2002-09-01T00:00:00"/>
    <x v="8"/>
    <x v="2"/>
    <m/>
    <m/>
    <m/>
    <m/>
    <m/>
    <m/>
    <m/>
    <m/>
    <m/>
    <m/>
    <m/>
    <m/>
    <m/>
    <m/>
    <m/>
    <m/>
    <m/>
    <m/>
  </r>
  <r>
    <n v="21"/>
    <d v="2002-10-01T00:00:00"/>
    <x v="9"/>
    <x v="2"/>
    <m/>
    <m/>
    <m/>
    <m/>
    <m/>
    <m/>
    <m/>
    <m/>
    <m/>
    <m/>
    <m/>
    <m/>
    <m/>
    <m/>
    <m/>
    <m/>
    <m/>
    <m/>
  </r>
  <r>
    <n v="21"/>
    <d v="2002-11-01T00:00:00"/>
    <x v="10"/>
    <x v="2"/>
    <m/>
    <m/>
    <m/>
    <m/>
    <m/>
    <m/>
    <m/>
    <m/>
    <m/>
    <m/>
    <m/>
    <m/>
    <m/>
    <m/>
    <m/>
    <m/>
    <m/>
    <m/>
  </r>
  <r>
    <n v="21"/>
    <d v="2002-12-01T00:00:00"/>
    <x v="11"/>
    <x v="2"/>
    <m/>
    <m/>
    <m/>
    <m/>
    <m/>
    <m/>
    <m/>
    <m/>
    <m/>
    <m/>
    <m/>
    <m/>
    <m/>
    <m/>
    <m/>
    <m/>
    <m/>
    <m/>
  </r>
  <r>
    <n v="21"/>
    <d v="2003-01-01T00:00:00"/>
    <x v="0"/>
    <x v="3"/>
    <m/>
    <m/>
    <m/>
    <m/>
    <m/>
    <m/>
    <m/>
    <m/>
    <m/>
    <m/>
    <m/>
    <m/>
    <m/>
    <m/>
    <m/>
    <m/>
    <m/>
    <m/>
  </r>
  <r>
    <n v="21"/>
    <d v="2003-02-01T00:00:00"/>
    <x v="1"/>
    <x v="3"/>
    <m/>
    <m/>
    <m/>
    <m/>
    <m/>
    <m/>
    <m/>
    <m/>
    <m/>
    <m/>
    <m/>
    <m/>
    <m/>
    <m/>
    <m/>
    <m/>
    <m/>
    <m/>
  </r>
  <r>
    <n v="21"/>
    <d v="2003-03-01T00:00:00"/>
    <x v="2"/>
    <x v="3"/>
    <m/>
    <m/>
    <m/>
    <m/>
    <m/>
    <m/>
    <m/>
    <m/>
    <m/>
    <m/>
    <m/>
    <m/>
    <m/>
    <m/>
    <m/>
    <m/>
    <m/>
    <m/>
  </r>
  <r>
    <n v="21"/>
    <d v="2003-04-01T00:00:00"/>
    <x v="3"/>
    <x v="3"/>
    <n v="0"/>
    <n v="1"/>
    <d v="2003-04-01T00:00:00"/>
    <n v="643197"/>
    <m/>
    <m/>
    <n v="0"/>
    <m/>
    <s v="s"/>
    <n v="0"/>
    <m/>
    <m/>
    <m/>
    <m/>
    <m/>
    <n v="0"/>
    <n v="0"/>
    <n v="0"/>
  </r>
  <r>
    <n v="21"/>
    <d v="2003-05-01T00:00:00"/>
    <x v="4"/>
    <x v="3"/>
    <n v="30"/>
    <n v="1"/>
    <d v="2003-04-01T00:00:00"/>
    <n v="639826"/>
    <n v="1.73"/>
    <n v="0.13"/>
    <n v="0.03"/>
    <m/>
    <m/>
    <n v="2.23"/>
    <m/>
    <n v="9.6"/>
    <n v="28.7"/>
    <m/>
    <n v="83177.38"/>
    <n v="19194.78"/>
    <n v="1426811.98"/>
    <n v="570724.79200000002"/>
  </r>
  <r>
    <n v="21"/>
    <d v="2003-06-01T00:00:00"/>
    <x v="5"/>
    <x v="3"/>
    <n v="61"/>
    <n v="1"/>
    <d v="2003-04-01T00:00:00"/>
    <n v="630567"/>
    <n v="0.23"/>
    <n v="0.1"/>
    <n v="0"/>
    <n v="0"/>
    <m/>
    <n v="0.33"/>
    <m/>
    <n v="11.5"/>
    <n v="18.3"/>
    <m/>
    <n v="63056.700000000004"/>
    <n v="0"/>
    <n v="208087.11000000002"/>
    <n v="83234.844000000012"/>
  </r>
  <r>
    <n v="21"/>
    <d v="2003-07-01T00:00:00"/>
    <x v="6"/>
    <x v="3"/>
    <n v="91"/>
    <n v="1"/>
    <d v="2003-04-01T00:00:00"/>
    <n v="630000"/>
    <n v="0.1"/>
    <n v="0.2"/>
    <n v="0"/>
    <n v="0"/>
    <m/>
    <n v="0"/>
    <m/>
    <n v="11.2"/>
    <n v="11"/>
    <m/>
    <n v="126000"/>
    <n v="0"/>
    <n v="0"/>
    <n v="0"/>
  </r>
  <r>
    <n v="21"/>
    <d v="2003-08-01T00:00:00"/>
    <x v="7"/>
    <x v="3"/>
    <n v="122"/>
    <n v="1"/>
    <d v="2003-04-01T00:00:00"/>
    <n v="625000"/>
    <n v="0.2"/>
    <n v="0.3"/>
    <n v="0.1"/>
    <n v="0"/>
    <m/>
    <n v="0.2"/>
    <m/>
    <n v="9.1999999999999993"/>
    <n v="16"/>
    <m/>
    <n v="187500"/>
    <n v="62500"/>
    <n v="125000"/>
    <n v="50000"/>
  </r>
  <r>
    <n v="21"/>
    <d v="2003-09-01T00:00:00"/>
    <x v="8"/>
    <x v="3"/>
    <n v="153"/>
    <n v="1"/>
    <d v="2003-04-01T00:00:00"/>
    <n v="620000"/>
    <n v="0"/>
    <n v="0.3"/>
    <n v="0.1"/>
    <n v="0"/>
    <m/>
    <n v="0.1"/>
    <m/>
    <n v="8.8000000000000007"/>
    <n v="21"/>
    <m/>
    <n v="186000"/>
    <n v="62000"/>
    <n v="62000"/>
    <n v="24800"/>
  </r>
  <r>
    <n v="21"/>
    <d v="2003-10-01T00:00:00"/>
    <x v="9"/>
    <x v="3"/>
    <n v="183"/>
    <n v="1"/>
    <d v="2003-04-01T00:00:00"/>
    <n v="615000"/>
    <n v="0.03"/>
    <n v="0.33"/>
    <n v="0.1"/>
    <n v="0"/>
    <m/>
    <n v="7.0000000000000007E-2"/>
    <m/>
    <n v="8.8000000000000007"/>
    <m/>
    <m/>
    <n v="202950"/>
    <n v="61500"/>
    <n v="43050.000000000007"/>
    <n v="17220.000000000004"/>
  </r>
  <r>
    <n v="21"/>
    <d v="2003-11-01T00:00:00"/>
    <x v="10"/>
    <x v="3"/>
    <n v="214"/>
    <n v="1"/>
    <d v="2003-04-01T00:00:00"/>
    <n v="611000"/>
    <n v="7.0000000000000007E-2"/>
    <n v="0.7"/>
    <n v="0.25"/>
    <m/>
    <m/>
    <n v="0"/>
    <m/>
    <n v="7.6"/>
    <n v="30"/>
    <m/>
    <n v="427700"/>
    <n v="152750"/>
    <n v="0"/>
    <n v="0"/>
  </r>
  <r>
    <n v="21"/>
    <d v="2003-12-01T00:00:00"/>
    <x v="11"/>
    <x v="3"/>
    <n v="244"/>
    <n v="1"/>
    <d v="2003-04-01T00:00:00"/>
    <n v="607900"/>
    <m/>
    <n v="0.88500000000000001"/>
    <n v="0.26"/>
    <m/>
    <n v="1"/>
    <n v="3.5000000000000003E-2"/>
    <m/>
    <m/>
    <m/>
    <m/>
    <n v="537991.5"/>
    <n v="158054"/>
    <n v="21276.500000000004"/>
    <n v="8510.6000000000022"/>
  </r>
  <r>
    <n v="21"/>
    <d v="2004-01-01T00:00:00"/>
    <x v="0"/>
    <x v="4"/>
    <n v="275"/>
    <n v="1"/>
    <d v="2003-04-01T00:00:00"/>
    <n v="607000"/>
    <n v="0.13"/>
    <n v="1.07"/>
    <n v="0.27"/>
    <m/>
    <m/>
    <n v="7.0000000000000007E-2"/>
    <m/>
    <n v="7.1"/>
    <n v="30"/>
    <m/>
    <n v="649490"/>
    <n v="163890"/>
    <n v="42490.000000000007"/>
    <n v="16996.000000000004"/>
  </r>
  <r>
    <n v="21"/>
    <d v="2004-02-01T00:00:00"/>
    <x v="1"/>
    <x v="4"/>
    <n v="306"/>
    <n v="1"/>
    <d v="2003-04-01T00:00:00"/>
    <n v="606000"/>
    <n v="0.3"/>
    <n v="2.4"/>
    <n v="0.8"/>
    <n v="0"/>
    <m/>
    <n v="0.5"/>
    <m/>
    <n v="6.6"/>
    <n v="28"/>
    <m/>
    <n v="1454400"/>
    <n v="484800"/>
    <n v="303000"/>
    <n v="121200"/>
  </r>
  <r>
    <n v="21"/>
    <d v="2004-03-01T00:00:00"/>
    <x v="2"/>
    <x v="4"/>
    <n v="335"/>
    <n v="1"/>
    <d v="2003-04-01T00:00:00"/>
    <n v="605343"/>
    <n v="0.7"/>
    <n v="2.4"/>
    <n v="1"/>
    <n v="0"/>
    <m/>
    <n v="0.5"/>
    <m/>
    <n v="7.2"/>
    <n v="29"/>
    <m/>
    <n v="1452823.2"/>
    <n v="605343"/>
    <n v="302671.5"/>
    <n v="121068.6"/>
  </r>
  <r>
    <n v="21"/>
    <d v="2004-04-01T00:00:00"/>
    <x v="3"/>
    <x v="4"/>
    <n v="366"/>
    <n v="2"/>
    <d v="2003-04-01T00:00:00"/>
    <n v="603918"/>
    <n v="7.67"/>
    <n v="6.74"/>
    <n v="1.45"/>
    <n v="0"/>
    <m/>
    <n v="2"/>
    <m/>
    <n v="9.8000000000000007"/>
    <n v="31"/>
    <m/>
    <n v="4070407.3200000003"/>
    <n v="875681.1"/>
    <n v="1207836"/>
    <n v="483134.4"/>
  </r>
  <r>
    <n v="21"/>
    <d v="2004-05-01T00:00:00"/>
    <x v="4"/>
    <x v="4"/>
    <n v="396"/>
    <n v="2"/>
    <d v="2003-04-01T00:00:00"/>
    <n v="603135"/>
    <n v="0.9"/>
    <n v="6.36"/>
    <n v="2.3199999999999998"/>
    <n v="2"/>
    <m/>
    <n v="0.65"/>
    <n v="1"/>
    <m/>
    <m/>
    <m/>
    <n v="3835938.6"/>
    <n v="1399273.2"/>
    <n v="392037.75"/>
    <n v="156815.1"/>
  </r>
  <r>
    <n v="21"/>
    <d v="2004-06-01T00:00:00"/>
    <x v="5"/>
    <x v="4"/>
    <n v="427"/>
    <n v="2"/>
    <d v="2003-04-01T00:00:00"/>
    <n v="600436"/>
    <n v="0"/>
    <n v="1.3"/>
    <n v="0.85"/>
    <n v="0"/>
    <m/>
    <n v="0"/>
    <m/>
    <n v="10.25"/>
    <n v="24.5"/>
    <m/>
    <n v="780566.8"/>
    <n v="510370.6"/>
    <n v="0"/>
    <n v="0"/>
  </r>
  <r>
    <n v="21"/>
    <d v="2004-07-01T00:00:00"/>
    <x v="6"/>
    <x v="4"/>
    <n v="457"/>
    <n v="2"/>
    <d v="2003-04-01T00:00:00"/>
    <n v="599727"/>
    <n v="0"/>
    <n v="0.1"/>
    <n v="0"/>
    <n v="0"/>
    <m/>
    <n v="0"/>
    <m/>
    <n v="13.1"/>
    <n v="23"/>
    <m/>
    <n v="59972.700000000004"/>
    <n v="0"/>
    <n v="0"/>
    <n v="0"/>
  </r>
  <r>
    <n v="21"/>
    <d v="2004-08-01T00:00:00"/>
    <x v="7"/>
    <x v="4"/>
    <n v="488"/>
    <n v="2"/>
    <d v="2003-04-01T00:00:00"/>
    <n v="598571"/>
    <n v="0"/>
    <n v="7.0000000000000007E-2"/>
    <n v="7.0000000000000007E-2"/>
    <n v="0"/>
    <m/>
    <n v="0"/>
    <m/>
    <n v="12.2"/>
    <n v="17.2"/>
    <m/>
    <n v="41899.97"/>
    <n v="41899.97"/>
    <n v="0"/>
    <n v="0"/>
  </r>
  <r>
    <n v="21"/>
    <d v="2004-09-01T00:00:00"/>
    <x v="8"/>
    <x v="4"/>
    <n v="519"/>
    <n v="2"/>
    <d v="2003-04-01T00:00:00"/>
    <n v="598000"/>
    <n v="0"/>
    <n v="0.1"/>
    <n v="0"/>
    <n v="0"/>
    <m/>
    <n v="0"/>
    <m/>
    <n v="9.9"/>
    <n v="18.3"/>
    <m/>
    <n v="59800"/>
    <n v="0"/>
    <n v="0"/>
    <n v="0"/>
  </r>
  <r>
    <n v="21"/>
    <d v="2004-10-01T00:00:00"/>
    <x v="9"/>
    <x v="4"/>
    <n v="549"/>
    <n v="2"/>
    <d v="2003-04-01T00:00:00"/>
    <n v="595143"/>
    <n v="0.03"/>
    <n v="0.03"/>
    <n v="0.03"/>
    <n v="0"/>
    <m/>
    <n v="0"/>
    <m/>
    <n v="8.8000000000000007"/>
    <n v="27.6"/>
    <m/>
    <n v="17854.29"/>
    <n v="17854.29"/>
    <n v="0"/>
    <n v="0"/>
  </r>
  <r>
    <n v="21"/>
    <d v="2004-11-01T00:00:00"/>
    <x v="10"/>
    <x v="4"/>
    <n v="580"/>
    <n v="2"/>
    <d v="2003-04-01T00:00:00"/>
    <n v="591771"/>
    <n v="0.27"/>
    <n v="0.1"/>
    <n v="7.0000000000000007E-2"/>
    <n v="0"/>
    <m/>
    <n v="0.03"/>
    <m/>
    <n v="7.9"/>
    <n v="27.5"/>
    <m/>
    <n v="59177.100000000006"/>
    <n v="41423.97"/>
    <n v="17753.13"/>
    <n v="7101.2520000000004"/>
  </r>
  <r>
    <n v="21"/>
    <d v="2004-12-01T00:00:00"/>
    <x v="11"/>
    <x v="4"/>
    <n v="610"/>
    <n v="2"/>
    <d v="2003-04-01T00:00:00"/>
    <n v="590900"/>
    <n v="0.95"/>
    <n v="2.1800000000000002"/>
    <n v="0.37"/>
    <n v="0"/>
    <m/>
    <n v="0.03"/>
    <m/>
    <n v="7"/>
    <n v="29"/>
    <m/>
    <n v="1288162"/>
    <n v="218633"/>
    <n v="17727"/>
    <n v="7090.8"/>
  </r>
  <r>
    <n v="21"/>
    <d v="2005-01-01T00:00:00"/>
    <x v="0"/>
    <x v="5"/>
    <n v="641"/>
    <n v="2"/>
    <d v="2003-04-01T00:00:00"/>
    <n v="532979"/>
    <n v="0.7"/>
    <n v="3.57"/>
    <n v="2.85"/>
    <n v="2"/>
    <m/>
    <n v="0.03"/>
    <n v="1"/>
    <n v="7"/>
    <n v="28"/>
    <m/>
    <n v="1902735.03"/>
    <n v="1518990.1500000001"/>
    <n v="15989.369999999999"/>
    <n v="6395.7479999999996"/>
  </r>
  <r>
    <n v="21"/>
    <d v="2005-02-01T00:00:00"/>
    <x v="1"/>
    <x v="5"/>
    <n v="672"/>
    <n v="2"/>
    <d v="2003-04-01T00:00:00"/>
    <n v="405995"/>
    <n v="7.0000000000000007E-2"/>
    <n v="2.17"/>
    <n v="1.33"/>
    <n v="0"/>
    <m/>
    <n v="0"/>
    <m/>
    <n v="7"/>
    <n v="23"/>
    <m/>
    <n v="881009.15"/>
    <n v="539973.35"/>
    <n v="0"/>
    <n v="0"/>
  </r>
  <r>
    <n v="21"/>
    <d v="2005-03-01T00:00:00"/>
    <x v="2"/>
    <x v="5"/>
    <n v="700"/>
    <n v="2"/>
    <d v="2003-04-01T00:00:00"/>
    <n v="405394"/>
    <n v="0"/>
    <n v="0.33"/>
    <n v="0.23"/>
    <m/>
    <m/>
    <n v="0"/>
    <m/>
    <n v="8"/>
    <n v="32"/>
    <s v="harvesting"/>
    <n v="133780.02000000002"/>
    <n v="93240.62000000001"/>
    <n v="0"/>
    <n v="0"/>
  </r>
  <r>
    <n v="21"/>
    <d v="2005-04-01T00:00:00"/>
    <x v="3"/>
    <x v="5"/>
    <n v="731"/>
    <n v="3"/>
    <d v="2003-04-01T00:00:00"/>
    <n v="324898"/>
    <m/>
    <m/>
    <n v="0.05"/>
    <m/>
    <s v="h"/>
    <n v="0"/>
    <m/>
    <m/>
    <m/>
    <s v="harvesting"/>
    <m/>
    <n v="16244.900000000001"/>
    <n v="0"/>
    <n v="0"/>
  </r>
  <r>
    <n v="21"/>
    <d v="2005-05-01T00:00:00"/>
    <x v="4"/>
    <x v="5"/>
    <m/>
    <m/>
    <m/>
    <m/>
    <m/>
    <m/>
    <m/>
    <m/>
    <m/>
    <m/>
    <m/>
    <m/>
    <m/>
    <m/>
    <m/>
    <m/>
    <m/>
    <m/>
  </r>
  <r>
    <n v="21"/>
    <d v="2005-06-01T00:00:00"/>
    <x v="5"/>
    <x v="5"/>
    <m/>
    <m/>
    <m/>
    <m/>
    <m/>
    <m/>
    <m/>
    <m/>
    <m/>
    <m/>
    <m/>
    <m/>
    <m/>
    <m/>
    <m/>
    <m/>
    <m/>
    <m/>
  </r>
  <r>
    <n v="21"/>
    <d v="2005-07-01T00:00:00"/>
    <x v="6"/>
    <x v="5"/>
    <m/>
    <m/>
    <m/>
    <m/>
    <m/>
    <m/>
    <m/>
    <m/>
    <m/>
    <m/>
    <m/>
    <m/>
    <m/>
    <m/>
    <m/>
    <m/>
    <m/>
    <m/>
  </r>
  <r>
    <n v="21"/>
    <d v="2005-08-01T00:00:00"/>
    <x v="7"/>
    <x v="5"/>
    <m/>
    <m/>
    <m/>
    <m/>
    <m/>
    <m/>
    <m/>
    <m/>
    <m/>
    <m/>
    <m/>
    <m/>
    <m/>
    <m/>
    <m/>
    <m/>
    <m/>
    <m/>
  </r>
  <r>
    <n v="21"/>
    <d v="2005-09-01T00:00:00"/>
    <x v="8"/>
    <x v="5"/>
    <n v="212"/>
    <n v="1"/>
    <d v="2005-02-01T00:00:00"/>
    <n v="710033"/>
    <m/>
    <m/>
    <n v="0.87"/>
    <m/>
    <s v="t"/>
    <n v="0.06"/>
    <m/>
    <m/>
    <m/>
    <s v="fish moved from farm #25"/>
    <m/>
    <n v="617728.71"/>
    <n v="42601.979999999996"/>
    <n v="17040.791999999998"/>
  </r>
  <r>
    <n v="21"/>
    <d v="2005-10-01T00:00:00"/>
    <x v="9"/>
    <x v="5"/>
    <n v="242"/>
    <n v="1"/>
    <d v="2005-02-01T00:00:00"/>
    <n v="709621"/>
    <n v="0.03"/>
    <n v="1.3"/>
    <n v="0.87"/>
    <m/>
    <m/>
    <n v="0.08"/>
    <m/>
    <n v="9"/>
    <n v="21"/>
    <m/>
    <n v="922507.3"/>
    <n v="617370.27"/>
    <n v="56769.68"/>
    <n v="22707.872000000003"/>
  </r>
  <r>
    <n v="21"/>
    <d v="2005-11-01T00:00:00"/>
    <x v="10"/>
    <x v="5"/>
    <n v="273"/>
    <n v="1"/>
    <d v="2005-02-01T00:00:00"/>
    <n v="709064"/>
    <n v="0.17"/>
    <n v="1.92"/>
    <n v="1"/>
    <n v="0"/>
    <m/>
    <n v="0.05"/>
    <m/>
    <n v="8"/>
    <n v="29"/>
    <m/>
    <n v="1361402.8799999999"/>
    <n v="709064"/>
    <n v="35453.200000000004"/>
    <n v="14181.280000000002"/>
  </r>
  <r>
    <n v="21"/>
    <d v="2005-12-01T00:00:00"/>
    <x v="11"/>
    <x v="5"/>
    <n v="303"/>
    <n v="1"/>
    <d v="2005-02-01T00:00:00"/>
    <n v="708327"/>
    <n v="0.23"/>
    <n v="1.63"/>
    <n v="1.1000000000000001"/>
    <n v="0"/>
    <m/>
    <n v="0.15"/>
    <m/>
    <n v="7"/>
    <n v="30"/>
    <m/>
    <n v="1154573.01"/>
    <n v="779159.70000000007"/>
    <n v="106249.05"/>
    <n v="42499.62"/>
  </r>
  <r>
    <n v="21"/>
    <d v="2006-01-01T00:00:00"/>
    <x v="0"/>
    <x v="6"/>
    <n v="334"/>
    <n v="1"/>
    <d v="2005-02-01T00:00:00"/>
    <n v="707221"/>
    <n v="0.28000000000000003"/>
    <n v="1.82"/>
    <n v="1.18"/>
    <n v="0"/>
    <m/>
    <n v="0.23"/>
    <m/>
    <n v="7"/>
    <n v="29"/>
    <m/>
    <n v="1287142.22"/>
    <n v="834520.77999999991"/>
    <n v="162660.83000000002"/>
    <n v="65064.332000000009"/>
  </r>
  <r>
    <n v="21"/>
    <d v="2006-02-01T00:00:00"/>
    <x v="1"/>
    <x v="6"/>
    <n v="365"/>
    <n v="2"/>
    <d v="2005-02-01T00:00:00"/>
    <n v="706322"/>
    <n v="1.68"/>
    <n v="5.13"/>
    <n v="2.62"/>
    <n v="2"/>
    <m/>
    <n v="0.38"/>
    <n v="1"/>
    <n v="8"/>
    <n v="30"/>
    <m/>
    <n v="3623431.86"/>
    <n v="1850563.6400000001"/>
    <n v="268402.36"/>
    <n v="107360.944"/>
  </r>
  <r>
    <n v="21"/>
    <d v="2006-03-01T00:00:00"/>
    <x v="2"/>
    <x v="6"/>
    <n v="393"/>
    <n v="2"/>
    <d v="2005-02-01T00:00:00"/>
    <n v="706249"/>
    <n v="0.44"/>
    <n v="1.69"/>
    <n v="0.68"/>
    <n v="0"/>
    <m/>
    <n v="0.06"/>
    <m/>
    <n v="7"/>
    <n v="30"/>
    <m/>
    <n v="1193560.81"/>
    <n v="480249.32"/>
    <n v="42374.939999999995"/>
    <n v="16949.975999999999"/>
  </r>
  <r>
    <n v="21"/>
    <d v="2006-04-01T00:00:00"/>
    <x v="3"/>
    <x v="6"/>
    <n v="424"/>
    <n v="2"/>
    <d v="2005-02-01T00:00:00"/>
    <n v="704734"/>
    <n v="0.35"/>
    <n v="0.52"/>
    <n v="0.09"/>
    <n v="0"/>
    <m/>
    <n v="0.03"/>
    <m/>
    <n v="8"/>
    <n v="30"/>
    <m/>
    <n v="366461.68"/>
    <n v="63426.06"/>
    <n v="21142.02"/>
    <n v="8456.8080000000009"/>
  </r>
  <r>
    <n v="21"/>
    <d v="2006-05-01T00:00:00"/>
    <x v="4"/>
    <x v="6"/>
    <n v="454"/>
    <n v="2"/>
    <d v="2005-02-01T00:00:00"/>
    <n v="704251"/>
    <n v="0.52"/>
    <n v="0.14000000000000001"/>
    <n v="0.11"/>
    <n v="0"/>
    <m/>
    <n v="0.03"/>
    <m/>
    <n v="10"/>
    <n v="27"/>
    <m/>
    <n v="98595.140000000014"/>
    <n v="77467.61"/>
    <n v="21127.53"/>
    <n v="8451.0120000000006"/>
  </r>
  <r>
    <n v="21"/>
    <d v="2006-06-01T00:00:00"/>
    <x v="5"/>
    <x v="6"/>
    <n v="485"/>
    <n v="2"/>
    <d v="2005-02-01T00:00:00"/>
    <n v="703557"/>
    <n v="0.2"/>
    <n v="0.28000000000000003"/>
    <n v="0.2"/>
    <n v="0"/>
    <m/>
    <n v="0.04"/>
    <m/>
    <n v="11"/>
    <n v="19"/>
    <m/>
    <n v="196995.96000000002"/>
    <n v="140711.4"/>
    <n v="28142.28"/>
    <n v="11256.912"/>
  </r>
  <r>
    <n v="21"/>
    <d v="2006-07-01T00:00:00"/>
    <x v="6"/>
    <x v="6"/>
    <n v="515"/>
    <n v="2"/>
    <d v="2005-02-01T00:00:00"/>
    <n v="665403"/>
    <n v="0.02"/>
    <n v="0.17"/>
    <n v="0.13"/>
    <n v="0"/>
    <m/>
    <n v="0"/>
    <m/>
    <n v="12"/>
    <n v="16"/>
    <m/>
    <n v="113118.51000000001"/>
    <n v="86502.39"/>
    <n v="0"/>
    <n v="0"/>
  </r>
  <r>
    <n v="21"/>
    <d v="2006-08-01T00:00:00"/>
    <x v="7"/>
    <x v="6"/>
    <n v="546"/>
    <n v="2"/>
    <d v="2005-02-01T00:00:00"/>
    <n v="653694"/>
    <n v="6.6666600000000006E-2"/>
    <n v="0.31666660000000002"/>
    <n v="0.15"/>
    <m/>
    <m/>
    <n v="0"/>
    <m/>
    <n v="11"/>
    <n v="18"/>
    <m/>
    <n v="207003.05642040001"/>
    <n v="98054.099999999991"/>
    <n v="0"/>
    <n v="0"/>
  </r>
  <r>
    <n v="21"/>
    <d v="2006-09-01T00:00:00"/>
    <x v="8"/>
    <x v="6"/>
    <n v="577"/>
    <n v="2"/>
    <d v="2005-02-01T00:00:00"/>
    <n v="576708"/>
    <m/>
    <n v="0.23333330000000002"/>
    <n v="0.1"/>
    <m/>
    <n v="1"/>
    <n v="0"/>
    <m/>
    <m/>
    <m/>
    <m/>
    <n v="134565.18077640003"/>
    <n v="57670.8"/>
    <n v="0"/>
    <n v="0"/>
  </r>
  <r>
    <n v="21"/>
    <d v="2006-10-01T00:00:00"/>
    <x v="9"/>
    <x v="6"/>
    <n v="607"/>
    <n v="2"/>
    <d v="2005-02-01T00:00:00"/>
    <n v="573223"/>
    <n v="0.08"/>
    <n v="0.15"/>
    <n v="0.05"/>
    <m/>
    <m/>
    <n v="0"/>
    <m/>
    <n v="10"/>
    <n v="19"/>
    <m/>
    <n v="85983.45"/>
    <n v="28661.15"/>
    <n v="0"/>
    <n v="0"/>
  </r>
  <r>
    <n v="21"/>
    <d v="2006-11-01T00:00:00"/>
    <x v="10"/>
    <x v="6"/>
    <n v="638"/>
    <n v="2"/>
    <d v="2005-02-01T00:00:00"/>
    <n v="495352"/>
    <n v="0.28333330000000001"/>
    <n v="0.9166666"/>
    <n v="0.1833333"/>
    <n v="0"/>
    <m/>
    <n v="0.26666659999999998"/>
    <m/>
    <n v="8"/>
    <n v="27"/>
    <m/>
    <n v="454072.63364319998"/>
    <n v="90814.516821600002"/>
    <n v="132093.83364319999"/>
    <n v="52837.533457279998"/>
  </r>
  <r>
    <n v="21"/>
    <d v="2006-12-01T00:00:00"/>
    <x v="11"/>
    <x v="6"/>
    <n v="668"/>
    <n v="2"/>
    <d v="2005-02-01T00:00:00"/>
    <n v="493926"/>
    <n v="0.2"/>
    <n v="1.93"/>
    <n v="0.73"/>
    <n v="0"/>
    <m/>
    <n v="0"/>
    <m/>
    <n v="7"/>
    <n v="30"/>
    <m/>
    <n v="953277.17999999993"/>
    <n v="360565.98"/>
    <n v="0"/>
    <n v="0"/>
  </r>
  <r>
    <n v="21"/>
    <d v="2007-01-01T00:00:00"/>
    <x v="0"/>
    <x v="7"/>
    <n v="699"/>
    <n v="2"/>
    <d v="2005-02-01T00:00:00"/>
    <n v="479634"/>
    <n v="0.6666666"/>
    <n v="2.4166666000000001"/>
    <n v="1.5"/>
    <n v="0"/>
    <m/>
    <n v="0.05"/>
    <m/>
    <n v="7"/>
    <n v="29"/>
    <s v="harvesting"/>
    <n v="1159115.4680244001"/>
    <n v="719451"/>
    <n v="23981.7"/>
    <n v="9592.68"/>
  </r>
  <r>
    <n v="21"/>
    <d v="2007-02-01T00:00:00"/>
    <x v="1"/>
    <x v="7"/>
    <n v="730"/>
    <n v="3"/>
    <d v="2005-02-01T00:00:00"/>
    <n v="288829"/>
    <n v="0.15"/>
    <n v="2.38"/>
    <n v="1.58"/>
    <m/>
    <m/>
    <n v="0.05"/>
    <m/>
    <n v="7"/>
    <n v="29"/>
    <m/>
    <n v="687413.02"/>
    <n v="456349.82"/>
    <n v="14441.45"/>
    <n v="5776.5800000000008"/>
  </r>
  <r>
    <n v="21"/>
    <d v="2007-03-01T00:00:00"/>
    <x v="2"/>
    <x v="7"/>
    <n v="758"/>
    <n v="3"/>
    <d v="2005-02-01T00:00:00"/>
    <n v="126813"/>
    <m/>
    <m/>
    <n v="1.7"/>
    <m/>
    <s v="h"/>
    <n v="0.05"/>
    <m/>
    <m/>
    <m/>
    <m/>
    <m/>
    <n v="215582.1"/>
    <n v="6340.6500000000005"/>
    <n v="2536.2600000000002"/>
  </r>
  <r>
    <n v="21"/>
    <d v="2007-04-01T00:00:00"/>
    <x v="3"/>
    <x v="7"/>
    <n v="789"/>
    <n v="3"/>
    <d v="2005-02-01T00:00:00"/>
    <n v="81663"/>
    <m/>
    <m/>
    <n v="1.8"/>
    <m/>
    <s v="h"/>
    <n v="0.06"/>
    <m/>
    <m/>
    <m/>
    <m/>
    <m/>
    <n v="146993.4"/>
    <n v="4899.78"/>
    <n v="1959.912"/>
  </r>
  <r>
    <n v="21"/>
    <d v="2007-05-01T00:00:00"/>
    <x v="4"/>
    <x v="7"/>
    <n v="819"/>
    <n v="3"/>
    <d v="2005-02-01T00:00:00"/>
    <n v="27646"/>
    <m/>
    <m/>
    <n v="1.9"/>
    <m/>
    <s v="h"/>
    <n v="7.0000000000000007E-2"/>
    <m/>
    <m/>
    <m/>
    <m/>
    <m/>
    <n v="52527.399999999994"/>
    <n v="1935.2200000000003"/>
    <n v="774.08800000000019"/>
  </r>
  <r>
    <n v="21"/>
    <d v="2007-06-01T00:00:00"/>
    <x v="5"/>
    <x v="7"/>
    <m/>
    <m/>
    <m/>
    <m/>
    <m/>
    <m/>
    <m/>
    <m/>
    <m/>
    <m/>
    <m/>
    <m/>
    <m/>
    <m/>
    <m/>
    <m/>
    <m/>
    <m/>
  </r>
  <r>
    <n v="21"/>
    <d v="2007-07-01T00:00:00"/>
    <x v="6"/>
    <x v="7"/>
    <m/>
    <m/>
    <m/>
    <m/>
    <m/>
    <m/>
    <m/>
    <m/>
    <m/>
    <m/>
    <m/>
    <m/>
    <m/>
    <m/>
    <m/>
    <m/>
    <m/>
    <m/>
  </r>
  <r>
    <n v="21"/>
    <d v="2007-08-01T00:00:00"/>
    <x v="7"/>
    <x v="7"/>
    <m/>
    <m/>
    <m/>
    <m/>
    <m/>
    <m/>
    <m/>
    <m/>
    <m/>
    <m/>
    <m/>
    <m/>
    <m/>
    <m/>
    <m/>
    <m/>
    <m/>
    <m/>
  </r>
  <r>
    <n v="21"/>
    <d v="2007-09-01T00:00:00"/>
    <x v="8"/>
    <x v="7"/>
    <n v="274"/>
    <n v="1"/>
    <d v="2006-12-01T00:00:00"/>
    <n v="681286"/>
    <n v="0.03"/>
    <n v="7.0000000000000007E-2"/>
    <n v="0.03"/>
    <m/>
    <m/>
    <n v="0"/>
    <m/>
    <n v="10"/>
    <n v="26"/>
    <s v="Transferred from farm #25 in Aug 2007"/>
    <n v="47690.020000000004"/>
    <n v="20438.579999999998"/>
    <n v="0"/>
    <n v="0"/>
  </r>
  <r>
    <n v="21"/>
    <d v="2007-10-01T00:00:00"/>
    <x v="9"/>
    <x v="7"/>
    <n v="304"/>
    <n v="1"/>
    <d v="2006-12-01T00:00:00"/>
    <n v="681026"/>
    <n v="0.02"/>
    <n v="0.28000000000000003"/>
    <n v="0.02"/>
    <n v="0"/>
    <m/>
    <n v="0"/>
    <m/>
    <n v="9"/>
    <m/>
    <m/>
    <n v="190687.28000000003"/>
    <n v="13620.52"/>
    <n v="0"/>
    <n v="0"/>
  </r>
  <r>
    <n v="21"/>
    <d v="2007-11-01T00:00:00"/>
    <x v="10"/>
    <x v="7"/>
    <n v="335"/>
    <n v="1"/>
    <d v="2006-12-01T00:00:00"/>
    <n v="680920"/>
    <n v="0.17"/>
    <n v="0.33"/>
    <n v="0.08"/>
    <n v="0"/>
    <m/>
    <n v="0"/>
    <m/>
    <n v="8"/>
    <m/>
    <m/>
    <n v="224703.6"/>
    <n v="54473.599999999999"/>
    <n v="0"/>
    <n v="0"/>
  </r>
  <r>
    <n v="21"/>
    <d v="2007-12-01T00:00:00"/>
    <x v="11"/>
    <x v="7"/>
    <n v="365"/>
    <n v="2"/>
    <d v="2006-12-01T00:00:00"/>
    <n v="680599"/>
    <n v="0.33"/>
    <n v="1.03"/>
    <n v="0.35"/>
    <n v="0"/>
    <m/>
    <n v="0"/>
    <m/>
    <n v="7"/>
    <m/>
    <m/>
    <n v="701016.97"/>
    <n v="238209.65"/>
    <n v="0"/>
    <n v="0"/>
  </r>
  <r>
    <n v="21"/>
    <d v="2008-01-01T00:00:00"/>
    <x v="0"/>
    <x v="8"/>
    <n v="396"/>
    <n v="2"/>
    <d v="2006-12-01T00:00:00"/>
    <n v="680546"/>
    <n v="0.2"/>
    <n v="0.47"/>
    <n v="0.32"/>
    <n v="0"/>
    <m/>
    <n v="0"/>
    <n v="1"/>
    <m/>
    <m/>
    <m/>
    <n v="319856.62"/>
    <n v="217774.72"/>
    <n v="0"/>
    <n v="0"/>
  </r>
  <r>
    <n v="21"/>
    <d v="2008-02-01T00:00:00"/>
    <x v="1"/>
    <x v="8"/>
    <n v="427"/>
    <n v="2"/>
    <d v="2006-12-01T00:00:00"/>
    <n v="679771"/>
    <n v="0.28333330000000001"/>
    <n v="0.78333330000000001"/>
    <n v="0.25"/>
    <n v="0"/>
    <m/>
    <n v="0"/>
    <m/>
    <m/>
    <m/>
    <m/>
    <n v="532487.26067430002"/>
    <n v="169942.75"/>
    <n v="0"/>
    <n v="0"/>
  </r>
  <r>
    <n v="21"/>
    <d v="2008-03-01T00:00:00"/>
    <x v="2"/>
    <x v="8"/>
    <n v="456"/>
    <n v="2"/>
    <d v="2006-12-01T00:00:00"/>
    <n v="679551"/>
    <n v="0"/>
    <n v="0.13"/>
    <n v="0.03"/>
    <n v="0"/>
    <m/>
    <n v="0"/>
    <m/>
    <m/>
    <m/>
    <m/>
    <n v="88341.63"/>
    <n v="20386.53"/>
    <n v="0"/>
    <n v="0"/>
  </r>
  <r>
    <n v="21"/>
    <d v="2008-04-01T00:00:00"/>
    <x v="3"/>
    <x v="8"/>
    <n v="487"/>
    <n v="2"/>
    <d v="2006-12-01T00:00:00"/>
    <n v="678879"/>
    <n v="0"/>
    <n v="0.02"/>
    <n v="0"/>
    <n v="0"/>
    <m/>
    <n v="0"/>
    <m/>
    <m/>
    <m/>
    <m/>
    <n v="13577.58"/>
    <n v="0"/>
    <n v="0"/>
    <n v="0"/>
  </r>
  <r>
    <n v="21"/>
    <d v="2008-05-01T00:00:00"/>
    <x v="4"/>
    <x v="8"/>
    <n v="517"/>
    <n v="2"/>
    <d v="2006-12-01T00:00:00"/>
    <n v="678475"/>
    <n v="0.52"/>
    <n v="0"/>
    <n v="0"/>
    <n v="0"/>
    <m/>
    <n v="0"/>
    <m/>
    <m/>
    <m/>
    <m/>
    <n v="0"/>
    <n v="0"/>
    <n v="0"/>
    <n v="0"/>
  </r>
  <r>
    <n v="21"/>
    <d v="2008-06-01T00:00:00"/>
    <x v="5"/>
    <x v="8"/>
    <n v="548"/>
    <n v="2"/>
    <d v="2006-12-01T00:00:00"/>
    <n v="678250"/>
    <n v="3.3333333333333333E-2"/>
    <n v="0"/>
    <n v="0"/>
    <n v="0"/>
    <m/>
    <n v="0"/>
    <m/>
    <m/>
    <m/>
    <m/>
    <n v="0"/>
    <n v="0"/>
    <n v="0"/>
    <n v="0"/>
  </r>
  <r>
    <n v="21"/>
    <d v="2008-07-01T00:00:00"/>
    <x v="6"/>
    <x v="8"/>
    <n v="578"/>
    <n v="2"/>
    <d v="2006-12-01T00:00:00"/>
    <n v="678000"/>
    <n v="0"/>
    <n v="7.0000000000000007E-2"/>
    <n v="0.05"/>
    <n v="0"/>
    <m/>
    <n v="0"/>
    <m/>
    <m/>
    <m/>
    <m/>
    <n v="47460.000000000007"/>
    <n v="33900"/>
    <n v="0"/>
    <n v="0"/>
  </r>
  <r>
    <n v="21"/>
    <d v="2008-08-01T00:00:00"/>
    <x v="7"/>
    <x v="8"/>
    <n v="609"/>
    <n v="2"/>
    <d v="2006-12-01T00:00:00"/>
    <n v="678000"/>
    <n v="0"/>
    <n v="0"/>
    <n v="0"/>
    <n v="0"/>
    <m/>
    <n v="0"/>
    <m/>
    <m/>
    <m/>
    <m/>
    <n v="0"/>
    <n v="0"/>
    <n v="0"/>
    <n v="0"/>
  </r>
  <r>
    <n v="21"/>
    <d v="2008-09-01T00:00:00"/>
    <x v="8"/>
    <x v="8"/>
    <n v="640"/>
    <n v="2"/>
    <d v="2006-12-01T00:00:00"/>
    <n v="677000"/>
    <n v="0"/>
    <n v="0.02"/>
    <n v="0.02"/>
    <n v="0"/>
    <m/>
    <n v="0"/>
    <m/>
    <m/>
    <m/>
    <m/>
    <n v="13540"/>
    <n v="13540"/>
    <n v="0"/>
    <n v="0"/>
  </r>
  <r>
    <n v="21"/>
    <d v="2008-10-01T00:00:00"/>
    <x v="9"/>
    <x v="8"/>
    <n v="670"/>
    <n v="2"/>
    <d v="2006-12-01T00:00:00"/>
    <n v="675000"/>
    <n v="0"/>
    <n v="0.08"/>
    <n v="0.05"/>
    <n v="0"/>
    <m/>
    <n v="0"/>
    <m/>
    <m/>
    <m/>
    <m/>
    <n v="54000"/>
    <n v="33750"/>
    <n v="0"/>
    <n v="0"/>
  </r>
  <r>
    <n v="21"/>
    <d v="2008-11-01T00:00:00"/>
    <x v="10"/>
    <x v="8"/>
    <n v="701"/>
    <n v="2"/>
    <d v="2006-12-01T00:00:00"/>
    <n v="674000"/>
    <n v="2.0299999999999998"/>
    <n v="0.13"/>
    <n v="0.12"/>
    <m/>
    <m/>
    <n v="0"/>
    <m/>
    <m/>
    <m/>
    <m/>
    <n v="87620"/>
    <n v="80880"/>
    <n v="0"/>
    <n v="0"/>
  </r>
  <r>
    <n v="21"/>
    <d v="2008-12-01T00:00:00"/>
    <x v="11"/>
    <x v="8"/>
    <n v="731"/>
    <n v="3"/>
    <d v="2006-12-01T00:00:00"/>
    <n v="673000"/>
    <m/>
    <n v="0.3"/>
    <n v="0.2"/>
    <m/>
    <n v="1"/>
    <n v="0"/>
    <m/>
    <m/>
    <m/>
    <m/>
    <n v="201900"/>
    <n v="134600"/>
    <n v="0"/>
    <n v="0"/>
  </r>
  <r>
    <n v="21"/>
    <d v="2009-01-01T00:00:00"/>
    <x v="0"/>
    <x v="9"/>
    <n v="762"/>
    <n v="3"/>
    <d v="2006-12-01T00:00:00"/>
    <n v="673683"/>
    <n v="0"/>
    <n v="0.35833333333333334"/>
    <n v="0.17499999999999999"/>
    <m/>
    <m/>
    <n v="7.4999999999999997E-2"/>
    <m/>
    <m/>
    <m/>
    <m/>
    <n v="241403.07500000001"/>
    <n v="117894.52499999999"/>
    <n v="50526.224999999999"/>
    <n v="20210.490000000002"/>
  </r>
  <r>
    <n v="21"/>
    <d v="2009-02-01T00:00:00"/>
    <x v="1"/>
    <x v="9"/>
    <n v="793"/>
    <n v="3"/>
    <d v="2006-12-01T00:00:00"/>
    <n v="24973"/>
    <m/>
    <m/>
    <n v="0.3"/>
    <m/>
    <s v="h"/>
    <n v="0.16"/>
    <m/>
    <m/>
    <m/>
    <s v="less than 3 pens"/>
    <m/>
    <n v="7491.9"/>
    <n v="3995.6800000000003"/>
    <n v="1598.2720000000002"/>
  </r>
  <r>
    <n v="21"/>
    <d v="2009-03-01T00:00:00"/>
    <x v="2"/>
    <x v="9"/>
    <m/>
    <m/>
    <m/>
    <m/>
    <m/>
    <m/>
    <m/>
    <m/>
    <m/>
    <m/>
    <m/>
    <m/>
    <m/>
    <s v="Empty Mar 4th"/>
    <m/>
    <m/>
    <m/>
    <m/>
  </r>
  <r>
    <n v="21"/>
    <d v="2009-04-01T00:00:00"/>
    <x v="3"/>
    <x v="9"/>
    <m/>
    <m/>
    <m/>
    <m/>
    <m/>
    <m/>
    <m/>
    <m/>
    <m/>
    <m/>
    <m/>
    <m/>
    <m/>
    <m/>
    <m/>
    <m/>
    <m/>
    <m/>
  </r>
  <r>
    <n v="21"/>
    <d v="2009-05-01T00:00:00"/>
    <x v="4"/>
    <x v="9"/>
    <m/>
    <m/>
    <m/>
    <m/>
    <m/>
    <m/>
    <m/>
    <m/>
    <m/>
    <m/>
    <m/>
    <m/>
    <m/>
    <m/>
    <m/>
    <m/>
    <m/>
    <m/>
  </r>
  <r>
    <n v="21"/>
    <d v="2009-06-01T00:00:00"/>
    <x v="5"/>
    <x v="9"/>
    <m/>
    <m/>
    <m/>
    <m/>
    <m/>
    <m/>
    <m/>
    <m/>
    <m/>
    <m/>
    <m/>
    <m/>
    <m/>
    <m/>
    <m/>
    <m/>
    <m/>
    <m/>
  </r>
  <r>
    <n v="21"/>
    <d v="2009-07-01T00:00:00"/>
    <x v="6"/>
    <x v="9"/>
    <n v="266"/>
    <n v="1"/>
    <d v="2008-10-08T00:00:00"/>
    <n v="457070"/>
    <n v="0"/>
    <n v="0.02"/>
    <n v="0"/>
    <m/>
    <m/>
    <n v="0"/>
    <m/>
    <m/>
    <m/>
    <m/>
    <n v="9141.4"/>
    <n v="0"/>
    <n v="0"/>
    <n v="0"/>
  </r>
  <r>
    <n v="21"/>
    <d v="2009-08-01T00:00:00"/>
    <x v="7"/>
    <x v="9"/>
    <n v="297"/>
    <n v="1"/>
    <d v="2008-10-08T00:00:00"/>
    <n v="539476"/>
    <n v="0"/>
    <n v="8.3000000000000004E-2"/>
    <n v="1.7000000000000001E-2"/>
    <n v="0"/>
    <m/>
    <n v="0"/>
    <m/>
    <m/>
    <m/>
    <m/>
    <n v="44776.508000000002"/>
    <n v="9171.0920000000006"/>
    <n v="0"/>
    <n v="0"/>
  </r>
  <r>
    <n v="21"/>
    <d v="2009-09-01T00:00:00"/>
    <x v="8"/>
    <x v="9"/>
    <n v="328"/>
    <n v="1"/>
    <d v="2008-10-08T00:00:00"/>
    <n v="539456"/>
    <n v="0"/>
    <n v="0.33"/>
    <n v="0.03"/>
    <n v="0"/>
    <m/>
    <n v="0.02"/>
    <m/>
    <m/>
    <m/>
    <m/>
    <n v="178020.48000000001"/>
    <n v="16183.68"/>
    <n v="10789.12"/>
    <n v="4315.6480000000001"/>
  </r>
  <r>
    <n v="21"/>
    <d v="2009-10-01T00:00:00"/>
    <x v="9"/>
    <x v="9"/>
    <n v="358"/>
    <n v="1"/>
    <d v="2008-10-08T00:00:00"/>
    <n v="539006"/>
    <n v="0.2"/>
    <n v="0.45"/>
    <n v="0.15"/>
    <n v="0"/>
    <m/>
    <n v="0"/>
    <m/>
    <m/>
    <m/>
    <m/>
    <n v="242552.7"/>
    <n v="80850.899999999994"/>
    <n v="0"/>
    <n v="0"/>
  </r>
  <r>
    <n v="21"/>
    <d v="2009-11-01T00:00:00"/>
    <x v="10"/>
    <x v="9"/>
    <n v="389"/>
    <n v="2"/>
    <d v="2008-10-08T00:00:00"/>
    <n v="538558"/>
    <n v="0.433"/>
    <n v="0.46700000000000003"/>
    <n v="0.25"/>
    <n v="2"/>
    <m/>
    <n v="1.7000000000000001E-2"/>
    <n v="1"/>
    <m/>
    <m/>
    <m/>
    <n v="251506.58600000001"/>
    <n v="134639.5"/>
    <n v="9155.4860000000008"/>
    <n v="3662.1944000000003"/>
  </r>
  <r>
    <n v="21"/>
    <d v="2009-12-01T00:00:00"/>
    <x v="11"/>
    <x v="9"/>
    <n v="419"/>
    <n v="2"/>
    <d v="2008-10-08T00:00:00"/>
    <n v="538245"/>
    <n v="0.08"/>
    <n v="0.03"/>
    <n v="0.02"/>
    <m/>
    <m/>
    <n v="0"/>
    <m/>
    <m/>
    <m/>
    <m/>
    <n v="16147.349999999999"/>
    <n v="10764.9"/>
    <n v="0"/>
    <n v="0"/>
  </r>
  <r>
    <n v="22"/>
    <d v="2000-01-01T00:00:00"/>
    <x v="0"/>
    <x v="0"/>
    <n v="306"/>
    <n v="1"/>
    <d v="1999-03-01T00:00:00"/>
    <n v="351411"/>
    <m/>
    <m/>
    <m/>
    <m/>
    <m/>
    <m/>
    <m/>
    <m/>
    <m/>
    <m/>
    <m/>
    <m/>
    <m/>
    <m/>
  </r>
  <r>
    <n v="22"/>
    <d v="2000-02-01T00:00:00"/>
    <x v="1"/>
    <x v="0"/>
    <n v="337"/>
    <n v="1"/>
    <d v="1999-03-01T00:00:00"/>
    <n v="350907"/>
    <m/>
    <m/>
    <m/>
    <m/>
    <m/>
    <m/>
    <m/>
    <m/>
    <m/>
    <m/>
    <m/>
    <m/>
    <m/>
    <m/>
  </r>
  <r>
    <n v="22"/>
    <d v="2000-03-01T00:00:00"/>
    <x v="2"/>
    <x v="0"/>
    <n v="366"/>
    <n v="2"/>
    <d v="1999-03-01T00:00:00"/>
    <n v="350853"/>
    <m/>
    <m/>
    <m/>
    <m/>
    <m/>
    <m/>
    <m/>
    <m/>
    <m/>
    <m/>
    <m/>
    <m/>
    <m/>
    <m/>
  </r>
  <r>
    <n v="22"/>
    <d v="2000-04-01T00:00:00"/>
    <x v="3"/>
    <x v="0"/>
    <n v="397"/>
    <n v="2"/>
    <d v="1999-03-01T00:00:00"/>
    <n v="261149"/>
    <m/>
    <m/>
    <m/>
    <m/>
    <m/>
    <m/>
    <m/>
    <m/>
    <m/>
    <m/>
    <m/>
    <m/>
    <m/>
    <m/>
  </r>
  <r>
    <n v="22"/>
    <d v="2000-05-01T00:00:00"/>
    <x v="4"/>
    <x v="0"/>
    <n v="427"/>
    <n v="2"/>
    <d v="1999-03-01T00:00:00"/>
    <n v="260939"/>
    <m/>
    <m/>
    <m/>
    <m/>
    <m/>
    <m/>
    <m/>
    <m/>
    <m/>
    <m/>
    <m/>
    <m/>
    <m/>
    <m/>
  </r>
  <r>
    <n v="22"/>
    <d v="2000-06-01T00:00:00"/>
    <x v="5"/>
    <x v="0"/>
    <n v="458"/>
    <n v="2"/>
    <d v="1999-03-01T00:00:00"/>
    <n v="256852"/>
    <m/>
    <m/>
    <m/>
    <m/>
    <m/>
    <m/>
    <m/>
    <m/>
    <m/>
    <m/>
    <m/>
    <m/>
    <m/>
    <m/>
  </r>
  <r>
    <n v="22"/>
    <d v="2000-07-01T00:00:00"/>
    <x v="6"/>
    <x v="0"/>
    <n v="488"/>
    <n v="2"/>
    <d v="1999-03-01T00:00:00"/>
    <n v="254840"/>
    <m/>
    <m/>
    <m/>
    <m/>
    <m/>
    <m/>
    <m/>
    <m/>
    <m/>
    <m/>
    <m/>
    <m/>
    <m/>
    <m/>
  </r>
  <r>
    <n v="22"/>
    <d v="2000-08-01T00:00:00"/>
    <x v="7"/>
    <x v="0"/>
    <n v="519"/>
    <n v="2"/>
    <d v="1999-03-01T00:00:00"/>
    <n v="222714"/>
    <m/>
    <m/>
    <m/>
    <m/>
    <m/>
    <m/>
    <m/>
    <m/>
    <m/>
    <s v="start harvesting"/>
    <m/>
    <m/>
    <m/>
    <m/>
  </r>
  <r>
    <n v="22"/>
    <d v="2000-09-01T00:00:00"/>
    <x v="8"/>
    <x v="0"/>
    <n v="550"/>
    <n v="2"/>
    <d v="1999-03-01T00:00:00"/>
    <n v="177385"/>
    <m/>
    <m/>
    <m/>
    <m/>
    <m/>
    <m/>
    <m/>
    <m/>
    <m/>
    <m/>
    <m/>
    <m/>
    <m/>
    <m/>
  </r>
  <r>
    <n v="22"/>
    <d v="2000-10-01T00:00:00"/>
    <x v="9"/>
    <x v="0"/>
    <n v="580"/>
    <n v="2"/>
    <d v="1999-03-01T00:00:00"/>
    <n v="141978"/>
    <m/>
    <m/>
    <m/>
    <m/>
    <m/>
    <m/>
    <m/>
    <m/>
    <m/>
    <m/>
    <m/>
    <m/>
    <m/>
    <m/>
  </r>
  <r>
    <n v="22"/>
    <d v="2000-11-01T00:00:00"/>
    <x v="10"/>
    <x v="0"/>
    <n v="611"/>
    <n v="2"/>
    <d v="1999-03-01T00:00:00"/>
    <n v="14667"/>
    <m/>
    <m/>
    <m/>
    <m/>
    <m/>
    <m/>
    <m/>
    <m/>
    <m/>
    <m/>
    <m/>
    <m/>
    <m/>
    <m/>
  </r>
  <r>
    <n v="22"/>
    <d v="2000-12-01T00:00:00"/>
    <x v="11"/>
    <x v="0"/>
    <n v="641"/>
    <n v="2"/>
    <d v="1999-03-01T00:00:00"/>
    <n v="5030"/>
    <m/>
    <m/>
    <m/>
    <m/>
    <m/>
    <m/>
    <m/>
    <m/>
    <m/>
    <m/>
    <m/>
    <m/>
    <m/>
    <m/>
  </r>
  <r>
    <n v="22"/>
    <d v="2001-01-01T00:00:00"/>
    <x v="0"/>
    <x v="1"/>
    <m/>
    <m/>
    <m/>
    <m/>
    <m/>
    <m/>
    <m/>
    <m/>
    <m/>
    <m/>
    <m/>
    <m/>
    <m/>
    <m/>
    <m/>
    <m/>
    <m/>
    <m/>
  </r>
  <r>
    <n v="22"/>
    <d v="2001-02-01T00:00:00"/>
    <x v="1"/>
    <x v="1"/>
    <m/>
    <m/>
    <m/>
    <m/>
    <m/>
    <m/>
    <m/>
    <m/>
    <m/>
    <m/>
    <m/>
    <m/>
    <m/>
    <m/>
    <m/>
    <m/>
    <m/>
    <m/>
  </r>
  <r>
    <n v="22"/>
    <d v="2001-03-01T00:00:00"/>
    <x v="2"/>
    <x v="1"/>
    <n v="0"/>
    <n v="1"/>
    <d v="2001-03-01T00:00:00"/>
    <n v="348422"/>
    <m/>
    <m/>
    <m/>
    <m/>
    <m/>
    <m/>
    <m/>
    <m/>
    <m/>
    <s v="smolt entry"/>
    <m/>
    <m/>
    <m/>
    <m/>
  </r>
  <r>
    <n v="22"/>
    <d v="2001-04-01T00:00:00"/>
    <x v="3"/>
    <x v="1"/>
    <n v="31"/>
    <n v="1"/>
    <d v="2001-03-01T00:00:00"/>
    <n v="395434"/>
    <m/>
    <m/>
    <m/>
    <m/>
    <m/>
    <m/>
    <m/>
    <m/>
    <m/>
    <m/>
    <m/>
    <m/>
    <m/>
    <m/>
  </r>
  <r>
    <n v="22"/>
    <d v="2001-05-01T00:00:00"/>
    <x v="4"/>
    <x v="1"/>
    <n v="61"/>
    <n v="1"/>
    <d v="2001-03-01T00:00:00"/>
    <n v="395080"/>
    <m/>
    <m/>
    <m/>
    <m/>
    <m/>
    <m/>
    <m/>
    <m/>
    <m/>
    <m/>
    <m/>
    <m/>
    <m/>
    <m/>
  </r>
  <r>
    <n v="22"/>
    <d v="2001-06-01T00:00:00"/>
    <x v="5"/>
    <x v="1"/>
    <n v="92"/>
    <n v="1"/>
    <d v="2001-03-01T00:00:00"/>
    <n v="394820"/>
    <m/>
    <m/>
    <m/>
    <m/>
    <m/>
    <m/>
    <m/>
    <n v="10"/>
    <m/>
    <m/>
    <m/>
    <m/>
    <m/>
    <m/>
  </r>
  <r>
    <n v="22"/>
    <d v="2001-07-01T00:00:00"/>
    <x v="6"/>
    <x v="1"/>
    <n v="122"/>
    <n v="1"/>
    <d v="2001-03-01T00:00:00"/>
    <n v="393826"/>
    <n v="0.8"/>
    <n v="2.0499999999999998"/>
    <n v="0.1"/>
    <m/>
    <m/>
    <n v="0"/>
    <m/>
    <m/>
    <m/>
    <m/>
    <n v="807343.29999999993"/>
    <n v="39382.600000000006"/>
    <n v="0"/>
    <n v="0"/>
  </r>
  <r>
    <n v="22"/>
    <d v="2001-08-01T00:00:00"/>
    <x v="7"/>
    <x v="1"/>
    <n v="153"/>
    <n v="1"/>
    <d v="2001-03-01T00:00:00"/>
    <n v="393211"/>
    <m/>
    <m/>
    <m/>
    <m/>
    <m/>
    <m/>
    <m/>
    <n v="10.199999999999999"/>
    <m/>
    <m/>
    <m/>
    <m/>
    <m/>
    <m/>
  </r>
  <r>
    <n v="22"/>
    <d v="2001-09-01T00:00:00"/>
    <x v="8"/>
    <x v="1"/>
    <n v="184"/>
    <n v="1"/>
    <d v="2001-03-01T00:00:00"/>
    <n v="392976"/>
    <m/>
    <m/>
    <m/>
    <m/>
    <m/>
    <m/>
    <m/>
    <n v="9.5"/>
    <m/>
    <m/>
    <m/>
    <m/>
    <m/>
    <m/>
  </r>
  <r>
    <n v="22"/>
    <d v="2001-10-01T00:00:00"/>
    <x v="9"/>
    <x v="1"/>
    <n v="214"/>
    <n v="1"/>
    <d v="2001-03-01T00:00:00"/>
    <n v="392682"/>
    <m/>
    <m/>
    <m/>
    <m/>
    <m/>
    <m/>
    <m/>
    <n v="8.1"/>
    <m/>
    <m/>
    <m/>
    <m/>
    <m/>
    <m/>
  </r>
  <r>
    <n v="22"/>
    <d v="2001-11-01T00:00:00"/>
    <x v="10"/>
    <x v="1"/>
    <n v="245"/>
    <n v="1"/>
    <d v="2001-03-01T00:00:00"/>
    <n v="392398"/>
    <m/>
    <m/>
    <m/>
    <m/>
    <m/>
    <m/>
    <m/>
    <n v="7.7"/>
    <m/>
    <m/>
    <m/>
    <m/>
    <m/>
    <m/>
  </r>
  <r>
    <n v="22"/>
    <d v="2001-12-01T00:00:00"/>
    <x v="11"/>
    <x v="1"/>
    <n v="275"/>
    <n v="1"/>
    <d v="2001-03-01T00:00:00"/>
    <n v="390817"/>
    <m/>
    <m/>
    <m/>
    <m/>
    <m/>
    <m/>
    <m/>
    <n v="6.9"/>
    <m/>
    <m/>
    <m/>
    <m/>
    <m/>
    <m/>
  </r>
  <r>
    <n v="22"/>
    <d v="2002-01-01T00:00:00"/>
    <x v="0"/>
    <x v="2"/>
    <n v="306"/>
    <n v="1"/>
    <d v="2001-03-01T00:00:00"/>
    <n v="390436"/>
    <n v="3.45"/>
    <n v="1.58"/>
    <n v="0.45"/>
    <m/>
    <m/>
    <n v="0.08"/>
    <m/>
    <m/>
    <m/>
    <m/>
    <n v="616888.88"/>
    <n v="175696.2"/>
    <n v="31234.880000000001"/>
    <n v="12493.952000000001"/>
  </r>
  <r>
    <n v="22"/>
    <d v="2002-02-01T00:00:00"/>
    <x v="1"/>
    <x v="2"/>
    <n v="337"/>
    <n v="1"/>
    <d v="2001-03-01T00:00:00"/>
    <n v="390221"/>
    <m/>
    <m/>
    <m/>
    <m/>
    <m/>
    <m/>
    <m/>
    <n v="7.2"/>
    <m/>
    <m/>
    <m/>
    <m/>
    <m/>
    <m/>
  </r>
  <r>
    <n v="22"/>
    <d v="2002-03-01T00:00:00"/>
    <x v="2"/>
    <x v="2"/>
    <n v="365"/>
    <n v="2"/>
    <d v="2001-03-01T00:00:00"/>
    <n v="389678"/>
    <m/>
    <m/>
    <m/>
    <m/>
    <m/>
    <m/>
    <m/>
    <n v="6.9"/>
    <m/>
    <m/>
    <m/>
    <m/>
    <m/>
    <m/>
  </r>
  <r>
    <n v="22"/>
    <d v="2002-04-01T00:00:00"/>
    <x v="3"/>
    <x v="2"/>
    <n v="396"/>
    <n v="2"/>
    <d v="2001-03-01T00:00:00"/>
    <n v="388955"/>
    <m/>
    <m/>
    <m/>
    <m/>
    <m/>
    <m/>
    <m/>
    <n v="7.3"/>
    <m/>
    <m/>
    <m/>
    <m/>
    <m/>
    <m/>
  </r>
  <r>
    <n v="22"/>
    <d v="2002-05-01T00:00:00"/>
    <x v="4"/>
    <x v="2"/>
    <n v="426"/>
    <n v="2"/>
    <d v="2001-03-01T00:00:00"/>
    <n v="387624"/>
    <n v="3.5"/>
    <n v="6.35"/>
    <n v="2.35"/>
    <m/>
    <m/>
    <n v="0"/>
    <m/>
    <n v="8.8000000000000007"/>
    <m/>
    <m/>
    <n v="2461412.4"/>
    <n v="910916.4"/>
    <n v="0"/>
    <n v="0"/>
  </r>
  <r>
    <n v="22"/>
    <d v="2002-06-01T00:00:00"/>
    <x v="5"/>
    <x v="2"/>
    <n v="457"/>
    <n v="2"/>
    <d v="2001-03-01T00:00:00"/>
    <n v="383823"/>
    <m/>
    <m/>
    <m/>
    <m/>
    <m/>
    <m/>
    <m/>
    <n v="10"/>
    <m/>
    <m/>
    <m/>
    <m/>
    <m/>
    <m/>
  </r>
  <r>
    <n v="22"/>
    <d v="2002-07-01T00:00:00"/>
    <x v="6"/>
    <x v="2"/>
    <n v="487"/>
    <n v="2"/>
    <d v="2001-03-01T00:00:00"/>
    <n v="389489"/>
    <m/>
    <m/>
    <m/>
    <m/>
    <m/>
    <m/>
    <m/>
    <m/>
    <m/>
    <m/>
    <m/>
    <m/>
    <m/>
    <m/>
  </r>
  <r>
    <n v="22"/>
    <d v="2002-08-01T00:00:00"/>
    <x v="7"/>
    <x v="2"/>
    <n v="518"/>
    <n v="2"/>
    <d v="2001-03-01T00:00:00"/>
    <n v="364002"/>
    <m/>
    <m/>
    <m/>
    <m/>
    <m/>
    <m/>
    <m/>
    <n v="14.8"/>
    <m/>
    <s v="start harvesting"/>
    <m/>
    <m/>
    <m/>
    <m/>
  </r>
  <r>
    <n v="22"/>
    <d v="2002-09-01T00:00:00"/>
    <x v="8"/>
    <x v="2"/>
    <n v="549"/>
    <n v="2"/>
    <d v="2001-03-01T00:00:00"/>
    <n v="300000"/>
    <m/>
    <m/>
    <m/>
    <m/>
    <m/>
    <m/>
    <m/>
    <m/>
    <m/>
    <m/>
    <m/>
    <m/>
    <m/>
    <m/>
  </r>
  <r>
    <n v="22"/>
    <d v="2002-10-01T00:00:00"/>
    <x v="9"/>
    <x v="2"/>
    <n v="579"/>
    <n v="2"/>
    <d v="2001-03-01T00:00:00"/>
    <n v="262769"/>
    <m/>
    <m/>
    <m/>
    <m/>
    <m/>
    <m/>
    <m/>
    <m/>
    <m/>
    <m/>
    <m/>
    <m/>
    <m/>
    <m/>
  </r>
  <r>
    <n v="22"/>
    <d v="2002-11-01T00:00:00"/>
    <x v="10"/>
    <x v="2"/>
    <n v="610"/>
    <n v="2"/>
    <d v="2001-03-01T00:00:00"/>
    <n v="193898"/>
    <m/>
    <m/>
    <m/>
    <m/>
    <m/>
    <m/>
    <m/>
    <n v="8.1999999999999993"/>
    <m/>
    <m/>
    <m/>
    <m/>
    <m/>
    <m/>
  </r>
  <r>
    <n v="22"/>
    <d v="2002-12-01T00:00:00"/>
    <x v="11"/>
    <x v="2"/>
    <n v="640"/>
    <n v="2"/>
    <d v="2001-03-01T00:00:00"/>
    <n v="32626"/>
    <m/>
    <m/>
    <m/>
    <m/>
    <m/>
    <m/>
    <m/>
    <m/>
    <m/>
    <m/>
    <m/>
    <m/>
    <m/>
    <m/>
  </r>
  <r>
    <n v="22"/>
    <d v="2003-01-01T00:00:00"/>
    <x v="0"/>
    <x v="3"/>
    <m/>
    <m/>
    <m/>
    <m/>
    <m/>
    <m/>
    <m/>
    <m/>
    <m/>
    <m/>
    <m/>
    <m/>
    <m/>
    <m/>
    <m/>
    <m/>
    <m/>
    <m/>
  </r>
  <r>
    <n v="22"/>
    <d v="2003-02-01T00:00:00"/>
    <x v="1"/>
    <x v="3"/>
    <m/>
    <m/>
    <m/>
    <m/>
    <m/>
    <m/>
    <m/>
    <m/>
    <m/>
    <m/>
    <m/>
    <m/>
    <m/>
    <m/>
    <m/>
    <m/>
    <m/>
    <m/>
  </r>
  <r>
    <n v="22"/>
    <d v="2003-03-01T00:00:00"/>
    <x v="2"/>
    <x v="3"/>
    <n v="0"/>
    <n v="1"/>
    <d v="2003-03-01T00:00:00"/>
    <n v="479928"/>
    <m/>
    <m/>
    <n v="0"/>
    <m/>
    <s v="s"/>
    <n v="0"/>
    <m/>
    <m/>
    <m/>
    <m/>
    <m/>
    <n v="0"/>
    <n v="0"/>
    <n v="0"/>
  </r>
  <r>
    <n v="22"/>
    <d v="2003-04-01T00:00:00"/>
    <x v="3"/>
    <x v="3"/>
    <n v="31"/>
    <n v="1"/>
    <d v="2003-03-01T00:00:00"/>
    <n v="469444"/>
    <n v="0.25"/>
    <n v="0.2"/>
    <n v="0.05"/>
    <m/>
    <m/>
    <n v="0.55000000000000004"/>
    <m/>
    <n v="7.7"/>
    <n v="31"/>
    <m/>
    <n v="93888.8"/>
    <n v="23472.2"/>
    <n v="258194.2"/>
    <n v="103277.68000000001"/>
  </r>
  <r>
    <n v="22"/>
    <d v="2003-05-01T00:00:00"/>
    <x v="4"/>
    <x v="3"/>
    <n v="61"/>
    <n v="1"/>
    <d v="2003-03-01T00:00:00"/>
    <n v="1003675"/>
    <n v="0.1"/>
    <n v="0.05"/>
    <n v="0"/>
    <n v="0"/>
    <m/>
    <n v="0.45"/>
    <m/>
    <n v="8.8000000000000007"/>
    <n v="31"/>
    <m/>
    <n v="50183.75"/>
    <n v="0"/>
    <n v="451653.75"/>
    <n v="180661.5"/>
  </r>
  <r>
    <n v="22"/>
    <d v="2003-06-01T00:00:00"/>
    <x v="5"/>
    <x v="3"/>
    <n v="92"/>
    <n v="1"/>
    <d v="2003-03-01T00:00:00"/>
    <n v="999031"/>
    <n v="0.17"/>
    <n v="7.0000000000000007E-2"/>
    <n v="0"/>
    <n v="0"/>
    <m/>
    <n v="0.3"/>
    <m/>
    <n v="11.4"/>
    <n v="21.3"/>
    <m/>
    <n v="69932.170000000013"/>
    <n v="0"/>
    <n v="299709.3"/>
    <n v="119883.72"/>
  </r>
  <r>
    <n v="22"/>
    <d v="2003-07-01T00:00:00"/>
    <x v="6"/>
    <x v="3"/>
    <n v="122"/>
    <n v="1"/>
    <d v="2003-03-01T00:00:00"/>
    <n v="992158"/>
    <n v="0"/>
    <n v="0.1"/>
    <n v="0"/>
    <n v="0"/>
    <m/>
    <n v="0.1"/>
    <m/>
    <n v="13.2"/>
    <n v="18"/>
    <m/>
    <n v="99215.8"/>
    <n v="0"/>
    <n v="99215.8"/>
    <n v="39686.320000000007"/>
  </r>
  <r>
    <n v="22"/>
    <d v="2003-08-01T00:00:00"/>
    <x v="7"/>
    <x v="3"/>
    <n v="153"/>
    <n v="1"/>
    <d v="2003-03-01T00:00:00"/>
    <n v="950000"/>
    <n v="0"/>
    <n v="0.1"/>
    <n v="0"/>
    <n v="0"/>
    <m/>
    <n v="0"/>
    <m/>
    <n v="11.5"/>
    <n v="13"/>
    <m/>
    <n v="95000"/>
    <n v="0"/>
    <n v="0"/>
    <n v="0"/>
  </r>
  <r>
    <n v="22"/>
    <d v="2003-09-01T00:00:00"/>
    <x v="8"/>
    <x v="3"/>
    <n v="184"/>
    <n v="1"/>
    <d v="2003-03-01T00:00:00"/>
    <n v="870000"/>
    <n v="0"/>
    <n v="0.1"/>
    <n v="0"/>
    <n v="0"/>
    <m/>
    <n v="0"/>
    <m/>
    <n v="9.1"/>
    <n v="18"/>
    <m/>
    <n v="87000"/>
    <n v="0"/>
    <n v="0"/>
    <n v="0"/>
  </r>
  <r>
    <n v="22"/>
    <d v="2003-10-01T00:00:00"/>
    <x v="9"/>
    <x v="3"/>
    <n v="214"/>
    <n v="1"/>
    <d v="2003-03-01T00:00:00"/>
    <n v="832553"/>
    <n v="0"/>
    <n v="0.2"/>
    <n v="7.0000000000000007E-2"/>
    <n v="0"/>
    <m/>
    <n v="0"/>
    <m/>
    <n v="8.1"/>
    <n v="32.700000000000003"/>
    <s v="some fish moved outside Broughton"/>
    <n v="166510.6"/>
    <n v="58278.710000000006"/>
    <n v="0"/>
    <n v="0"/>
  </r>
  <r>
    <n v="22"/>
    <d v="2003-11-01T00:00:00"/>
    <x v="10"/>
    <x v="3"/>
    <n v="245"/>
    <n v="1"/>
    <d v="2003-03-01T00:00:00"/>
    <n v="768000"/>
    <n v="7.0000000000000007E-2"/>
    <n v="0.33"/>
    <n v="0.13"/>
    <m/>
    <m/>
    <n v="0"/>
    <m/>
    <n v="7.6"/>
    <n v="30"/>
    <m/>
    <n v="253440"/>
    <n v="99840"/>
    <n v="0"/>
    <n v="0"/>
  </r>
  <r>
    <n v="22"/>
    <d v="2003-12-01T00:00:00"/>
    <x v="11"/>
    <x v="3"/>
    <n v="275"/>
    <n v="1"/>
    <d v="2003-03-01T00:00:00"/>
    <n v="766962"/>
    <m/>
    <n v="0.57999999999999996"/>
    <n v="0.13"/>
    <m/>
    <n v="1"/>
    <n v="0.3"/>
    <m/>
    <n v="7.1999999999999993"/>
    <n v="30"/>
    <m/>
    <n v="444837.95999999996"/>
    <n v="99705.06"/>
    <n v="230088.6"/>
    <n v="92035.44"/>
  </r>
  <r>
    <n v="22"/>
    <d v="2004-01-01T00:00:00"/>
    <x v="0"/>
    <x v="4"/>
    <n v="306"/>
    <n v="1"/>
    <d v="2003-03-01T00:00:00"/>
    <n v="766000"/>
    <n v="0.53"/>
    <n v="0.83"/>
    <n v="0.13"/>
    <m/>
    <m/>
    <n v="0.6"/>
    <m/>
    <n v="6.8"/>
    <n v="30"/>
    <m/>
    <n v="635780"/>
    <n v="99580"/>
    <n v="459600"/>
    <n v="183840"/>
  </r>
  <r>
    <n v="22"/>
    <d v="2004-02-01T00:00:00"/>
    <x v="1"/>
    <x v="4"/>
    <n v="337"/>
    <n v="1"/>
    <d v="2003-03-01T00:00:00"/>
    <n v="766000"/>
    <n v="0.3"/>
    <n v="1.2"/>
    <n v="0.3"/>
    <n v="0"/>
    <m/>
    <n v="0.2"/>
    <m/>
    <n v="6.5"/>
    <n v="31"/>
    <m/>
    <n v="919200"/>
    <n v="229800"/>
    <n v="153200"/>
    <n v="61280"/>
  </r>
  <r>
    <n v="22"/>
    <d v="2004-03-01T00:00:00"/>
    <x v="2"/>
    <x v="4"/>
    <n v="366"/>
    <n v="2"/>
    <d v="2003-03-01T00:00:00"/>
    <n v="765089"/>
    <n v="0.4"/>
    <n v="2.2999999999999998"/>
    <n v="1"/>
    <n v="0"/>
    <m/>
    <n v="0.5"/>
    <m/>
    <n v="7.4"/>
    <n v="30"/>
    <m/>
    <n v="1759704.7"/>
    <n v="765089"/>
    <n v="382544.5"/>
    <n v="153017.80000000002"/>
  </r>
  <r>
    <n v="22"/>
    <d v="2004-04-01T00:00:00"/>
    <x v="3"/>
    <x v="4"/>
    <n v="397"/>
    <n v="2"/>
    <d v="2003-03-01T00:00:00"/>
    <n v="762157"/>
    <n v="2.5"/>
    <n v="6.47"/>
    <n v="1.45"/>
    <n v="0"/>
    <m/>
    <n v="0.63"/>
    <n v="1"/>
    <n v="8.6999999999999993"/>
    <n v="31"/>
    <m/>
    <n v="4931155.79"/>
    <n v="1105127.6499999999"/>
    <n v="480158.91"/>
    <n v="192063.56400000001"/>
  </r>
  <r>
    <n v="22"/>
    <d v="2004-05-01T00:00:00"/>
    <x v="4"/>
    <x v="4"/>
    <n v="427"/>
    <n v="2"/>
    <d v="2003-03-01T00:00:00"/>
    <n v="757936"/>
    <n v="0.2"/>
    <n v="3.3"/>
    <n v="1.4"/>
    <n v="0"/>
    <m/>
    <n v="0"/>
    <m/>
    <n v="11.9"/>
    <n v="30"/>
    <m/>
    <n v="2501188.7999999998"/>
    <n v="1061110.3999999999"/>
    <n v="0"/>
    <n v="0"/>
  </r>
  <r>
    <n v="22"/>
    <d v="2004-06-01T00:00:00"/>
    <x v="5"/>
    <x v="4"/>
    <n v="458"/>
    <n v="2"/>
    <d v="2003-03-01T00:00:00"/>
    <n v="754135"/>
    <n v="0"/>
    <n v="0.45"/>
    <n v="0.25"/>
    <n v="0"/>
    <m/>
    <n v="0"/>
    <m/>
    <n v="11.3"/>
    <n v="23"/>
    <m/>
    <n v="339360.75"/>
    <n v="188533.75"/>
    <n v="0"/>
    <n v="0"/>
  </r>
  <r>
    <n v="22"/>
    <d v="2004-07-01T00:00:00"/>
    <x v="6"/>
    <x v="4"/>
    <n v="488"/>
    <n v="2"/>
    <d v="2003-03-01T00:00:00"/>
    <n v="712443"/>
    <n v="0"/>
    <n v="0"/>
    <n v="0"/>
    <n v="0"/>
    <m/>
    <n v="0"/>
    <m/>
    <n v="9.1999999999999993"/>
    <n v="19"/>
    <s v="harvesting"/>
    <n v="0"/>
    <n v="0"/>
    <n v="0"/>
    <n v="0"/>
  </r>
  <r>
    <n v="22"/>
    <d v="2004-08-01T00:00:00"/>
    <x v="7"/>
    <x v="4"/>
    <n v="519"/>
    <n v="2"/>
    <d v="2003-03-01T00:00:00"/>
    <n v="714527"/>
    <n v="0"/>
    <n v="0"/>
    <n v="0"/>
    <n v="0"/>
    <m/>
    <n v="0"/>
    <m/>
    <n v="10.4"/>
    <n v="16.2"/>
    <m/>
    <n v="0"/>
    <n v="0"/>
    <n v="0"/>
    <n v="0"/>
  </r>
  <r>
    <n v="22"/>
    <d v="2004-09-01T00:00:00"/>
    <x v="8"/>
    <x v="4"/>
    <n v="550"/>
    <n v="2"/>
    <d v="2003-03-01T00:00:00"/>
    <n v="712231"/>
    <n v="0"/>
    <n v="0"/>
    <n v="0"/>
    <n v="0"/>
    <m/>
    <n v="0"/>
    <m/>
    <n v="9.3000000000000007"/>
    <n v="21"/>
    <m/>
    <n v="0"/>
    <n v="0"/>
    <n v="0"/>
    <n v="0"/>
  </r>
  <r>
    <n v="22"/>
    <d v="2004-10-01T00:00:00"/>
    <x v="9"/>
    <x v="4"/>
    <n v="580"/>
    <n v="2"/>
    <d v="2003-03-01T00:00:00"/>
    <n v="643000"/>
    <n v="0"/>
    <n v="0"/>
    <n v="0"/>
    <n v="0"/>
    <m/>
    <n v="0"/>
    <m/>
    <n v="9"/>
    <n v="26.2"/>
    <s v="harvesting"/>
    <n v="0"/>
    <n v="0"/>
    <n v="0"/>
    <n v="0"/>
  </r>
  <r>
    <n v="22"/>
    <d v="2004-11-01T00:00:00"/>
    <x v="10"/>
    <x v="4"/>
    <n v="611"/>
    <n v="2"/>
    <d v="2003-03-01T00:00:00"/>
    <n v="532289"/>
    <n v="7.0000000000000007E-2"/>
    <n v="0.13"/>
    <n v="0"/>
    <n v="0"/>
    <m/>
    <n v="0"/>
    <m/>
    <n v="7.6"/>
    <n v="25"/>
    <s v="harvesting"/>
    <n v="69197.570000000007"/>
    <n v="0"/>
    <n v="0"/>
    <n v="0"/>
  </r>
  <r>
    <n v="22"/>
    <d v="2004-12-01T00:00:00"/>
    <x v="11"/>
    <x v="4"/>
    <n v="641"/>
    <n v="2"/>
    <d v="2003-03-01T00:00:00"/>
    <n v="273194"/>
    <n v="1.08"/>
    <n v="0.56999999999999995"/>
    <n v="0.38"/>
    <n v="0"/>
    <m/>
    <n v="0.03"/>
    <m/>
    <n v="8"/>
    <n v="28"/>
    <s v="harvesting"/>
    <n v="155720.57999999999"/>
    <n v="103813.72"/>
    <n v="8195.82"/>
    <n v="3278.328"/>
  </r>
  <r>
    <n v="22"/>
    <d v="2005-01-01T00:00:00"/>
    <x v="0"/>
    <x v="5"/>
    <n v="672"/>
    <n v="2"/>
    <d v="2003-03-01T00:00:00"/>
    <n v="23843"/>
    <n v="0.55000000000000004"/>
    <n v="1.1499999999999999"/>
    <n v="0.52"/>
    <n v="0"/>
    <m/>
    <n v="0"/>
    <m/>
    <n v="7"/>
    <n v="29"/>
    <s v="harvesting"/>
    <n v="27419.449999999997"/>
    <n v="12398.36"/>
    <n v="0"/>
    <n v="0"/>
  </r>
  <r>
    <n v="22"/>
    <d v="2005-02-01T00:00:00"/>
    <x v="1"/>
    <x v="5"/>
    <n v="703"/>
    <n v="2"/>
    <d v="2003-03-01T00:00:00"/>
    <n v="5000"/>
    <n v="0.37"/>
    <n v="3.22"/>
    <n v="1.7"/>
    <m/>
    <m/>
    <n v="0"/>
    <m/>
    <n v="7"/>
    <n v="28"/>
    <m/>
    <n v="16100.000000000002"/>
    <n v="8500"/>
    <n v="0"/>
    <n v="0"/>
  </r>
  <r>
    <n v="22"/>
    <d v="2005-03-01T00:00:00"/>
    <x v="2"/>
    <x v="5"/>
    <m/>
    <m/>
    <m/>
    <m/>
    <m/>
    <m/>
    <m/>
    <m/>
    <m/>
    <m/>
    <m/>
    <m/>
    <m/>
    <m/>
    <m/>
    <m/>
    <m/>
    <m/>
  </r>
  <r>
    <n v="22"/>
    <d v="2005-04-01T00:00:00"/>
    <x v="3"/>
    <x v="5"/>
    <n v="31"/>
    <n v="1"/>
    <d v="2005-03-01T00:00:00"/>
    <n v="163775"/>
    <m/>
    <m/>
    <n v="0"/>
    <m/>
    <s v="s"/>
    <n v="0"/>
    <m/>
    <m/>
    <m/>
    <s v="smolt entry"/>
    <m/>
    <n v="0"/>
    <n v="0"/>
    <n v="0"/>
  </r>
  <r>
    <n v="22"/>
    <d v="2005-05-01T00:00:00"/>
    <x v="4"/>
    <x v="5"/>
    <n v="61"/>
    <n v="1"/>
    <d v="2005-03-01T00:00:00"/>
    <n v="579990"/>
    <n v="0.05"/>
    <n v="0.02"/>
    <n v="0"/>
    <m/>
    <m/>
    <n v="0"/>
    <m/>
    <n v="11"/>
    <n v="26"/>
    <m/>
    <n v="11599.800000000001"/>
    <n v="0"/>
    <n v="0"/>
    <n v="0"/>
  </r>
  <r>
    <n v="22"/>
    <d v="2005-06-01T00:00:00"/>
    <x v="5"/>
    <x v="5"/>
    <n v="92"/>
    <n v="1"/>
    <d v="2005-03-01T00:00:00"/>
    <n v="578508"/>
    <n v="0.27"/>
    <n v="7.0000000000000007E-2"/>
    <n v="0"/>
    <n v="0"/>
    <m/>
    <n v="0"/>
    <m/>
    <n v="11"/>
    <n v="24"/>
    <m/>
    <n v="40495.560000000005"/>
    <n v="0"/>
    <n v="0"/>
    <n v="0"/>
  </r>
  <r>
    <n v="22"/>
    <d v="2005-07-01T00:00:00"/>
    <x v="6"/>
    <x v="5"/>
    <n v="122"/>
    <n v="1"/>
    <d v="2005-03-01T00:00:00"/>
    <n v="569813"/>
    <n v="0.02"/>
    <n v="0.01"/>
    <n v="0"/>
    <n v="0"/>
    <m/>
    <n v="0"/>
    <m/>
    <n v="10"/>
    <n v="18"/>
    <m/>
    <n v="5698.13"/>
    <n v="0"/>
    <n v="0"/>
    <n v="0"/>
  </r>
  <r>
    <n v="22"/>
    <d v="2005-08-01T00:00:00"/>
    <x v="7"/>
    <x v="5"/>
    <n v="153"/>
    <n v="1"/>
    <d v="2005-03-01T00:00:00"/>
    <n v="569000"/>
    <n v="0"/>
    <n v="0.01"/>
    <n v="0"/>
    <n v="0"/>
    <m/>
    <n v="0"/>
    <m/>
    <n v="10"/>
    <n v="15"/>
    <m/>
    <n v="5690"/>
    <n v="0"/>
    <n v="0"/>
    <n v="0"/>
  </r>
  <r>
    <n v="22"/>
    <d v="2005-09-01T00:00:00"/>
    <x v="8"/>
    <x v="5"/>
    <n v="184"/>
    <n v="1"/>
    <d v="2005-03-01T00:00:00"/>
    <n v="568000"/>
    <n v="0.01"/>
    <n v="0.04"/>
    <n v="0.01"/>
    <n v="0"/>
    <m/>
    <n v="0"/>
    <m/>
    <n v="9"/>
    <n v="26"/>
    <m/>
    <n v="22720"/>
    <n v="5680"/>
    <n v="0"/>
    <n v="0"/>
  </r>
  <r>
    <n v="22"/>
    <d v="2005-10-01T00:00:00"/>
    <x v="9"/>
    <x v="5"/>
    <n v="214"/>
    <n v="1"/>
    <d v="2005-03-01T00:00:00"/>
    <n v="680000"/>
    <n v="0"/>
    <n v="0.03"/>
    <n v="0"/>
    <n v="0"/>
    <m/>
    <n v="0"/>
    <m/>
    <n v="9"/>
    <n v="25"/>
    <s v="some more fish from farm #25"/>
    <n v="20400"/>
    <n v="0"/>
    <n v="0"/>
    <n v="0"/>
  </r>
  <r>
    <n v="22"/>
    <d v="2005-11-01T00:00:00"/>
    <x v="10"/>
    <x v="5"/>
    <n v="245"/>
    <n v="1"/>
    <d v="2005-03-01T00:00:00"/>
    <n v="679500"/>
    <n v="0.05"/>
    <n v="0.12"/>
    <n v="0.01"/>
    <n v="0"/>
    <m/>
    <n v="0.01"/>
    <m/>
    <n v="8"/>
    <n v="28"/>
    <m/>
    <n v="81540"/>
    <n v="6795"/>
    <n v="6795"/>
    <n v="2718"/>
  </r>
  <r>
    <n v="22"/>
    <d v="2005-12-01T00:00:00"/>
    <x v="11"/>
    <x v="5"/>
    <n v="275"/>
    <n v="1"/>
    <d v="2005-03-01T00:00:00"/>
    <n v="678900"/>
    <n v="0.13"/>
    <n v="0.19"/>
    <n v="0.04"/>
    <n v="0"/>
    <m/>
    <n v="0"/>
    <m/>
    <n v="7"/>
    <n v="31"/>
    <m/>
    <n v="128991"/>
    <n v="27156"/>
    <n v="0"/>
    <n v="0"/>
  </r>
  <r>
    <n v="22"/>
    <d v="2006-01-01T00:00:00"/>
    <x v="0"/>
    <x v="6"/>
    <n v="306"/>
    <n v="1"/>
    <d v="2005-03-01T00:00:00"/>
    <n v="737000"/>
    <n v="1.83"/>
    <n v="0.73"/>
    <n v="0.1"/>
    <n v="0"/>
    <m/>
    <n v="0.27"/>
    <m/>
    <n v="7"/>
    <n v="31"/>
    <m/>
    <n v="538010"/>
    <n v="73700"/>
    <n v="198990"/>
    <n v="79596"/>
  </r>
  <r>
    <n v="22"/>
    <d v="2006-02-01T00:00:00"/>
    <x v="1"/>
    <x v="6"/>
    <n v="337"/>
    <n v="1"/>
    <d v="2005-03-01T00:00:00"/>
    <n v="737000"/>
    <n v="2.64"/>
    <n v="5.35"/>
    <n v="1.33"/>
    <n v="0"/>
    <m/>
    <n v="0.72"/>
    <n v="0.5"/>
    <n v="7"/>
    <n v="32"/>
    <s v="Portion farm tx"/>
    <n v="3942949.9999999995"/>
    <n v="980210"/>
    <n v="530640"/>
    <n v="212256"/>
  </r>
  <r>
    <n v="22"/>
    <d v="2006-03-01T00:00:00"/>
    <x v="2"/>
    <x v="6"/>
    <n v="365"/>
    <n v="2"/>
    <d v="2005-03-01T00:00:00"/>
    <n v="734574"/>
    <n v="1.63"/>
    <n v="5.52"/>
    <n v="1.75"/>
    <n v="2"/>
    <m/>
    <n v="0.4"/>
    <n v="0.5"/>
    <n v="7"/>
    <m/>
    <s v="rest of farm tx"/>
    <n v="4054848.4799999995"/>
    <n v="1285504.5"/>
    <n v="293829.60000000003"/>
    <n v="117531.84000000003"/>
  </r>
  <r>
    <n v="22"/>
    <d v="2006-04-01T00:00:00"/>
    <x v="3"/>
    <x v="6"/>
    <n v="396"/>
    <n v="2"/>
    <d v="2005-03-01T00:00:00"/>
    <n v="732408"/>
    <n v="0.03"/>
    <n v="0.38"/>
    <n v="0.06"/>
    <n v="0"/>
    <m/>
    <n v="0.01"/>
    <m/>
    <n v="8"/>
    <m/>
    <m/>
    <n v="278315.03999999998"/>
    <n v="43944.479999999996"/>
    <n v="7324.08"/>
    <n v="2929.6320000000001"/>
  </r>
  <r>
    <n v="22"/>
    <d v="2006-05-01T00:00:00"/>
    <x v="4"/>
    <x v="6"/>
    <n v="426"/>
    <n v="2"/>
    <d v="2005-03-01T00:00:00"/>
    <n v="731943"/>
    <n v="0.04"/>
    <n v="0.15"/>
    <n v="7.0000000000000007E-2"/>
    <n v="0"/>
    <m/>
    <n v="0.02"/>
    <m/>
    <n v="10"/>
    <m/>
    <m/>
    <n v="109791.45"/>
    <n v="51236.01"/>
    <n v="14638.86"/>
    <n v="5855.5440000000008"/>
  </r>
  <r>
    <n v="22"/>
    <d v="2006-06-01T00:00:00"/>
    <x v="5"/>
    <x v="6"/>
    <n v="457"/>
    <n v="2"/>
    <d v="2005-03-01T00:00:00"/>
    <n v="731340"/>
    <n v="0"/>
    <n v="0.09"/>
    <n v="0.05"/>
    <n v="0"/>
    <m/>
    <n v="0.01"/>
    <m/>
    <n v="11"/>
    <m/>
    <m/>
    <n v="65820.599999999991"/>
    <n v="36567"/>
    <n v="7313.4000000000005"/>
    <n v="2925.3600000000006"/>
  </r>
  <r>
    <n v="22"/>
    <d v="2006-07-01T00:00:00"/>
    <x v="6"/>
    <x v="6"/>
    <n v="487"/>
    <n v="2"/>
    <d v="2005-03-01T00:00:00"/>
    <n v="730886"/>
    <n v="0"/>
    <n v="0.08"/>
    <n v="0.05"/>
    <n v="0"/>
    <m/>
    <n v="0"/>
    <m/>
    <n v="11"/>
    <m/>
    <m/>
    <n v="58470.880000000005"/>
    <n v="36544.300000000003"/>
    <n v="0"/>
    <n v="0"/>
  </r>
  <r>
    <n v="22"/>
    <d v="2006-08-01T00:00:00"/>
    <x v="7"/>
    <x v="6"/>
    <n v="518"/>
    <n v="2"/>
    <d v="2005-03-01T00:00:00"/>
    <n v="730432"/>
    <n v="0"/>
    <n v="5.4166600000000002E-2"/>
    <n v="3.7499999999999999E-2"/>
    <n v="0"/>
    <m/>
    <n v="8.3333000000000001E-3"/>
    <m/>
    <n v="11"/>
    <m/>
    <m/>
    <n v="39565.017971200003"/>
    <n v="27391.200000000001"/>
    <n v="6086.9089856000001"/>
    <n v="2434.7635942400002"/>
  </r>
  <r>
    <n v="22"/>
    <d v="2006-09-01T00:00:00"/>
    <x v="8"/>
    <x v="6"/>
    <n v="549"/>
    <n v="2"/>
    <d v="2005-03-01T00:00:00"/>
    <n v="729978"/>
    <n v="0"/>
    <n v="7.0000000000000007E-2"/>
    <n v="0.05"/>
    <n v="0"/>
    <m/>
    <n v="0"/>
    <m/>
    <n v="9"/>
    <m/>
    <m/>
    <n v="51098.460000000006"/>
    <n v="36498.9"/>
    <n v="0"/>
    <n v="0"/>
  </r>
  <r>
    <n v="22"/>
    <d v="2006-10-01T00:00:00"/>
    <x v="9"/>
    <x v="6"/>
    <n v="579"/>
    <n v="2"/>
    <d v="2005-03-01T00:00:00"/>
    <n v="729524"/>
    <n v="0"/>
    <n v="0.06"/>
    <n v="0.04"/>
    <n v="0"/>
    <m/>
    <n v="0"/>
    <m/>
    <n v="9"/>
    <m/>
    <m/>
    <n v="43771.439999999995"/>
    <n v="29180.959999999999"/>
    <n v="0"/>
    <n v="0"/>
  </r>
  <r>
    <n v="22"/>
    <d v="2006-11-01T00:00:00"/>
    <x v="10"/>
    <x v="6"/>
    <n v="610"/>
    <n v="2"/>
    <d v="2005-03-01T00:00:00"/>
    <n v="729070"/>
    <n v="1.66666E-2"/>
    <n v="0.2"/>
    <n v="0.05"/>
    <n v="0"/>
    <m/>
    <n v="1.66666E-2"/>
    <m/>
    <n v="8"/>
    <m/>
    <m/>
    <n v="145814"/>
    <n v="36453.5"/>
    <n v="12151.118062"/>
    <n v="4860.4472248000002"/>
  </r>
  <r>
    <n v="22"/>
    <d v="2006-12-01T00:00:00"/>
    <x v="11"/>
    <x v="6"/>
    <n v="640"/>
    <n v="2"/>
    <d v="2005-03-01T00:00:00"/>
    <n v="600000"/>
    <n v="0.05"/>
    <n v="0.57999999999999996"/>
    <n v="0.33"/>
    <n v="0"/>
    <m/>
    <n v="0.15"/>
    <m/>
    <n v="7"/>
    <m/>
    <m/>
    <n v="348000"/>
    <n v="198000"/>
    <n v="90000"/>
    <n v="36000"/>
  </r>
  <r>
    <n v="22"/>
    <d v="2007-01-01T00:00:00"/>
    <x v="0"/>
    <x v="7"/>
    <n v="671"/>
    <n v="2"/>
    <d v="2005-03-01T00:00:00"/>
    <n v="325418"/>
    <n v="0.67500000000000004"/>
    <n v="0.85"/>
    <n v="0.42499999999999999"/>
    <n v="0"/>
    <m/>
    <n v="0.05"/>
    <m/>
    <n v="6"/>
    <m/>
    <s v="harvesting"/>
    <n v="276605.3"/>
    <n v="138302.65"/>
    <n v="16270.900000000001"/>
    <n v="6508.3600000000006"/>
  </r>
  <r>
    <n v="22"/>
    <d v="2007-02-01T00:00:00"/>
    <x v="1"/>
    <x v="7"/>
    <n v="702"/>
    <n v="2"/>
    <d v="2005-03-01T00:00:00"/>
    <n v="322891"/>
    <n v="0.68"/>
    <n v="1.3"/>
    <n v="0.55000000000000004"/>
    <n v="0"/>
    <m/>
    <n v="0.18"/>
    <m/>
    <n v="7"/>
    <m/>
    <s v="harvesting"/>
    <n v="419758.3"/>
    <n v="177590.05000000002"/>
    <n v="58120.38"/>
    <n v="23248.152000000002"/>
  </r>
  <r>
    <n v="22"/>
    <d v="2007-03-01T00:00:00"/>
    <x v="2"/>
    <x v="7"/>
    <n v="730"/>
    <n v="3"/>
    <d v="2005-03-01T00:00:00"/>
    <n v="296055"/>
    <n v="0.42"/>
    <n v="2.33"/>
    <n v="1.5"/>
    <n v="0"/>
    <m/>
    <n v="0"/>
    <m/>
    <n v="7"/>
    <m/>
    <s v="harvesting"/>
    <n v="689808.15"/>
    <n v="444082.5"/>
    <n v="0"/>
    <n v="0"/>
  </r>
  <r>
    <n v="22"/>
    <d v="2007-04-01T00:00:00"/>
    <x v="3"/>
    <x v="7"/>
    <n v="761"/>
    <n v="3"/>
    <d v="2005-03-01T00:00:00"/>
    <n v="104232"/>
    <n v="0.9"/>
    <n v="4.0999999999999996"/>
    <n v="1.7"/>
    <m/>
    <m/>
    <n v="1.1000000000000001"/>
    <m/>
    <n v="7"/>
    <n v="28"/>
    <s v="harvesting"/>
    <n v="427351.19999999995"/>
    <n v="177194.4"/>
    <n v="114655.20000000001"/>
    <n v="45862.080000000009"/>
  </r>
  <r>
    <n v="22"/>
    <d v="2007-05-01T00:00:00"/>
    <x v="4"/>
    <x v="7"/>
    <n v="791"/>
    <n v="3"/>
    <d v="2005-03-01T00:00:00"/>
    <n v="5087"/>
    <m/>
    <m/>
    <n v="2.5"/>
    <m/>
    <s v="h"/>
    <n v="1.5"/>
    <m/>
    <m/>
    <m/>
    <s v="harvesting"/>
    <m/>
    <n v="12717.5"/>
    <n v="7630.5"/>
    <n v="3052.2000000000003"/>
  </r>
  <r>
    <n v="22"/>
    <d v="2007-06-01T00:00:00"/>
    <x v="5"/>
    <x v="7"/>
    <m/>
    <m/>
    <m/>
    <m/>
    <m/>
    <m/>
    <m/>
    <m/>
    <m/>
    <m/>
    <m/>
    <m/>
    <m/>
    <m/>
    <m/>
    <m/>
    <m/>
    <m/>
  </r>
  <r>
    <n v="22"/>
    <d v="2007-07-01T00:00:00"/>
    <x v="6"/>
    <x v="7"/>
    <n v="212"/>
    <n v="1"/>
    <d v="2006-12-01T00:00:00"/>
    <n v="75750"/>
    <n v="0"/>
    <n v="0.05"/>
    <n v="0.05"/>
    <m/>
    <m/>
    <n v="0.1"/>
    <m/>
    <n v="10"/>
    <m/>
    <s v="transferred from farm #25"/>
    <n v="3787.5"/>
    <n v="3787.5"/>
    <n v="7575"/>
    <n v="3030"/>
  </r>
  <r>
    <n v="22"/>
    <d v="2007-08-01T00:00:00"/>
    <x v="7"/>
    <x v="7"/>
    <n v="243"/>
    <n v="1"/>
    <d v="2006-12-01T00:00:00"/>
    <n v="349399"/>
    <n v="0.1"/>
    <n v="0.3"/>
    <n v="0.1"/>
    <n v="0"/>
    <m/>
    <n v="0"/>
    <m/>
    <n v="10"/>
    <n v="23"/>
    <m/>
    <n v="104819.7"/>
    <n v="34939.9"/>
    <n v="0"/>
    <n v="0"/>
  </r>
  <r>
    <n v="22"/>
    <d v="2007-09-01T00:00:00"/>
    <x v="8"/>
    <x v="7"/>
    <n v="274"/>
    <n v="1"/>
    <d v="2006-12-01T00:00:00"/>
    <n v="656623"/>
    <n v="0.02"/>
    <n v="0.33"/>
    <n v="0.08"/>
    <n v="0"/>
    <m/>
    <n v="0"/>
    <m/>
    <n v="9"/>
    <n v="27"/>
    <m/>
    <n v="216685.59"/>
    <n v="52529.840000000004"/>
    <n v="0"/>
    <n v="0"/>
  </r>
  <r>
    <n v="22"/>
    <d v="2007-10-01T00:00:00"/>
    <x v="9"/>
    <x v="7"/>
    <n v="304"/>
    <n v="1"/>
    <d v="2006-12-01T00:00:00"/>
    <n v="655839"/>
    <n v="0.05"/>
    <n v="0.2"/>
    <n v="0.05"/>
    <n v="0"/>
    <m/>
    <n v="0.08"/>
    <m/>
    <n v="8"/>
    <m/>
    <m/>
    <n v="131167.80000000002"/>
    <n v="32791.950000000004"/>
    <n v="52467.12"/>
    <n v="20986.848000000002"/>
  </r>
  <r>
    <n v="22"/>
    <d v="2007-11-01T00:00:00"/>
    <x v="10"/>
    <x v="7"/>
    <n v="335"/>
    <n v="1"/>
    <d v="2006-12-01T00:00:00"/>
    <n v="655723"/>
    <n v="0.1"/>
    <n v="0.22"/>
    <n v="0.08"/>
    <n v="0"/>
    <m/>
    <n v="0.03"/>
    <m/>
    <n v="8"/>
    <m/>
    <m/>
    <n v="144259.06"/>
    <n v="52457.840000000004"/>
    <n v="19671.689999999999"/>
    <n v="7868.6759999999995"/>
  </r>
  <r>
    <n v="22"/>
    <d v="2007-12-01T00:00:00"/>
    <x v="11"/>
    <x v="7"/>
    <n v="365"/>
    <n v="2"/>
    <d v="2006-12-01T00:00:00"/>
    <n v="655543"/>
    <n v="0.37"/>
    <n v="0.5"/>
    <n v="0.08"/>
    <n v="0"/>
    <m/>
    <n v="0.08"/>
    <m/>
    <n v="7"/>
    <m/>
    <m/>
    <n v="327771.5"/>
    <n v="52443.44"/>
    <n v="52443.44"/>
    <n v="20977.376000000004"/>
  </r>
  <r>
    <n v="22"/>
    <d v="2008-01-01T00:00:00"/>
    <x v="0"/>
    <x v="8"/>
    <n v="396"/>
    <n v="2"/>
    <d v="2006-12-01T00:00:00"/>
    <n v="655368"/>
    <n v="0.6"/>
    <n v="0.57999999999999996"/>
    <n v="0.22"/>
    <n v="0"/>
    <m/>
    <n v="0.15"/>
    <n v="1"/>
    <m/>
    <m/>
    <m/>
    <n v="380113.44"/>
    <n v="144180.96"/>
    <n v="98305.2"/>
    <n v="39322.080000000002"/>
  </r>
  <r>
    <n v="22"/>
    <d v="2008-02-01T00:00:00"/>
    <x v="1"/>
    <x v="8"/>
    <n v="427"/>
    <n v="2"/>
    <d v="2006-12-01T00:00:00"/>
    <n v="655142"/>
    <n v="0.33"/>
    <n v="0.4"/>
    <n v="0.17"/>
    <n v="0"/>
    <m/>
    <n v="0.08"/>
    <m/>
    <m/>
    <m/>
    <m/>
    <n v="262056.80000000002"/>
    <n v="111374.14000000001"/>
    <n v="52411.360000000001"/>
    <n v="20964.544000000002"/>
  </r>
  <r>
    <n v="22"/>
    <d v="2008-03-01T00:00:00"/>
    <x v="2"/>
    <x v="8"/>
    <n v="456"/>
    <n v="2"/>
    <d v="2006-12-01T00:00:00"/>
    <n v="654949"/>
    <n v="0.03"/>
    <n v="0.1"/>
    <n v="0.03"/>
    <n v="0"/>
    <m/>
    <n v="0.02"/>
    <m/>
    <m/>
    <m/>
    <m/>
    <n v="65494.9"/>
    <n v="19648.469999999998"/>
    <n v="13098.98"/>
    <n v="5239.5920000000006"/>
  </r>
  <r>
    <n v="22"/>
    <d v="2008-04-01T00:00:00"/>
    <x v="3"/>
    <x v="8"/>
    <n v="487"/>
    <n v="2"/>
    <d v="2006-12-01T00:00:00"/>
    <n v="654836"/>
    <n v="0"/>
    <n v="0.02"/>
    <n v="0"/>
    <n v="0"/>
    <m/>
    <n v="0"/>
    <m/>
    <m/>
    <m/>
    <m/>
    <n v="13096.720000000001"/>
    <n v="0"/>
    <n v="0"/>
    <n v="0"/>
  </r>
  <r>
    <n v="22"/>
    <d v="2008-05-01T00:00:00"/>
    <x v="4"/>
    <x v="8"/>
    <n v="517"/>
    <n v="2"/>
    <d v="2006-12-01T00:00:00"/>
    <n v="654123"/>
    <n v="0.03"/>
    <n v="0.03"/>
    <n v="0.02"/>
    <n v="0"/>
    <m/>
    <n v="0.32"/>
    <m/>
    <m/>
    <m/>
    <m/>
    <n v="19623.689999999999"/>
    <n v="13082.460000000001"/>
    <n v="209319.36000000002"/>
    <n v="83727.744000000006"/>
  </r>
  <r>
    <n v="22"/>
    <d v="2008-06-01T00:00:00"/>
    <x v="5"/>
    <x v="8"/>
    <n v="548"/>
    <n v="2"/>
    <d v="2006-12-01T00:00:00"/>
    <n v="901499"/>
    <n v="0.02"/>
    <n v="0.02"/>
    <n v="0"/>
    <n v="0"/>
    <m/>
    <n v="0.03"/>
    <m/>
    <m/>
    <m/>
    <s v="additional fish moved from farm #9"/>
    <n v="18029.98"/>
    <n v="0"/>
    <n v="27044.969999999998"/>
    <n v="10817.987999999999"/>
  </r>
  <r>
    <n v="22"/>
    <d v="2008-07-01T00:00:00"/>
    <x v="6"/>
    <x v="8"/>
    <n v="578"/>
    <n v="2"/>
    <d v="2006-12-01T00:00:00"/>
    <n v="901000"/>
    <n v="0"/>
    <n v="0"/>
    <n v="0"/>
    <n v="0"/>
    <m/>
    <n v="0"/>
    <m/>
    <m/>
    <m/>
    <m/>
    <n v="0"/>
    <n v="0"/>
    <n v="0"/>
    <n v="0"/>
  </r>
  <r>
    <n v="22"/>
    <d v="2008-08-01T00:00:00"/>
    <x v="7"/>
    <x v="8"/>
    <n v="609"/>
    <n v="2"/>
    <d v="2006-12-01T00:00:00"/>
    <n v="900000"/>
    <n v="0"/>
    <n v="0.05"/>
    <n v="0.03"/>
    <n v="0"/>
    <m/>
    <n v="0"/>
    <m/>
    <m/>
    <m/>
    <m/>
    <n v="45000"/>
    <n v="27000"/>
    <n v="0"/>
    <n v="0"/>
  </r>
  <r>
    <n v="22"/>
    <d v="2008-09-01T00:00:00"/>
    <x v="8"/>
    <x v="8"/>
    <n v="640"/>
    <n v="2"/>
    <d v="2006-12-01T00:00:00"/>
    <n v="830000"/>
    <n v="0"/>
    <n v="0.02"/>
    <n v="0"/>
    <n v="0"/>
    <m/>
    <n v="0"/>
    <m/>
    <m/>
    <m/>
    <m/>
    <n v="16600"/>
    <n v="0"/>
    <n v="0"/>
    <n v="0"/>
  </r>
  <r>
    <n v="22"/>
    <d v="2008-10-01T00:00:00"/>
    <x v="9"/>
    <x v="8"/>
    <n v="670"/>
    <n v="2"/>
    <d v="2006-12-01T00:00:00"/>
    <n v="830000"/>
    <n v="0"/>
    <n v="0.05"/>
    <n v="0.03"/>
    <n v="0"/>
    <m/>
    <n v="0"/>
    <m/>
    <m/>
    <m/>
    <m/>
    <n v="41500"/>
    <n v="24900"/>
    <n v="0"/>
    <n v="0"/>
  </r>
  <r>
    <n v="22"/>
    <d v="2008-11-01T00:00:00"/>
    <x v="10"/>
    <x v="8"/>
    <n v="701"/>
    <n v="2"/>
    <d v="2006-12-01T00:00:00"/>
    <n v="827000"/>
    <n v="0.08"/>
    <n v="0.27"/>
    <n v="0.06"/>
    <n v="0"/>
    <m/>
    <n v="0.12"/>
    <m/>
    <m/>
    <m/>
    <m/>
    <n v="223290.00000000003"/>
    <n v="49620"/>
    <n v="99240"/>
    <n v="39696"/>
  </r>
  <r>
    <n v="22"/>
    <d v="2008-12-01T00:00:00"/>
    <x v="11"/>
    <x v="8"/>
    <n v="731"/>
    <n v="3"/>
    <d v="2006-12-01T00:00:00"/>
    <n v="529000"/>
    <n v="0.7"/>
    <n v="0.43333333333333335"/>
    <n v="0.2"/>
    <n v="0"/>
    <m/>
    <n v="0.18333333333333335"/>
    <m/>
    <m/>
    <m/>
    <m/>
    <n v="229233.33333333334"/>
    <n v="105800"/>
    <n v="96983.333333333343"/>
    <n v="38793.333333333336"/>
  </r>
  <r>
    <n v="22"/>
    <d v="2009-01-01T00:00:00"/>
    <x v="0"/>
    <x v="9"/>
    <n v="762"/>
    <n v="3"/>
    <d v="2006-12-01T00:00:00"/>
    <n v="486941"/>
    <n v="8.3333333333333329E-2"/>
    <n v="0.51666666666666672"/>
    <n v="0.28333333333333333"/>
    <m/>
    <m/>
    <n v="8.3333333333333329E-2"/>
    <m/>
    <m/>
    <m/>
    <s v="Empty (no fish)"/>
    <n v="251586.18333333335"/>
    <n v="137966.61666666667"/>
    <n v="40578.416666666664"/>
    <n v="16231.366666666667"/>
  </r>
  <r>
    <n v="22"/>
    <d v="2009-02-01T00:00:00"/>
    <x v="1"/>
    <x v="9"/>
    <n v="793"/>
    <n v="3"/>
    <d v="2006-12-01T00:00:00"/>
    <n v="105408"/>
    <m/>
    <m/>
    <n v="0.4"/>
    <m/>
    <s v="h"/>
    <n v="0.1"/>
    <m/>
    <m/>
    <m/>
    <s v="harvesting; no counts (&lt;3 pens)"/>
    <m/>
    <n v="42163.200000000004"/>
    <n v="10540.800000000001"/>
    <n v="4216.3200000000006"/>
  </r>
  <r>
    <n v="22"/>
    <d v="2009-03-01T00:00:00"/>
    <x v="2"/>
    <x v="9"/>
    <m/>
    <m/>
    <m/>
    <m/>
    <m/>
    <m/>
    <m/>
    <m/>
    <m/>
    <m/>
    <m/>
    <m/>
    <m/>
    <s v="empty by end of month"/>
    <m/>
    <m/>
    <m/>
    <m/>
  </r>
  <r>
    <n v="22"/>
    <d v="2009-04-01T00:00:00"/>
    <x v="3"/>
    <x v="9"/>
    <m/>
    <m/>
    <m/>
    <m/>
    <m/>
    <m/>
    <m/>
    <m/>
    <m/>
    <m/>
    <m/>
    <m/>
    <m/>
    <m/>
    <m/>
    <m/>
    <m/>
    <m/>
  </r>
  <r>
    <n v="22"/>
    <d v="2009-05-01T00:00:00"/>
    <x v="4"/>
    <x v="9"/>
    <m/>
    <m/>
    <m/>
    <m/>
    <m/>
    <m/>
    <m/>
    <m/>
    <m/>
    <m/>
    <m/>
    <m/>
    <m/>
    <m/>
    <m/>
    <m/>
    <m/>
    <m/>
  </r>
  <r>
    <n v="22"/>
    <d v="2009-06-01T00:00:00"/>
    <x v="5"/>
    <x v="9"/>
    <n v="243"/>
    <n v="1"/>
    <d v="2008-10-01T00:00:00"/>
    <n v="368868"/>
    <m/>
    <n v="0.21"/>
    <n v="0.04"/>
    <m/>
    <s v="h"/>
    <n v="0.04"/>
    <m/>
    <m/>
    <m/>
    <s v="stocking from farm #25 (counts are from June @ farm #25)"/>
    <n v="77462.28"/>
    <n v="14754.720000000001"/>
    <n v="14754.720000000001"/>
    <n v="5901.8880000000008"/>
  </r>
  <r>
    <n v="22"/>
    <d v="2009-07-01T00:00:00"/>
    <x v="6"/>
    <x v="9"/>
    <n v="266"/>
    <n v="1"/>
    <d v="2008-10-08T00:00:00"/>
    <n v="873654"/>
    <n v="0"/>
    <n v="0.08"/>
    <n v="0.02"/>
    <m/>
    <m/>
    <n v="0"/>
    <m/>
    <m/>
    <m/>
    <s v="stocking from farm #25"/>
    <n v="69892.320000000007"/>
    <n v="17473.080000000002"/>
    <n v="0"/>
    <n v="0"/>
  </r>
  <r>
    <n v="22"/>
    <d v="2009-08-01T00:00:00"/>
    <x v="7"/>
    <x v="9"/>
    <n v="297"/>
    <n v="1"/>
    <d v="2008-10-08T00:00:00"/>
    <n v="873288"/>
    <n v="0"/>
    <n v="3.3000000000000002E-2"/>
    <n v="1.7000000000000001E-2"/>
    <n v="0"/>
    <m/>
    <n v="0"/>
    <m/>
    <m/>
    <m/>
    <m/>
    <n v="28818.504000000001"/>
    <n v="14845.896000000001"/>
    <n v="0"/>
    <n v="0"/>
  </r>
  <r>
    <n v="22"/>
    <d v="2009-09-01T00:00:00"/>
    <x v="8"/>
    <x v="9"/>
    <n v="328"/>
    <n v="1"/>
    <d v="2008-10-08T00:00:00"/>
    <n v="872620"/>
    <n v="0.05"/>
    <n v="7.0000000000000007E-2"/>
    <n v="0.08"/>
    <n v="0"/>
    <m/>
    <n v="0"/>
    <m/>
    <m/>
    <m/>
    <m/>
    <n v="61083.400000000009"/>
    <n v="69809.600000000006"/>
    <n v="0"/>
    <n v="0"/>
  </r>
  <r>
    <n v="22"/>
    <d v="2009-10-01T00:00:00"/>
    <x v="9"/>
    <x v="9"/>
    <n v="358"/>
    <n v="1"/>
    <d v="2008-10-08T00:00:00"/>
    <n v="872063"/>
    <n v="0.08"/>
    <n v="0.25"/>
    <n v="0.13"/>
    <n v="0"/>
    <m/>
    <n v="0.02"/>
    <m/>
    <m/>
    <m/>
    <m/>
    <n v="218015.75"/>
    <n v="113368.19"/>
    <n v="17441.260000000002"/>
    <n v="6976.5040000000008"/>
  </r>
  <r>
    <n v="22"/>
    <d v="2009-11-01T00:00:00"/>
    <x v="10"/>
    <x v="9"/>
    <n v="389"/>
    <n v="2"/>
    <d v="2008-10-08T00:00:00"/>
    <n v="871427"/>
    <n v="0.15"/>
    <n v="0.2"/>
    <n v="8.3000000000000004E-2"/>
    <n v="0"/>
    <m/>
    <n v="0.16700000000000001"/>
    <n v="1"/>
    <m/>
    <m/>
    <m/>
    <n v="174285.40000000002"/>
    <n v="72328.441000000006"/>
    <n v="145528.30900000001"/>
    <n v="58211.323600000003"/>
  </r>
  <r>
    <n v="22"/>
    <d v="2009-12-01T00:00:00"/>
    <x v="11"/>
    <x v="9"/>
    <n v="419"/>
    <n v="2"/>
    <d v="2008-10-08T00:00:00"/>
    <n v="869450"/>
    <n v="0.02"/>
    <n v="0.03"/>
    <n v="0.02"/>
    <m/>
    <m/>
    <n v="0"/>
    <m/>
    <m/>
    <m/>
    <m/>
    <n v="26083.5"/>
    <n v="17389"/>
    <n v="0"/>
    <n v="0"/>
  </r>
  <r>
    <n v="23"/>
    <d v="2000-01-01T00:00:00"/>
    <x v="0"/>
    <x v="0"/>
    <m/>
    <m/>
    <m/>
    <m/>
    <m/>
    <m/>
    <m/>
    <m/>
    <m/>
    <m/>
    <m/>
    <m/>
    <m/>
    <m/>
    <m/>
    <m/>
    <m/>
    <m/>
  </r>
  <r>
    <n v="23"/>
    <d v="2000-02-01T00:00:00"/>
    <x v="1"/>
    <x v="0"/>
    <m/>
    <m/>
    <m/>
    <m/>
    <m/>
    <m/>
    <m/>
    <m/>
    <m/>
    <m/>
    <m/>
    <m/>
    <m/>
    <m/>
    <m/>
    <m/>
    <m/>
    <m/>
  </r>
  <r>
    <n v="23"/>
    <d v="2000-03-01T00:00:00"/>
    <x v="2"/>
    <x v="0"/>
    <m/>
    <m/>
    <m/>
    <m/>
    <m/>
    <m/>
    <m/>
    <m/>
    <m/>
    <m/>
    <m/>
    <m/>
    <m/>
    <m/>
    <m/>
    <m/>
    <m/>
    <m/>
  </r>
  <r>
    <n v="23"/>
    <d v="2000-04-01T00:00:00"/>
    <x v="3"/>
    <x v="0"/>
    <m/>
    <m/>
    <m/>
    <m/>
    <m/>
    <m/>
    <m/>
    <m/>
    <m/>
    <m/>
    <m/>
    <m/>
    <m/>
    <m/>
    <m/>
    <m/>
    <m/>
    <m/>
  </r>
  <r>
    <n v="23"/>
    <d v="2000-05-01T00:00:00"/>
    <x v="4"/>
    <x v="0"/>
    <m/>
    <m/>
    <m/>
    <m/>
    <m/>
    <m/>
    <m/>
    <m/>
    <m/>
    <m/>
    <m/>
    <m/>
    <m/>
    <m/>
    <m/>
    <m/>
    <m/>
    <m/>
  </r>
  <r>
    <n v="23"/>
    <d v="2000-06-01T00:00:00"/>
    <x v="5"/>
    <x v="0"/>
    <m/>
    <m/>
    <m/>
    <m/>
    <m/>
    <m/>
    <m/>
    <m/>
    <m/>
    <m/>
    <m/>
    <m/>
    <m/>
    <m/>
    <m/>
    <m/>
    <m/>
    <m/>
  </r>
  <r>
    <n v="23"/>
    <d v="2000-07-01T00:00:00"/>
    <x v="6"/>
    <x v="0"/>
    <m/>
    <m/>
    <m/>
    <m/>
    <m/>
    <m/>
    <m/>
    <m/>
    <m/>
    <m/>
    <m/>
    <m/>
    <m/>
    <m/>
    <m/>
    <m/>
    <m/>
    <m/>
  </r>
  <r>
    <n v="23"/>
    <d v="2000-08-01T00:00:00"/>
    <x v="7"/>
    <x v="0"/>
    <m/>
    <m/>
    <m/>
    <m/>
    <m/>
    <m/>
    <m/>
    <m/>
    <m/>
    <m/>
    <m/>
    <m/>
    <m/>
    <m/>
    <m/>
    <m/>
    <m/>
    <m/>
  </r>
  <r>
    <n v="23"/>
    <d v="2000-09-01T00:00:00"/>
    <x v="8"/>
    <x v="0"/>
    <m/>
    <m/>
    <m/>
    <m/>
    <m/>
    <m/>
    <m/>
    <m/>
    <m/>
    <m/>
    <m/>
    <m/>
    <m/>
    <m/>
    <m/>
    <m/>
    <m/>
    <m/>
  </r>
  <r>
    <n v="23"/>
    <d v="2000-10-01T00:00:00"/>
    <x v="9"/>
    <x v="0"/>
    <m/>
    <m/>
    <m/>
    <m/>
    <m/>
    <m/>
    <m/>
    <m/>
    <m/>
    <m/>
    <m/>
    <m/>
    <m/>
    <m/>
    <m/>
    <m/>
    <m/>
    <m/>
  </r>
  <r>
    <n v="23"/>
    <d v="2000-11-01T00:00:00"/>
    <x v="10"/>
    <x v="0"/>
    <m/>
    <m/>
    <m/>
    <m/>
    <m/>
    <m/>
    <m/>
    <m/>
    <m/>
    <m/>
    <m/>
    <m/>
    <m/>
    <m/>
    <m/>
    <m/>
    <m/>
    <m/>
  </r>
  <r>
    <n v="23"/>
    <d v="2000-12-01T00:00:00"/>
    <x v="11"/>
    <x v="0"/>
    <m/>
    <m/>
    <m/>
    <m/>
    <m/>
    <m/>
    <m/>
    <m/>
    <m/>
    <m/>
    <m/>
    <m/>
    <m/>
    <m/>
    <m/>
    <m/>
    <m/>
    <m/>
  </r>
  <r>
    <n v="23"/>
    <d v="2001-01-01T00:00:00"/>
    <x v="0"/>
    <x v="1"/>
    <m/>
    <m/>
    <m/>
    <m/>
    <m/>
    <m/>
    <m/>
    <m/>
    <m/>
    <m/>
    <m/>
    <m/>
    <m/>
    <m/>
    <m/>
    <m/>
    <m/>
    <m/>
  </r>
  <r>
    <n v="23"/>
    <d v="2001-02-01T00:00:00"/>
    <x v="1"/>
    <x v="1"/>
    <m/>
    <m/>
    <m/>
    <m/>
    <m/>
    <m/>
    <m/>
    <m/>
    <m/>
    <m/>
    <m/>
    <m/>
    <m/>
    <m/>
    <m/>
    <m/>
    <m/>
    <m/>
  </r>
  <r>
    <n v="23"/>
    <d v="2001-03-01T00:00:00"/>
    <x v="2"/>
    <x v="1"/>
    <m/>
    <m/>
    <m/>
    <m/>
    <m/>
    <m/>
    <m/>
    <m/>
    <m/>
    <m/>
    <m/>
    <m/>
    <m/>
    <m/>
    <m/>
    <m/>
    <m/>
    <m/>
  </r>
  <r>
    <n v="23"/>
    <d v="2001-04-01T00:00:00"/>
    <x v="3"/>
    <x v="1"/>
    <m/>
    <m/>
    <m/>
    <m/>
    <m/>
    <m/>
    <m/>
    <m/>
    <m/>
    <m/>
    <m/>
    <m/>
    <m/>
    <m/>
    <m/>
    <m/>
    <m/>
    <m/>
  </r>
  <r>
    <n v="23"/>
    <d v="2001-05-01T00:00:00"/>
    <x v="4"/>
    <x v="1"/>
    <m/>
    <m/>
    <m/>
    <m/>
    <m/>
    <m/>
    <m/>
    <m/>
    <m/>
    <m/>
    <m/>
    <m/>
    <m/>
    <m/>
    <m/>
    <m/>
    <m/>
    <m/>
  </r>
  <r>
    <n v="23"/>
    <d v="2001-06-01T00:00:00"/>
    <x v="5"/>
    <x v="1"/>
    <m/>
    <m/>
    <m/>
    <m/>
    <m/>
    <m/>
    <m/>
    <m/>
    <m/>
    <m/>
    <m/>
    <m/>
    <m/>
    <m/>
    <m/>
    <m/>
    <m/>
    <m/>
  </r>
  <r>
    <n v="23"/>
    <d v="2001-07-01T00:00:00"/>
    <x v="6"/>
    <x v="1"/>
    <m/>
    <m/>
    <m/>
    <m/>
    <m/>
    <m/>
    <m/>
    <m/>
    <m/>
    <m/>
    <m/>
    <m/>
    <m/>
    <m/>
    <m/>
    <m/>
    <m/>
    <m/>
  </r>
  <r>
    <n v="23"/>
    <d v="2001-08-01T00:00:00"/>
    <x v="7"/>
    <x v="1"/>
    <m/>
    <m/>
    <m/>
    <m/>
    <m/>
    <m/>
    <m/>
    <m/>
    <m/>
    <m/>
    <m/>
    <m/>
    <m/>
    <m/>
    <m/>
    <m/>
    <m/>
    <m/>
  </r>
  <r>
    <n v="23"/>
    <d v="2001-09-01T00:00:00"/>
    <x v="8"/>
    <x v="1"/>
    <m/>
    <m/>
    <m/>
    <m/>
    <m/>
    <m/>
    <m/>
    <m/>
    <m/>
    <m/>
    <m/>
    <m/>
    <m/>
    <m/>
    <m/>
    <m/>
    <m/>
    <m/>
  </r>
  <r>
    <n v="23"/>
    <d v="2001-10-01T00:00:00"/>
    <x v="9"/>
    <x v="1"/>
    <n v="242"/>
    <n v="1"/>
    <d v="2001-02-01T00:00:00"/>
    <n v="481614"/>
    <m/>
    <m/>
    <m/>
    <m/>
    <m/>
    <m/>
    <m/>
    <m/>
    <m/>
    <s v="transferred from farm #25"/>
    <m/>
    <m/>
    <m/>
    <m/>
  </r>
  <r>
    <n v="23"/>
    <d v="2001-11-01T00:00:00"/>
    <x v="10"/>
    <x v="1"/>
    <n v="273"/>
    <n v="1"/>
    <d v="2001-02-01T00:00:00"/>
    <n v="479203"/>
    <m/>
    <m/>
    <m/>
    <m/>
    <m/>
    <m/>
    <m/>
    <m/>
    <m/>
    <m/>
    <m/>
    <m/>
    <m/>
    <m/>
  </r>
  <r>
    <n v="23"/>
    <d v="2001-12-01T00:00:00"/>
    <x v="11"/>
    <x v="1"/>
    <n v="303"/>
    <n v="1"/>
    <d v="2001-02-01T00:00:00"/>
    <n v="478029"/>
    <m/>
    <m/>
    <m/>
    <m/>
    <m/>
    <m/>
    <m/>
    <m/>
    <m/>
    <m/>
    <m/>
    <m/>
    <m/>
    <m/>
  </r>
  <r>
    <n v="23"/>
    <d v="2002-01-01T00:00:00"/>
    <x v="0"/>
    <x v="2"/>
    <n v="334"/>
    <n v="1"/>
    <d v="2001-02-01T00:00:00"/>
    <n v="477624"/>
    <n v="8.85"/>
    <n v="2.98"/>
    <n v="0.7"/>
    <m/>
    <m/>
    <n v="0.26"/>
    <m/>
    <m/>
    <m/>
    <m/>
    <n v="1423319.52"/>
    <n v="334336.8"/>
    <n v="124182.24"/>
    <n v="49672.896000000008"/>
  </r>
  <r>
    <n v="23"/>
    <d v="2002-02-01T00:00:00"/>
    <x v="1"/>
    <x v="2"/>
    <n v="365"/>
    <n v="2"/>
    <d v="2001-02-01T00:00:00"/>
    <n v="477089"/>
    <m/>
    <m/>
    <m/>
    <m/>
    <m/>
    <m/>
    <m/>
    <n v="7.02"/>
    <m/>
    <m/>
    <m/>
    <m/>
    <m/>
    <m/>
  </r>
  <r>
    <n v="23"/>
    <d v="2002-03-01T00:00:00"/>
    <x v="2"/>
    <x v="2"/>
    <n v="393"/>
    <n v="2"/>
    <d v="2001-02-01T00:00:00"/>
    <n v="476556"/>
    <m/>
    <m/>
    <m/>
    <m/>
    <m/>
    <m/>
    <m/>
    <n v="6.6"/>
    <m/>
    <m/>
    <m/>
    <m/>
    <m/>
    <m/>
  </r>
  <r>
    <n v="23"/>
    <d v="2002-04-01T00:00:00"/>
    <x v="3"/>
    <x v="2"/>
    <n v="424"/>
    <n v="2"/>
    <d v="2001-02-01T00:00:00"/>
    <n v="476035"/>
    <m/>
    <m/>
    <m/>
    <m/>
    <m/>
    <m/>
    <m/>
    <n v="7.35"/>
    <m/>
    <m/>
    <m/>
    <m/>
    <m/>
    <m/>
  </r>
  <r>
    <n v="23"/>
    <d v="2002-05-01T00:00:00"/>
    <x v="4"/>
    <x v="2"/>
    <n v="454"/>
    <n v="2"/>
    <d v="2001-02-01T00:00:00"/>
    <n v="475416"/>
    <n v="8.85"/>
    <n v="7.35"/>
    <n v="2.75"/>
    <m/>
    <m/>
    <n v="0"/>
    <m/>
    <n v="8.5"/>
    <m/>
    <m/>
    <n v="3494307.5999999996"/>
    <n v="1307394"/>
    <n v="0"/>
    <n v="0"/>
  </r>
  <r>
    <n v="23"/>
    <d v="2002-06-01T00:00:00"/>
    <x v="5"/>
    <x v="2"/>
    <n v="485"/>
    <n v="2"/>
    <d v="2001-02-01T00:00:00"/>
    <n v="473750"/>
    <m/>
    <m/>
    <m/>
    <m/>
    <m/>
    <m/>
    <m/>
    <n v="10.199999999999999"/>
    <m/>
    <m/>
    <m/>
    <m/>
    <m/>
    <m/>
  </r>
  <r>
    <n v="23"/>
    <d v="2002-07-01T00:00:00"/>
    <x v="6"/>
    <x v="2"/>
    <n v="515"/>
    <n v="2"/>
    <d v="2001-02-01T00:00:00"/>
    <n v="463387"/>
    <m/>
    <m/>
    <m/>
    <m/>
    <m/>
    <m/>
    <m/>
    <n v="11.2"/>
    <m/>
    <m/>
    <m/>
    <m/>
    <m/>
    <m/>
  </r>
  <r>
    <n v="23"/>
    <d v="2002-08-01T00:00:00"/>
    <x v="7"/>
    <x v="2"/>
    <n v="546"/>
    <n v="2"/>
    <d v="2001-02-01T00:00:00"/>
    <n v="462860"/>
    <m/>
    <m/>
    <m/>
    <m/>
    <m/>
    <m/>
    <m/>
    <n v="10.7"/>
    <m/>
    <m/>
    <m/>
    <m/>
    <m/>
    <m/>
  </r>
  <r>
    <n v="23"/>
    <d v="2002-09-01T00:00:00"/>
    <x v="8"/>
    <x v="2"/>
    <n v="577"/>
    <n v="2"/>
    <d v="2001-02-01T00:00:00"/>
    <n v="420000"/>
    <m/>
    <m/>
    <m/>
    <m/>
    <m/>
    <m/>
    <m/>
    <m/>
    <m/>
    <m/>
    <m/>
    <m/>
    <m/>
    <m/>
  </r>
  <r>
    <n v="23"/>
    <d v="2002-10-01T00:00:00"/>
    <x v="9"/>
    <x v="2"/>
    <n v="607"/>
    <n v="2"/>
    <d v="2001-02-01T00:00:00"/>
    <n v="397166"/>
    <m/>
    <m/>
    <m/>
    <m/>
    <m/>
    <m/>
    <m/>
    <m/>
    <m/>
    <m/>
    <m/>
    <m/>
    <m/>
    <m/>
  </r>
  <r>
    <n v="23"/>
    <d v="2002-11-01T00:00:00"/>
    <x v="10"/>
    <x v="2"/>
    <n v="638"/>
    <n v="2"/>
    <d v="2001-02-01T00:00:00"/>
    <n v="380436"/>
    <m/>
    <m/>
    <m/>
    <m/>
    <m/>
    <m/>
    <m/>
    <n v="7.9"/>
    <m/>
    <m/>
    <m/>
    <m/>
    <m/>
    <m/>
  </r>
  <r>
    <n v="23"/>
    <d v="2002-12-01T00:00:00"/>
    <x v="11"/>
    <x v="2"/>
    <n v="668"/>
    <n v="2"/>
    <d v="2001-02-01T00:00:00"/>
    <n v="283336"/>
    <m/>
    <m/>
    <m/>
    <m/>
    <m/>
    <m/>
    <m/>
    <n v="7.5"/>
    <m/>
    <m/>
    <m/>
    <m/>
    <m/>
    <m/>
  </r>
  <r>
    <n v="23"/>
    <d v="2003-01-01T00:00:00"/>
    <x v="0"/>
    <x v="3"/>
    <n v="699"/>
    <n v="2"/>
    <d v="2001-02-01T00:00:00"/>
    <n v="287076"/>
    <n v="9.6999999999999993"/>
    <n v="4.5199999999999996"/>
    <n v="2.11"/>
    <m/>
    <m/>
    <n v="0.56999999999999995"/>
    <m/>
    <n v="7.5"/>
    <m/>
    <m/>
    <n v="1297583.5199999998"/>
    <n v="605730.36"/>
    <n v="163633.31999999998"/>
    <n v="65453.327999999994"/>
  </r>
  <r>
    <n v="23"/>
    <d v="2003-02-01T00:00:00"/>
    <x v="1"/>
    <x v="3"/>
    <n v="730"/>
    <n v="3"/>
    <d v="2001-02-01T00:00:00"/>
    <n v="286003"/>
    <n v="4.28"/>
    <n v="3.68"/>
    <n v="1.48"/>
    <n v="1"/>
    <m/>
    <n v="0.33"/>
    <m/>
    <n v="7.3"/>
    <m/>
    <m/>
    <n v="1052491.04"/>
    <n v="423284.44"/>
    <n v="94380.99"/>
    <n v="37752.396000000001"/>
  </r>
  <r>
    <n v="23"/>
    <d v="2003-03-01T00:00:00"/>
    <x v="2"/>
    <x v="3"/>
    <n v="758"/>
    <n v="3"/>
    <d v="2001-02-01T00:00:00"/>
    <n v="151097"/>
    <n v="11.6"/>
    <n v="4.9000000000000004"/>
    <n v="1.7"/>
    <n v="0"/>
    <m/>
    <n v="0.4"/>
    <m/>
    <n v="7.8"/>
    <n v="31.5"/>
    <s v="harvesting"/>
    <n v="740375.3"/>
    <n v="256864.9"/>
    <n v="60438.8"/>
    <n v="24175.520000000004"/>
  </r>
  <r>
    <n v="23"/>
    <d v="2003-04-01T00:00:00"/>
    <x v="3"/>
    <x v="3"/>
    <n v="789"/>
    <n v="3"/>
    <d v="2001-02-01T00:00:00"/>
    <n v="112838"/>
    <n v="0.6"/>
    <n v="3.7"/>
    <n v="1.9"/>
    <m/>
    <m/>
    <n v="4.3"/>
    <m/>
    <n v="8.1"/>
    <n v="32"/>
    <s v="harvesting"/>
    <n v="417500.60000000003"/>
    <n v="214392.19999999998"/>
    <n v="485203.39999999997"/>
    <n v="194081.36"/>
  </r>
  <r>
    <n v="23"/>
    <d v="2003-05-01T00:00:00"/>
    <x v="4"/>
    <x v="3"/>
    <n v="819"/>
    <n v="3"/>
    <d v="2001-02-01T00:00:00"/>
    <n v="50668"/>
    <m/>
    <m/>
    <n v="2.2000000000000002"/>
    <m/>
    <s v="h"/>
    <n v="6"/>
    <m/>
    <m/>
    <m/>
    <s v="harvesting"/>
    <m/>
    <n v="111469.6"/>
    <n v="304008"/>
    <n v="121603.20000000001"/>
  </r>
  <r>
    <n v="23"/>
    <d v="2003-06-01T00:00:00"/>
    <x v="5"/>
    <x v="3"/>
    <m/>
    <m/>
    <m/>
    <m/>
    <m/>
    <m/>
    <m/>
    <m/>
    <m/>
    <m/>
    <m/>
    <m/>
    <m/>
    <m/>
    <m/>
    <m/>
    <m/>
    <m/>
  </r>
  <r>
    <n v="23"/>
    <d v="2003-07-01T00:00:00"/>
    <x v="6"/>
    <x v="3"/>
    <m/>
    <m/>
    <m/>
    <m/>
    <m/>
    <m/>
    <m/>
    <m/>
    <m/>
    <m/>
    <m/>
    <m/>
    <m/>
    <m/>
    <m/>
    <m/>
    <m/>
    <m/>
  </r>
  <r>
    <n v="23"/>
    <d v="2003-08-01T00:00:00"/>
    <x v="7"/>
    <x v="3"/>
    <m/>
    <m/>
    <m/>
    <m/>
    <m/>
    <m/>
    <m/>
    <m/>
    <m/>
    <m/>
    <m/>
    <m/>
    <m/>
    <m/>
    <m/>
    <m/>
    <m/>
    <m/>
  </r>
  <r>
    <n v="23"/>
    <d v="2003-09-01T00:00:00"/>
    <x v="8"/>
    <x v="3"/>
    <m/>
    <m/>
    <m/>
    <m/>
    <m/>
    <m/>
    <m/>
    <m/>
    <m/>
    <m/>
    <m/>
    <m/>
    <m/>
    <m/>
    <m/>
    <m/>
    <m/>
    <m/>
  </r>
  <r>
    <n v="23"/>
    <d v="2003-10-01T00:00:00"/>
    <x v="9"/>
    <x v="3"/>
    <m/>
    <m/>
    <m/>
    <m/>
    <m/>
    <m/>
    <m/>
    <m/>
    <m/>
    <m/>
    <m/>
    <m/>
    <m/>
    <m/>
    <m/>
    <m/>
    <m/>
    <m/>
  </r>
  <r>
    <n v="23"/>
    <d v="2003-11-01T00:00:00"/>
    <x v="10"/>
    <x v="3"/>
    <m/>
    <m/>
    <m/>
    <m/>
    <m/>
    <m/>
    <m/>
    <m/>
    <m/>
    <m/>
    <m/>
    <m/>
    <m/>
    <m/>
    <m/>
    <m/>
    <m/>
    <m/>
  </r>
  <r>
    <n v="23"/>
    <d v="2003-12-01T00:00:00"/>
    <x v="11"/>
    <x v="3"/>
    <m/>
    <m/>
    <m/>
    <m/>
    <m/>
    <m/>
    <m/>
    <m/>
    <m/>
    <m/>
    <m/>
    <m/>
    <m/>
    <m/>
    <m/>
    <m/>
    <m/>
    <m/>
  </r>
  <r>
    <n v="23"/>
    <d v="2004-01-01T00:00:00"/>
    <x v="0"/>
    <x v="4"/>
    <m/>
    <m/>
    <m/>
    <m/>
    <m/>
    <m/>
    <m/>
    <m/>
    <m/>
    <m/>
    <m/>
    <m/>
    <m/>
    <m/>
    <m/>
    <m/>
    <m/>
    <m/>
  </r>
  <r>
    <n v="23"/>
    <d v="2004-02-01T00:00:00"/>
    <x v="1"/>
    <x v="4"/>
    <m/>
    <m/>
    <m/>
    <m/>
    <m/>
    <m/>
    <m/>
    <m/>
    <m/>
    <m/>
    <m/>
    <m/>
    <m/>
    <m/>
    <m/>
    <m/>
    <m/>
    <m/>
  </r>
  <r>
    <n v="23"/>
    <d v="2004-03-01T00:00:00"/>
    <x v="2"/>
    <x v="4"/>
    <m/>
    <m/>
    <m/>
    <m/>
    <m/>
    <m/>
    <m/>
    <m/>
    <m/>
    <m/>
    <m/>
    <m/>
    <m/>
    <m/>
    <m/>
    <m/>
    <m/>
    <m/>
  </r>
  <r>
    <n v="23"/>
    <d v="2004-04-01T00:00:00"/>
    <x v="3"/>
    <x v="4"/>
    <n v="0"/>
    <n v="1"/>
    <d v="2004-04-01T00:00:00"/>
    <n v="682614"/>
    <m/>
    <m/>
    <n v="0"/>
    <m/>
    <s v="s"/>
    <n v="0"/>
    <m/>
    <m/>
    <m/>
    <s v="smolt"/>
    <m/>
    <n v="0"/>
    <n v="0"/>
    <n v="0"/>
  </r>
  <r>
    <n v="23"/>
    <d v="2004-05-01T00:00:00"/>
    <x v="4"/>
    <x v="4"/>
    <n v="30"/>
    <n v="1"/>
    <d v="2004-04-01T00:00:00"/>
    <n v="675000"/>
    <n v="0.8"/>
    <n v="1.3"/>
    <n v="0.05"/>
    <m/>
    <m/>
    <n v="0.1"/>
    <m/>
    <n v="9.35"/>
    <n v="29"/>
    <s v="smolt"/>
    <n v="877500"/>
    <n v="33750"/>
    <n v="67500"/>
    <n v="27000"/>
  </r>
  <r>
    <n v="23"/>
    <d v="2004-06-01T00:00:00"/>
    <x v="5"/>
    <x v="4"/>
    <n v="61"/>
    <n v="1"/>
    <d v="2004-04-01T00:00:00"/>
    <n v="671000"/>
    <n v="0.6"/>
    <n v="4.0999999999999996"/>
    <n v="1.7"/>
    <n v="2"/>
    <m/>
    <n v="0"/>
    <n v="1"/>
    <n v="11.6"/>
    <n v="20"/>
    <m/>
    <n v="2751099.9999999995"/>
    <n v="1140700"/>
    <n v="0"/>
    <n v="0"/>
  </r>
  <r>
    <n v="23"/>
    <d v="2004-07-01T00:00:00"/>
    <x v="6"/>
    <x v="4"/>
    <n v="91"/>
    <n v="1"/>
    <d v="2004-04-01T00:00:00"/>
    <n v="667000"/>
    <n v="0"/>
    <n v="0"/>
    <n v="0"/>
    <n v="0"/>
    <m/>
    <n v="0"/>
    <m/>
    <n v="9.9"/>
    <n v="21"/>
    <m/>
    <n v="0"/>
    <n v="0"/>
    <n v="0"/>
    <n v="0"/>
  </r>
  <r>
    <n v="23"/>
    <d v="2004-08-01T00:00:00"/>
    <x v="7"/>
    <x v="4"/>
    <n v="122"/>
    <n v="1"/>
    <d v="2004-04-01T00:00:00"/>
    <n v="658000"/>
    <n v="0"/>
    <n v="0.03"/>
    <n v="0"/>
    <n v="0"/>
    <m/>
    <n v="0"/>
    <m/>
    <n v="10.6"/>
    <n v="17.3"/>
    <m/>
    <n v="19740"/>
    <n v="0"/>
    <n v="0"/>
    <n v="0"/>
  </r>
  <r>
    <n v="23"/>
    <d v="2004-09-01T00:00:00"/>
    <x v="8"/>
    <x v="4"/>
    <n v="153"/>
    <n v="1"/>
    <d v="2004-04-01T00:00:00"/>
    <n v="656000"/>
    <n v="0"/>
    <n v="0"/>
    <n v="0"/>
    <n v="0"/>
    <m/>
    <n v="0"/>
    <m/>
    <n v="9.8000000000000007"/>
    <n v="21"/>
    <m/>
    <n v="0"/>
    <n v="0"/>
    <n v="0"/>
    <n v="0"/>
  </r>
  <r>
    <n v="23"/>
    <d v="2004-10-01T00:00:00"/>
    <x v="9"/>
    <x v="4"/>
    <n v="183"/>
    <n v="1"/>
    <d v="2004-04-01T00:00:00"/>
    <n v="655622"/>
    <n v="0"/>
    <n v="0.03"/>
    <n v="0"/>
    <n v="0"/>
    <m/>
    <n v="0"/>
    <m/>
    <n v="9"/>
    <n v="26.2"/>
    <m/>
    <n v="19668.66"/>
    <n v="0"/>
    <n v="0"/>
    <n v="0"/>
  </r>
  <r>
    <n v="23"/>
    <d v="2004-11-01T00:00:00"/>
    <x v="10"/>
    <x v="4"/>
    <n v="214"/>
    <n v="1"/>
    <d v="2004-04-01T00:00:00"/>
    <n v="654800"/>
    <n v="0.63"/>
    <n v="0.3"/>
    <n v="7.0000000000000007E-2"/>
    <n v="0"/>
    <m/>
    <n v="0.23"/>
    <m/>
    <n v="8.1"/>
    <n v="27.8"/>
    <m/>
    <n v="196440"/>
    <n v="45836.000000000007"/>
    <n v="150604"/>
    <n v="60241.600000000006"/>
  </r>
  <r>
    <n v="23"/>
    <d v="2004-12-01T00:00:00"/>
    <x v="11"/>
    <x v="4"/>
    <n v="244"/>
    <n v="1"/>
    <d v="2004-04-01T00:00:00"/>
    <n v="654271"/>
    <n v="2.88"/>
    <n v="0.6"/>
    <n v="0.08"/>
    <n v="0"/>
    <m/>
    <n v="0.22"/>
    <m/>
    <n v="8"/>
    <n v="28"/>
    <m/>
    <n v="392562.6"/>
    <n v="52341.68"/>
    <n v="143939.62"/>
    <n v="57575.847999999998"/>
  </r>
  <r>
    <n v="23"/>
    <d v="2005-01-01T00:00:00"/>
    <x v="0"/>
    <x v="5"/>
    <n v="275"/>
    <n v="1"/>
    <d v="2004-04-01T00:00:00"/>
    <n v="551415"/>
    <n v="2.97"/>
    <n v="1.4"/>
    <n v="0.56999999999999995"/>
    <n v="0"/>
    <m/>
    <n v="0.47"/>
    <m/>
    <n v="7"/>
    <n v="28"/>
    <m/>
    <n v="771981"/>
    <n v="314306.55"/>
    <n v="259165.05"/>
    <n v="103666.02"/>
  </r>
  <r>
    <n v="23"/>
    <d v="2005-02-01T00:00:00"/>
    <x v="1"/>
    <x v="5"/>
    <n v="306"/>
    <n v="1"/>
    <d v="2004-04-01T00:00:00"/>
    <n v="551000"/>
    <n v="1.33"/>
    <n v="2.1"/>
    <n v="0.67"/>
    <m/>
    <m/>
    <n v="0.45"/>
    <n v="1"/>
    <n v="7"/>
    <n v="28"/>
    <m/>
    <n v="1157100"/>
    <n v="369170"/>
    <n v="247950"/>
    <n v="99180"/>
  </r>
  <r>
    <n v="23"/>
    <d v="2005-03-01T00:00:00"/>
    <x v="2"/>
    <x v="5"/>
    <n v="334"/>
    <n v="1"/>
    <d v="2004-04-01T00:00:00"/>
    <n v="549000"/>
    <m/>
    <n v="1.075"/>
    <n v="0.33500000000000002"/>
    <m/>
    <n v="1"/>
    <n v="0.24"/>
    <m/>
    <m/>
    <m/>
    <m/>
    <n v="590175"/>
    <n v="183915"/>
    <n v="131760"/>
    <n v="52704"/>
  </r>
  <r>
    <n v="23"/>
    <d v="2005-04-01T00:00:00"/>
    <x v="3"/>
    <x v="5"/>
    <n v="365"/>
    <n v="2"/>
    <d v="2004-04-01T00:00:00"/>
    <n v="547000"/>
    <n v="0.02"/>
    <n v="0.05"/>
    <n v="0"/>
    <m/>
    <m/>
    <n v="0.03"/>
    <m/>
    <n v="8"/>
    <n v="29"/>
    <m/>
    <n v="27350"/>
    <n v="0"/>
    <n v="16410"/>
    <n v="6564"/>
  </r>
  <r>
    <n v="23"/>
    <d v="2005-05-01T00:00:00"/>
    <x v="4"/>
    <x v="5"/>
    <n v="395"/>
    <n v="2"/>
    <d v="2004-04-01T00:00:00"/>
    <n v="546274"/>
    <n v="0.88"/>
    <n v="0.37"/>
    <n v="0.08"/>
    <n v="0"/>
    <m/>
    <n v="0.23"/>
    <m/>
    <n v="10"/>
    <n v="26"/>
    <m/>
    <n v="202121.38"/>
    <n v="43701.919999999998"/>
    <n v="125643.02"/>
    <n v="50257.208000000006"/>
  </r>
  <r>
    <n v="23"/>
    <d v="2005-06-01T00:00:00"/>
    <x v="5"/>
    <x v="5"/>
    <n v="426"/>
    <n v="2"/>
    <d v="2004-04-01T00:00:00"/>
    <n v="546000"/>
    <n v="0.48"/>
    <n v="0.25"/>
    <n v="0.1"/>
    <n v="0"/>
    <m/>
    <n v="7.0000000000000007E-2"/>
    <m/>
    <n v="11"/>
    <n v="24"/>
    <m/>
    <n v="136500"/>
    <n v="54600"/>
    <n v="38220"/>
    <n v="15288"/>
  </r>
  <r>
    <n v="23"/>
    <d v="2005-07-01T00:00:00"/>
    <x v="6"/>
    <x v="5"/>
    <n v="456"/>
    <n v="2"/>
    <d v="2004-04-01T00:00:00"/>
    <n v="539000"/>
    <n v="7.0000000000000007E-2"/>
    <n v="0.25"/>
    <n v="0.13"/>
    <n v="0"/>
    <m/>
    <n v="7.0000000000000007E-2"/>
    <m/>
    <n v="11"/>
    <n v="16"/>
    <m/>
    <n v="134750"/>
    <n v="70070"/>
    <n v="37730"/>
    <n v="15092"/>
  </r>
  <r>
    <n v="23"/>
    <d v="2005-08-01T00:00:00"/>
    <x v="7"/>
    <x v="5"/>
    <n v="487"/>
    <n v="2"/>
    <d v="2004-04-01T00:00:00"/>
    <n v="524000"/>
    <n v="0.25"/>
    <n v="0.6"/>
    <n v="0.43"/>
    <n v="1"/>
    <m/>
    <n v="0"/>
    <m/>
    <n v="12"/>
    <n v="16"/>
    <m/>
    <n v="314400"/>
    <n v="225320"/>
    <n v="0"/>
    <n v="0"/>
  </r>
  <r>
    <n v="23"/>
    <d v="2005-09-01T00:00:00"/>
    <x v="8"/>
    <x v="5"/>
    <n v="518"/>
    <n v="2"/>
    <d v="2004-04-01T00:00:00"/>
    <n v="524000"/>
    <n v="0.02"/>
    <n v="0.2"/>
    <n v="0.08"/>
    <n v="1"/>
    <m/>
    <n v="0"/>
    <m/>
    <n v="10"/>
    <m/>
    <s v="harvesting"/>
    <n v="104800"/>
    <n v="41920"/>
    <n v="0"/>
    <n v="0"/>
  </r>
  <r>
    <n v="23"/>
    <d v="2005-10-01T00:00:00"/>
    <x v="9"/>
    <x v="5"/>
    <n v="548"/>
    <n v="2"/>
    <d v="2004-04-01T00:00:00"/>
    <n v="384993"/>
    <n v="0.67"/>
    <n v="2.15"/>
    <n v="0.8"/>
    <n v="0"/>
    <m/>
    <n v="0.48"/>
    <m/>
    <n v="9"/>
    <n v="21"/>
    <m/>
    <n v="827734.95"/>
    <n v="307994.40000000002"/>
    <n v="184796.63999999998"/>
    <n v="73918.656000000003"/>
  </r>
  <r>
    <n v="23"/>
    <d v="2005-11-01T00:00:00"/>
    <x v="10"/>
    <x v="5"/>
    <n v="579"/>
    <n v="2"/>
    <d v="2004-04-01T00:00:00"/>
    <n v="263954"/>
    <n v="0.43"/>
    <n v="3.95"/>
    <n v="1.97"/>
    <m/>
    <m/>
    <n v="0.38"/>
    <m/>
    <n v="8"/>
    <n v="28"/>
    <m/>
    <n v="1042618.3"/>
    <n v="519989.38"/>
    <n v="100302.52"/>
    <n v="40121.008000000002"/>
  </r>
  <r>
    <n v="23"/>
    <d v="2005-12-01T00:00:00"/>
    <x v="11"/>
    <x v="5"/>
    <n v="609"/>
    <n v="2"/>
    <d v="2004-04-01T00:00:00"/>
    <n v="5022"/>
    <m/>
    <n v="2.875"/>
    <n v="1.46"/>
    <m/>
    <s v="h"/>
    <n v="0.19"/>
    <m/>
    <m/>
    <m/>
    <m/>
    <n v="14438.25"/>
    <n v="7332.12"/>
    <n v="954.18000000000006"/>
    <n v="381.67200000000003"/>
  </r>
  <r>
    <n v="23"/>
    <d v="2006-01-01T00:00:00"/>
    <x v="0"/>
    <x v="6"/>
    <n v="640"/>
    <n v="2"/>
    <d v="2004-04-01T00:00:00"/>
    <n v="4994"/>
    <n v="0"/>
    <n v="1.8"/>
    <n v="0.95"/>
    <m/>
    <m/>
    <n v="0"/>
    <m/>
    <n v="7"/>
    <n v="30"/>
    <m/>
    <n v="8989.2000000000007"/>
    <n v="4744.3"/>
    <n v="0"/>
    <n v="0"/>
  </r>
  <r>
    <n v="23"/>
    <d v="2006-02-01T00:00:00"/>
    <x v="1"/>
    <x v="6"/>
    <m/>
    <m/>
    <m/>
    <m/>
    <m/>
    <m/>
    <m/>
    <m/>
    <m/>
    <m/>
    <m/>
    <m/>
    <m/>
    <m/>
    <m/>
    <m/>
    <m/>
    <m/>
  </r>
  <r>
    <n v="23"/>
    <d v="2006-03-01T00:00:00"/>
    <x v="2"/>
    <x v="6"/>
    <m/>
    <m/>
    <m/>
    <m/>
    <m/>
    <m/>
    <m/>
    <m/>
    <m/>
    <m/>
    <m/>
    <m/>
    <m/>
    <m/>
    <m/>
    <m/>
    <m/>
    <m/>
  </r>
  <r>
    <n v="23"/>
    <d v="2006-04-01T00:00:00"/>
    <x v="3"/>
    <x v="6"/>
    <m/>
    <m/>
    <m/>
    <m/>
    <m/>
    <m/>
    <m/>
    <m/>
    <m/>
    <m/>
    <m/>
    <m/>
    <m/>
    <m/>
    <m/>
    <m/>
    <m/>
    <m/>
  </r>
  <r>
    <n v="23"/>
    <d v="2006-05-01T00:00:00"/>
    <x v="4"/>
    <x v="6"/>
    <m/>
    <m/>
    <m/>
    <m/>
    <m/>
    <m/>
    <m/>
    <m/>
    <m/>
    <m/>
    <m/>
    <m/>
    <m/>
    <m/>
    <m/>
    <m/>
    <m/>
    <m/>
  </r>
  <r>
    <n v="23"/>
    <d v="2006-06-01T00:00:00"/>
    <x v="5"/>
    <x v="6"/>
    <m/>
    <m/>
    <m/>
    <m/>
    <m/>
    <m/>
    <m/>
    <m/>
    <m/>
    <m/>
    <m/>
    <m/>
    <m/>
    <m/>
    <m/>
    <m/>
    <m/>
    <m/>
  </r>
  <r>
    <n v="23"/>
    <d v="2006-07-01T00:00:00"/>
    <x v="6"/>
    <x v="6"/>
    <m/>
    <m/>
    <m/>
    <m/>
    <m/>
    <m/>
    <m/>
    <m/>
    <m/>
    <m/>
    <m/>
    <m/>
    <m/>
    <m/>
    <m/>
    <m/>
    <m/>
    <m/>
  </r>
  <r>
    <n v="23"/>
    <d v="2006-08-01T00:00:00"/>
    <x v="7"/>
    <x v="6"/>
    <n v="212"/>
    <n v="1"/>
    <d v="2006-01-01T00:00:00"/>
    <n v="581168"/>
    <m/>
    <m/>
    <n v="0.03"/>
    <m/>
    <s v="t"/>
    <n v="0.03"/>
    <m/>
    <m/>
    <m/>
    <s v="fish moved from farm #25"/>
    <m/>
    <n v="17435.04"/>
    <n v="17435.04"/>
    <n v="6974.0160000000005"/>
  </r>
  <r>
    <n v="23"/>
    <d v="2006-09-01T00:00:00"/>
    <x v="8"/>
    <x v="6"/>
    <n v="243"/>
    <n v="1"/>
    <d v="2006-01-01T00:00:00"/>
    <n v="581091"/>
    <n v="0"/>
    <n v="0.22"/>
    <n v="0.03"/>
    <m/>
    <m/>
    <n v="0"/>
    <m/>
    <n v="9"/>
    <n v="28"/>
    <m/>
    <n v="127840.02"/>
    <n v="17432.73"/>
    <n v="0"/>
    <n v="0"/>
  </r>
  <r>
    <n v="23"/>
    <d v="2006-10-01T00:00:00"/>
    <x v="9"/>
    <x v="6"/>
    <n v="273"/>
    <n v="1"/>
    <d v="2006-01-01T00:00:00"/>
    <n v="580605"/>
    <n v="0.08"/>
    <n v="0.62"/>
    <n v="0.23"/>
    <n v="0"/>
    <m/>
    <n v="0.08"/>
    <m/>
    <n v="9"/>
    <n v="28"/>
    <m/>
    <n v="359975.1"/>
    <n v="133539.15"/>
    <n v="46448.4"/>
    <n v="18579.36"/>
  </r>
  <r>
    <n v="23"/>
    <d v="2006-11-01T00:00:00"/>
    <x v="10"/>
    <x v="6"/>
    <n v="304"/>
    <n v="1"/>
    <d v="2006-01-01T00:00:00"/>
    <n v="580065"/>
    <n v="0.65"/>
    <n v="1.25"/>
    <n v="0.23333329999999999"/>
    <n v="0"/>
    <m/>
    <n v="0.1833333"/>
    <m/>
    <n v="8"/>
    <n v="28"/>
    <m/>
    <n v="725081.25"/>
    <n v="135348.48066450001"/>
    <n v="106345.23066450001"/>
    <n v="42538.092265800005"/>
  </r>
  <r>
    <n v="23"/>
    <d v="2006-12-01T00:00:00"/>
    <x v="11"/>
    <x v="6"/>
    <n v="334"/>
    <n v="1"/>
    <d v="2006-01-01T00:00:00"/>
    <n v="579442"/>
    <n v="4.18"/>
    <n v="2.38"/>
    <n v="1.07"/>
    <n v="2"/>
    <m/>
    <n v="0.23"/>
    <m/>
    <n v="7"/>
    <n v="30"/>
    <m/>
    <n v="1379071.96"/>
    <n v="620002.94000000006"/>
    <n v="133271.66"/>
    <n v="53308.664000000004"/>
  </r>
  <r>
    <n v="23"/>
    <d v="2007-01-01T00:00:00"/>
    <x v="0"/>
    <x v="7"/>
    <n v="365"/>
    <n v="2"/>
    <d v="2006-01-01T00:00:00"/>
    <n v="578871"/>
    <n v="2.15"/>
    <n v="1.45"/>
    <n v="0.68333330000000003"/>
    <n v="0"/>
    <m/>
    <n v="0.1833333"/>
    <n v="1"/>
    <n v="7"/>
    <n v="30"/>
    <m/>
    <n v="839362.95"/>
    <n v="395561.83070430002"/>
    <n v="106126.33070430001"/>
    <n v="42450.532281720007"/>
  </r>
  <r>
    <n v="23"/>
    <d v="2007-02-01T00:00:00"/>
    <x v="1"/>
    <x v="7"/>
    <n v="396"/>
    <n v="2"/>
    <d v="2006-01-01T00:00:00"/>
    <n v="577990"/>
    <n v="1.1299999999999999"/>
    <n v="1.32"/>
    <n v="0.6"/>
    <n v="0"/>
    <m/>
    <n v="0.28000000000000003"/>
    <m/>
    <n v="7"/>
    <n v="30"/>
    <m/>
    <n v="762946.8"/>
    <n v="346794"/>
    <n v="161837.20000000001"/>
    <n v="64734.880000000005"/>
  </r>
  <r>
    <n v="23"/>
    <d v="2007-03-01T00:00:00"/>
    <x v="2"/>
    <x v="7"/>
    <n v="424"/>
    <n v="2"/>
    <d v="2006-01-01T00:00:00"/>
    <n v="576531"/>
    <n v="0"/>
    <n v="0.38"/>
    <n v="0.18"/>
    <n v="0"/>
    <m/>
    <n v="0.02"/>
    <m/>
    <n v="7"/>
    <n v="30"/>
    <m/>
    <n v="219081.78"/>
    <n v="103775.58"/>
    <n v="11530.62"/>
    <n v="4612.2480000000005"/>
  </r>
  <r>
    <n v="23"/>
    <d v="2007-04-01T00:00:00"/>
    <x v="3"/>
    <x v="7"/>
    <n v="455"/>
    <n v="2"/>
    <d v="2006-01-01T00:00:00"/>
    <n v="575075"/>
    <n v="0.3"/>
    <n v="0"/>
    <n v="0"/>
    <n v="0"/>
    <m/>
    <n v="0.1"/>
    <m/>
    <n v="8"/>
    <n v="30"/>
    <m/>
    <n v="0"/>
    <n v="0"/>
    <n v="57507.5"/>
    <n v="23003"/>
  </r>
  <r>
    <n v="23"/>
    <d v="2007-05-01T00:00:00"/>
    <x v="4"/>
    <x v="7"/>
    <n v="485"/>
    <n v="2"/>
    <d v="2006-01-01T00:00:00"/>
    <n v="575465"/>
    <n v="0.03"/>
    <n v="0.02"/>
    <n v="0"/>
    <n v="0"/>
    <m/>
    <n v="0.02"/>
    <m/>
    <n v="9"/>
    <n v="29"/>
    <m/>
    <n v="11509.300000000001"/>
    <n v="0"/>
    <n v="11509.300000000001"/>
    <n v="4603.72"/>
  </r>
  <r>
    <n v="23"/>
    <d v="2007-06-01T00:00:00"/>
    <x v="5"/>
    <x v="7"/>
    <n v="516"/>
    <n v="2"/>
    <d v="2006-01-01T00:00:00"/>
    <n v="574819"/>
    <n v="0.02"/>
    <n v="0.05"/>
    <n v="0.02"/>
    <n v="0"/>
    <m/>
    <n v="0.03"/>
    <m/>
    <n v="9"/>
    <n v="26"/>
    <m/>
    <n v="28740.95"/>
    <n v="11496.380000000001"/>
    <n v="17244.57"/>
    <n v="6897.8280000000004"/>
  </r>
  <r>
    <n v="23"/>
    <d v="2007-07-01T00:00:00"/>
    <x v="6"/>
    <x v="7"/>
    <n v="546"/>
    <n v="2"/>
    <d v="2006-01-01T00:00:00"/>
    <n v="573542"/>
    <n v="0"/>
    <n v="0.22"/>
    <n v="0.1"/>
    <n v="0"/>
    <m/>
    <n v="0"/>
    <m/>
    <n v="10"/>
    <n v="24"/>
    <m/>
    <n v="126179.24"/>
    <n v="57354.200000000004"/>
    <n v="0"/>
    <n v="0"/>
  </r>
  <r>
    <n v="23"/>
    <d v="2007-08-01T00:00:00"/>
    <x v="7"/>
    <x v="7"/>
    <n v="577"/>
    <n v="2"/>
    <d v="2006-01-01T00:00:00"/>
    <n v="563487"/>
    <n v="0.02"/>
    <n v="0.12"/>
    <n v="0.05"/>
    <n v="0"/>
    <m/>
    <n v="0.05"/>
    <m/>
    <n v="10"/>
    <n v="30"/>
    <m/>
    <n v="67618.44"/>
    <n v="28174.350000000002"/>
    <n v="28174.350000000002"/>
    <n v="11269.740000000002"/>
  </r>
  <r>
    <n v="23"/>
    <d v="2007-09-01T00:00:00"/>
    <x v="8"/>
    <x v="7"/>
    <n v="608"/>
    <n v="2"/>
    <d v="2006-01-01T00:00:00"/>
    <n v="563243"/>
    <n v="0.03"/>
    <n v="7.0000000000000007E-2"/>
    <n v="0.03"/>
    <n v="0"/>
    <m/>
    <n v="0"/>
    <m/>
    <n v="9"/>
    <n v="29"/>
    <m/>
    <n v="39427.01"/>
    <n v="16897.29"/>
    <n v="0"/>
    <n v="0"/>
  </r>
  <r>
    <n v="23"/>
    <d v="2007-10-01T00:00:00"/>
    <x v="9"/>
    <x v="7"/>
    <n v="638"/>
    <n v="2"/>
    <d v="2006-01-01T00:00:00"/>
    <n v="562132"/>
    <n v="0.1"/>
    <n v="0.48"/>
    <n v="0.12"/>
    <n v="0"/>
    <m/>
    <n v="0"/>
    <m/>
    <n v="9"/>
    <m/>
    <m/>
    <n v="269823.35999999999"/>
    <n v="67455.839999999997"/>
    <n v="0"/>
    <n v="0"/>
  </r>
  <r>
    <n v="23"/>
    <d v="2007-11-01T00:00:00"/>
    <x v="10"/>
    <x v="7"/>
    <n v="669"/>
    <n v="2"/>
    <d v="2006-01-01T00:00:00"/>
    <n v="560575"/>
    <n v="0.15"/>
    <n v="0.15"/>
    <n v="0.03"/>
    <n v="0"/>
    <m/>
    <n v="0.03"/>
    <m/>
    <n v="8"/>
    <m/>
    <m/>
    <n v="84086.25"/>
    <n v="16817.25"/>
    <n v="16817.25"/>
    <n v="6726.9000000000005"/>
  </r>
  <r>
    <n v="23"/>
    <d v="2007-12-01T00:00:00"/>
    <x v="11"/>
    <x v="7"/>
    <n v="699"/>
    <n v="2"/>
    <d v="2006-01-01T00:00:00"/>
    <n v="559748"/>
    <n v="0.3"/>
    <n v="0.77"/>
    <n v="0.27"/>
    <m/>
    <m/>
    <n v="0.32"/>
    <m/>
    <n v="7"/>
    <m/>
    <m/>
    <n v="431005.96"/>
    <n v="151131.96000000002"/>
    <n v="179119.36000000002"/>
    <n v="71647.744000000006"/>
  </r>
  <r>
    <n v="23"/>
    <d v="2008-01-01T00:00:00"/>
    <x v="0"/>
    <x v="8"/>
    <m/>
    <m/>
    <m/>
    <m/>
    <m/>
    <m/>
    <m/>
    <m/>
    <m/>
    <m/>
    <m/>
    <m/>
    <m/>
    <m/>
    <m/>
    <m/>
    <m/>
    <m/>
  </r>
  <r>
    <n v="23"/>
    <d v="2008-02-01T00:00:00"/>
    <x v="1"/>
    <x v="8"/>
    <m/>
    <m/>
    <m/>
    <m/>
    <m/>
    <m/>
    <m/>
    <m/>
    <m/>
    <m/>
    <m/>
    <m/>
    <m/>
    <m/>
    <m/>
    <m/>
    <m/>
    <m/>
  </r>
  <r>
    <n v="23"/>
    <d v="2008-03-01T00:00:00"/>
    <x v="2"/>
    <x v="8"/>
    <m/>
    <m/>
    <m/>
    <m/>
    <m/>
    <m/>
    <m/>
    <m/>
    <m/>
    <m/>
    <m/>
    <m/>
    <m/>
    <m/>
    <m/>
    <m/>
    <m/>
    <m/>
  </r>
  <r>
    <n v="23"/>
    <d v="2008-04-01T00:00:00"/>
    <x v="3"/>
    <x v="8"/>
    <m/>
    <m/>
    <m/>
    <m/>
    <m/>
    <m/>
    <m/>
    <m/>
    <m/>
    <m/>
    <m/>
    <m/>
    <m/>
    <m/>
    <m/>
    <m/>
    <m/>
    <m/>
  </r>
  <r>
    <n v="23"/>
    <d v="2008-05-01T00:00:00"/>
    <x v="4"/>
    <x v="8"/>
    <m/>
    <m/>
    <m/>
    <m/>
    <m/>
    <m/>
    <m/>
    <m/>
    <m/>
    <m/>
    <m/>
    <m/>
    <m/>
    <m/>
    <m/>
    <m/>
    <m/>
    <m/>
  </r>
  <r>
    <n v="23"/>
    <d v="2008-06-01T00:00:00"/>
    <x v="5"/>
    <x v="8"/>
    <m/>
    <m/>
    <m/>
    <m/>
    <m/>
    <m/>
    <m/>
    <m/>
    <m/>
    <m/>
    <m/>
    <m/>
    <m/>
    <m/>
    <m/>
    <m/>
    <m/>
    <m/>
  </r>
  <r>
    <n v="23"/>
    <d v="2008-07-01T00:00:00"/>
    <x v="6"/>
    <x v="8"/>
    <m/>
    <m/>
    <m/>
    <m/>
    <m/>
    <m/>
    <m/>
    <m/>
    <m/>
    <m/>
    <m/>
    <m/>
    <m/>
    <m/>
    <m/>
    <m/>
    <m/>
    <m/>
  </r>
  <r>
    <n v="23"/>
    <d v="2008-08-01T00:00:00"/>
    <x v="7"/>
    <x v="8"/>
    <n v="244"/>
    <n v="1"/>
    <d v="2007-12-01T00:00:00"/>
    <n v="577000"/>
    <m/>
    <n v="0.09"/>
    <n v="0"/>
    <m/>
    <s v="t"/>
    <n v="0"/>
    <m/>
    <m/>
    <m/>
    <s v="moved from farm #25"/>
    <n v="51930"/>
    <n v="0"/>
    <n v="0"/>
    <n v="0"/>
  </r>
  <r>
    <n v="23"/>
    <d v="2008-09-01T00:00:00"/>
    <x v="8"/>
    <x v="8"/>
    <n v="275"/>
    <n v="1"/>
    <d v="2007-12-01T00:00:00"/>
    <n v="576000"/>
    <n v="0"/>
    <n v="0.09"/>
    <n v="0"/>
    <m/>
    <m/>
    <n v="0"/>
    <m/>
    <m/>
    <m/>
    <m/>
    <n v="51840"/>
    <n v="0"/>
    <n v="0"/>
    <n v="0"/>
  </r>
  <r>
    <n v="23"/>
    <d v="2008-10-01T00:00:00"/>
    <x v="9"/>
    <x v="8"/>
    <n v="305"/>
    <n v="1"/>
    <d v="2007-12-01T00:00:00"/>
    <n v="575000"/>
    <n v="0"/>
    <n v="0.52"/>
    <n v="0"/>
    <n v="0"/>
    <m/>
    <n v="0"/>
    <m/>
    <m/>
    <m/>
    <m/>
    <n v="299000"/>
    <n v="0"/>
    <n v="0"/>
    <n v="0"/>
  </r>
  <r>
    <n v="23"/>
    <d v="2008-11-01T00:00:00"/>
    <x v="10"/>
    <x v="8"/>
    <n v="336"/>
    <n v="1"/>
    <d v="2007-12-01T00:00:00"/>
    <n v="574000"/>
    <n v="2.2799999999999998"/>
    <n v="0.95"/>
    <n v="0.16"/>
    <n v="0"/>
    <m/>
    <n v="0.12"/>
    <m/>
    <m/>
    <m/>
    <m/>
    <n v="545300"/>
    <n v="91840"/>
    <n v="68880"/>
    <n v="27552"/>
  </r>
  <r>
    <n v="23"/>
    <d v="2008-12-01T00:00:00"/>
    <x v="11"/>
    <x v="8"/>
    <n v="366"/>
    <n v="2"/>
    <d v="2007-12-01T00:00:00"/>
    <n v="574000"/>
    <n v="6.5"/>
    <n v="0.53333333333333333"/>
    <n v="0.11666666666666668"/>
    <n v="0"/>
    <m/>
    <n v="0.83333333333333337"/>
    <m/>
    <m/>
    <m/>
    <m/>
    <n v="306133.33333333331"/>
    <n v="66966.666666666672"/>
    <n v="478333.33333333337"/>
    <n v="191333.33333333337"/>
  </r>
  <r>
    <n v="23"/>
    <d v="2009-01-01T00:00:00"/>
    <x v="0"/>
    <x v="9"/>
    <n v="397"/>
    <n v="2"/>
    <d v="2007-12-01T00:00:00"/>
    <n v="573294"/>
    <n v="4.3"/>
    <n v="0.82"/>
    <n v="0.41"/>
    <n v="2"/>
    <m/>
    <n v="0.13"/>
    <n v="1"/>
    <m/>
    <m/>
    <m/>
    <n v="470101.07999999996"/>
    <n v="235050.53999999998"/>
    <n v="74528.22"/>
    <n v="29811.288"/>
  </r>
  <r>
    <n v="23"/>
    <d v="2009-02-01T00:00:00"/>
    <x v="1"/>
    <x v="9"/>
    <n v="428"/>
    <n v="2"/>
    <d v="2007-12-01T00:00:00"/>
    <n v="572645"/>
    <n v="0.13"/>
    <n v="0.2"/>
    <n v="0.12"/>
    <n v="0"/>
    <m/>
    <n v="0.02"/>
    <m/>
    <m/>
    <m/>
    <m/>
    <n v="114529"/>
    <n v="68717.399999999994"/>
    <n v="11452.9"/>
    <n v="4581.16"/>
  </r>
  <r>
    <n v="23"/>
    <d v="2009-03-01T00:00:00"/>
    <x v="2"/>
    <x v="9"/>
    <n v="456"/>
    <n v="2"/>
    <d v="2007-12-01T00:00:00"/>
    <n v="572123"/>
    <n v="0"/>
    <n v="0.08"/>
    <n v="0"/>
    <n v="0"/>
    <m/>
    <n v="0.03"/>
    <m/>
    <m/>
    <m/>
    <m/>
    <n v="45769.840000000004"/>
    <n v="0"/>
    <n v="17163.689999999999"/>
    <n v="6865.4759999999997"/>
  </r>
  <r>
    <n v="23"/>
    <d v="2009-04-01T00:00:00"/>
    <x v="3"/>
    <x v="9"/>
    <n v="487"/>
    <n v="2"/>
    <d v="2007-12-01T00:00:00"/>
    <n v="571504"/>
    <n v="0.05"/>
    <n v="0.03"/>
    <n v="0"/>
    <n v="0"/>
    <m/>
    <n v="0"/>
    <m/>
    <m/>
    <m/>
    <m/>
    <n v="17145.12"/>
    <n v="0"/>
    <n v="0"/>
    <n v="0"/>
  </r>
  <r>
    <n v="23"/>
    <d v="2009-05-01T00:00:00"/>
    <x v="4"/>
    <x v="9"/>
    <n v="517"/>
    <n v="2"/>
    <d v="2007-12-01T00:00:00"/>
    <n v="571233"/>
    <n v="0"/>
    <n v="0.1"/>
    <n v="0"/>
    <n v="0"/>
    <m/>
    <n v="0"/>
    <m/>
    <m/>
    <m/>
    <m/>
    <n v="57123.3"/>
    <n v="0"/>
    <n v="0"/>
    <n v="0"/>
  </r>
  <r>
    <n v="23"/>
    <d v="2009-06-01T00:00:00"/>
    <x v="5"/>
    <x v="9"/>
    <n v="548"/>
    <n v="2"/>
    <d v="2007-12-01T00:00:00"/>
    <n v="570831"/>
    <n v="0.15"/>
    <n v="0.08"/>
    <n v="0.04"/>
    <n v="0"/>
    <m/>
    <n v="0.02"/>
    <m/>
    <m/>
    <m/>
    <m/>
    <n v="45666.48"/>
    <n v="22833.24"/>
    <n v="11416.62"/>
    <n v="4566.6480000000001"/>
  </r>
  <r>
    <n v="23"/>
    <d v="2009-07-01T00:00:00"/>
    <x v="6"/>
    <x v="9"/>
    <n v="602"/>
    <n v="2"/>
    <d v="2007-11-07T00:00:00"/>
    <n v="570620"/>
    <n v="0"/>
    <n v="0"/>
    <n v="0"/>
    <n v="0"/>
    <m/>
    <n v="0"/>
    <m/>
    <m/>
    <m/>
    <m/>
    <n v="0"/>
    <n v="0"/>
    <n v="0"/>
    <n v="0"/>
  </r>
  <r>
    <n v="23"/>
    <d v="2009-08-01T00:00:00"/>
    <x v="7"/>
    <x v="9"/>
    <n v="633"/>
    <n v="2"/>
    <d v="2007-11-07T00:00:00"/>
    <n v="504636"/>
    <n v="0"/>
    <n v="0"/>
    <n v="0"/>
    <n v="0"/>
    <m/>
    <n v="0"/>
    <m/>
    <m/>
    <m/>
    <m/>
    <n v="0"/>
    <n v="0"/>
    <n v="0"/>
    <n v="0"/>
  </r>
  <r>
    <n v="23"/>
    <d v="2009-09-01T00:00:00"/>
    <x v="8"/>
    <x v="9"/>
    <n v="664"/>
    <n v="2"/>
    <d v="2007-11-07T00:00:00"/>
    <n v="433580"/>
    <n v="0.1"/>
    <n v="0.05"/>
    <n v="0.02"/>
    <n v="0"/>
    <m/>
    <n v="0"/>
    <m/>
    <m/>
    <m/>
    <m/>
    <n v="21679"/>
    <n v="8671.6"/>
    <n v="0"/>
    <n v="0"/>
  </r>
  <r>
    <n v="23"/>
    <d v="2009-10-01T00:00:00"/>
    <x v="9"/>
    <x v="9"/>
    <n v="694"/>
    <n v="2"/>
    <d v="2007-11-07T00:00:00"/>
    <n v="432918"/>
    <n v="0.23"/>
    <n v="0.17"/>
    <n v="0.08"/>
    <n v="0"/>
    <m/>
    <n v="0"/>
    <m/>
    <m/>
    <m/>
    <m/>
    <n v="73596.060000000012"/>
    <n v="34633.440000000002"/>
    <n v="0"/>
    <n v="0"/>
  </r>
  <r>
    <n v="23"/>
    <d v="2009-11-01T00:00:00"/>
    <x v="10"/>
    <x v="9"/>
    <n v="725"/>
    <n v="2"/>
    <d v="2007-11-07T00:00:00"/>
    <n v="432389"/>
    <n v="0.95"/>
    <n v="1.5329999999999999"/>
    <n v="0.6"/>
    <m/>
    <m/>
    <n v="0"/>
    <m/>
    <m/>
    <m/>
    <m/>
    <n v="662852.33699999994"/>
    <n v="259433.4"/>
    <n v="0"/>
    <n v="0"/>
  </r>
  <r>
    <n v="23"/>
    <d v="2009-12-01T00:00:00"/>
    <x v="11"/>
    <x v="9"/>
    <n v="755"/>
    <n v="2"/>
    <d v="2007-11-07T00:00:00"/>
    <n v="300000"/>
    <m/>
    <n v="2.8959999999999999"/>
    <n v="1.1200000000000001"/>
    <m/>
    <s v="h"/>
    <n v="0"/>
    <m/>
    <m/>
    <m/>
    <s v="no count  harvesting"/>
    <n v="868800"/>
    <n v="336000.00000000006"/>
    <n v="0"/>
    <n v="0"/>
  </r>
  <r>
    <n v="24"/>
    <d v="2000-01-01T00:00:00"/>
    <x v="0"/>
    <x v="0"/>
    <m/>
    <m/>
    <m/>
    <m/>
    <m/>
    <m/>
    <m/>
    <m/>
    <m/>
    <m/>
    <m/>
    <m/>
    <m/>
    <m/>
    <m/>
    <m/>
    <m/>
    <m/>
  </r>
  <r>
    <n v="24"/>
    <d v="2000-02-01T00:00:00"/>
    <x v="1"/>
    <x v="0"/>
    <m/>
    <m/>
    <m/>
    <m/>
    <m/>
    <m/>
    <m/>
    <m/>
    <m/>
    <m/>
    <m/>
    <m/>
    <m/>
    <m/>
    <m/>
    <m/>
    <m/>
    <m/>
  </r>
  <r>
    <n v="24"/>
    <d v="2000-03-01T00:00:00"/>
    <x v="2"/>
    <x v="0"/>
    <m/>
    <m/>
    <m/>
    <m/>
    <m/>
    <m/>
    <m/>
    <m/>
    <m/>
    <m/>
    <m/>
    <m/>
    <m/>
    <m/>
    <m/>
    <m/>
    <m/>
    <m/>
  </r>
  <r>
    <n v="24"/>
    <d v="2000-04-01T00:00:00"/>
    <x v="3"/>
    <x v="0"/>
    <n v="0"/>
    <n v="1"/>
    <d v="2000-04-01T00:00:00"/>
    <n v="415179"/>
    <m/>
    <m/>
    <m/>
    <m/>
    <m/>
    <m/>
    <m/>
    <m/>
    <m/>
    <s v="smolt entry"/>
    <m/>
    <m/>
    <m/>
    <m/>
  </r>
  <r>
    <n v="24"/>
    <d v="2000-05-01T00:00:00"/>
    <x v="4"/>
    <x v="0"/>
    <n v="30"/>
    <n v="1"/>
    <d v="2000-04-01T00:00:00"/>
    <n v="593435"/>
    <m/>
    <m/>
    <m/>
    <m/>
    <m/>
    <m/>
    <m/>
    <m/>
    <m/>
    <m/>
    <m/>
    <m/>
    <m/>
    <m/>
  </r>
  <r>
    <n v="24"/>
    <d v="2000-06-01T00:00:00"/>
    <x v="5"/>
    <x v="0"/>
    <n v="61"/>
    <n v="1"/>
    <d v="2000-04-01T00:00:00"/>
    <n v="588636"/>
    <m/>
    <m/>
    <m/>
    <m/>
    <m/>
    <m/>
    <m/>
    <m/>
    <m/>
    <m/>
    <m/>
    <m/>
    <m/>
    <m/>
  </r>
  <r>
    <n v="24"/>
    <d v="2000-07-01T00:00:00"/>
    <x v="6"/>
    <x v="0"/>
    <n v="91"/>
    <n v="1"/>
    <d v="2000-04-01T00:00:00"/>
    <n v="570702"/>
    <m/>
    <m/>
    <m/>
    <m/>
    <m/>
    <m/>
    <m/>
    <m/>
    <m/>
    <m/>
    <m/>
    <m/>
    <m/>
    <m/>
  </r>
  <r>
    <n v="24"/>
    <d v="2000-08-01T00:00:00"/>
    <x v="7"/>
    <x v="0"/>
    <n v="122"/>
    <n v="1"/>
    <d v="2000-04-01T00:00:00"/>
    <n v="552339"/>
    <m/>
    <m/>
    <m/>
    <m/>
    <m/>
    <m/>
    <m/>
    <m/>
    <m/>
    <m/>
    <m/>
    <m/>
    <m/>
    <m/>
  </r>
  <r>
    <n v="24"/>
    <d v="2000-09-01T00:00:00"/>
    <x v="8"/>
    <x v="0"/>
    <n v="153"/>
    <n v="1"/>
    <d v="2000-04-01T00:00:00"/>
    <n v="549009"/>
    <m/>
    <m/>
    <m/>
    <m/>
    <m/>
    <m/>
    <m/>
    <m/>
    <m/>
    <m/>
    <m/>
    <m/>
    <m/>
    <m/>
  </r>
  <r>
    <n v="24"/>
    <d v="2000-10-01T00:00:00"/>
    <x v="9"/>
    <x v="0"/>
    <n v="183"/>
    <n v="1"/>
    <d v="2000-04-01T00:00:00"/>
    <n v="545809"/>
    <m/>
    <m/>
    <m/>
    <m/>
    <m/>
    <m/>
    <m/>
    <m/>
    <m/>
    <m/>
    <m/>
    <m/>
    <m/>
    <m/>
  </r>
  <r>
    <n v="24"/>
    <d v="2000-11-01T00:00:00"/>
    <x v="10"/>
    <x v="0"/>
    <n v="214"/>
    <n v="1"/>
    <d v="2000-04-01T00:00:00"/>
    <n v="544275"/>
    <m/>
    <m/>
    <m/>
    <m/>
    <m/>
    <m/>
    <m/>
    <m/>
    <m/>
    <m/>
    <m/>
    <m/>
    <m/>
    <m/>
  </r>
  <r>
    <n v="24"/>
    <d v="2000-12-01T00:00:00"/>
    <x v="11"/>
    <x v="0"/>
    <n v="244"/>
    <n v="1"/>
    <d v="2000-04-01T00:00:00"/>
    <n v="543078"/>
    <m/>
    <m/>
    <m/>
    <m/>
    <m/>
    <m/>
    <m/>
    <m/>
    <m/>
    <m/>
    <m/>
    <m/>
    <m/>
    <m/>
  </r>
  <r>
    <n v="24"/>
    <d v="2001-01-01T00:00:00"/>
    <x v="0"/>
    <x v="1"/>
    <n v="275"/>
    <n v="1"/>
    <d v="2000-04-01T00:00:00"/>
    <n v="542706"/>
    <m/>
    <m/>
    <m/>
    <m/>
    <m/>
    <m/>
    <m/>
    <n v="8"/>
    <m/>
    <m/>
    <m/>
    <m/>
    <m/>
    <m/>
  </r>
  <r>
    <n v="24"/>
    <d v="2001-02-01T00:00:00"/>
    <x v="1"/>
    <x v="1"/>
    <n v="306"/>
    <n v="1"/>
    <d v="2000-04-01T00:00:00"/>
    <n v="542694"/>
    <m/>
    <m/>
    <m/>
    <m/>
    <m/>
    <m/>
    <m/>
    <m/>
    <m/>
    <m/>
    <m/>
    <m/>
    <m/>
    <m/>
  </r>
  <r>
    <n v="24"/>
    <d v="2001-03-01T00:00:00"/>
    <x v="2"/>
    <x v="1"/>
    <n v="334"/>
    <n v="1"/>
    <d v="2000-04-01T00:00:00"/>
    <n v="542325"/>
    <n v="34.799999999999997"/>
    <n v="11.3"/>
    <n v="4"/>
    <m/>
    <m/>
    <n v="1.4"/>
    <m/>
    <m/>
    <m/>
    <m/>
    <n v="6128272.5"/>
    <n v="2169300"/>
    <n v="759255"/>
    <n v="303702"/>
  </r>
  <r>
    <n v="24"/>
    <d v="2001-04-01T00:00:00"/>
    <x v="3"/>
    <x v="1"/>
    <n v="365"/>
    <n v="2"/>
    <d v="2000-04-01T00:00:00"/>
    <n v="541593"/>
    <m/>
    <m/>
    <n v="4.5999999999999996"/>
    <m/>
    <n v="3"/>
    <n v="1.1000000000000001"/>
    <m/>
    <m/>
    <m/>
    <m/>
    <m/>
    <n v="2491327.7999999998"/>
    <n v="595752.30000000005"/>
    <n v="238300.92000000004"/>
  </r>
  <r>
    <n v="24"/>
    <d v="2001-05-01T00:00:00"/>
    <x v="4"/>
    <x v="1"/>
    <n v="395"/>
    <n v="2"/>
    <d v="2000-04-01T00:00:00"/>
    <n v="541166"/>
    <m/>
    <m/>
    <n v="5.2"/>
    <m/>
    <n v="3"/>
    <n v="0.8"/>
    <m/>
    <m/>
    <m/>
    <m/>
    <m/>
    <n v="2814063.2"/>
    <n v="432932.80000000005"/>
    <n v="173173.12000000002"/>
  </r>
  <r>
    <n v="24"/>
    <d v="2001-06-01T00:00:00"/>
    <x v="5"/>
    <x v="1"/>
    <n v="426"/>
    <n v="2"/>
    <d v="2000-04-01T00:00:00"/>
    <n v="521006"/>
    <m/>
    <m/>
    <n v="5.8"/>
    <m/>
    <n v="3"/>
    <n v="0.4"/>
    <m/>
    <n v="8.9"/>
    <m/>
    <m/>
    <m/>
    <n v="3021834.8"/>
    <n v="208402.40000000002"/>
    <n v="83360.960000000021"/>
  </r>
  <r>
    <n v="24"/>
    <d v="2001-07-01T00:00:00"/>
    <x v="6"/>
    <x v="1"/>
    <n v="456"/>
    <n v="2"/>
    <d v="2000-04-01T00:00:00"/>
    <n v="516827"/>
    <n v="4.75"/>
    <n v="13.7"/>
    <n v="6.4"/>
    <m/>
    <m/>
    <n v="0"/>
    <m/>
    <m/>
    <m/>
    <m/>
    <n v="7080529.8999999994"/>
    <n v="3307692.8000000003"/>
    <n v="0"/>
    <n v="0"/>
  </r>
  <r>
    <n v="24"/>
    <d v="2001-08-01T00:00:00"/>
    <x v="7"/>
    <x v="1"/>
    <n v="487"/>
    <n v="2"/>
    <d v="2000-04-01T00:00:00"/>
    <n v="515914"/>
    <m/>
    <m/>
    <m/>
    <m/>
    <m/>
    <m/>
    <m/>
    <n v="9.5"/>
    <m/>
    <m/>
    <m/>
    <m/>
    <m/>
    <m/>
  </r>
  <r>
    <n v="24"/>
    <d v="2001-09-01T00:00:00"/>
    <x v="8"/>
    <x v="1"/>
    <n v="518"/>
    <n v="2"/>
    <d v="2000-04-01T00:00:00"/>
    <n v="514996"/>
    <m/>
    <m/>
    <m/>
    <m/>
    <m/>
    <m/>
    <m/>
    <n v="9.1999999999999993"/>
    <m/>
    <m/>
    <m/>
    <m/>
    <m/>
    <m/>
  </r>
  <r>
    <n v="24"/>
    <d v="2001-10-01T00:00:00"/>
    <x v="9"/>
    <x v="1"/>
    <n v="548"/>
    <n v="2"/>
    <d v="2000-04-01T00:00:00"/>
    <n v="513975"/>
    <m/>
    <m/>
    <m/>
    <m/>
    <m/>
    <m/>
    <m/>
    <n v="8.6"/>
    <m/>
    <m/>
    <m/>
    <m/>
    <m/>
    <m/>
  </r>
  <r>
    <n v="24"/>
    <d v="2001-11-01T00:00:00"/>
    <x v="10"/>
    <x v="1"/>
    <n v="579"/>
    <n v="2"/>
    <d v="2000-04-01T00:00:00"/>
    <n v="513352"/>
    <m/>
    <m/>
    <m/>
    <m/>
    <m/>
    <m/>
    <m/>
    <n v="8.1999999999999993"/>
    <m/>
    <m/>
    <m/>
    <m/>
    <m/>
    <m/>
  </r>
  <r>
    <n v="24"/>
    <d v="2001-12-01T00:00:00"/>
    <x v="11"/>
    <x v="1"/>
    <n v="609"/>
    <n v="2"/>
    <d v="2000-04-01T00:00:00"/>
    <n v="428765"/>
    <m/>
    <m/>
    <m/>
    <m/>
    <m/>
    <m/>
    <m/>
    <n v="7.5"/>
    <m/>
    <s v="Harvest started"/>
    <m/>
    <m/>
    <m/>
    <m/>
  </r>
  <r>
    <n v="24"/>
    <d v="2002-01-01T00:00:00"/>
    <x v="0"/>
    <x v="2"/>
    <n v="640"/>
    <n v="2"/>
    <d v="2000-04-01T00:00:00"/>
    <n v="427779"/>
    <m/>
    <m/>
    <m/>
    <m/>
    <m/>
    <m/>
    <m/>
    <m/>
    <m/>
    <m/>
    <m/>
    <m/>
    <m/>
    <m/>
  </r>
  <r>
    <n v="24"/>
    <d v="2002-02-01T00:00:00"/>
    <x v="1"/>
    <x v="2"/>
    <n v="671"/>
    <n v="2"/>
    <d v="2000-04-01T00:00:00"/>
    <n v="426940"/>
    <m/>
    <m/>
    <m/>
    <m/>
    <m/>
    <m/>
    <m/>
    <n v="7.1"/>
    <m/>
    <m/>
    <m/>
    <m/>
    <m/>
    <m/>
  </r>
  <r>
    <n v="24"/>
    <d v="2002-03-01T00:00:00"/>
    <x v="2"/>
    <x v="2"/>
    <n v="699"/>
    <n v="2"/>
    <d v="2000-04-01T00:00:00"/>
    <n v="337843"/>
    <m/>
    <m/>
    <m/>
    <m/>
    <m/>
    <m/>
    <m/>
    <n v="7"/>
    <m/>
    <m/>
    <m/>
    <m/>
    <m/>
    <m/>
  </r>
  <r>
    <n v="24"/>
    <d v="2002-04-01T00:00:00"/>
    <x v="3"/>
    <x v="2"/>
    <n v="730"/>
    <n v="3"/>
    <d v="2000-04-01T00:00:00"/>
    <n v="322113"/>
    <m/>
    <m/>
    <m/>
    <m/>
    <m/>
    <m/>
    <m/>
    <n v="7.8"/>
    <m/>
    <m/>
    <m/>
    <m/>
    <m/>
    <m/>
  </r>
  <r>
    <n v="24"/>
    <d v="2002-05-01T00:00:00"/>
    <x v="4"/>
    <x v="2"/>
    <n v="760"/>
    <n v="3"/>
    <d v="2000-04-01T00:00:00"/>
    <n v="209355"/>
    <m/>
    <m/>
    <m/>
    <m/>
    <m/>
    <m/>
    <m/>
    <n v="8.1"/>
    <m/>
    <m/>
    <m/>
    <m/>
    <m/>
    <m/>
  </r>
  <r>
    <n v="24"/>
    <d v="2002-06-01T00:00:00"/>
    <x v="5"/>
    <x v="2"/>
    <n v="791"/>
    <n v="3"/>
    <d v="2000-04-01T00:00:00"/>
    <n v="50489"/>
    <m/>
    <m/>
    <m/>
    <m/>
    <m/>
    <m/>
    <m/>
    <m/>
    <m/>
    <m/>
    <m/>
    <m/>
    <m/>
    <m/>
  </r>
  <r>
    <n v="24"/>
    <d v="2002-07-01T00:00:00"/>
    <x v="6"/>
    <x v="2"/>
    <m/>
    <m/>
    <m/>
    <m/>
    <m/>
    <m/>
    <m/>
    <m/>
    <m/>
    <m/>
    <m/>
    <m/>
    <m/>
    <s v="Harvest complete"/>
    <m/>
    <m/>
    <m/>
    <m/>
  </r>
  <r>
    <n v="24"/>
    <d v="2002-08-01T00:00:00"/>
    <x v="7"/>
    <x v="2"/>
    <m/>
    <m/>
    <m/>
    <m/>
    <m/>
    <m/>
    <m/>
    <m/>
    <m/>
    <m/>
    <m/>
    <m/>
    <m/>
    <m/>
    <m/>
    <m/>
    <m/>
    <m/>
  </r>
  <r>
    <n v="24"/>
    <d v="2002-09-01T00:00:00"/>
    <x v="8"/>
    <x v="2"/>
    <m/>
    <m/>
    <m/>
    <m/>
    <m/>
    <m/>
    <m/>
    <m/>
    <m/>
    <m/>
    <m/>
    <m/>
    <m/>
    <m/>
    <m/>
    <m/>
    <m/>
    <m/>
  </r>
  <r>
    <n v="24"/>
    <d v="2002-10-01T00:00:00"/>
    <x v="9"/>
    <x v="2"/>
    <m/>
    <m/>
    <m/>
    <m/>
    <m/>
    <m/>
    <m/>
    <m/>
    <m/>
    <m/>
    <m/>
    <m/>
    <m/>
    <m/>
    <m/>
    <m/>
    <m/>
    <m/>
  </r>
  <r>
    <n v="24"/>
    <d v="2002-11-01T00:00:00"/>
    <x v="10"/>
    <x v="2"/>
    <m/>
    <m/>
    <m/>
    <m/>
    <m/>
    <m/>
    <m/>
    <m/>
    <m/>
    <m/>
    <m/>
    <m/>
    <m/>
    <m/>
    <m/>
    <m/>
    <m/>
    <m/>
  </r>
  <r>
    <n v="24"/>
    <d v="2002-12-01T00:00:00"/>
    <x v="11"/>
    <x v="2"/>
    <n v="244"/>
    <n v="1"/>
    <d v="2002-04-01T00:00:00"/>
    <n v="538353"/>
    <m/>
    <n v="1.8"/>
    <n v="0.85"/>
    <m/>
    <s v="t"/>
    <n v="0"/>
    <m/>
    <m/>
    <m/>
    <s v="Fish from farm #20; counts are based on Dec 2002 counts at farm #20"/>
    <n v="969035.4"/>
    <n v="457600.05"/>
    <n v="0"/>
    <n v="0"/>
  </r>
  <r>
    <n v="24"/>
    <d v="2003-01-01T00:00:00"/>
    <x v="0"/>
    <x v="3"/>
    <n v="275"/>
    <n v="1"/>
    <d v="2002-04-01T00:00:00"/>
    <n v="571020"/>
    <n v="30.8"/>
    <n v="3.9"/>
    <n v="0.9"/>
    <m/>
    <m/>
    <n v="0.6"/>
    <m/>
    <n v="7.6"/>
    <m/>
    <m/>
    <n v="2226978"/>
    <n v="513918"/>
    <n v="342612"/>
    <n v="137044.80000000002"/>
  </r>
  <r>
    <n v="24"/>
    <d v="2003-02-01T00:00:00"/>
    <x v="1"/>
    <x v="3"/>
    <n v="306"/>
    <n v="1"/>
    <d v="2002-04-01T00:00:00"/>
    <n v="570429"/>
    <n v="20.2"/>
    <n v="3.1"/>
    <n v="1"/>
    <n v="2"/>
    <m/>
    <n v="0"/>
    <n v="1"/>
    <n v="7.7"/>
    <m/>
    <m/>
    <n v="1768329.9000000001"/>
    <n v="570429"/>
    <n v="0"/>
    <n v="0"/>
  </r>
  <r>
    <n v="24"/>
    <d v="2003-03-01T00:00:00"/>
    <x v="2"/>
    <x v="3"/>
    <n v="334"/>
    <n v="1"/>
    <d v="2002-04-01T00:00:00"/>
    <n v="569254"/>
    <n v="0.05"/>
    <n v="0.35"/>
    <n v="0.2"/>
    <n v="0"/>
    <m/>
    <n v="0"/>
    <m/>
    <n v="7.7"/>
    <n v="33"/>
    <m/>
    <n v="199238.9"/>
    <n v="113850.8"/>
    <n v="0"/>
    <n v="0"/>
  </r>
  <r>
    <n v="24"/>
    <d v="2003-04-01T00:00:00"/>
    <x v="3"/>
    <x v="3"/>
    <n v="365"/>
    <n v="2"/>
    <d v="2002-04-01T00:00:00"/>
    <n v="567913"/>
    <n v="1.7"/>
    <n v="0.35"/>
    <n v="0.1"/>
    <n v="0"/>
    <m/>
    <n v="1.1499999999999999"/>
    <m/>
    <n v="8"/>
    <n v="33"/>
    <m/>
    <n v="198769.55"/>
    <n v="56791.3"/>
    <n v="653099.94999999995"/>
    <n v="261239.97999999998"/>
  </r>
  <r>
    <n v="24"/>
    <d v="2003-05-01T00:00:00"/>
    <x v="4"/>
    <x v="3"/>
    <n v="395"/>
    <n v="2"/>
    <d v="2002-04-01T00:00:00"/>
    <n v="560000"/>
    <n v="2.2000000000000002"/>
    <n v="0.05"/>
    <n v="0"/>
    <n v="0"/>
    <m/>
    <n v="4.45"/>
    <m/>
    <n v="8.5"/>
    <n v="32.5"/>
    <m/>
    <n v="28000"/>
    <n v="0"/>
    <n v="2492000"/>
    <n v="996800"/>
  </r>
  <r>
    <n v="24"/>
    <d v="2003-06-01T00:00:00"/>
    <x v="5"/>
    <x v="3"/>
    <n v="426"/>
    <n v="2"/>
    <d v="2002-04-01T00:00:00"/>
    <n v="545000"/>
    <n v="1.1000000000000001"/>
    <n v="0.17"/>
    <n v="0"/>
    <n v="0"/>
    <m/>
    <n v="8.3699999999999992"/>
    <m/>
    <n v="9.1999999999999993"/>
    <n v="33"/>
    <m/>
    <n v="92650"/>
    <n v="0"/>
    <n v="4561650"/>
    <n v="1824660"/>
  </r>
  <r>
    <n v="24"/>
    <d v="2003-07-01T00:00:00"/>
    <x v="6"/>
    <x v="3"/>
    <n v="456"/>
    <n v="2"/>
    <d v="2002-04-01T00:00:00"/>
    <n v="535000"/>
    <n v="0.2"/>
    <n v="0.4"/>
    <n v="0.1"/>
    <n v="0"/>
    <m/>
    <n v="4.4000000000000004"/>
    <m/>
    <n v="9.4"/>
    <n v="33"/>
    <m/>
    <n v="214000"/>
    <n v="53500"/>
    <n v="2354000"/>
    <n v="941600"/>
  </r>
  <r>
    <n v="24"/>
    <d v="2003-08-01T00:00:00"/>
    <x v="7"/>
    <x v="3"/>
    <n v="487"/>
    <n v="2"/>
    <d v="2002-04-01T00:00:00"/>
    <n v="524251"/>
    <n v="1"/>
    <n v="1.5"/>
    <n v="0.5"/>
    <m/>
    <m/>
    <n v="14"/>
    <m/>
    <n v="9.6"/>
    <n v="33"/>
    <m/>
    <n v="786376.5"/>
    <n v="262125.5"/>
    <n v="7339514"/>
    <n v="2935805.6"/>
  </r>
  <r>
    <n v="24"/>
    <d v="2003-09-01T00:00:00"/>
    <x v="8"/>
    <x v="3"/>
    <n v="518"/>
    <n v="2"/>
    <d v="2002-04-01T00:00:00"/>
    <n v="520000"/>
    <m/>
    <n v="6.1050000000000004"/>
    <n v="2.4550000000000001"/>
    <m/>
    <n v="1"/>
    <n v="9.01"/>
    <m/>
    <m/>
    <m/>
    <m/>
    <n v="3174600"/>
    <n v="1276600"/>
    <n v="4685200"/>
    <n v="1874080"/>
  </r>
  <r>
    <n v="24"/>
    <d v="2003-10-01T00:00:00"/>
    <x v="9"/>
    <x v="3"/>
    <n v="548"/>
    <n v="2"/>
    <d v="2002-04-01T00:00:00"/>
    <n v="512000"/>
    <n v="2.38"/>
    <n v="10.71"/>
    <n v="4.41"/>
    <m/>
    <m/>
    <n v="4.0199999999999996"/>
    <m/>
    <m/>
    <n v="21.83"/>
    <m/>
    <n v="5483520"/>
    <n v="2257920"/>
    <n v="2058239.9999999998"/>
    <n v="823296"/>
  </r>
  <r>
    <n v="24"/>
    <d v="2003-11-01T00:00:00"/>
    <x v="10"/>
    <x v="3"/>
    <n v="579"/>
    <n v="2"/>
    <d v="2002-04-01T00:00:00"/>
    <n v="505873"/>
    <n v="4.76"/>
    <n v="17.260000000000002"/>
    <n v="8.32"/>
    <n v="0"/>
    <m/>
    <n v="6.66"/>
    <m/>
    <n v="8.1999999999999993"/>
    <n v="33"/>
    <s v="harvesting"/>
    <n v="8731367.9800000004"/>
    <n v="4208863.3600000003"/>
    <n v="3369114.18"/>
    <n v="1347645.6720000003"/>
  </r>
  <r>
    <n v="24"/>
    <d v="2003-12-01T00:00:00"/>
    <x v="11"/>
    <x v="3"/>
    <n v="609"/>
    <n v="2"/>
    <d v="2002-04-01T00:00:00"/>
    <n v="386115"/>
    <n v="1.57"/>
    <n v="19.27"/>
    <n v="10.33"/>
    <n v="0"/>
    <m/>
    <n v="9.33"/>
    <m/>
    <n v="7.5"/>
    <n v="33"/>
    <s v="harvesting"/>
    <n v="7440436.0499999998"/>
    <n v="3988567.95"/>
    <n v="3602452.95"/>
    <n v="1440981.1800000002"/>
  </r>
  <r>
    <n v="24"/>
    <d v="2004-01-01T00:00:00"/>
    <x v="0"/>
    <x v="4"/>
    <n v="640"/>
    <n v="2"/>
    <d v="2002-04-01T00:00:00"/>
    <n v="348700"/>
    <n v="8.93"/>
    <n v="20.87"/>
    <n v="10.33"/>
    <n v="2"/>
    <m/>
    <n v="2.23"/>
    <n v="1"/>
    <n v="7.3"/>
    <n v="33"/>
    <s v="harvesting"/>
    <n v="7277369"/>
    <n v="3602071"/>
    <n v="777601"/>
    <n v="311040.40000000002"/>
  </r>
  <r>
    <n v="24"/>
    <d v="2004-02-01T00:00:00"/>
    <x v="1"/>
    <x v="4"/>
    <n v="671"/>
    <n v="2"/>
    <d v="2002-04-01T00:00:00"/>
    <n v="158375"/>
    <n v="0.4"/>
    <n v="4.4000000000000004"/>
    <n v="2"/>
    <m/>
    <m/>
    <n v="0.5"/>
    <m/>
    <n v="7.3"/>
    <n v="33"/>
    <s v="harvesting"/>
    <n v="696850"/>
    <n v="316750"/>
    <n v="79187.5"/>
    <n v="31675"/>
  </r>
  <r>
    <n v="24"/>
    <d v="2004-03-01T00:00:00"/>
    <x v="2"/>
    <x v="4"/>
    <n v="700"/>
    <n v="2"/>
    <d v="2002-04-01T00:00:00"/>
    <n v="50000"/>
    <m/>
    <m/>
    <n v="0.2"/>
    <m/>
    <s v="h"/>
    <n v="0.1"/>
    <m/>
    <m/>
    <m/>
    <m/>
    <m/>
    <n v="10000"/>
    <n v="5000"/>
    <n v="2000"/>
  </r>
  <r>
    <n v="24"/>
    <d v="2004-04-01T00:00:00"/>
    <x v="3"/>
    <x v="4"/>
    <m/>
    <m/>
    <m/>
    <m/>
    <m/>
    <m/>
    <m/>
    <m/>
    <m/>
    <m/>
    <m/>
    <m/>
    <m/>
    <m/>
    <m/>
    <m/>
    <m/>
    <m/>
  </r>
  <r>
    <n v="24"/>
    <d v="2004-05-01T00:00:00"/>
    <x v="4"/>
    <x v="4"/>
    <m/>
    <m/>
    <m/>
    <m/>
    <m/>
    <m/>
    <m/>
    <m/>
    <m/>
    <m/>
    <m/>
    <m/>
    <m/>
    <m/>
    <m/>
    <m/>
    <m/>
    <m/>
  </r>
  <r>
    <n v="24"/>
    <d v="2004-06-01T00:00:00"/>
    <x v="5"/>
    <x v="4"/>
    <m/>
    <m/>
    <m/>
    <m/>
    <m/>
    <m/>
    <m/>
    <m/>
    <m/>
    <m/>
    <m/>
    <m/>
    <m/>
    <m/>
    <m/>
    <m/>
    <m/>
    <m/>
  </r>
  <r>
    <n v="24"/>
    <d v="2004-07-01T00:00:00"/>
    <x v="6"/>
    <x v="4"/>
    <m/>
    <m/>
    <m/>
    <m/>
    <m/>
    <m/>
    <m/>
    <m/>
    <m/>
    <m/>
    <m/>
    <m/>
    <m/>
    <m/>
    <m/>
    <m/>
    <m/>
    <m/>
  </r>
  <r>
    <n v="24"/>
    <d v="2004-08-01T00:00:00"/>
    <x v="7"/>
    <x v="4"/>
    <m/>
    <m/>
    <m/>
    <m/>
    <m/>
    <m/>
    <m/>
    <m/>
    <m/>
    <m/>
    <m/>
    <m/>
    <m/>
    <m/>
    <m/>
    <m/>
    <m/>
    <m/>
  </r>
  <r>
    <n v="24"/>
    <d v="2004-09-01T00:00:00"/>
    <x v="8"/>
    <x v="4"/>
    <m/>
    <m/>
    <m/>
    <m/>
    <m/>
    <m/>
    <m/>
    <m/>
    <m/>
    <m/>
    <m/>
    <m/>
    <m/>
    <m/>
    <m/>
    <m/>
    <m/>
    <m/>
  </r>
  <r>
    <n v="24"/>
    <d v="2004-10-01T00:00:00"/>
    <x v="9"/>
    <x v="4"/>
    <n v="243"/>
    <n v="1"/>
    <d v="2004-02-01T00:00:00"/>
    <n v="457482"/>
    <m/>
    <n v="1.03"/>
    <n v="0.33"/>
    <m/>
    <s v="t"/>
    <n v="0.17"/>
    <m/>
    <m/>
    <m/>
    <s v="transferred from farm #25; counts are from farm #25 counts for Oct 2004"/>
    <n v="471206.46"/>
    <n v="150969.06"/>
    <n v="77771.94"/>
    <n v="31108.776000000002"/>
  </r>
  <r>
    <n v="24"/>
    <d v="2004-11-01T00:00:00"/>
    <x v="10"/>
    <x v="4"/>
    <n v="274"/>
    <n v="1"/>
    <d v="2004-02-01T00:00:00"/>
    <n v="510412"/>
    <n v="1.97"/>
    <n v="0.63"/>
    <n v="0.27"/>
    <m/>
    <m/>
    <n v="0.23"/>
    <m/>
    <n v="8.3000000000000007"/>
    <n v="30.2"/>
    <m/>
    <n v="321559.56"/>
    <n v="137811.24000000002"/>
    <n v="117394.76000000001"/>
    <n v="46957.90400000001"/>
  </r>
  <r>
    <n v="24"/>
    <d v="2004-12-01T00:00:00"/>
    <x v="11"/>
    <x v="4"/>
    <n v="304"/>
    <n v="1"/>
    <d v="2004-02-01T00:00:00"/>
    <n v="537253"/>
    <n v="13.08"/>
    <n v="5.12"/>
    <n v="2.58"/>
    <n v="0"/>
    <m/>
    <n v="2.77"/>
    <m/>
    <n v="8"/>
    <n v="31"/>
    <m/>
    <n v="2750735.36"/>
    <n v="1386112.74"/>
    <n v="1488190.81"/>
    <n v="595276.32400000002"/>
  </r>
  <r>
    <n v="24"/>
    <d v="2005-01-01T00:00:00"/>
    <x v="0"/>
    <x v="5"/>
    <n v="335"/>
    <n v="1"/>
    <d v="2004-02-01T00:00:00"/>
    <n v="537253"/>
    <n v="18.75"/>
    <n v="8.23"/>
    <n v="3.65"/>
    <n v="0"/>
    <m/>
    <n v="4.62"/>
    <m/>
    <n v="7"/>
    <n v="31"/>
    <m/>
    <n v="4421592.1900000004"/>
    <n v="1960973.45"/>
    <n v="2482108.86"/>
    <n v="992843.54399999999"/>
  </r>
  <r>
    <n v="24"/>
    <d v="2005-02-01T00:00:00"/>
    <x v="1"/>
    <x v="5"/>
    <n v="366"/>
    <n v="2"/>
    <d v="2004-02-01T00:00:00"/>
    <n v="536340"/>
    <n v="11.13"/>
    <n v="8.57"/>
    <n v="5.4"/>
    <n v="2"/>
    <m/>
    <n v="1.3"/>
    <n v="1"/>
    <n v="7"/>
    <n v="31"/>
    <m/>
    <n v="4596433.8"/>
    <n v="2896236"/>
    <n v="697242"/>
    <n v="278896.8"/>
  </r>
  <r>
    <n v="24"/>
    <d v="2005-03-01T00:00:00"/>
    <x v="2"/>
    <x v="5"/>
    <n v="394"/>
    <n v="2"/>
    <d v="2004-02-01T00:00:00"/>
    <n v="535999"/>
    <n v="0.03"/>
    <n v="2.3199999999999998"/>
    <n v="1.1499999999999999"/>
    <n v="0"/>
    <m/>
    <n v="0.02"/>
    <m/>
    <n v="8"/>
    <n v="32"/>
    <m/>
    <n v="1243517.68"/>
    <n v="616398.85"/>
    <n v="10719.98"/>
    <n v="4287.9920000000002"/>
  </r>
  <r>
    <n v="24"/>
    <d v="2005-04-01T00:00:00"/>
    <x v="3"/>
    <x v="5"/>
    <n v="425"/>
    <n v="2"/>
    <d v="2004-02-01T00:00:00"/>
    <n v="535562"/>
    <n v="0.02"/>
    <n v="0.12"/>
    <n v="0.05"/>
    <n v="0"/>
    <m/>
    <n v="0.03"/>
    <m/>
    <n v="8"/>
    <n v="32"/>
    <m/>
    <n v="64267.439999999995"/>
    <n v="26778.100000000002"/>
    <n v="16066.859999999999"/>
    <n v="6426.7439999999997"/>
  </r>
  <r>
    <n v="24"/>
    <d v="2005-05-01T00:00:00"/>
    <x v="4"/>
    <x v="5"/>
    <n v="455"/>
    <n v="2"/>
    <d v="2004-02-01T00:00:00"/>
    <n v="534616"/>
    <n v="5.62"/>
    <n v="0.17"/>
    <n v="0.05"/>
    <n v="0"/>
    <m/>
    <n v="0"/>
    <m/>
    <n v="9"/>
    <n v="32"/>
    <m/>
    <n v="90884.72"/>
    <n v="26730.800000000003"/>
    <n v="0"/>
    <n v="0"/>
  </r>
  <r>
    <n v="24"/>
    <d v="2005-06-01T00:00:00"/>
    <x v="5"/>
    <x v="5"/>
    <n v="486"/>
    <n v="2"/>
    <d v="2004-02-01T00:00:00"/>
    <n v="532532"/>
    <n v="7.58"/>
    <n v="1.5"/>
    <n v="0.87"/>
    <n v="0"/>
    <m/>
    <n v="0"/>
    <m/>
    <n v="10"/>
    <n v="32"/>
    <m/>
    <n v="798798"/>
    <n v="463302.84"/>
    <n v="0"/>
    <n v="0"/>
  </r>
  <r>
    <n v="24"/>
    <d v="2005-07-01T00:00:00"/>
    <x v="6"/>
    <x v="5"/>
    <n v="516"/>
    <n v="2"/>
    <d v="2004-02-01T00:00:00"/>
    <n v="531767"/>
    <n v="2.93"/>
    <n v="2.7"/>
    <n v="0.93"/>
    <n v="0"/>
    <m/>
    <n v="0.56999999999999995"/>
    <m/>
    <n v="10"/>
    <n v="32"/>
    <m/>
    <n v="1435770.9000000001"/>
    <n v="494543.31"/>
    <n v="303107.19"/>
    <n v="121242.876"/>
  </r>
  <r>
    <n v="24"/>
    <d v="2005-08-01T00:00:00"/>
    <x v="7"/>
    <x v="5"/>
    <n v="547"/>
    <n v="2"/>
    <d v="2004-02-01T00:00:00"/>
    <n v="530325"/>
    <n v="8.85"/>
    <n v="1.62"/>
    <n v="0.93"/>
    <n v="0"/>
    <m/>
    <n v="0.12"/>
    <m/>
    <n v="10"/>
    <n v="32"/>
    <m/>
    <n v="859126.5"/>
    <n v="493202.25"/>
    <n v="63639"/>
    <n v="25455.600000000002"/>
  </r>
  <r>
    <n v="24"/>
    <d v="2005-09-01T00:00:00"/>
    <x v="8"/>
    <x v="5"/>
    <n v="578"/>
    <n v="2"/>
    <d v="2004-02-01T00:00:00"/>
    <n v="529236"/>
    <n v="3.08"/>
    <n v="11.47"/>
    <n v="7.65"/>
    <n v="1"/>
    <m/>
    <n v="0.05"/>
    <m/>
    <n v="9"/>
    <n v="31"/>
    <m/>
    <n v="6070336.9199999999"/>
    <n v="4048655.4000000004"/>
    <n v="26461.800000000003"/>
    <n v="10584.720000000001"/>
  </r>
  <r>
    <n v="24"/>
    <d v="2005-10-01T00:00:00"/>
    <x v="9"/>
    <x v="5"/>
    <n v="608"/>
    <n v="2"/>
    <d v="2004-02-01T00:00:00"/>
    <n v="484691"/>
    <n v="4.51"/>
    <n v="11.59"/>
    <n v="7.33"/>
    <n v="0"/>
    <m/>
    <n v="0.83"/>
    <m/>
    <n v="9"/>
    <n v="32"/>
    <m/>
    <n v="5617568.6899999995"/>
    <n v="3552785.0300000003"/>
    <n v="402293.52999999997"/>
    <n v="160917.41200000001"/>
  </r>
  <r>
    <n v="24"/>
    <d v="2005-11-01T00:00:00"/>
    <x v="10"/>
    <x v="5"/>
    <n v="639"/>
    <n v="2"/>
    <d v="2004-02-01T00:00:00"/>
    <n v="498549"/>
    <n v="3.92"/>
    <n v="5.67"/>
    <n v="3.93"/>
    <n v="1"/>
    <m/>
    <n v="4.0199999999999996"/>
    <m/>
    <n v="8"/>
    <n v="32"/>
    <m/>
    <n v="2826772.83"/>
    <n v="1959297.57"/>
    <n v="2004166.9799999997"/>
    <n v="801666.7919999999"/>
  </r>
  <r>
    <n v="24"/>
    <d v="2005-12-01T00:00:00"/>
    <x v="11"/>
    <x v="5"/>
    <n v="669"/>
    <n v="2"/>
    <d v="2004-02-01T00:00:00"/>
    <n v="497827"/>
    <n v="1.57"/>
    <n v="17.829999999999998"/>
    <n v="11.03"/>
    <n v="2"/>
    <m/>
    <n v="0.18"/>
    <n v="1"/>
    <n v="8"/>
    <n v="32"/>
    <m/>
    <n v="8876255.4099999983"/>
    <n v="5491031.8099999996"/>
    <n v="89608.86"/>
    <n v="35843.544000000002"/>
  </r>
  <r>
    <n v="24"/>
    <d v="2006-01-01T00:00:00"/>
    <x v="0"/>
    <x v="6"/>
    <n v="700"/>
    <n v="2"/>
    <d v="2004-02-01T00:00:00"/>
    <n v="362271"/>
    <n v="0"/>
    <n v="0.08"/>
    <n v="0.03"/>
    <n v="0"/>
    <m/>
    <n v="0"/>
    <m/>
    <n v="8"/>
    <n v="32"/>
    <m/>
    <n v="28981.68"/>
    <n v="10868.13"/>
    <n v="0"/>
    <n v="0"/>
  </r>
  <r>
    <n v="24"/>
    <d v="2006-02-01T00:00:00"/>
    <x v="1"/>
    <x v="6"/>
    <n v="731"/>
    <n v="3"/>
    <d v="2004-02-01T00:00:00"/>
    <n v="187512"/>
    <n v="0.15"/>
    <n v="0"/>
    <n v="0"/>
    <m/>
    <m/>
    <n v="0.25"/>
    <m/>
    <n v="7"/>
    <n v="32"/>
    <m/>
    <n v="0"/>
    <n v="0"/>
    <n v="46878"/>
    <n v="18751.2"/>
  </r>
  <r>
    <n v="24"/>
    <d v="2006-03-01T00:00:00"/>
    <x v="2"/>
    <x v="6"/>
    <n v="759"/>
    <n v="3"/>
    <d v="2004-02-01T00:00:00"/>
    <n v="46089"/>
    <m/>
    <m/>
    <n v="0.03"/>
    <m/>
    <s v="h"/>
    <n v="0.4"/>
    <m/>
    <m/>
    <m/>
    <m/>
    <m/>
    <n v="1382.6699999999998"/>
    <n v="18435.600000000002"/>
    <n v="7374.2400000000016"/>
  </r>
  <r>
    <n v="24"/>
    <d v="2006-04-01T00:00:00"/>
    <x v="3"/>
    <x v="6"/>
    <m/>
    <m/>
    <m/>
    <m/>
    <m/>
    <m/>
    <m/>
    <m/>
    <m/>
    <m/>
    <m/>
    <m/>
    <m/>
    <m/>
    <m/>
    <m/>
    <m/>
    <m/>
  </r>
  <r>
    <n v="24"/>
    <d v="2006-05-01T00:00:00"/>
    <x v="4"/>
    <x v="6"/>
    <m/>
    <m/>
    <m/>
    <m/>
    <m/>
    <m/>
    <m/>
    <m/>
    <m/>
    <m/>
    <m/>
    <m/>
    <m/>
    <m/>
    <m/>
    <m/>
    <m/>
    <m/>
  </r>
  <r>
    <n v="24"/>
    <d v="2006-06-01T00:00:00"/>
    <x v="5"/>
    <x v="6"/>
    <m/>
    <m/>
    <m/>
    <m/>
    <m/>
    <m/>
    <m/>
    <m/>
    <m/>
    <m/>
    <m/>
    <m/>
    <m/>
    <m/>
    <m/>
    <m/>
    <m/>
    <m/>
  </r>
  <r>
    <n v="24"/>
    <d v="2006-07-01T00:00:00"/>
    <x v="6"/>
    <x v="6"/>
    <n v="242"/>
    <n v="1"/>
    <d v="2005-11-01T00:00:00"/>
    <n v="556347"/>
    <n v="2.0499999999999998"/>
    <n v="0.28000000000000003"/>
    <n v="0.03"/>
    <m/>
    <m/>
    <n v="0.05"/>
    <m/>
    <n v="9"/>
    <n v="31"/>
    <s v="Transferred from farm #17"/>
    <n v="155777.16"/>
    <n v="16690.41"/>
    <n v="27817.350000000002"/>
    <n v="11126.940000000002"/>
  </r>
  <r>
    <n v="24"/>
    <d v="2006-08-01T00:00:00"/>
    <x v="7"/>
    <x v="6"/>
    <n v="273"/>
    <n v="1"/>
    <d v="2005-11-01T00:00:00"/>
    <n v="578546"/>
    <n v="2.0333332999999998"/>
    <n v="0.26666659999999998"/>
    <n v="1.66666E-2"/>
    <n v="0"/>
    <m/>
    <n v="0.73333329999999997"/>
    <m/>
    <n v="9"/>
    <n v="31"/>
    <m/>
    <n v="154278.89476359999"/>
    <n v="9642.3947635999994"/>
    <n v="424267.04738179996"/>
    <n v="169706.81895272"/>
  </r>
  <r>
    <n v="24"/>
    <d v="2006-09-01T00:00:00"/>
    <x v="8"/>
    <x v="6"/>
    <n v="304"/>
    <n v="1"/>
    <d v="2005-11-01T00:00:00"/>
    <n v="576520"/>
    <n v="32.18"/>
    <n v="2.1800000000000002"/>
    <n v="0.53"/>
    <n v="0"/>
    <m/>
    <n v="1.23"/>
    <m/>
    <n v="9"/>
    <n v="31"/>
    <m/>
    <n v="1256813.6000000001"/>
    <n v="305555.60000000003"/>
    <n v="709119.6"/>
    <n v="283647.84000000003"/>
  </r>
  <r>
    <n v="24"/>
    <d v="2006-10-01T00:00:00"/>
    <x v="9"/>
    <x v="6"/>
    <n v="334"/>
    <n v="1"/>
    <d v="2005-11-01T00:00:00"/>
    <n v="575752"/>
    <n v="19.37"/>
    <n v="3.47"/>
    <n v="1.18"/>
    <n v="0"/>
    <m/>
    <n v="1.58"/>
    <m/>
    <n v="9"/>
    <n v="31"/>
    <m/>
    <n v="1997859.4400000002"/>
    <n v="679387.36"/>
    <n v="909688.16"/>
    <n v="363875.26400000002"/>
  </r>
  <r>
    <n v="24"/>
    <d v="2006-11-01T00:00:00"/>
    <x v="10"/>
    <x v="6"/>
    <n v="365"/>
    <n v="2"/>
    <d v="2005-11-01T00:00:00"/>
    <n v="575227"/>
    <n v="13.55"/>
    <n v="3.2833332999999998"/>
    <n v="1.4166666000000001"/>
    <n v="0"/>
    <m/>
    <n v="1.6583333"/>
    <m/>
    <n v="8"/>
    <n v="32"/>
    <m/>
    <n v="1888661.9641590999"/>
    <n v="814904.87831820012"/>
    <n v="953918.08915909997"/>
    <n v="381567.23566364002"/>
  </r>
  <r>
    <n v="24"/>
    <d v="2006-12-01T00:00:00"/>
    <x v="11"/>
    <x v="6"/>
    <n v="395"/>
    <n v="2"/>
    <d v="2005-11-01T00:00:00"/>
    <n v="574794"/>
    <n v="9.7100000000000009"/>
    <n v="4.72"/>
    <n v="2.29"/>
    <n v="0"/>
    <m/>
    <n v="2.2599999999999998"/>
    <m/>
    <n v="7"/>
    <n v="32"/>
    <m/>
    <n v="2713027.6799999997"/>
    <n v="1316278.26"/>
    <n v="1299034.44"/>
    <n v="519613.77600000001"/>
  </r>
  <r>
    <n v="24"/>
    <d v="2007-01-01T00:00:00"/>
    <x v="0"/>
    <x v="7"/>
    <n v="426"/>
    <n v="2"/>
    <d v="2005-11-01T00:00:00"/>
    <n v="574401"/>
    <n v="8.7833333000000007"/>
    <n v="7.6333333000000003"/>
    <n v="3.5666666"/>
    <n v="2"/>
    <m/>
    <n v="1.625"/>
    <n v="1"/>
    <n v="7"/>
    <n v="32"/>
    <m/>
    <n v="4384594.2808533004"/>
    <n v="2048696.8617066001"/>
    <n v="933401.625"/>
    <n v="373360.65"/>
  </r>
  <r>
    <n v="24"/>
    <d v="2007-02-01T00:00:00"/>
    <x v="1"/>
    <x v="7"/>
    <n v="457"/>
    <n v="2"/>
    <d v="2005-11-01T00:00:00"/>
    <n v="574018"/>
    <n v="1.02"/>
    <n v="1.88"/>
    <n v="0.63"/>
    <n v="0"/>
    <m/>
    <n v="0.23"/>
    <m/>
    <n v="7"/>
    <n v="32"/>
    <m/>
    <n v="1079153.8399999999"/>
    <n v="361631.34"/>
    <n v="132024.14000000001"/>
    <n v="52809.65600000001"/>
  </r>
  <r>
    <n v="24"/>
    <d v="2007-03-01T00:00:00"/>
    <x v="2"/>
    <x v="7"/>
    <n v="485"/>
    <n v="2"/>
    <d v="2005-11-01T00:00:00"/>
    <n v="590113"/>
    <n v="0.22"/>
    <n v="0.35"/>
    <n v="0.17"/>
    <n v="0"/>
    <m/>
    <n v="0.1"/>
    <m/>
    <n v="7"/>
    <n v="31"/>
    <m/>
    <n v="206539.55"/>
    <n v="100319.21"/>
    <n v="59011.3"/>
    <n v="23604.520000000004"/>
  </r>
  <r>
    <n v="24"/>
    <d v="2007-04-01T00:00:00"/>
    <x v="3"/>
    <x v="7"/>
    <n v="516"/>
    <n v="2"/>
    <d v="2005-11-01T00:00:00"/>
    <n v="594993"/>
    <n v="0.1"/>
    <n v="0"/>
    <n v="0"/>
    <n v="0"/>
    <m/>
    <n v="0"/>
    <m/>
    <n v="8"/>
    <n v="32"/>
    <m/>
    <n v="0"/>
    <n v="0"/>
    <n v="0"/>
    <n v="0"/>
  </r>
  <r>
    <n v="24"/>
    <d v="2007-05-01T00:00:00"/>
    <x v="4"/>
    <x v="7"/>
    <n v="546"/>
    <n v="2"/>
    <d v="2005-11-01T00:00:00"/>
    <n v="574204"/>
    <n v="2.38"/>
    <n v="0"/>
    <n v="0"/>
    <n v="0"/>
    <m/>
    <n v="0.12"/>
    <m/>
    <n v="8"/>
    <n v="32"/>
    <m/>
    <n v="0"/>
    <n v="0"/>
    <n v="68904.479999999996"/>
    <n v="27561.792000000001"/>
  </r>
  <r>
    <n v="24"/>
    <d v="2007-06-01T00:00:00"/>
    <x v="5"/>
    <x v="7"/>
    <n v="577"/>
    <n v="2"/>
    <d v="2005-11-01T00:00:00"/>
    <n v="572539"/>
    <n v="9.23"/>
    <n v="0.1"/>
    <n v="0.02"/>
    <n v="0"/>
    <m/>
    <n v="0.75"/>
    <m/>
    <n v="8"/>
    <n v="32"/>
    <m/>
    <n v="57253.9"/>
    <n v="11450.78"/>
    <n v="429404.25"/>
    <n v="171761.7"/>
  </r>
  <r>
    <n v="24"/>
    <d v="2007-07-01T00:00:00"/>
    <x v="6"/>
    <x v="7"/>
    <n v="607"/>
    <n v="2"/>
    <d v="2005-11-01T00:00:00"/>
    <n v="571950"/>
    <n v="2.4"/>
    <n v="0.55000000000000004"/>
    <n v="0.17"/>
    <n v="0"/>
    <m/>
    <n v="0.56999999999999995"/>
    <m/>
    <n v="9"/>
    <n v="31"/>
    <m/>
    <n v="314572.5"/>
    <n v="97231.5"/>
    <n v="326011.5"/>
    <n v="130404.6"/>
  </r>
  <r>
    <n v="24"/>
    <d v="2007-08-01T00:00:00"/>
    <x v="7"/>
    <x v="7"/>
    <n v="638"/>
    <n v="2"/>
    <d v="2005-11-01T00:00:00"/>
    <n v="571138"/>
    <n v="1.1000000000000001"/>
    <n v="0.42"/>
    <n v="0.17"/>
    <n v="0"/>
    <m/>
    <n v="0.6"/>
    <m/>
    <n v="9"/>
    <n v="32"/>
    <m/>
    <n v="239877.96"/>
    <n v="97093.46"/>
    <n v="342682.8"/>
    <n v="137073.12"/>
  </r>
  <r>
    <n v="24"/>
    <d v="2007-09-01T00:00:00"/>
    <x v="8"/>
    <x v="7"/>
    <n v="669"/>
    <n v="2"/>
    <d v="2005-11-01T00:00:00"/>
    <n v="569707"/>
    <n v="0.97"/>
    <n v="1.07"/>
    <n v="0.82"/>
    <n v="0"/>
    <m/>
    <n v="0"/>
    <m/>
    <n v="9"/>
    <n v="32"/>
    <m/>
    <n v="609586.49"/>
    <n v="467159.74"/>
    <n v="0"/>
    <n v="0"/>
  </r>
  <r>
    <n v="24"/>
    <d v="2007-10-01T00:00:00"/>
    <x v="9"/>
    <x v="7"/>
    <n v="699"/>
    <n v="2"/>
    <d v="2005-11-01T00:00:00"/>
    <n v="502394"/>
    <n v="0.92"/>
    <n v="1.07"/>
    <n v="0.7"/>
    <n v="0"/>
    <m/>
    <n v="0.55000000000000004"/>
    <m/>
    <n v="8"/>
    <s v="M"/>
    <m/>
    <n v="537561.58000000007"/>
    <n v="351675.8"/>
    <n v="276316.7"/>
    <n v="110526.68000000001"/>
  </r>
  <r>
    <n v="24"/>
    <d v="2007-11-01T00:00:00"/>
    <x v="10"/>
    <x v="7"/>
    <n v="730"/>
    <n v="3"/>
    <d v="2005-11-01T00:00:00"/>
    <n v="279776"/>
    <n v="0.67"/>
    <n v="1.1200000000000001"/>
    <n v="0.72"/>
    <m/>
    <m/>
    <n v="0.18"/>
    <m/>
    <n v="7"/>
    <s v="M"/>
    <m/>
    <n v="313349.12000000005"/>
    <n v="201438.72"/>
    <n v="50359.68"/>
    <n v="20143.872000000003"/>
  </r>
  <r>
    <n v="24"/>
    <d v="2007-12-01T00:00:00"/>
    <x v="11"/>
    <x v="7"/>
    <n v="760"/>
    <n v="3"/>
    <d v="2005-11-01T00:00:00"/>
    <n v="127937"/>
    <m/>
    <m/>
    <n v="0.8"/>
    <m/>
    <s v="h"/>
    <n v="0.18"/>
    <m/>
    <m/>
    <m/>
    <m/>
    <m/>
    <n v="102349.6"/>
    <n v="23028.66"/>
    <n v="9211.4639999999999"/>
  </r>
  <r>
    <n v="24"/>
    <d v="2008-01-01T00:00:00"/>
    <x v="0"/>
    <x v="8"/>
    <m/>
    <m/>
    <m/>
    <m/>
    <m/>
    <m/>
    <m/>
    <m/>
    <m/>
    <m/>
    <m/>
    <m/>
    <m/>
    <m/>
    <m/>
    <m/>
    <m/>
    <m/>
  </r>
  <r>
    <n v="24"/>
    <d v="2008-02-01T00:00:00"/>
    <x v="1"/>
    <x v="8"/>
    <m/>
    <m/>
    <m/>
    <m/>
    <m/>
    <m/>
    <m/>
    <m/>
    <m/>
    <m/>
    <m/>
    <m/>
    <m/>
    <m/>
    <m/>
    <m/>
    <m/>
    <m/>
  </r>
  <r>
    <n v="24"/>
    <d v="2008-03-01T00:00:00"/>
    <x v="2"/>
    <x v="8"/>
    <m/>
    <m/>
    <m/>
    <m/>
    <m/>
    <m/>
    <m/>
    <m/>
    <m/>
    <m/>
    <m/>
    <m/>
    <m/>
    <m/>
    <m/>
    <m/>
    <m/>
    <m/>
  </r>
  <r>
    <n v="24"/>
    <d v="2008-04-01T00:00:00"/>
    <x v="3"/>
    <x v="8"/>
    <m/>
    <m/>
    <m/>
    <m/>
    <m/>
    <m/>
    <m/>
    <m/>
    <m/>
    <m/>
    <m/>
    <m/>
    <m/>
    <m/>
    <m/>
    <m/>
    <m/>
    <m/>
  </r>
  <r>
    <n v="24"/>
    <d v="2008-05-01T00:00:00"/>
    <x v="4"/>
    <x v="8"/>
    <m/>
    <m/>
    <m/>
    <m/>
    <m/>
    <m/>
    <m/>
    <m/>
    <m/>
    <m/>
    <m/>
    <m/>
    <m/>
    <m/>
    <m/>
    <m/>
    <m/>
    <m/>
  </r>
  <r>
    <n v="24"/>
    <d v="2008-06-01T00:00:00"/>
    <x v="5"/>
    <x v="8"/>
    <m/>
    <m/>
    <m/>
    <m/>
    <m/>
    <m/>
    <m/>
    <m/>
    <m/>
    <m/>
    <m/>
    <m/>
    <m/>
    <m/>
    <m/>
    <m/>
    <m/>
    <m/>
  </r>
  <r>
    <n v="24"/>
    <d v="2008-07-01T00:00:00"/>
    <x v="6"/>
    <x v="8"/>
    <m/>
    <m/>
    <m/>
    <m/>
    <m/>
    <m/>
    <m/>
    <m/>
    <m/>
    <m/>
    <m/>
    <m/>
    <m/>
    <m/>
    <m/>
    <m/>
    <m/>
    <m/>
  </r>
  <r>
    <n v="24"/>
    <d v="2008-08-01T00:00:00"/>
    <x v="7"/>
    <x v="8"/>
    <n v="274"/>
    <n v="1"/>
    <d v="2007-11-01T00:00:00"/>
    <n v="623000"/>
    <m/>
    <n v="0.48499999999999999"/>
    <n v="6.5000000000000002E-2"/>
    <m/>
    <s v="t"/>
    <n v="0"/>
    <m/>
    <m/>
    <m/>
    <s v="transferred from farm #17 24 July 2008"/>
    <n v="302155"/>
    <n v="40495"/>
    <n v="0"/>
    <n v="0"/>
  </r>
  <r>
    <n v="24"/>
    <d v="2008-09-01T00:00:00"/>
    <x v="8"/>
    <x v="8"/>
    <n v="305"/>
    <n v="1"/>
    <d v="2007-11-01T00:00:00"/>
    <n v="622000"/>
    <n v="2.5"/>
    <n v="0.9"/>
    <n v="0.1"/>
    <m/>
    <m/>
    <n v="0"/>
    <m/>
    <m/>
    <m/>
    <m/>
    <n v="559800"/>
    <n v="62200"/>
    <n v="0"/>
    <n v="0"/>
  </r>
  <r>
    <n v="24"/>
    <d v="2008-10-01T00:00:00"/>
    <x v="9"/>
    <x v="8"/>
    <n v="335"/>
    <n v="1"/>
    <d v="2007-11-01T00:00:00"/>
    <n v="621000"/>
    <n v="8.6999999999999993"/>
    <n v="1.27"/>
    <n v="0.23"/>
    <n v="0"/>
    <m/>
    <n v="0.25"/>
    <m/>
    <m/>
    <m/>
    <m/>
    <n v="788670"/>
    <n v="142830"/>
    <n v="155250"/>
    <n v="62100"/>
  </r>
  <r>
    <n v="24"/>
    <d v="2008-11-01T00:00:00"/>
    <x v="10"/>
    <x v="8"/>
    <n v="366"/>
    <n v="2"/>
    <d v="2007-11-01T00:00:00"/>
    <n v="621000"/>
    <n v="10.98"/>
    <n v="3.08"/>
    <n v="1.08"/>
    <n v="0"/>
    <m/>
    <n v="0.03"/>
    <m/>
    <m/>
    <m/>
    <m/>
    <n v="1912680"/>
    <n v="670680"/>
    <n v="18630"/>
    <n v="7452"/>
  </r>
  <r>
    <n v="24"/>
    <d v="2008-12-01T00:00:00"/>
    <x v="11"/>
    <x v="8"/>
    <n v="396"/>
    <n v="2"/>
    <d v="2007-11-01T00:00:00"/>
    <n v="620000"/>
    <n v="11.95"/>
    <n v="3.41"/>
    <n v="0.9"/>
    <n v="1"/>
    <m/>
    <n v="0"/>
    <n v="1"/>
    <m/>
    <m/>
    <m/>
    <n v="2114200"/>
    <n v="558000"/>
    <n v="0"/>
    <n v="0"/>
  </r>
  <r>
    <n v="24"/>
    <d v="2009-01-01T00:00:00"/>
    <x v="0"/>
    <x v="9"/>
    <n v="427"/>
    <n v="2"/>
    <d v="2007-11-01T00:00:00"/>
    <n v="619570"/>
    <n v="0.93"/>
    <n v="1.55"/>
    <n v="1.44"/>
    <n v="2"/>
    <m/>
    <n v="0.55000000000000004"/>
    <m/>
    <m/>
    <m/>
    <m/>
    <n v="960333.5"/>
    <n v="892180.79999999993"/>
    <n v="340763.5"/>
    <n v="136305.4"/>
  </r>
  <r>
    <n v="24"/>
    <d v="2009-02-01T00:00:00"/>
    <x v="1"/>
    <x v="9"/>
    <n v="458"/>
    <n v="2"/>
    <d v="2007-11-01T00:00:00"/>
    <n v="619373"/>
    <n v="0.1"/>
    <n v="0.77"/>
    <n v="0.41"/>
    <n v="0"/>
    <m/>
    <n v="0.03"/>
    <m/>
    <m/>
    <m/>
    <m/>
    <n v="476917.21"/>
    <n v="253942.93"/>
    <n v="18581.189999999999"/>
    <n v="7432.4759999999997"/>
  </r>
  <r>
    <n v="24"/>
    <d v="2009-03-01T00:00:00"/>
    <x v="2"/>
    <x v="9"/>
    <n v="486"/>
    <n v="2"/>
    <d v="2007-11-01T00:00:00"/>
    <n v="618827"/>
    <n v="0.25"/>
    <n v="0.57999999999999996"/>
    <n v="0.28999999999999998"/>
    <n v="0"/>
    <m/>
    <n v="0.03"/>
    <m/>
    <m/>
    <m/>
    <m/>
    <n v="358919.66"/>
    <n v="179459.83"/>
    <n v="18564.809999999998"/>
    <n v="7425.9239999999991"/>
  </r>
  <r>
    <n v="24"/>
    <d v="2009-04-01T00:00:00"/>
    <x v="3"/>
    <x v="9"/>
    <n v="517"/>
    <n v="2"/>
    <d v="2007-11-01T00:00:00"/>
    <n v="618562"/>
    <n v="0.72"/>
    <n v="0.05"/>
    <n v="0"/>
    <n v="0"/>
    <m/>
    <n v="0"/>
    <m/>
    <m/>
    <m/>
    <m/>
    <n v="30928.100000000002"/>
    <n v="0"/>
    <n v="0"/>
    <n v="0"/>
  </r>
  <r>
    <n v="24"/>
    <d v="2009-05-01T00:00:00"/>
    <x v="4"/>
    <x v="9"/>
    <n v="547"/>
    <n v="2"/>
    <d v="2007-11-01T00:00:00"/>
    <n v="618228"/>
    <n v="3.36"/>
    <n v="0.38"/>
    <n v="0.05"/>
    <n v="0"/>
    <m/>
    <n v="0.8"/>
    <m/>
    <m/>
    <m/>
    <m/>
    <n v="234926.64"/>
    <n v="30911.4"/>
    <n v="494582.4"/>
    <n v="197832.96000000002"/>
  </r>
  <r>
    <n v="24"/>
    <d v="2009-06-01T00:00:00"/>
    <x v="5"/>
    <x v="9"/>
    <n v="578"/>
    <n v="2"/>
    <d v="2007-11-01T00:00:00"/>
    <n v="617976"/>
    <n v="5.15"/>
    <n v="7.0000000000000007E-2"/>
    <n v="0.03"/>
    <n v="0"/>
    <m/>
    <n v="1.2"/>
    <m/>
    <m/>
    <m/>
    <m/>
    <n v="43258.320000000007"/>
    <n v="18539.28"/>
    <n v="741571.2"/>
    <n v="296628.47999999998"/>
  </r>
  <r>
    <n v="24"/>
    <d v="2009-07-01T00:00:00"/>
    <x v="6"/>
    <x v="9"/>
    <n v="602"/>
    <n v="2"/>
    <d v="2007-11-07T00:00:00"/>
    <n v="617709"/>
    <n v="2.4700000000000002"/>
    <n v="0.03"/>
    <n v="0.02"/>
    <n v="0"/>
    <m/>
    <n v="1.7"/>
    <m/>
    <m/>
    <m/>
    <m/>
    <n v="18531.27"/>
    <n v="12354.18"/>
    <n v="1050105.3"/>
    <n v="420042.12000000005"/>
  </r>
  <r>
    <n v="24"/>
    <d v="2009-08-01T00:00:00"/>
    <x v="7"/>
    <x v="9"/>
    <n v="633"/>
    <n v="2"/>
    <d v="2007-11-07T00:00:00"/>
    <n v="617120"/>
    <n v="1.5169999999999999"/>
    <n v="0.46700000000000003"/>
    <n v="0.15"/>
    <n v="0"/>
    <m/>
    <n v="0.25"/>
    <m/>
    <m/>
    <m/>
    <m/>
    <n v="288195.04000000004"/>
    <n v="92568"/>
    <n v="154280"/>
    <n v="61712"/>
  </r>
  <r>
    <n v="24"/>
    <d v="2009-09-01T00:00:00"/>
    <x v="8"/>
    <x v="9"/>
    <n v="664"/>
    <n v="2"/>
    <d v="2007-11-07T00:00:00"/>
    <n v="616492"/>
    <n v="1.4"/>
    <n v="1.65"/>
    <n v="1.22"/>
    <n v="0"/>
    <m/>
    <n v="0"/>
    <m/>
    <m/>
    <m/>
    <m/>
    <n v="1017211.7999999999"/>
    <n v="752120.24"/>
    <n v="0"/>
    <n v="0"/>
  </r>
  <r>
    <n v="24"/>
    <d v="2009-10-01T00:00:00"/>
    <x v="9"/>
    <x v="9"/>
    <n v="694"/>
    <n v="2"/>
    <d v="2007-11-07T00:00:00"/>
    <n v="616468"/>
    <n v="2.9"/>
    <n v="3.97"/>
    <n v="2.5"/>
    <n v="0"/>
    <m/>
    <n v="0"/>
    <m/>
    <m/>
    <m/>
    <m/>
    <n v="2447377.96"/>
    <n v="1541170"/>
    <n v="0"/>
    <n v="0"/>
  </r>
  <r>
    <n v="24"/>
    <d v="2009-11-01T00:00:00"/>
    <x v="10"/>
    <x v="9"/>
    <n v="725"/>
    <n v="2"/>
    <d v="2007-11-07T00:00:00"/>
    <n v="616232"/>
    <n v="1.67"/>
    <n v="5.38"/>
    <n v="2.5"/>
    <n v="0"/>
    <m/>
    <n v="2.75"/>
    <n v="1"/>
    <m/>
    <m/>
    <m/>
    <n v="3315328.16"/>
    <n v="1540580"/>
    <n v="1694638"/>
    <n v="677855.20000000007"/>
  </r>
  <r>
    <n v="24"/>
    <d v="2009-12-01T00:00:00"/>
    <x v="11"/>
    <x v="9"/>
    <n v="755"/>
    <n v="2"/>
    <d v="2007-11-07T00:00:00"/>
    <n v="615961"/>
    <n v="1.24"/>
    <n v="2.95"/>
    <n v="1.59"/>
    <m/>
    <m/>
    <n v="0.64"/>
    <m/>
    <m/>
    <m/>
    <m/>
    <n v="1817084.9500000002"/>
    <n v="979377.99000000011"/>
    <n v="394215.04000000004"/>
    <n v="157686.01600000003"/>
  </r>
  <r>
    <n v="25"/>
    <d v="2000-01-01T00:00:00"/>
    <x v="0"/>
    <x v="0"/>
    <n v="699"/>
    <n v="2"/>
    <d v="1998-02-01T00:00:00"/>
    <n v="177796"/>
    <m/>
    <m/>
    <m/>
    <m/>
    <m/>
    <m/>
    <m/>
    <m/>
    <m/>
    <s v="harvesting"/>
    <m/>
    <m/>
    <m/>
    <m/>
  </r>
  <r>
    <n v="25"/>
    <d v="2000-02-01T00:00:00"/>
    <x v="1"/>
    <x v="0"/>
    <n v="730"/>
    <n v="3"/>
    <d v="1998-02-01T00:00:00"/>
    <n v="163050"/>
    <m/>
    <m/>
    <m/>
    <m/>
    <m/>
    <m/>
    <m/>
    <m/>
    <m/>
    <m/>
    <m/>
    <m/>
    <m/>
    <m/>
  </r>
  <r>
    <n v="25"/>
    <d v="2000-03-01T00:00:00"/>
    <x v="2"/>
    <x v="0"/>
    <n v="759"/>
    <n v="3"/>
    <d v="1998-02-01T00:00:00"/>
    <n v="112953"/>
    <m/>
    <m/>
    <m/>
    <m/>
    <m/>
    <m/>
    <m/>
    <m/>
    <m/>
    <m/>
    <m/>
    <m/>
    <m/>
    <m/>
  </r>
  <r>
    <n v="25"/>
    <d v="2000-04-01T00:00:00"/>
    <x v="3"/>
    <x v="0"/>
    <n v="790"/>
    <n v="3"/>
    <d v="1998-02-01T00:00:00"/>
    <n v="90551"/>
    <m/>
    <m/>
    <m/>
    <m/>
    <m/>
    <m/>
    <m/>
    <m/>
    <m/>
    <m/>
    <m/>
    <m/>
    <m/>
    <m/>
  </r>
  <r>
    <n v="25"/>
    <d v="2000-05-01T00:00:00"/>
    <x v="4"/>
    <x v="0"/>
    <m/>
    <m/>
    <m/>
    <m/>
    <m/>
    <m/>
    <m/>
    <m/>
    <m/>
    <m/>
    <m/>
    <m/>
    <m/>
    <m/>
    <m/>
    <m/>
    <m/>
    <m/>
  </r>
  <r>
    <n v="25"/>
    <d v="2000-06-01T00:00:00"/>
    <x v="5"/>
    <x v="0"/>
    <m/>
    <m/>
    <m/>
    <m/>
    <m/>
    <m/>
    <m/>
    <m/>
    <m/>
    <m/>
    <m/>
    <m/>
    <m/>
    <m/>
    <m/>
    <m/>
    <m/>
    <m/>
  </r>
  <r>
    <n v="25"/>
    <d v="2000-07-01T00:00:00"/>
    <x v="6"/>
    <x v="0"/>
    <m/>
    <m/>
    <m/>
    <m/>
    <m/>
    <m/>
    <m/>
    <m/>
    <m/>
    <m/>
    <m/>
    <m/>
    <m/>
    <m/>
    <m/>
    <m/>
    <m/>
    <m/>
  </r>
  <r>
    <n v="25"/>
    <d v="2000-08-01T00:00:00"/>
    <x v="7"/>
    <x v="0"/>
    <m/>
    <m/>
    <m/>
    <m/>
    <m/>
    <m/>
    <m/>
    <m/>
    <m/>
    <m/>
    <m/>
    <m/>
    <m/>
    <m/>
    <m/>
    <m/>
    <m/>
    <m/>
  </r>
  <r>
    <n v="25"/>
    <d v="2000-09-01T00:00:00"/>
    <x v="8"/>
    <x v="0"/>
    <m/>
    <m/>
    <m/>
    <m/>
    <m/>
    <m/>
    <m/>
    <m/>
    <m/>
    <m/>
    <m/>
    <m/>
    <m/>
    <m/>
    <m/>
    <m/>
    <m/>
    <m/>
  </r>
  <r>
    <n v="25"/>
    <d v="2000-10-01T00:00:00"/>
    <x v="9"/>
    <x v="0"/>
    <m/>
    <m/>
    <m/>
    <m/>
    <m/>
    <m/>
    <m/>
    <m/>
    <m/>
    <m/>
    <m/>
    <m/>
    <m/>
    <m/>
    <m/>
    <m/>
    <m/>
    <m/>
  </r>
  <r>
    <n v="25"/>
    <d v="2000-11-01T00:00:00"/>
    <x v="10"/>
    <x v="0"/>
    <m/>
    <m/>
    <m/>
    <m/>
    <m/>
    <m/>
    <m/>
    <m/>
    <m/>
    <m/>
    <m/>
    <m/>
    <m/>
    <m/>
    <m/>
    <m/>
    <m/>
    <m/>
  </r>
  <r>
    <n v="25"/>
    <d v="2000-12-01T00:00:00"/>
    <x v="11"/>
    <x v="0"/>
    <m/>
    <m/>
    <m/>
    <m/>
    <m/>
    <m/>
    <m/>
    <m/>
    <m/>
    <m/>
    <m/>
    <m/>
    <m/>
    <m/>
    <m/>
    <m/>
    <m/>
    <m/>
  </r>
  <r>
    <n v="25"/>
    <d v="2001-01-01T00:00:00"/>
    <x v="0"/>
    <x v="1"/>
    <m/>
    <m/>
    <m/>
    <m/>
    <m/>
    <m/>
    <m/>
    <m/>
    <m/>
    <m/>
    <m/>
    <m/>
    <m/>
    <m/>
    <m/>
    <m/>
    <m/>
    <m/>
  </r>
  <r>
    <n v="25"/>
    <d v="2001-02-01T00:00:00"/>
    <x v="1"/>
    <x v="1"/>
    <n v="0"/>
    <n v="1"/>
    <d v="2001-02-01T00:00:00"/>
    <n v="105018"/>
    <m/>
    <m/>
    <m/>
    <m/>
    <m/>
    <m/>
    <m/>
    <m/>
    <m/>
    <s v="smolt entry"/>
    <m/>
    <m/>
    <m/>
    <m/>
  </r>
  <r>
    <n v="25"/>
    <d v="2001-03-01T00:00:00"/>
    <x v="2"/>
    <x v="1"/>
    <n v="28"/>
    <n v="1"/>
    <d v="2001-02-01T00:00:00"/>
    <n v="171915"/>
    <m/>
    <m/>
    <m/>
    <m/>
    <m/>
    <m/>
    <m/>
    <m/>
    <m/>
    <m/>
    <m/>
    <m/>
    <m/>
    <m/>
  </r>
  <r>
    <n v="25"/>
    <d v="2001-04-01T00:00:00"/>
    <x v="3"/>
    <x v="1"/>
    <n v="59"/>
    <n v="1"/>
    <d v="2001-02-01T00:00:00"/>
    <n v="842999"/>
    <m/>
    <m/>
    <m/>
    <m/>
    <m/>
    <m/>
    <m/>
    <m/>
    <m/>
    <m/>
    <m/>
    <m/>
    <m/>
    <m/>
  </r>
  <r>
    <n v="25"/>
    <d v="2001-05-01T00:00:00"/>
    <x v="4"/>
    <x v="1"/>
    <n v="89"/>
    <n v="1"/>
    <d v="2001-02-01T00:00:00"/>
    <n v="823479"/>
    <m/>
    <m/>
    <m/>
    <m/>
    <m/>
    <m/>
    <m/>
    <m/>
    <m/>
    <m/>
    <m/>
    <m/>
    <m/>
    <m/>
  </r>
  <r>
    <n v="25"/>
    <d v="2001-06-01T00:00:00"/>
    <x v="5"/>
    <x v="1"/>
    <n v="120"/>
    <n v="1"/>
    <d v="2001-02-01T00:00:00"/>
    <n v="818368"/>
    <m/>
    <m/>
    <m/>
    <m/>
    <m/>
    <m/>
    <m/>
    <n v="8.6999999999999993"/>
    <m/>
    <m/>
    <m/>
    <m/>
    <m/>
    <m/>
  </r>
  <r>
    <n v="25"/>
    <d v="2001-07-01T00:00:00"/>
    <x v="6"/>
    <x v="1"/>
    <n v="150"/>
    <n v="1"/>
    <d v="2001-02-01T00:00:00"/>
    <n v="797695"/>
    <m/>
    <m/>
    <m/>
    <m/>
    <m/>
    <m/>
    <m/>
    <m/>
    <m/>
    <m/>
    <m/>
    <m/>
    <m/>
    <m/>
  </r>
  <r>
    <n v="25"/>
    <d v="2001-08-01T00:00:00"/>
    <x v="7"/>
    <x v="1"/>
    <n v="181"/>
    <n v="1"/>
    <d v="2001-02-01T00:00:00"/>
    <n v="792520"/>
    <n v="3.05"/>
    <n v="2.2000000000000002"/>
    <n v="0.25"/>
    <m/>
    <m/>
    <n v="0"/>
    <m/>
    <n v="10.1"/>
    <m/>
    <m/>
    <n v="1743544.0000000002"/>
    <n v="198130"/>
    <n v="0"/>
    <n v="0"/>
  </r>
  <r>
    <n v="25"/>
    <d v="2001-09-01T00:00:00"/>
    <x v="8"/>
    <x v="1"/>
    <n v="212"/>
    <n v="1"/>
    <d v="2001-02-01T00:00:00"/>
    <n v="789279"/>
    <m/>
    <m/>
    <m/>
    <m/>
    <m/>
    <m/>
    <m/>
    <m/>
    <m/>
    <m/>
    <m/>
    <m/>
    <m/>
    <m/>
  </r>
  <r>
    <n v="25"/>
    <d v="2001-10-01T00:00:00"/>
    <x v="9"/>
    <x v="1"/>
    <m/>
    <m/>
    <m/>
    <m/>
    <m/>
    <m/>
    <m/>
    <m/>
    <m/>
    <m/>
    <m/>
    <m/>
    <m/>
    <s v="transfer to farm #23 (484K) and farm #18 (303K)"/>
    <m/>
    <m/>
    <m/>
    <m/>
  </r>
  <r>
    <n v="25"/>
    <d v="2001-11-01T00:00:00"/>
    <x v="10"/>
    <x v="1"/>
    <m/>
    <m/>
    <m/>
    <m/>
    <m/>
    <m/>
    <m/>
    <m/>
    <m/>
    <m/>
    <m/>
    <m/>
    <m/>
    <m/>
    <m/>
    <m/>
    <m/>
    <m/>
  </r>
  <r>
    <n v="25"/>
    <d v="2001-12-01T00:00:00"/>
    <x v="11"/>
    <x v="1"/>
    <m/>
    <m/>
    <m/>
    <m/>
    <m/>
    <m/>
    <m/>
    <m/>
    <m/>
    <m/>
    <m/>
    <m/>
    <m/>
    <m/>
    <m/>
    <m/>
    <m/>
    <m/>
  </r>
  <r>
    <n v="25"/>
    <d v="2002-01-01T00:00:00"/>
    <x v="0"/>
    <x v="2"/>
    <m/>
    <m/>
    <m/>
    <m/>
    <m/>
    <m/>
    <m/>
    <m/>
    <m/>
    <m/>
    <m/>
    <m/>
    <m/>
    <m/>
    <m/>
    <m/>
    <m/>
    <m/>
  </r>
  <r>
    <n v="25"/>
    <d v="2002-02-01T00:00:00"/>
    <x v="1"/>
    <x v="2"/>
    <m/>
    <m/>
    <m/>
    <m/>
    <m/>
    <m/>
    <m/>
    <m/>
    <m/>
    <m/>
    <m/>
    <m/>
    <m/>
    <m/>
    <m/>
    <m/>
    <m/>
    <m/>
  </r>
  <r>
    <n v="25"/>
    <d v="2002-03-01T00:00:00"/>
    <x v="2"/>
    <x v="2"/>
    <n v="0"/>
    <n v="1"/>
    <d v="2002-03-01T00:00:00"/>
    <n v="886930"/>
    <m/>
    <m/>
    <m/>
    <m/>
    <m/>
    <m/>
    <m/>
    <n v="6.9"/>
    <m/>
    <s v="smolt entry"/>
    <m/>
    <m/>
    <m/>
    <m/>
  </r>
  <r>
    <n v="25"/>
    <d v="2002-04-01T00:00:00"/>
    <x v="3"/>
    <x v="2"/>
    <n v="31"/>
    <n v="1"/>
    <d v="2002-03-01T00:00:00"/>
    <n v="1367732"/>
    <m/>
    <m/>
    <m/>
    <m/>
    <m/>
    <m/>
    <m/>
    <n v="7.6"/>
    <m/>
    <m/>
    <m/>
    <m/>
    <m/>
    <m/>
  </r>
  <r>
    <n v="25"/>
    <d v="2002-05-01T00:00:00"/>
    <x v="4"/>
    <x v="2"/>
    <n v="61"/>
    <n v="1"/>
    <d v="2002-03-01T00:00:00"/>
    <n v="1354790"/>
    <m/>
    <m/>
    <m/>
    <m/>
    <m/>
    <m/>
    <m/>
    <n v="8.5"/>
    <m/>
    <m/>
    <m/>
    <m/>
    <m/>
    <m/>
  </r>
  <r>
    <n v="25"/>
    <d v="2002-06-01T00:00:00"/>
    <x v="5"/>
    <x v="2"/>
    <n v="92"/>
    <n v="1"/>
    <d v="2002-03-01T00:00:00"/>
    <n v="1280167"/>
    <m/>
    <m/>
    <m/>
    <m/>
    <m/>
    <m/>
    <m/>
    <n v="9.6"/>
    <m/>
    <m/>
    <m/>
    <m/>
    <m/>
    <m/>
  </r>
  <r>
    <n v="25"/>
    <d v="2002-07-01T00:00:00"/>
    <x v="6"/>
    <x v="2"/>
    <n v="122"/>
    <n v="1"/>
    <d v="2002-03-01T00:00:00"/>
    <n v="1241978"/>
    <n v="3.6"/>
    <n v="0.5"/>
    <n v="0"/>
    <m/>
    <m/>
    <n v="0"/>
    <m/>
    <n v="10"/>
    <m/>
    <m/>
    <n v="620989"/>
    <n v="0"/>
    <n v="0"/>
    <n v="0"/>
  </r>
  <r>
    <n v="25"/>
    <d v="2002-08-01T00:00:00"/>
    <x v="7"/>
    <x v="2"/>
    <n v="153"/>
    <n v="1"/>
    <d v="2002-03-01T00:00:00"/>
    <n v="1214437"/>
    <m/>
    <m/>
    <m/>
    <m/>
    <m/>
    <m/>
    <m/>
    <m/>
    <m/>
    <s v="IHNV diagnosis"/>
    <m/>
    <m/>
    <m/>
    <m/>
  </r>
  <r>
    <n v="25"/>
    <d v="2002-09-01T00:00:00"/>
    <x v="8"/>
    <x v="2"/>
    <m/>
    <m/>
    <m/>
    <m/>
    <m/>
    <m/>
    <m/>
    <m/>
    <m/>
    <m/>
    <m/>
    <m/>
    <m/>
    <s v="culled site (because of IHNV diagnosis)"/>
    <m/>
    <m/>
    <m/>
    <m/>
  </r>
  <r>
    <n v="25"/>
    <d v="2002-10-01T00:00:00"/>
    <x v="9"/>
    <x v="2"/>
    <m/>
    <m/>
    <m/>
    <m/>
    <m/>
    <m/>
    <m/>
    <m/>
    <m/>
    <m/>
    <m/>
    <m/>
    <m/>
    <m/>
    <m/>
    <m/>
    <m/>
    <m/>
  </r>
  <r>
    <n v="25"/>
    <d v="2002-11-01T00:00:00"/>
    <x v="10"/>
    <x v="2"/>
    <m/>
    <m/>
    <m/>
    <m/>
    <m/>
    <m/>
    <m/>
    <m/>
    <m/>
    <m/>
    <m/>
    <m/>
    <m/>
    <m/>
    <m/>
    <m/>
    <m/>
    <m/>
  </r>
  <r>
    <n v="25"/>
    <d v="2002-12-01T00:00:00"/>
    <x v="11"/>
    <x v="2"/>
    <m/>
    <m/>
    <m/>
    <m/>
    <m/>
    <m/>
    <m/>
    <m/>
    <m/>
    <m/>
    <m/>
    <m/>
    <m/>
    <m/>
    <m/>
    <m/>
    <m/>
    <m/>
  </r>
  <r>
    <n v="25"/>
    <d v="2003-01-01T00:00:00"/>
    <x v="0"/>
    <x v="3"/>
    <m/>
    <m/>
    <m/>
    <m/>
    <m/>
    <m/>
    <m/>
    <m/>
    <m/>
    <m/>
    <m/>
    <m/>
    <m/>
    <m/>
    <m/>
    <m/>
    <m/>
    <m/>
  </r>
  <r>
    <n v="25"/>
    <d v="2003-02-01T00:00:00"/>
    <x v="1"/>
    <x v="3"/>
    <n v="0"/>
    <n v="1"/>
    <d v="2003-02-01T00:00:00"/>
    <n v="413594"/>
    <m/>
    <m/>
    <n v="0"/>
    <m/>
    <s v="s"/>
    <n v="0"/>
    <m/>
    <m/>
    <m/>
    <s v="smolt entry"/>
    <m/>
    <n v="0"/>
    <n v="0"/>
    <n v="0"/>
  </r>
  <r>
    <n v="25"/>
    <d v="2003-03-01T00:00:00"/>
    <x v="2"/>
    <x v="3"/>
    <n v="28"/>
    <n v="1"/>
    <d v="2003-02-01T00:00:00"/>
    <n v="767936"/>
    <n v="1.5"/>
    <n v="0.15"/>
    <n v="0"/>
    <m/>
    <m/>
    <n v="0.6"/>
    <m/>
    <n v="7.6"/>
    <n v="32"/>
    <m/>
    <n v="115190.39999999999"/>
    <n v="0"/>
    <n v="460761.59999999998"/>
    <n v="184304.64000000001"/>
  </r>
  <r>
    <n v="25"/>
    <d v="2003-04-01T00:00:00"/>
    <x v="3"/>
    <x v="3"/>
    <n v="59"/>
    <n v="1"/>
    <d v="2003-02-01T00:00:00"/>
    <n v="954963"/>
    <n v="0.4"/>
    <n v="0.7"/>
    <n v="0.1"/>
    <n v="0"/>
    <m/>
    <n v="1.4"/>
    <m/>
    <n v="8.1"/>
    <n v="31"/>
    <m/>
    <n v="668474.1"/>
    <n v="95496.3"/>
    <n v="1336948.2"/>
    <n v="534779.28"/>
  </r>
  <r>
    <n v="25"/>
    <d v="2003-05-01T00:00:00"/>
    <x v="4"/>
    <x v="3"/>
    <n v="89"/>
    <n v="1"/>
    <d v="2003-02-01T00:00:00"/>
    <n v="945520"/>
    <n v="1.55"/>
    <n v="0.75"/>
    <n v="0.05"/>
    <n v="0"/>
    <m/>
    <n v="2.35"/>
    <m/>
    <n v="8.9"/>
    <n v="32"/>
    <m/>
    <n v="709140"/>
    <n v="47276"/>
    <n v="2221972"/>
    <n v="888788.8"/>
  </r>
  <r>
    <n v="25"/>
    <d v="2003-06-01T00:00:00"/>
    <x v="5"/>
    <x v="3"/>
    <n v="120"/>
    <n v="1"/>
    <d v="2003-02-01T00:00:00"/>
    <n v="928436"/>
    <n v="0.8"/>
    <n v="0.45"/>
    <n v="0.05"/>
    <n v="0"/>
    <m/>
    <n v="1.85"/>
    <m/>
    <n v="9.9"/>
    <n v="32"/>
    <m/>
    <n v="417796.2"/>
    <n v="46421.8"/>
    <n v="1717606.6"/>
    <n v="687042.64000000013"/>
  </r>
  <r>
    <n v="25"/>
    <d v="2003-07-01T00:00:00"/>
    <x v="6"/>
    <x v="3"/>
    <n v="150"/>
    <n v="1"/>
    <d v="2003-02-01T00:00:00"/>
    <n v="914850"/>
    <n v="0.15"/>
    <n v="0.3"/>
    <n v="0.05"/>
    <n v="0"/>
    <m/>
    <n v="1.1000000000000001"/>
    <m/>
    <n v="10"/>
    <n v="28"/>
    <m/>
    <n v="274455"/>
    <n v="45742.5"/>
    <n v="1006335.0000000001"/>
    <n v="402534.00000000006"/>
  </r>
  <r>
    <n v="25"/>
    <d v="2003-08-01T00:00:00"/>
    <x v="7"/>
    <x v="3"/>
    <n v="181"/>
    <n v="1"/>
    <d v="2003-02-01T00:00:00"/>
    <n v="907712"/>
    <n v="0.2"/>
    <n v="0.3"/>
    <n v="0.1"/>
    <n v="0"/>
    <m/>
    <n v="0.4"/>
    <m/>
    <n v="10.5"/>
    <n v="30"/>
    <m/>
    <n v="272313.59999999998"/>
    <n v="90771.200000000012"/>
    <n v="363084.80000000005"/>
    <n v="145233.92000000001"/>
  </r>
  <r>
    <n v="25"/>
    <d v="2003-09-01T00:00:00"/>
    <x v="8"/>
    <x v="3"/>
    <n v="212"/>
    <n v="1"/>
    <d v="2003-02-01T00:00:00"/>
    <n v="906325"/>
    <n v="0.2"/>
    <n v="0.8"/>
    <n v="0.1"/>
    <n v="0"/>
    <m/>
    <n v="0.1"/>
    <m/>
    <n v="9.4"/>
    <n v="31"/>
    <m/>
    <n v="725060"/>
    <n v="90632.5"/>
    <n v="90632.5"/>
    <n v="36253"/>
  </r>
  <r>
    <n v="25"/>
    <d v="2003-10-01T00:00:00"/>
    <x v="9"/>
    <x v="3"/>
    <n v="242"/>
    <n v="1"/>
    <d v="2003-02-01T00:00:00"/>
    <n v="905000"/>
    <n v="0.87"/>
    <n v="1.83"/>
    <n v="0.5"/>
    <n v="0"/>
    <m/>
    <n v="0.43"/>
    <m/>
    <n v="7.5"/>
    <m/>
    <m/>
    <n v="1656150"/>
    <n v="452500"/>
    <n v="389150"/>
    <n v="155660"/>
  </r>
  <r>
    <n v="25"/>
    <d v="2003-11-01T00:00:00"/>
    <x v="10"/>
    <x v="3"/>
    <n v="273"/>
    <n v="1"/>
    <d v="2003-02-01T00:00:00"/>
    <n v="905000"/>
    <n v="1"/>
    <n v="5.13"/>
    <n v="1.3"/>
    <m/>
    <m/>
    <n v="4.87"/>
    <m/>
    <n v="8.5"/>
    <n v="30.5"/>
    <m/>
    <n v="4642650"/>
    <n v="1176500"/>
    <n v="4407350"/>
    <n v="1762940"/>
  </r>
  <r>
    <n v="25"/>
    <d v="2003-12-01T00:00:00"/>
    <x v="11"/>
    <x v="3"/>
    <n v="303"/>
    <n v="1"/>
    <d v="2003-02-01T00:00:00"/>
    <n v="456173"/>
    <m/>
    <m/>
    <n v="2.6"/>
    <m/>
    <s v="t"/>
    <n v="5"/>
    <m/>
    <m/>
    <m/>
    <s v="transferred ~400K to farm #18"/>
    <m/>
    <n v="1186049.8"/>
    <n v="2280865"/>
    <n v="912346"/>
  </r>
  <r>
    <n v="25"/>
    <d v="2004-01-01T00:00:00"/>
    <x v="0"/>
    <x v="4"/>
    <m/>
    <m/>
    <m/>
    <m/>
    <m/>
    <m/>
    <m/>
    <m/>
    <m/>
    <m/>
    <m/>
    <m/>
    <m/>
    <s v="remainder sold and moved out of Broughton"/>
    <m/>
    <m/>
    <m/>
    <m/>
  </r>
  <r>
    <n v="25"/>
    <d v="2004-02-01T00:00:00"/>
    <x v="1"/>
    <x v="4"/>
    <n v="0"/>
    <n v="1"/>
    <d v="2004-02-01T00:00:00"/>
    <n v="116563"/>
    <m/>
    <m/>
    <n v="0"/>
    <m/>
    <s v="s"/>
    <n v="0"/>
    <m/>
    <m/>
    <m/>
    <s v="smolt entry"/>
    <m/>
    <n v="0"/>
    <n v="0"/>
    <n v="0"/>
  </r>
  <r>
    <n v="25"/>
    <d v="2004-03-01T00:00:00"/>
    <x v="2"/>
    <x v="4"/>
    <n v="29"/>
    <n v="1"/>
    <d v="2004-02-01T00:00:00"/>
    <n v="206458"/>
    <m/>
    <m/>
    <n v="0"/>
    <m/>
    <s v="s"/>
    <n v="0.25"/>
    <m/>
    <m/>
    <m/>
    <m/>
    <m/>
    <n v="0"/>
    <n v="51614.5"/>
    <n v="20645.800000000003"/>
  </r>
  <r>
    <n v="25"/>
    <d v="2004-04-01T00:00:00"/>
    <x v="3"/>
    <x v="4"/>
    <n v="60"/>
    <n v="1"/>
    <d v="2004-02-01T00:00:00"/>
    <n v="973316"/>
    <m/>
    <m/>
    <n v="0"/>
    <m/>
    <s v="s"/>
    <n v="0.5"/>
    <m/>
    <m/>
    <m/>
    <m/>
    <m/>
    <n v="0"/>
    <n v="486658"/>
    <n v="194663.2"/>
  </r>
  <r>
    <n v="25"/>
    <d v="2004-05-01T00:00:00"/>
    <x v="4"/>
    <x v="4"/>
    <n v="90"/>
    <n v="1"/>
    <d v="2004-02-01T00:00:00"/>
    <n v="1120665"/>
    <n v="0.35"/>
    <n v="0.45"/>
    <n v="0"/>
    <m/>
    <m/>
    <n v="0.75"/>
    <m/>
    <n v="9.85"/>
    <n v="31"/>
    <m/>
    <n v="504299.25"/>
    <n v="0"/>
    <n v="840498.75"/>
    <n v="336199.5"/>
  </r>
  <r>
    <n v="25"/>
    <d v="2004-06-01T00:00:00"/>
    <x v="5"/>
    <x v="4"/>
    <n v="121"/>
    <n v="1"/>
    <d v="2004-02-01T00:00:00"/>
    <n v="1082434"/>
    <n v="1.55"/>
    <n v="0.85"/>
    <n v="0.05"/>
    <n v="0"/>
    <m/>
    <n v="0.35"/>
    <m/>
    <m/>
    <m/>
    <m/>
    <n v="920068.9"/>
    <n v="54121.700000000004"/>
    <n v="378851.89999999997"/>
    <n v="151540.75999999998"/>
  </r>
  <r>
    <n v="25"/>
    <d v="2004-07-01T00:00:00"/>
    <x v="6"/>
    <x v="4"/>
    <n v="151"/>
    <n v="1"/>
    <d v="2004-02-01T00:00:00"/>
    <n v="1071500"/>
    <n v="0.4"/>
    <n v="0.4"/>
    <n v="0.1"/>
    <n v="0"/>
    <m/>
    <n v="0.3"/>
    <m/>
    <n v="10"/>
    <n v="30"/>
    <m/>
    <n v="428600"/>
    <n v="107150"/>
    <n v="321450"/>
    <n v="128580"/>
  </r>
  <r>
    <n v="25"/>
    <d v="2004-08-01T00:00:00"/>
    <x v="7"/>
    <x v="4"/>
    <n v="182"/>
    <n v="1"/>
    <d v="2004-02-01T00:00:00"/>
    <n v="1071000"/>
    <n v="0.56999999999999995"/>
    <n v="0.83"/>
    <n v="0.2"/>
    <n v="0"/>
    <m/>
    <n v="0.27"/>
    <m/>
    <n v="10.4"/>
    <n v="25.8"/>
    <m/>
    <n v="888930"/>
    <n v="214200"/>
    <n v="289170"/>
    <n v="115668"/>
  </r>
  <r>
    <n v="25"/>
    <d v="2004-09-01T00:00:00"/>
    <x v="8"/>
    <x v="4"/>
    <n v="213"/>
    <n v="1"/>
    <d v="2004-02-01T00:00:00"/>
    <n v="1049010"/>
    <n v="0.1"/>
    <n v="0.6"/>
    <n v="0.3"/>
    <n v="0"/>
    <m/>
    <n v="0.3"/>
    <m/>
    <n v="9.9"/>
    <n v="27.5"/>
    <m/>
    <n v="629406"/>
    <n v="314703"/>
    <n v="314703"/>
    <n v="125881.20000000001"/>
  </r>
  <r>
    <n v="25"/>
    <d v="2004-10-01T00:00:00"/>
    <x v="9"/>
    <x v="4"/>
    <n v="243"/>
    <n v="1"/>
    <d v="2004-02-01T00:00:00"/>
    <n v="436348"/>
    <n v="0.37"/>
    <n v="1.03"/>
    <n v="0.33"/>
    <m/>
    <m/>
    <n v="0.17"/>
    <m/>
    <n v="9.3000000000000007"/>
    <n v="30.2"/>
    <s v="transferring fish out"/>
    <n v="449438.44"/>
    <n v="143994.84"/>
    <n v="74179.16"/>
    <n v="29671.664000000004"/>
  </r>
  <r>
    <n v="25"/>
    <d v="2004-11-01T00:00:00"/>
    <x v="10"/>
    <x v="4"/>
    <n v="274"/>
    <n v="1"/>
    <d v="2004-02-01T00:00:00"/>
    <n v="72954"/>
    <m/>
    <m/>
    <n v="0.6"/>
    <m/>
    <s v="t"/>
    <n v="0.2"/>
    <m/>
    <m/>
    <m/>
    <m/>
    <m/>
    <n v="43772.4"/>
    <n v="14590.800000000001"/>
    <n v="5836.3200000000006"/>
  </r>
  <r>
    <n v="25"/>
    <d v="2004-12-01T00:00:00"/>
    <x v="11"/>
    <x v="4"/>
    <m/>
    <m/>
    <m/>
    <m/>
    <m/>
    <m/>
    <m/>
    <m/>
    <m/>
    <m/>
    <m/>
    <m/>
    <m/>
    <m/>
    <m/>
    <m/>
    <m/>
    <m/>
  </r>
  <r>
    <n v="25"/>
    <d v="2005-01-01T00:00:00"/>
    <x v="0"/>
    <x v="5"/>
    <m/>
    <m/>
    <m/>
    <m/>
    <m/>
    <m/>
    <m/>
    <m/>
    <m/>
    <m/>
    <m/>
    <m/>
    <m/>
    <m/>
    <m/>
    <m/>
    <m/>
    <m/>
  </r>
  <r>
    <n v="25"/>
    <d v="2005-02-01T00:00:00"/>
    <x v="1"/>
    <x v="5"/>
    <n v="0"/>
    <n v="1"/>
    <d v="2005-02-01T00:00:00"/>
    <n v="255784"/>
    <m/>
    <m/>
    <n v="0"/>
    <m/>
    <s v="s"/>
    <n v="0"/>
    <m/>
    <m/>
    <m/>
    <s v="smolt entry"/>
    <m/>
    <n v="0"/>
    <n v="0"/>
    <n v="0"/>
  </r>
  <r>
    <n v="25"/>
    <d v="2005-03-01T00:00:00"/>
    <x v="2"/>
    <x v="5"/>
    <n v="28"/>
    <n v="1"/>
    <d v="2005-02-01T00:00:00"/>
    <n v="739048"/>
    <m/>
    <m/>
    <n v="0.08"/>
    <m/>
    <s v="s"/>
    <n v="0.11"/>
    <m/>
    <m/>
    <m/>
    <m/>
    <m/>
    <n v="59123.840000000004"/>
    <n v="81295.28"/>
    <n v="32518.112000000001"/>
  </r>
  <r>
    <n v="25"/>
    <d v="2005-04-01T00:00:00"/>
    <x v="3"/>
    <x v="5"/>
    <n v="59"/>
    <n v="1"/>
    <d v="2005-02-01T00:00:00"/>
    <n v="978022"/>
    <n v="1.1399999999999999"/>
    <n v="1.67"/>
    <n v="0.15"/>
    <m/>
    <m/>
    <n v="0.21"/>
    <m/>
    <n v="8"/>
    <n v="31"/>
    <m/>
    <n v="1633296.74"/>
    <n v="146703.29999999999"/>
    <n v="205384.62"/>
    <n v="82153.847999999998"/>
  </r>
  <r>
    <n v="25"/>
    <d v="2005-05-01T00:00:00"/>
    <x v="4"/>
    <x v="5"/>
    <n v="89"/>
    <n v="1"/>
    <d v="2005-02-01T00:00:00"/>
    <n v="964549"/>
    <n v="1.29"/>
    <n v="0.5"/>
    <n v="7.0000000000000007E-2"/>
    <n v="0"/>
    <m/>
    <n v="0.13"/>
    <m/>
    <n v="10"/>
    <n v="31"/>
    <m/>
    <n v="482274.5"/>
    <n v="67518.430000000008"/>
    <n v="125391.37000000001"/>
    <n v="50156.54800000001"/>
  </r>
  <r>
    <n v="25"/>
    <d v="2005-06-01T00:00:00"/>
    <x v="5"/>
    <x v="5"/>
    <n v="120"/>
    <n v="1"/>
    <d v="2005-02-01T00:00:00"/>
    <n v="953211"/>
    <n v="1.32"/>
    <n v="0.28000000000000003"/>
    <n v="0.06"/>
    <n v="0"/>
    <m/>
    <n v="0.33"/>
    <m/>
    <n v="10"/>
    <n v="30"/>
    <m/>
    <n v="266899.08"/>
    <n v="57192.659999999996"/>
    <n v="314559.63"/>
    <n v="125823.85200000001"/>
  </r>
  <r>
    <n v="25"/>
    <d v="2005-07-01T00:00:00"/>
    <x v="6"/>
    <x v="5"/>
    <n v="150"/>
    <n v="1"/>
    <d v="2005-02-01T00:00:00"/>
    <n v="947614"/>
    <n v="0.28999999999999998"/>
    <n v="0.66"/>
    <n v="0.19"/>
    <n v="0"/>
    <m/>
    <n v="0.14000000000000001"/>
    <m/>
    <n v="11"/>
    <n v="29"/>
    <m/>
    <n v="625425.24"/>
    <n v="180046.66"/>
    <n v="132665.96000000002"/>
    <n v="53066.384000000013"/>
  </r>
  <r>
    <n v="25"/>
    <d v="2005-08-01T00:00:00"/>
    <x v="7"/>
    <x v="5"/>
    <n v="181"/>
    <n v="1"/>
    <d v="2005-02-01T00:00:00"/>
    <n v="942123"/>
    <n v="0.57999999999999996"/>
    <n v="0.42"/>
    <n v="0.18"/>
    <n v="0"/>
    <m/>
    <n v="0.1"/>
    <m/>
    <n v="11"/>
    <n v="30"/>
    <m/>
    <n v="395691.66"/>
    <n v="169582.13999999998"/>
    <n v="94212.3"/>
    <n v="37684.920000000006"/>
  </r>
  <r>
    <n v="25"/>
    <d v="2005-09-01T00:00:00"/>
    <x v="8"/>
    <x v="5"/>
    <n v="212"/>
    <n v="1"/>
    <d v="2005-02-01T00:00:00"/>
    <n v="205078"/>
    <n v="0.53"/>
    <n v="1.38"/>
    <n v="0.5"/>
    <m/>
    <m/>
    <n v="0.02"/>
    <m/>
    <n v="10"/>
    <n v="30"/>
    <s v="fish moved to farm #21"/>
    <n v="283007.63999999996"/>
    <n v="102539"/>
    <n v="4101.5600000000004"/>
    <n v="1640.6240000000003"/>
  </r>
  <r>
    <n v="25"/>
    <d v="2005-10-01T00:00:00"/>
    <x v="9"/>
    <x v="5"/>
    <n v="242"/>
    <n v="1"/>
    <d v="2005-02-01T00:00:00"/>
    <n v="136507"/>
    <m/>
    <n v="4.0150000000000006"/>
    <n v="1.675"/>
    <m/>
    <n v="1"/>
    <n v="0.05"/>
    <m/>
    <m/>
    <m/>
    <m/>
    <n v="548075.6050000001"/>
    <n v="228649.22500000001"/>
    <n v="6825.35"/>
    <n v="2730.1400000000003"/>
  </r>
  <r>
    <n v="25"/>
    <d v="2005-11-01T00:00:00"/>
    <x v="10"/>
    <x v="5"/>
    <n v="273"/>
    <n v="1"/>
    <d v="2005-02-01T00:00:00"/>
    <n v="136350"/>
    <n v="0.55000000000000004"/>
    <n v="6.65"/>
    <n v="2.85"/>
    <m/>
    <m/>
    <n v="0.08"/>
    <n v="1"/>
    <n v="8"/>
    <n v="29"/>
    <m/>
    <n v="906727.5"/>
    <n v="388597.5"/>
    <n v="10908"/>
    <n v="4363.2"/>
  </r>
  <r>
    <n v="25"/>
    <d v="2005-12-01T00:00:00"/>
    <x v="11"/>
    <x v="5"/>
    <n v="303"/>
    <n v="1"/>
    <d v="2005-02-01T00:00:00"/>
    <n v="65670"/>
    <n v="0.85"/>
    <n v="2.08"/>
    <n v="0.75"/>
    <m/>
    <m/>
    <n v="7.0000000000000007E-2"/>
    <m/>
    <n v="8"/>
    <n v="30"/>
    <s v="fish transferred out"/>
    <n v="136593.60000000001"/>
    <n v="49252.5"/>
    <n v="4596.9000000000005"/>
    <n v="1838.7600000000002"/>
  </r>
  <r>
    <n v="25"/>
    <d v="2006-01-01T00:00:00"/>
    <x v="0"/>
    <x v="6"/>
    <n v="0"/>
    <n v="1"/>
    <d v="2006-01-01T00:00:00"/>
    <n v="300205"/>
    <m/>
    <m/>
    <n v="0"/>
    <m/>
    <s v="s"/>
    <n v="0"/>
    <m/>
    <m/>
    <m/>
    <s v="smolt entry"/>
    <m/>
    <n v="0"/>
    <n v="0"/>
    <n v="0"/>
  </r>
  <r>
    <n v="25"/>
    <d v="2006-02-01T00:00:00"/>
    <x v="1"/>
    <x v="6"/>
    <n v="31"/>
    <n v="1"/>
    <d v="2006-01-01T00:00:00"/>
    <n v="663068"/>
    <m/>
    <m/>
    <n v="0"/>
    <m/>
    <s v="s"/>
    <n v="0.02"/>
    <m/>
    <m/>
    <m/>
    <m/>
    <m/>
    <n v="0"/>
    <n v="13261.36"/>
    <n v="5304.5440000000008"/>
  </r>
  <r>
    <n v="25"/>
    <d v="2006-03-01T00:00:00"/>
    <x v="2"/>
    <x v="6"/>
    <n v="59"/>
    <n v="1"/>
    <d v="2006-01-01T00:00:00"/>
    <n v="699126"/>
    <n v="0.38"/>
    <n v="0.38"/>
    <n v="0"/>
    <m/>
    <m/>
    <n v="0.03"/>
    <m/>
    <n v="7"/>
    <n v="31"/>
    <m/>
    <n v="265667.88"/>
    <n v="0"/>
    <n v="20973.78"/>
    <n v="8389.5120000000006"/>
  </r>
  <r>
    <n v="25"/>
    <d v="2006-04-01T00:00:00"/>
    <x v="3"/>
    <x v="6"/>
    <n v="90"/>
    <n v="1"/>
    <d v="2006-01-01T00:00:00"/>
    <n v="1163855"/>
    <n v="0.28000000000000003"/>
    <n v="0.59"/>
    <n v="0.08"/>
    <n v="0"/>
    <m/>
    <n v="0.08"/>
    <m/>
    <n v="8"/>
    <n v="30"/>
    <m/>
    <n v="686674.45"/>
    <n v="93108.400000000009"/>
    <n v="93108.400000000009"/>
    <n v="37243.360000000008"/>
  </r>
  <r>
    <n v="25"/>
    <d v="2006-05-01T00:00:00"/>
    <x v="4"/>
    <x v="6"/>
    <n v="120"/>
    <n v="1"/>
    <d v="2006-01-01T00:00:00"/>
    <n v="1154403"/>
    <n v="0.28000000000000003"/>
    <n v="0.68"/>
    <n v="0.16"/>
    <m/>
    <m/>
    <n v="0.08"/>
    <m/>
    <n v="9"/>
    <n v="31"/>
    <m/>
    <n v="784994.04"/>
    <n v="184704.48"/>
    <n v="92352.24"/>
    <n v="36940.896000000001"/>
  </r>
  <r>
    <n v="25"/>
    <d v="2006-06-01T00:00:00"/>
    <x v="5"/>
    <x v="6"/>
    <n v="151"/>
    <n v="1"/>
    <d v="2006-01-01T00:00:00"/>
    <n v="1147820"/>
    <m/>
    <n v="0.53"/>
    <n v="0.11"/>
    <m/>
    <n v="1"/>
    <n v="7.0000000000000007E-2"/>
    <m/>
    <m/>
    <m/>
    <m/>
    <n v="608344.6"/>
    <n v="126260.2"/>
    <n v="80347.400000000009"/>
    <n v="32138.960000000006"/>
  </r>
  <r>
    <n v="25"/>
    <d v="2006-07-01T00:00:00"/>
    <x v="6"/>
    <x v="6"/>
    <n v="181"/>
    <n v="1"/>
    <d v="2006-01-01T00:00:00"/>
    <n v="1146635"/>
    <n v="0.23"/>
    <n v="0.38"/>
    <n v="0.06"/>
    <m/>
    <m/>
    <n v="0.06"/>
    <m/>
    <n v="10"/>
    <n v="30"/>
    <m/>
    <n v="435721.3"/>
    <n v="68798.099999999991"/>
    <n v="68798.099999999991"/>
    <n v="27519.239999999998"/>
  </r>
  <r>
    <n v="25"/>
    <d v="2006-08-01T00:00:00"/>
    <x v="7"/>
    <x v="6"/>
    <n v="212"/>
    <n v="1"/>
    <d v="2006-01-01T00:00:00"/>
    <n v="555835"/>
    <n v="0.13333329999999999"/>
    <n v="0.45"/>
    <n v="8.3333299999999999E-2"/>
    <n v="0"/>
    <m/>
    <n v="0"/>
    <m/>
    <n v="10"/>
    <n v="30"/>
    <s v="~581 K moved to farm #23"/>
    <n v="250125.75"/>
    <n v="46319.564805499998"/>
    <n v="0"/>
    <n v="0"/>
  </r>
  <r>
    <n v="25"/>
    <d v="2006-09-01T00:00:00"/>
    <x v="8"/>
    <x v="6"/>
    <n v="243"/>
    <n v="1"/>
    <d v="2006-01-01T00:00:00"/>
    <n v="310253"/>
    <n v="1.87"/>
    <n v="0.6"/>
    <n v="0.05"/>
    <m/>
    <m/>
    <n v="0.47"/>
    <m/>
    <n v="9"/>
    <n v="28"/>
    <s v="~240K moved to farm #20 (remainder moved in October)"/>
    <n v="186151.8"/>
    <n v="15512.650000000001"/>
    <n v="145818.91"/>
    <n v="58327.564000000006"/>
  </r>
  <r>
    <n v="25"/>
    <d v="2006-10-01T00:00:00"/>
    <x v="9"/>
    <x v="6"/>
    <m/>
    <m/>
    <m/>
    <m/>
    <m/>
    <m/>
    <m/>
    <m/>
    <m/>
    <m/>
    <m/>
    <m/>
    <m/>
    <m/>
    <m/>
    <m/>
    <m/>
    <m/>
  </r>
  <r>
    <n v="25"/>
    <d v="2006-11-01T00:00:00"/>
    <x v="10"/>
    <x v="6"/>
    <m/>
    <m/>
    <m/>
    <m/>
    <m/>
    <m/>
    <m/>
    <m/>
    <m/>
    <m/>
    <m/>
    <m/>
    <m/>
    <m/>
    <m/>
    <m/>
    <m/>
    <m/>
  </r>
  <r>
    <n v="25"/>
    <d v="2006-12-01T00:00:00"/>
    <x v="11"/>
    <x v="6"/>
    <n v="0"/>
    <n v="1"/>
    <d v="2006-12-01T00:00:00"/>
    <n v="72822"/>
    <m/>
    <m/>
    <n v="0"/>
    <m/>
    <s v="s"/>
    <n v="0"/>
    <m/>
    <m/>
    <m/>
    <s v="smolt entry"/>
    <m/>
    <n v="0"/>
    <n v="0"/>
    <n v="0"/>
  </r>
  <r>
    <n v="25"/>
    <d v="2007-01-01T00:00:00"/>
    <x v="0"/>
    <x v="7"/>
    <n v="31"/>
    <n v="1"/>
    <d v="2006-12-01T00:00:00"/>
    <n v="72500"/>
    <n v="0.32"/>
    <n v="0.12"/>
    <n v="0"/>
    <m/>
    <m/>
    <n v="0.05"/>
    <m/>
    <n v="7"/>
    <n v="31"/>
    <s v="smolts"/>
    <n v="8700"/>
    <n v="0"/>
    <n v="3625"/>
    <n v="1450"/>
  </r>
  <r>
    <n v="25"/>
    <d v="2007-02-01T00:00:00"/>
    <x v="1"/>
    <x v="7"/>
    <n v="62"/>
    <n v="1"/>
    <d v="2006-12-01T00:00:00"/>
    <n v="956133"/>
    <n v="0.4"/>
    <n v="0.8"/>
    <n v="0"/>
    <n v="0"/>
    <m/>
    <n v="0.1"/>
    <m/>
    <n v="7"/>
    <n v="30"/>
    <m/>
    <n v="764906.4"/>
    <n v="0"/>
    <n v="95613.3"/>
    <n v="38245.32"/>
  </r>
  <r>
    <n v="25"/>
    <d v="2007-03-01T00:00:00"/>
    <x v="2"/>
    <x v="7"/>
    <n v="90"/>
    <n v="1"/>
    <d v="2006-12-01T00:00:00"/>
    <n v="953758"/>
    <n v="0.57999999999999996"/>
    <n v="1.02"/>
    <n v="0.28000000000000003"/>
    <n v="0"/>
    <m/>
    <n v="0.2"/>
    <m/>
    <n v="8"/>
    <n v="30"/>
    <m/>
    <n v="972833.16"/>
    <n v="267052.24000000005"/>
    <n v="190751.6"/>
    <n v="76300.639999999999"/>
  </r>
  <r>
    <n v="25"/>
    <d v="2007-04-01T00:00:00"/>
    <x v="3"/>
    <x v="7"/>
    <n v="121"/>
    <n v="1"/>
    <d v="2006-12-01T00:00:00"/>
    <n v="1262500"/>
    <n v="1.03"/>
    <n v="0.67"/>
    <n v="0.38"/>
    <n v="0"/>
    <m/>
    <n v="0.32"/>
    <m/>
    <n v="9"/>
    <n v="29"/>
    <m/>
    <n v="845875"/>
    <n v="479750"/>
    <n v="404000"/>
    <n v="161600"/>
  </r>
  <r>
    <n v="25"/>
    <d v="2007-05-01T00:00:00"/>
    <x v="4"/>
    <x v="7"/>
    <n v="151"/>
    <n v="1"/>
    <d v="2006-12-01T00:00:00"/>
    <n v="1363061"/>
    <n v="0.1"/>
    <n v="0.35"/>
    <n v="7.0000000000000007E-2"/>
    <n v="0"/>
    <m/>
    <n v="0.12"/>
    <m/>
    <n v="10"/>
    <n v="27"/>
    <m/>
    <n v="477071.35"/>
    <n v="95414.27"/>
    <n v="163567.32"/>
    <n v="65426.928000000007"/>
  </r>
  <r>
    <n v="25"/>
    <d v="2007-06-01T00:00:00"/>
    <x v="5"/>
    <x v="7"/>
    <n v="182"/>
    <n v="1"/>
    <d v="2006-12-01T00:00:00"/>
    <n v="1359593"/>
    <n v="0.15"/>
    <n v="0.18"/>
    <n v="0.03"/>
    <m/>
    <m/>
    <n v="0.2"/>
    <m/>
    <n v="10"/>
    <n v="32"/>
    <m/>
    <n v="244726.74"/>
    <n v="40787.79"/>
    <n v="271918.60000000003"/>
    <n v="108767.44000000002"/>
  </r>
  <r>
    <n v="25"/>
    <d v="2007-07-01T00:00:00"/>
    <x v="6"/>
    <x v="7"/>
    <n v="212"/>
    <n v="1"/>
    <d v="2006-12-01T00:00:00"/>
    <n v="1275237"/>
    <m/>
    <m/>
    <n v="0.03"/>
    <m/>
    <s v="t"/>
    <n v="0.2"/>
    <m/>
    <m/>
    <m/>
    <m/>
    <m/>
    <n v="38257.11"/>
    <n v="255047.40000000002"/>
    <n v="102018.96000000002"/>
  </r>
  <r>
    <n v="25"/>
    <d v="2007-08-01T00:00:00"/>
    <x v="7"/>
    <x v="7"/>
    <n v="243"/>
    <n v="1"/>
    <d v="2006-12-01T00:00:00"/>
    <n v="1272283"/>
    <m/>
    <m/>
    <n v="0.03"/>
    <m/>
    <s v="t"/>
    <n v="0.2"/>
    <m/>
    <m/>
    <m/>
    <s v="Shipped to farm #21"/>
    <m/>
    <n v="38168.49"/>
    <n v="254456.6"/>
    <n v="101782.64000000001"/>
  </r>
  <r>
    <n v="25"/>
    <d v="2007-09-01T00:00:00"/>
    <x v="8"/>
    <x v="7"/>
    <n v="274"/>
    <n v="1"/>
    <d v="2006-12-01T00:00:00"/>
    <n v="308246"/>
    <m/>
    <m/>
    <n v="0.03"/>
    <m/>
    <s v="t"/>
    <n v="0.2"/>
    <m/>
    <m/>
    <m/>
    <s v="Shipped last fish to farm #22 on Sept 20"/>
    <m/>
    <n v="9247.3799999999992"/>
    <n v="61649.200000000004"/>
    <n v="24659.680000000004"/>
  </r>
  <r>
    <n v="25"/>
    <d v="2007-10-01T00:00:00"/>
    <x v="9"/>
    <x v="7"/>
    <m/>
    <m/>
    <m/>
    <m/>
    <m/>
    <m/>
    <m/>
    <m/>
    <m/>
    <m/>
    <m/>
    <m/>
    <m/>
    <m/>
    <m/>
    <m/>
    <m/>
    <m/>
  </r>
  <r>
    <n v="25"/>
    <d v="2007-11-01T00:00:00"/>
    <x v="10"/>
    <x v="7"/>
    <m/>
    <m/>
    <m/>
    <m/>
    <m/>
    <m/>
    <m/>
    <m/>
    <m/>
    <m/>
    <m/>
    <m/>
    <m/>
    <m/>
    <m/>
    <m/>
    <m/>
    <m/>
  </r>
  <r>
    <n v="25"/>
    <d v="2007-12-01T00:00:00"/>
    <x v="11"/>
    <x v="7"/>
    <n v="0"/>
    <n v="1"/>
    <d v="2007-12-01T00:00:00"/>
    <n v="773617"/>
    <m/>
    <m/>
    <n v="0"/>
    <m/>
    <s v="s"/>
    <n v="0"/>
    <m/>
    <m/>
    <m/>
    <s v="smolt entry"/>
    <m/>
    <n v="0"/>
    <n v="0"/>
    <n v="0"/>
  </r>
  <r>
    <n v="25"/>
    <d v="2008-01-01T00:00:00"/>
    <x v="0"/>
    <x v="8"/>
    <n v="31"/>
    <n v="1"/>
    <d v="2007-12-01T00:00:00"/>
    <n v="1232000"/>
    <m/>
    <m/>
    <n v="0"/>
    <m/>
    <s v="s"/>
    <n v="0.01"/>
    <m/>
    <m/>
    <m/>
    <m/>
    <m/>
    <n v="0"/>
    <n v="12320"/>
    <n v="4928"/>
  </r>
  <r>
    <n v="25"/>
    <d v="2008-02-01T00:00:00"/>
    <x v="1"/>
    <x v="8"/>
    <n v="62"/>
    <n v="1"/>
    <d v="2007-12-01T00:00:00"/>
    <n v="1216944"/>
    <n v="0.13333329999999999"/>
    <n v="0.1833333"/>
    <n v="0"/>
    <m/>
    <m/>
    <n v="1.66666E-2"/>
    <m/>
    <m/>
    <m/>
    <m/>
    <n v="223106.35943519999"/>
    <n v="0"/>
    <n v="20282.318870399999"/>
    <n v="8112.9275481599998"/>
  </r>
  <r>
    <n v="25"/>
    <d v="2008-03-01T00:00:00"/>
    <x v="2"/>
    <x v="8"/>
    <n v="91"/>
    <n v="1"/>
    <d v="2007-12-01T00:00:00"/>
    <n v="1194641"/>
    <n v="0.2"/>
    <n v="0.15"/>
    <n v="0.02"/>
    <n v="0"/>
    <m/>
    <n v="0"/>
    <m/>
    <m/>
    <m/>
    <m/>
    <n v="179196.15"/>
    <n v="23892.82"/>
    <n v="0"/>
    <n v="0"/>
  </r>
  <r>
    <n v="25"/>
    <d v="2008-04-01T00:00:00"/>
    <x v="3"/>
    <x v="8"/>
    <n v="122"/>
    <n v="1"/>
    <d v="2007-12-01T00:00:00"/>
    <n v="1185583"/>
    <n v="0.42"/>
    <n v="0.5"/>
    <n v="0.02"/>
    <n v="0"/>
    <m/>
    <n v="0.15"/>
    <m/>
    <m/>
    <m/>
    <m/>
    <n v="592791.5"/>
    <n v="23711.66"/>
    <n v="177837.44999999998"/>
    <n v="71134.98"/>
  </r>
  <r>
    <n v="25"/>
    <d v="2008-05-01T00:00:00"/>
    <x v="4"/>
    <x v="8"/>
    <n v="152"/>
    <n v="1"/>
    <d v="2007-12-01T00:00:00"/>
    <n v="1182398"/>
    <n v="0.2"/>
    <n v="0.37"/>
    <n v="7.0000000000000007E-2"/>
    <n v="0"/>
    <m/>
    <n v="0.05"/>
    <m/>
    <m/>
    <m/>
    <m/>
    <n v="437487.26"/>
    <n v="82767.860000000015"/>
    <n v="59119.9"/>
    <n v="23647.960000000003"/>
  </r>
  <r>
    <n v="25"/>
    <d v="2008-06-01T00:00:00"/>
    <x v="5"/>
    <x v="8"/>
    <n v="183"/>
    <n v="1"/>
    <d v="2007-12-01T00:00:00"/>
    <n v="1174044"/>
    <n v="0.12"/>
    <n v="0.23"/>
    <n v="0.04"/>
    <m/>
    <m/>
    <n v="0.09"/>
    <m/>
    <m/>
    <m/>
    <m/>
    <n v="270030.12"/>
    <n v="46961.760000000002"/>
    <n v="105663.95999999999"/>
    <n v="42265.584000000003"/>
  </r>
  <r>
    <n v="25"/>
    <d v="2008-07-01T00:00:00"/>
    <x v="6"/>
    <x v="8"/>
    <n v="213"/>
    <n v="1"/>
    <d v="2007-12-01T00:00:00"/>
    <n v="1170044"/>
    <m/>
    <n v="0.23"/>
    <n v="0.04"/>
    <m/>
    <s v="t"/>
    <n v="0.09"/>
    <m/>
    <m/>
    <m/>
    <m/>
    <n v="269110.12"/>
    <n v="46801.760000000002"/>
    <n v="105303.95999999999"/>
    <n v="42121.584000000003"/>
  </r>
  <r>
    <n v="25"/>
    <d v="2008-08-01T00:00:00"/>
    <x v="7"/>
    <x v="8"/>
    <m/>
    <m/>
    <m/>
    <m/>
    <m/>
    <m/>
    <m/>
    <m/>
    <m/>
    <m/>
    <m/>
    <m/>
    <m/>
    <s v="moved fish to farm #23 Aug 3, 2008 and Aug 11, 2008; other to farm #13?"/>
    <m/>
    <m/>
    <m/>
    <m/>
  </r>
  <r>
    <n v="25"/>
    <d v="2008-09-01T00:00:00"/>
    <x v="8"/>
    <x v="8"/>
    <m/>
    <m/>
    <m/>
    <m/>
    <m/>
    <m/>
    <m/>
    <m/>
    <m/>
    <m/>
    <m/>
    <m/>
    <m/>
    <m/>
    <m/>
    <m/>
    <m/>
    <m/>
  </r>
  <r>
    <n v="25"/>
    <d v="2008-10-01T00:00:00"/>
    <x v="9"/>
    <x v="8"/>
    <m/>
    <m/>
    <m/>
    <m/>
    <m/>
    <m/>
    <m/>
    <m/>
    <m/>
    <m/>
    <m/>
    <m/>
    <m/>
    <m/>
    <m/>
    <m/>
    <m/>
    <m/>
  </r>
  <r>
    <n v="25"/>
    <d v="2008-11-01T00:00:00"/>
    <x v="10"/>
    <x v="8"/>
    <n v="0"/>
    <n v="1"/>
    <d v="2008-11-01T00:00:00"/>
    <n v="1061364"/>
    <n v="0.5"/>
    <n v="0.05"/>
    <n v="0"/>
    <m/>
    <m/>
    <n v="0.37"/>
    <m/>
    <m/>
    <m/>
    <s v="smolt entry (stocked 24 Oct 2008)"/>
    <n v="53068.200000000004"/>
    <n v="0"/>
    <n v="392704.68"/>
    <n v="157081.872"/>
  </r>
  <r>
    <n v="25"/>
    <d v="2008-12-01T00:00:00"/>
    <x v="11"/>
    <x v="8"/>
    <n v="30"/>
    <n v="1"/>
    <d v="2008-11-01T00:00:00"/>
    <n v="1150854"/>
    <n v="0.65"/>
    <n v="0.15"/>
    <n v="0.04"/>
    <n v="0"/>
    <m/>
    <n v="0"/>
    <m/>
    <m/>
    <m/>
    <s v="Jan 1 09 count"/>
    <n v="172628.1"/>
    <n v="46034.16"/>
    <n v="0"/>
    <n v="0"/>
  </r>
  <r>
    <n v="25"/>
    <d v="2009-01-01T00:00:00"/>
    <x v="0"/>
    <x v="9"/>
    <n v="92"/>
    <n v="1"/>
    <d v="2008-10-01T00:00:00"/>
    <n v="1150000"/>
    <n v="0.71"/>
    <n v="0.11"/>
    <n v="0.05"/>
    <n v="0"/>
    <m/>
    <n v="0"/>
    <m/>
    <m/>
    <m/>
    <m/>
    <n v="126500"/>
    <n v="57500"/>
    <n v="0"/>
    <n v="0"/>
  </r>
  <r>
    <n v="25"/>
    <d v="2009-02-01T00:00:00"/>
    <x v="1"/>
    <x v="9"/>
    <n v="123"/>
    <n v="1"/>
    <d v="2008-10-01T00:00:00"/>
    <n v="1149212"/>
    <n v="0.32"/>
    <n v="0.3"/>
    <n v="0.04"/>
    <n v="0"/>
    <m/>
    <n v="1.1499999999999999"/>
    <m/>
    <m/>
    <m/>
    <m/>
    <n v="344763.6"/>
    <n v="45968.480000000003"/>
    <n v="1321593.7999999998"/>
    <n v="528637.5199999999"/>
  </r>
  <r>
    <n v="25"/>
    <d v="2009-03-01T00:00:00"/>
    <x v="2"/>
    <x v="9"/>
    <n v="151"/>
    <n v="1"/>
    <d v="2008-10-01T00:00:00"/>
    <n v="1144418"/>
    <n v="0.35"/>
    <n v="0.32"/>
    <n v="0.08"/>
    <n v="0"/>
    <m/>
    <n v="0.5"/>
    <m/>
    <m/>
    <m/>
    <m/>
    <n v="366213.76"/>
    <n v="91553.44"/>
    <n v="572209"/>
    <n v="228883.6"/>
  </r>
  <r>
    <n v="25"/>
    <d v="2009-04-01T00:00:00"/>
    <x v="3"/>
    <x v="9"/>
    <n v="182"/>
    <n v="1"/>
    <d v="2008-10-01T00:00:00"/>
    <n v="1138347"/>
    <n v="0.25"/>
    <n v="0.27"/>
    <n v="0.05"/>
    <n v="0"/>
    <m/>
    <n v="0.08"/>
    <m/>
    <m/>
    <m/>
    <m/>
    <n v="307353.69"/>
    <n v="56917.350000000006"/>
    <n v="91067.76"/>
    <n v="36427.103999999999"/>
  </r>
  <r>
    <n v="25"/>
    <d v="2009-05-01T00:00:00"/>
    <x v="4"/>
    <x v="9"/>
    <n v="212"/>
    <n v="1"/>
    <d v="2008-10-01T00:00:00"/>
    <n v="1135054"/>
    <n v="0.16"/>
    <n v="0.22"/>
    <n v="0.04"/>
    <n v="0"/>
    <m/>
    <n v="0.02"/>
    <m/>
    <m/>
    <m/>
    <m/>
    <n v="249711.88"/>
    <n v="45402.16"/>
    <n v="22701.08"/>
    <n v="9080.4320000000007"/>
  </r>
  <r>
    <n v="25"/>
    <d v="2009-06-01T00:00:00"/>
    <x v="5"/>
    <x v="9"/>
    <n v="243"/>
    <n v="1"/>
    <d v="2008-10-01T00:00:00"/>
    <n v="1132577"/>
    <n v="0.08"/>
    <n v="0.21"/>
    <n v="0.04"/>
    <m/>
    <m/>
    <n v="0.04"/>
    <m/>
    <m/>
    <m/>
    <s v="started moving to other sites"/>
    <n v="237841.16999999998"/>
    <n v="45303.08"/>
    <n v="45303.08"/>
    <n v="18121.232"/>
  </r>
  <r>
    <n v="25"/>
    <d v="2009-07-01T00:00:00"/>
    <x v="6"/>
    <x v="9"/>
    <m/>
    <m/>
    <m/>
    <m/>
    <m/>
    <m/>
    <m/>
    <m/>
    <m/>
    <m/>
    <m/>
    <m/>
    <m/>
    <s v="fallow on july 6"/>
    <m/>
    <m/>
    <m/>
    <m/>
  </r>
  <r>
    <n v="25"/>
    <d v="2009-08-01T00:00:00"/>
    <x v="7"/>
    <x v="9"/>
    <m/>
    <m/>
    <m/>
    <m/>
    <m/>
    <m/>
    <m/>
    <m/>
    <m/>
    <m/>
    <m/>
    <m/>
    <m/>
    <m/>
    <m/>
    <m/>
    <m/>
    <m/>
  </r>
  <r>
    <n v="25"/>
    <d v="2009-09-01T00:00:00"/>
    <x v="8"/>
    <x v="9"/>
    <m/>
    <m/>
    <m/>
    <m/>
    <m/>
    <m/>
    <m/>
    <m/>
    <m/>
    <m/>
    <m/>
    <m/>
    <m/>
    <m/>
    <m/>
    <m/>
    <m/>
    <m/>
  </r>
  <r>
    <n v="25"/>
    <d v="2009-10-01T00:00:00"/>
    <x v="9"/>
    <x v="9"/>
    <m/>
    <m/>
    <d v="2009-10-01T00:00:00"/>
    <m/>
    <m/>
    <m/>
    <m/>
    <m/>
    <m/>
    <m/>
    <m/>
    <m/>
    <m/>
    <s v="begin stocking Oct 11"/>
    <m/>
    <m/>
    <m/>
    <m/>
  </r>
  <r>
    <n v="25"/>
    <d v="2009-11-01T00:00:00"/>
    <x v="10"/>
    <x v="9"/>
    <n v="31"/>
    <n v="1"/>
    <d v="2009-10-01T00:00:00"/>
    <n v="253869"/>
    <m/>
    <m/>
    <n v="0"/>
    <m/>
    <s v="s"/>
    <n v="0"/>
    <m/>
    <m/>
    <m/>
    <s v="inventory as of Nov 1"/>
    <m/>
    <n v="0"/>
    <n v="0"/>
    <n v="0"/>
  </r>
  <r>
    <n v="25"/>
    <d v="2009-12-01T00:00:00"/>
    <x v="11"/>
    <x v="9"/>
    <n v="61"/>
    <n v="1"/>
    <d v="2009-10-01T00:00:00"/>
    <n v="1011860"/>
    <n v="0.13"/>
    <n v="7.0000000000000007E-2"/>
    <n v="0.02"/>
    <m/>
    <m/>
    <n v="0.02"/>
    <m/>
    <m/>
    <m/>
    <m/>
    <n v="70830.200000000012"/>
    <n v="20237.2"/>
    <n v="20237.2"/>
    <n v="8094.880000000001"/>
  </r>
  <r>
    <n v="26"/>
    <d v="2006-03-01T00:00:00"/>
    <x v="2"/>
    <x v="6"/>
    <m/>
    <m/>
    <m/>
    <m/>
    <m/>
    <m/>
    <m/>
    <m/>
    <m/>
    <m/>
    <m/>
    <m/>
    <m/>
    <m/>
    <m/>
    <m/>
    <m/>
    <m/>
  </r>
  <r>
    <n v="26"/>
    <d v="2006-04-01T00:00:00"/>
    <x v="3"/>
    <x v="6"/>
    <n v="0"/>
    <n v="1"/>
    <d v="2006-04-01T00:00:00"/>
    <n v="450000"/>
    <m/>
    <m/>
    <n v="0"/>
    <m/>
    <s v="s"/>
    <n v="0"/>
    <m/>
    <m/>
    <m/>
    <s v="smolt entry"/>
    <m/>
    <n v="0"/>
    <n v="0"/>
    <n v="0"/>
  </r>
  <r>
    <n v="26"/>
    <d v="2006-05-01T00:00:00"/>
    <x v="4"/>
    <x v="6"/>
    <n v="30"/>
    <n v="1"/>
    <d v="2006-04-01T00:00:00"/>
    <n v="475000"/>
    <m/>
    <m/>
    <n v="0"/>
    <m/>
    <s v="s"/>
    <n v="0"/>
    <m/>
    <m/>
    <m/>
    <m/>
    <m/>
    <n v="0"/>
    <n v="0"/>
    <n v="0"/>
  </r>
  <r>
    <n v="26"/>
    <d v="2006-06-01T00:00:00"/>
    <x v="5"/>
    <x v="6"/>
    <n v="61"/>
    <n v="1"/>
    <d v="2006-04-01T00:00:00"/>
    <n v="475000"/>
    <n v="0"/>
    <n v="0"/>
    <n v="0"/>
    <m/>
    <m/>
    <n v="0"/>
    <m/>
    <n v="12"/>
    <n v="24"/>
    <m/>
    <n v="0"/>
    <n v="0"/>
    <n v="0"/>
    <n v="0"/>
  </r>
  <r>
    <n v="26"/>
    <d v="2006-07-01T00:00:00"/>
    <x v="6"/>
    <x v="6"/>
    <n v="91"/>
    <n v="1"/>
    <d v="2006-04-01T00:00:00"/>
    <n v="470000"/>
    <n v="0"/>
    <n v="0"/>
    <n v="0"/>
    <n v="0"/>
    <m/>
    <n v="0"/>
    <m/>
    <n v="12"/>
    <n v="22"/>
    <m/>
    <n v="0"/>
    <n v="0"/>
    <n v="0"/>
    <n v="0"/>
  </r>
  <r>
    <n v="26"/>
    <d v="2006-08-01T00:00:00"/>
    <x v="7"/>
    <x v="6"/>
    <n v="122"/>
    <n v="1"/>
    <d v="2006-04-01T00:00:00"/>
    <n v="468000"/>
    <n v="0"/>
    <n v="0"/>
    <n v="0"/>
    <n v="0"/>
    <m/>
    <n v="0"/>
    <m/>
    <n v="12"/>
    <n v="24"/>
    <m/>
    <n v="0"/>
    <n v="0"/>
    <n v="0"/>
    <n v="0"/>
  </r>
  <r>
    <n v="26"/>
    <d v="2006-09-01T00:00:00"/>
    <x v="8"/>
    <x v="6"/>
    <n v="153"/>
    <n v="1"/>
    <d v="2006-04-01T00:00:00"/>
    <n v="468000"/>
    <n v="0"/>
    <n v="0"/>
    <n v="0"/>
    <n v="0"/>
    <m/>
    <n v="0"/>
    <m/>
    <n v="10"/>
    <n v="25"/>
    <m/>
    <n v="0"/>
    <n v="0"/>
    <n v="0"/>
    <n v="0"/>
  </r>
  <r>
    <n v="26"/>
    <d v="2006-10-01T00:00:00"/>
    <x v="9"/>
    <x v="6"/>
    <n v="183"/>
    <n v="1"/>
    <d v="2006-04-01T00:00:00"/>
    <n v="466000"/>
    <n v="0.12"/>
    <n v="0.05"/>
    <n v="0"/>
    <n v="0"/>
    <m/>
    <n v="0"/>
    <m/>
    <n v="10"/>
    <n v="25"/>
    <m/>
    <n v="23300"/>
    <n v="0"/>
    <n v="0"/>
    <n v="0"/>
  </r>
  <r>
    <n v="26"/>
    <d v="2006-11-01T00:00:00"/>
    <x v="10"/>
    <x v="6"/>
    <n v="214"/>
    <n v="1"/>
    <d v="2006-04-01T00:00:00"/>
    <n v="458000"/>
    <n v="0.9"/>
    <n v="0.5"/>
    <n v="0"/>
    <n v="0"/>
    <m/>
    <n v="0"/>
    <m/>
    <n v="8"/>
    <n v="29"/>
    <m/>
    <n v="229000"/>
    <n v="0"/>
    <n v="0"/>
    <n v="0"/>
  </r>
  <r>
    <n v="26"/>
    <d v="2006-12-01T00:00:00"/>
    <x v="11"/>
    <x v="6"/>
    <n v="244"/>
    <n v="1"/>
    <d v="2006-04-01T00:00:00"/>
    <n v="457000"/>
    <n v="2.17"/>
    <n v="1.33"/>
    <n v="0"/>
    <n v="0"/>
    <m/>
    <n v="7.0000000000000007E-2"/>
    <m/>
    <n v="8"/>
    <n v="29"/>
    <m/>
    <n v="607810"/>
    <n v="0"/>
    <n v="31990.000000000004"/>
    <n v="12796.000000000002"/>
  </r>
  <r>
    <n v="26"/>
    <d v="2007-01-01T00:00:00"/>
    <x v="0"/>
    <x v="7"/>
    <n v="275"/>
    <n v="1"/>
    <d v="2006-04-01T00:00:00"/>
    <n v="456000"/>
    <n v="1.6166666000000001"/>
    <n v="2.8333333000000001"/>
    <n v="0"/>
    <n v="0"/>
    <m/>
    <n v="0"/>
    <m/>
    <n v="7"/>
    <n v="29"/>
    <m/>
    <n v="1291999.9848"/>
    <n v="0"/>
    <n v="0"/>
    <n v="0"/>
  </r>
  <r>
    <n v="26"/>
    <d v="2007-02-01T00:00:00"/>
    <x v="1"/>
    <x v="7"/>
    <n v="306"/>
    <n v="1"/>
    <d v="2006-04-01T00:00:00"/>
    <n v="455000"/>
    <n v="0.61"/>
    <n v="1.17"/>
    <n v="0.16"/>
    <n v="0"/>
    <m/>
    <n v="0.03"/>
    <m/>
    <n v="7"/>
    <n v="29"/>
    <m/>
    <n v="532350"/>
    <n v="72800"/>
    <n v="13650"/>
    <n v="5460"/>
  </r>
  <r>
    <n v="26"/>
    <d v="2007-03-01T00:00:00"/>
    <x v="2"/>
    <x v="7"/>
    <n v="334"/>
    <n v="1"/>
    <d v="2006-04-01T00:00:00"/>
    <n v="454000"/>
    <n v="2.35"/>
    <n v="1.3"/>
    <n v="0.28000000000000003"/>
    <m/>
    <m/>
    <n v="0"/>
    <m/>
    <n v="7"/>
    <n v="29"/>
    <m/>
    <n v="590200"/>
    <n v="127120.00000000001"/>
    <n v="0"/>
    <n v="0"/>
  </r>
  <r>
    <n v="26"/>
    <d v="2007-04-01T00:00:00"/>
    <x v="3"/>
    <x v="7"/>
    <n v="365"/>
    <n v="2"/>
    <d v="2006-04-01T00:00:00"/>
    <n v="454000"/>
    <m/>
    <n v="0.68500000000000005"/>
    <n v="0.15500000000000003"/>
    <m/>
    <n v="1"/>
    <n v="0"/>
    <m/>
    <m/>
    <m/>
    <m/>
    <n v="310990"/>
    <n v="70370.000000000015"/>
    <n v="0"/>
    <n v="0"/>
  </r>
  <r>
    <n v="26"/>
    <d v="2007-05-01T00:00:00"/>
    <x v="4"/>
    <x v="7"/>
    <n v="395"/>
    <n v="2"/>
    <d v="2006-04-01T00:00:00"/>
    <n v="452000"/>
    <n v="0.02"/>
    <n v="7.0000000000000007E-2"/>
    <n v="0.03"/>
    <m/>
    <m/>
    <n v="0"/>
    <m/>
    <n v="9"/>
    <n v="29"/>
    <m/>
    <n v="31640.000000000004"/>
    <n v="13560"/>
    <n v="0"/>
    <n v="0"/>
  </r>
  <r>
    <n v="26"/>
    <d v="2007-06-01T00:00:00"/>
    <x v="5"/>
    <x v="7"/>
    <n v="426"/>
    <n v="2"/>
    <d v="2006-04-01T00:00:00"/>
    <n v="432000"/>
    <n v="0"/>
    <n v="0.17"/>
    <n v="0.05"/>
    <n v="0"/>
    <m/>
    <n v="0"/>
    <m/>
    <n v="11"/>
    <n v="25"/>
    <m/>
    <n v="73440"/>
    <n v="21600"/>
    <n v="0"/>
    <n v="0"/>
  </r>
  <r>
    <n v="26"/>
    <d v="2007-07-01T00:00:00"/>
    <x v="6"/>
    <x v="7"/>
    <n v="456"/>
    <n v="2"/>
    <d v="2006-04-01T00:00:00"/>
    <n v="431000"/>
    <n v="0.05"/>
    <n v="0.05"/>
    <n v="0.03"/>
    <n v="0"/>
    <m/>
    <n v="0.02"/>
    <m/>
    <n v="11"/>
    <n v="18"/>
    <m/>
    <n v="21550"/>
    <n v="12930"/>
    <n v="8620"/>
    <n v="3448"/>
  </r>
  <r>
    <n v="26"/>
    <d v="2007-08-01T00:00:00"/>
    <x v="7"/>
    <x v="7"/>
    <n v="487"/>
    <n v="2"/>
    <d v="2006-04-01T00:00:00"/>
    <n v="426000"/>
    <n v="0.02"/>
    <n v="0.12"/>
    <n v="0.03"/>
    <n v="0"/>
    <m/>
    <n v="0"/>
    <m/>
    <n v="11"/>
    <n v="21"/>
    <m/>
    <n v="51120"/>
    <n v="12780"/>
    <n v="0"/>
    <n v="0"/>
  </r>
  <r>
    <n v="26"/>
    <d v="2007-09-01T00:00:00"/>
    <x v="8"/>
    <x v="7"/>
    <n v="518"/>
    <n v="2"/>
    <d v="2006-04-01T00:00:00"/>
    <n v="337000"/>
    <n v="0.05"/>
    <n v="0.13"/>
    <n v="0.03"/>
    <n v="0"/>
    <m/>
    <n v="0"/>
    <m/>
    <n v="10"/>
    <n v="24"/>
    <m/>
    <n v="43810"/>
    <n v="10110"/>
    <n v="0"/>
    <n v="0"/>
  </r>
  <r>
    <n v="26"/>
    <d v="2007-10-01T00:00:00"/>
    <x v="9"/>
    <x v="7"/>
    <n v="548"/>
    <n v="2"/>
    <d v="2006-04-01T00:00:00"/>
    <n v="258000"/>
    <n v="0"/>
    <n v="0.12"/>
    <n v="0.08"/>
    <n v="0"/>
    <m/>
    <n v="0.05"/>
    <m/>
    <n v="9"/>
    <n v="26"/>
    <m/>
    <n v="30960"/>
    <n v="20640"/>
    <n v="12900"/>
    <n v="5160"/>
  </r>
  <r>
    <n v="26"/>
    <d v="2007-11-01T00:00:00"/>
    <x v="10"/>
    <x v="7"/>
    <n v="579"/>
    <n v="2"/>
    <d v="2006-04-01T00:00:00"/>
    <n v="257000"/>
    <n v="0.03"/>
    <n v="0.12"/>
    <n v="0"/>
    <n v="0"/>
    <m/>
    <n v="0"/>
    <m/>
    <n v="8"/>
    <n v="26"/>
    <m/>
    <n v="30840"/>
    <n v="0"/>
    <n v="0"/>
    <n v="0"/>
  </r>
  <r>
    <n v="26"/>
    <d v="2007-12-01T00:00:00"/>
    <x v="11"/>
    <x v="7"/>
    <n v="609"/>
    <n v="2"/>
    <d v="2006-04-01T00:00:00"/>
    <n v="257000"/>
    <n v="0.08"/>
    <n v="0.3"/>
    <n v="0.18"/>
    <n v="0"/>
    <m/>
    <n v="0"/>
    <m/>
    <n v="8"/>
    <n v="28"/>
    <m/>
    <n v="77100"/>
    <n v="46260"/>
    <n v="0"/>
    <n v="0"/>
  </r>
  <r>
    <n v="26"/>
    <d v="2008-01-01T00:00:00"/>
    <x v="0"/>
    <x v="8"/>
    <n v="640"/>
    <n v="2"/>
    <d v="2006-04-01T00:00:00"/>
    <n v="257000"/>
    <n v="0.03"/>
    <n v="0.75"/>
    <n v="0.33"/>
    <n v="0"/>
    <m/>
    <n v="0.05"/>
    <m/>
    <m/>
    <m/>
    <m/>
    <n v="192750"/>
    <n v="84810"/>
    <n v="12850"/>
    <n v="5140"/>
  </r>
  <r>
    <n v="26"/>
    <d v="2008-02-01T00:00:00"/>
    <x v="1"/>
    <x v="8"/>
    <n v="671"/>
    <n v="2"/>
    <d v="2006-04-01T00:00:00"/>
    <n v="256000"/>
    <n v="0.3"/>
    <n v="0.63333329999999999"/>
    <n v="0.3"/>
    <n v="0"/>
    <m/>
    <n v="0"/>
    <m/>
    <m/>
    <m/>
    <m/>
    <n v="162133.3248"/>
    <n v="76800"/>
    <n v="0"/>
    <n v="0"/>
  </r>
  <r>
    <n v="26"/>
    <d v="2008-03-01T00:00:00"/>
    <x v="2"/>
    <x v="8"/>
    <n v="700"/>
    <n v="2"/>
    <d v="2006-04-01T00:00:00"/>
    <n v="61000"/>
    <n v="0.03"/>
    <n v="0.92"/>
    <n v="0.43"/>
    <m/>
    <m/>
    <n v="0.12"/>
    <m/>
    <m/>
    <m/>
    <m/>
    <n v="56120"/>
    <n v="26230"/>
    <n v="7320"/>
    <n v="2928"/>
  </r>
  <r>
    <n v="26"/>
    <d v="2008-04-01T00:00:00"/>
    <x v="3"/>
    <x v="8"/>
    <m/>
    <m/>
    <m/>
    <m/>
    <m/>
    <m/>
    <m/>
    <m/>
    <m/>
    <m/>
    <m/>
    <m/>
    <m/>
    <m/>
    <m/>
    <m/>
    <m/>
    <m/>
  </r>
  <r>
    <n v="26"/>
    <d v="2008-05-01T00:00:00"/>
    <x v="4"/>
    <x v="8"/>
    <n v="0"/>
    <n v="1"/>
    <d v="2008-05-01T00:00:00"/>
    <n v="589000"/>
    <m/>
    <n v="0"/>
    <n v="0"/>
    <m/>
    <s v="s"/>
    <n v="0"/>
    <m/>
    <m/>
    <m/>
    <s v="smolts stocked"/>
    <n v="0"/>
    <n v="0"/>
    <n v="0"/>
    <n v="0"/>
  </r>
  <r>
    <n v="26"/>
    <d v="2008-06-01T00:00:00"/>
    <x v="5"/>
    <x v="8"/>
    <n v="31"/>
    <n v="1"/>
    <d v="2008-05-01T00:00:00"/>
    <n v="883000"/>
    <n v="0"/>
    <n v="1.6666666666666666E-2"/>
    <n v="0"/>
    <m/>
    <m/>
    <n v="1.6666666666666666E-2"/>
    <m/>
    <m/>
    <m/>
    <m/>
    <n v="14716.666666666666"/>
    <n v="0"/>
    <n v="14716.666666666666"/>
    <n v="5886.666666666667"/>
  </r>
  <r>
    <n v="26"/>
    <d v="2008-07-01T00:00:00"/>
    <x v="6"/>
    <x v="8"/>
    <n v="61"/>
    <n v="1"/>
    <d v="2008-05-01T00:00:00"/>
    <n v="883000"/>
    <n v="0"/>
    <n v="0.08"/>
    <n v="0"/>
    <n v="0"/>
    <m/>
    <n v="0"/>
    <m/>
    <m/>
    <m/>
    <m/>
    <n v="70640"/>
    <n v="0"/>
    <n v="0"/>
    <n v="0"/>
  </r>
  <r>
    <n v="26"/>
    <d v="2008-08-01T00:00:00"/>
    <x v="7"/>
    <x v="8"/>
    <n v="92"/>
    <n v="1"/>
    <d v="2008-05-01T00:00:00"/>
    <n v="880000"/>
    <n v="7.0000000000000007E-2"/>
    <n v="0.03"/>
    <n v="0"/>
    <n v="0"/>
    <m/>
    <n v="0"/>
    <m/>
    <m/>
    <m/>
    <m/>
    <n v="26400"/>
    <n v="0"/>
    <n v="0"/>
    <n v="0"/>
  </r>
  <r>
    <n v="26"/>
    <d v="2008-09-01T00:00:00"/>
    <x v="8"/>
    <x v="8"/>
    <n v="123"/>
    <n v="1"/>
    <d v="2008-05-01T00:00:00"/>
    <n v="876000"/>
    <n v="0"/>
    <n v="0"/>
    <n v="0"/>
    <n v="0"/>
    <m/>
    <n v="0"/>
    <m/>
    <m/>
    <m/>
    <m/>
    <n v="0"/>
    <n v="0"/>
    <n v="0"/>
    <n v="0"/>
  </r>
  <r>
    <n v="26"/>
    <d v="2008-10-01T00:00:00"/>
    <x v="9"/>
    <x v="8"/>
    <n v="153"/>
    <n v="1"/>
    <d v="2008-05-01T00:00:00"/>
    <n v="746000"/>
    <n v="7.0000000000000007E-2"/>
    <n v="0"/>
    <n v="0"/>
    <n v="0"/>
    <m/>
    <n v="0"/>
    <m/>
    <m/>
    <m/>
    <s v="transferring out"/>
    <n v="0"/>
    <n v="0"/>
    <n v="0"/>
    <n v="0"/>
  </r>
  <r>
    <n v="26"/>
    <d v="2008-11-01T00:00:00"/>
    <x v="10"/>
    <x v="8"/>
    <n v="184"/>
    <n v="1"/>
    <d v="2008-05-01T00:00:00"/>
    <n v="659000"/>
    <n v="1.75"/>
    <n v="0.05"/>
    <n v="1.6666666666666666E-2"/>
    <n v="0"/>
    <m/>
    <n v="0"/>
    <m/>
    <m/>
    <m/>
    <s v="transferring out"/>
    <n v="32950"/>
    <n v="10983.333333333334"/>
    <n v="0"/>
    <n v="0"/>
  </r>
  <r>
    <n v="26"/>
    <d v="2008-12-01T00:00:00"/>
    <x v="11"/>
    <x v="8"/>
    <n v="214"/>
    <n v="1"/>
    <d v="2008-05-01T00:00:00"/>
    <n v="656000"/>
    <n v="4.0999999999999996"/>
    <n v="0.31666666666666665"/>
    <n v="0"/>
    <n v="0"/>
    <m/>
    <n v="0"/>
    <m/>
    <m/>
    <m/>
    <m/>
    <n v="207733.33333333331"/>
    <n v="0"/>
    <n v="0"/>
    <n v="0"/>
  </r>
  <r>
    <n v="26"/>
    <d v="2009-01-01T00:00:00"/>
    <x v="0"/>
    <x v="9"/>
    <n v="245"/>
    <n v="1"/>
    <d v="2008-05-01T00:00:00"/>
    <n v="656000"/>
    <n v="0.97"/>
    <n v="0.5"/>
    <n v="0"/>
    <n v="0"/>
    <m/>
    <n v="0"/>
    <n v="1"/>
    <m/>
    <m/>
    <m/>
    <n v="328000"/>
    <n v="0"/>
    <n v="0"/>
    <n v="0"/>
  </r>
  <r>
    <n v="26"/>
    <d v="2009-02-01T00:00:00"/>
    <x v="1"/>
    <x v="9"/>
    <n v="276"/>
    <n v="1"/>
    <d v="2008-05-01T00:00:00"/>
    <n v="637000"/>
    <n v="0"/>
    <n v="6.6666600000000006E-2"/>
    <n v="0"/>
    <n v="0"/>
    <m/>
    <n v="0"/>
    <m/>
    <m/>
    <m/>
    <m/>
    <n v="42466.624200000006"/>
    <n v="0"/>
    <n v="0"/>
    <n v="0"/>
  </r>
  <r>
    <n v="26"/>
    <d v="2009-03-01T00:00:00"/>
    <x v="2"/>
    <x v="9"/>
    <n v="304"/>
    <n v="1"/>
    <d v="2008-05-01T00:00:00"/>
    <n v="622000"/>
    <n v="0"/>
    <n v="0.06"/>
    <n v="0"/>
    <n v="0"/>
    <m/>
    <n v="0"/>
    <m/>
    <m/>
    <m/>
    <m/>
    <n v="37320"/>
    <n v="0"/>
    <n v="0"/>
    <n v="0"/>
  </r>
  <r>
    <n v="26"/>
    <d v="2009-04-01T00:00:00"/>
    <x v="3"/>
    <x v="9"/>
    <n v="335"/>
    <n v="1"/>
    <d v="2008-05-01T00:00:00"/>
    <n v="620000"/>
    <n v="0"/>
    <n v="0.03"/>
    <n v="0.03"/>
    <n v="0"/>
    <m/>
    <n v="0"/>
    <m/>
    <m/>
    <m/>
    <m/>
    <n v="18600"/>
    <n v="18600"/>
    <n v="0"/>
    <n v="0"/>
  </r>
  <r>
    <n v="26"/>
    <d v="2009-05-01T00:00:00"/>
    <x v="4"/>
    <x v="9"/>
    <n v="365"/>
    <n v="2"/>
    <d v="2008-05-01T00:00:00"/>
    <n v="617000"/>
    <n v="0"/>
    <n v="0"/>
    <n v="0"/>
    <n v="0"/>
    <m/>
    <n v="0"/>
    <m/>
    <m/>
    <m/>
    <m/>
    <n v="0"/>
    <n v="0"/>
    <n v="0"/>
    <n v="0"/>
  </r>
  <r>
    <n v="26"/>
    <d v="2009-06-01T00:00:00"/>
    <x v="5"/>
    <x v="9"/>
    <n v="396"/>
    <n v="2"/>
    <d v="2008-05-01T00:00:00"/>
    <n v="613000"/>
    <n v="0.12"/>
    <n v="0"/>
    <n v="0"/>
    <n v="0"/>
    <m/>
    <n v="0.05"/>
    <m/>
    <m/>
    <m/>
    <m/>
    <n v="0"/>
    <n v="0"/>
    <n v="30650"/>
    <n v="12260"/>
  </r>
  <r>
    <n v="26"/>
    <d v="2009-07-01T00:00:00"/>
    <x v="6"/>
    <x v="9"/>
    <n v="426"/>
    <n v="2"/>
    <d v="2008-05-01T00:00:00"/>
    <n v="609040.5"/>
    <n v="0"/>
    <n v="0.03"/>
    <n v="0"/>
    <n v="0"/>
    <m/>
    <n v="0.05"/>
    <m/>
    <m/>
    <m/>
    <m/>
    <n v="18271.215"/>
    <n v="0"/>
    <n v="30452.025000000001"/>
    <n v="12180.810000000001"/>
  </r>
  <r>
    <n v="26"/>
    <d v="2009-08-01T00:00:00"/>
    <x v="7"/>
    <x v="9"/>
    <n v="457"/>
    <n v="2"/>
    <d v="2008-05-01T00:00:00"/>
    <n v="600325"/>
    <n v="1.7000000000000001E-2"/>
    <n v="1.7000000000000001E-2"/>
    <n v="0"/>
    <n v="0"/>
    <m/>
    <n v="6.7000000000000004E-2"/>
    <m/>
    <m/>
    <m/>
    <m/>
    <n v="10205.525000000001"/>
    <n v="0"/>
    <n v="40221.775000000001"/>
    <n v="16088.710000000001"/>
  </r>
  <r>
    <n v="26"/>
    <d v="2009-09-01T00:00:00"/>
    <x v="8"/>
    <x v="9"/>
    <n v="488"/>
    <n v="2"/>
    <d v="2008-05-01T00:00:00"/>
    <n v="565418"/>
    <n v="0.1"/>
    <n v="0.13"/>
    <n v="0"/>
    <n v="0"/>
    <m/>
    <n v="7.0000000000000007E-2"/>
    <m/>
    <m/>
    <m/>
    <m/>
    <n v="73504.34"/>
    <n v="0"/>
    <n v="39579.26"/>
    <n v="15831.704000000002"/>
  </r>
  <r>
    <n v="26"/>
    <d v="2009-10-01T00:00:00"/>
    <x v="9"/>
    <x v="9"/>
    <n v="518"/>
    <n v="2"/>
    <d v="2008-05-01T00:00:00"/>
    <n v="536058"/>
    <n v="0"/>
    <n v="0.18"/>
    <n v="7.0000000000000007E-2"/>
    <n v="0"/>
    <m/>
    <n v="0"/>
    <m/>
    <m/>
    <m/>
    <m/>
    <n v="96490.44"/>
    <n v="37524.060000000005"/>
    <n v="0"/>
    <n v="0"/>
  </r>
  <r>
    <n v="26"/>
    <d v="2009-11-01T00:00:00"/>
    <x v="10"/>
    <x v="9"/>
    <n v="549"/>
    <n v="2"/>
    <d v="2008-05-01T00:00:00"/>
    <n v="529519"/>
    <n v="0"/>
    <n v="0.35"/>
    <n v="0.3"/>
    <n v="0"/>
    <m/>
    <n v="6.7000000000000004E-2"/>
    <m/>
    <m/>
    <m/>
    <m/>
    <n v="185331.65"/>
    <n v="158855.69999999998"/>
    <n v="35477.773000000001"/>
    <n v="14191.109200000001"/>
  </r>
  <r>
    <n v="26"/>
    <d v="2009-12-01T00:00:00"/>
    <x v="11"/>
    <x v="9"/>
    <n v="579"/>
    <n v="2"/>
    <d v="2008-05-01T00:00:00"/>
    <n v="457882.5"/>
    <n v="0"/>
    <n v="0.32"/>
    <n v="0.1"/>
    <m/>
    <m/>
    <n v="0.11600000000000001"/>
    <m/>
    <m/>
    <m/>
    <m/>
    <n v="146522.4"/>
    <n v="45788.25"/>
    <n v="53114.37"/>
    <n v="21245.74800000000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4" dataOnRows="1" applyNumberFormats="0" applyBorderFormats="0" applyFontFormats="0" applyPatternFormats="0" applyAlignmentFormats="0" applyWidthHeightFormats="1" dataCaption="Data" updatedVersion="3" minRefreshableVersion="3" showMemberPropertyTips="0" useAutoFormatting="1" colGrandTotals="0" itemPrintTitles="1" createdVersion="3" indent="0" compact="0" compactData="0" gridDropZones="1">
  <location ref="A2:N75" firstHeaderRow="1" firstDataRow="2" firstDataCol="2"/>
  <pivotFields count="22">
    <pivotField compact="0" outline="0" showAll="0" defaultSubtotal="0"/>
    <pivotField compact="0" numFmtId="17" outline="0" subtotalTop="0" showAll="0" includeNewItemsInFilter="1"/>
    <pivotField axis="axisCol" compact="0" outline="0" subtotalTop="0" showAll="0" includeNewItemsInFilter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compact="0" outline="0" subtotalTop="0" showAll="0" includeNewItemsInFilter="1" sortType="ascending">
      <items count="12">
        <item x="10"/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includeNewItemsInFilter="1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dataField="1" compact="0" outline="0" showAll="0" defaultSubtotal="0"/>
  </pivotFields>
  <rowFields count="2">
    <field x="3"/>
    <field x="-2"/>
  </rowFields>
  <rowItems count="72">
    <i>
      <x/>
      <x/>
    </i>
    <i r="1" i="1">
      <x v="1"/>
    </i>
    <i r="1" i="2">
      <x v="2"/>
    </i>
    <i r="1" i="3">
      <x v="3"/>
    </i>
    <i r="1" i="4">
      <x v="4"/>
    </i>
    <i r="1" i="5">
      <x v="5"/>
    </i>
    <i>
      <x v="1"/>
      <x/>
    </i>
    <i r="1" i="1">
      <x v="1"/>
    </i>
    <i r="1" i="2">
      <x v="2"/>
    </i>
    <i r="1" i="3">
      <x v="3"/>
    </i>
    <i r="1" i="4">
      <x v="4"/>
    </i>
    <i r="1" i="5">
      <x v="5"/>
    </i>
    <i>
      <x v="2"/>
      <x/>
    </i>
    <i r="1" i="1">
      <x v="1"/>
    </i>
    <i r="1" i="2">
      <x v="2"/>
    </i>
    <i r="1" i="3">
      <x v="3"/>
    </i>
    <i r="1" i="4">
      <x v="4"/>
    </i>
    <i r="1" i="5">
      <x v="5"/>
    </i>
    <i>
      <x v="3"/>
      <x/>
    </i>
    <i r="1" i="1">
      <x v="1"/>
    </i>
    <i r="1" i="2">
      <x v="2"/>
    </i>
    <i r="1" i="3">
      <x v="3"/>
    </i>
    <i r="1" i="4">
      <x v="4"/>
    </i>
    <i r="1" i="5">
      <x v="5"/>
    </i>
    <i>
      <x v="4"/>
      <x/>
    </i>
    <i r="1" i="1">
      <x v="1"/>
    </i>
    <i r="1" i="2">
      <x v="2"/>
    </i>
    <i r="1" i="3">
      <x v="3"/>
    </i>
    <i r="1" i="4">
      <x v="4"/>
    </i>
    <i r="1" i="5">
      <x v="5"/>
    </i>
    <i>
      <x v="5"/>
      <x/>
    </i>
    <i r="1" i="1">
      <x v="1"/>
    </i>
    <i r="1" i="2">
      <x v="2"/>
    </i>
    <i r="1" i="3">
      <x v="3"/>
    </i>
    <i r="1" i="4">
      <x v="4"/>
    </i>
    <i r="1" i="5">
      <x v="5"/>
    </i>
    <i>
      <x v="6"/>
      <x/>
    </i>
    <i r="1" i="1">
      <x v="1"/>
    </i>
    <i r="1" i="2">
      <x v="2"/>
    </i>
    <i r="1" i="3">
      <x v="3"/>
    </i>
    <i r="1" i="4">
      <x v="4"/>
    </i>
    <i r="1" i="5">
      <x v="5"/>
    </i>
    <i>
      <x v="7"/>
      <x/>
    </i>
    <i r="1" i="1">
      <x v="1"/>
    </i>
    <i r="1" i="2">
      <x v="2"/>
    </i>
    <i r="1" i="3">
      <x v="3"/>
    </i>
    <i r="1" i="4">
      <x v="4"/>
    </i>
    <i r="1" i="5">
      <x v="5"/>
    </i>
    <i>
      <x v="8"/>
      <x/>
    </i>
    <i r="1" i="1">
      <x v="1"/>
    </i>
    <i r="1" i="2">
      <x v="2"/>
    </i>
    <i r="1" i="3">
      <x v="3"/>
    </i>
    <i r="1" i="4">
      <x v="4"/>
    </i>
    <i r="1" i="5">
      <x v="5"/>
    </i>
    <i>
      <x v="9"/>
      <x/>
    </i>
    <i r="1" i="1">
      <x v="1"/>
    </i>
    <i r="1" i="2">
      <x v="2"/>
    </i>
    <i r="1" i="3">
      <x v="3"/>
    </i>
    <i r="1" i="4">
      <x v="4"/>
    </i>
    <i r="1" i="5">
      <x v="5"/>
    </i>
    <i>
      <x v="10"/>
      <x/>
    </i>
    <i r="1" i="1">
      <x v="1"/>
    </i>
    <i r="1" i="2">
      <x v="2"/>
    </i>
    <i r="1" i="3">
      <x v="3"/>
    </i>
    <i r="1" i="4">
      <x v="4"/>
    </i>
    <i r="1" i="5">
      <x v="5"/>
    </i>
    <i t="grand">
      <x/>
    </i>
    <i t="grand" i="1">
      <x/>
    </i>
    <i t="grand" i="2">
      <x/>
    </i>
    <i t="grand" i="3">
      <x/>
    </i>
    <i t="grand" i="4">
      <x/>
    </i>
    <i t="grand" i="5">
      <x/>
    </i>
  </rowItems>
  <colFields count="1">
    <field x="2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colItems>
  <dataFields count="6">
    <dataField name="Count of # fish" fld="7" subtotal="count" baseField="0" baseItem="0"/>
    <dataField name="Sum of # fish2" fld="7" baseField="0" baseItem="0" numFmtId="3"/>
    <dataField name="Count of # Female L.salmonis" fld="19" subtotal="count" baseField="0" baseItem="0"/>
    <dataField name="Sum of # Female L.salmonis" fld="19" baseField="0" baseItem="0"/>
    <dataField name="Count of Treatment" fld="14" subtotal="count" baseField="0" baseItem="0"/>
    <dataField name="Sum of 0.4*(# Caligus/ farm)" fld="21" baseField="0" baseItem="0"/>
  </dataFields>
  <formats count="27">
    <format dxfId="32">
      <pivotArea outline="0" fieldPosition="0"/>
    </format>
    <format dxfId="31">
      <pivotArea outline="0" fieldPosition="0">
        <references count="1">
          <reference field="4294967294" count="1">
            <x v="1"/>
          </reference>
        </references>
      </pivotArea>
    </format>
    <format dxfId="30">
      <pivotArea outline="0" fieldPosition="0">
        <references count="2">
          <reference field="4294967294" count="2" selected="0">
            <x v="0"/>
            <x v="1"/>
          </reference>
          <reference field="3" count="1" selected="0">
            <x v="1"/>
          </reference>
        </references>
      </pivotArea>
    </format>
    <format dxfId="29">
      <pivotArea dataOnly="0" labelOnly="1" outline="0" fieldPosition="0">
        <references count="1">
          <reference field="3" count="1">
            <x v="1"/>
          </reference>
        </references>
      </pivotArea>
    </format>
    <format dxfId="28">
      <pivotArea dataOnly="0" labelOnly="1" outline="0" fieldPosition="0">
        <references count="2">
          <reference field="4294967294" count="2">
            <x v="0"/>
            <x v="1"/>
          </reference>
          <reference field="3" count="1" selected="0">
            <x v="1"/>
          </reference>
        </references>
      </pivotArea>
    </format>
    <format dxfId="27">
      <pivotArea outline="0" fieldPosition="0">
        <references count="2">
          <reference field="4294967294" count="2" selected="0">
            <x v="0"/>
            <x v="1"/>
          </reference>
          <reference field="3" count="1" selected="0">
            <x v="3"/>
          </reference>
        </references>
      </pivotArea>
    </format>
    <format dxfId="26">
      <pivotArea dataOnly="0" labelOnly="1" outline="0" fieldPosition="0">
        <references count="1">
          <reference field="3" count="1">
            <x v="3"/>
          </reference>
        </references>
      </pivotArea>
    </format>
    <format dxfId="25">
      <pivotArea dataOnly="0" labelOnly="1" outline="0" fieldPosition="0">
        <references count="2">
          <reference field="4294967294" count="2">
            <x v="0"/>
            <x v="1"/>
          </reference>
          <reference field="3" count="1" selected="0">
            <x v="3"/>
          </reference>
        </references>
      </pivotArea>
    </format>
    <format dxfId="24">
      <pivotArea outline="0" fieldPosition="0">
        <references count="2">
          <reference field="4294967294" count="2" selected="0">
            <x v="0"/>
            <x v="1"/>
          </reference>
          <reference field="3" count="1" selected="0">
            <x v="5"/>
          </reference>
        </references>
      </pivotArea>
    </format>
    <format dxfId="23">
      <pivotArea dataOnly="0" labelOnly="1" outline="0" fieldPosition="0">
        <references count="1">
          <reference field="3" count="1">
            <x v="5"/>
          </reference>
        </references>
      </pivotArea>
    </format>
    <format dxfId="22">
      <pivotArea dataOnly="0" labelOnly="1" outline="0" fieldPosition="0">
        <references count="2">
          <reference field="4294967294" count="2">
            <x v="0"/>
            <x v="1"/>
          </reference>
          <reference field="3" count="1" selected="0">
            <x v="5"/>
          </reference>
        </references>
      </pivotArea>
    </format>
    <format dxfId="21">
      <pivotArea outline="0" fieldPosition="0">
        <references count="2">
          <reference field="4294967294" count="2" selected="0">
            <x v="0"/>
            <x v="1"/>
          </reference>
          <reference field="3" count="1" selected="0">
            <x v="7"/>
          </reference>
        </references>
      </pivotArea>
    </format>
    <format dxfId="20">
      <pivotArea dataOnly="0" labelOnly="1" outline="0" fieldPosition="0">
        <references count="1">
          <reference field="3" count="1">
            <x v="7"/>
          </reference>
        </references>
      </pivotArea>
    </format>
    <format dxfId="19">
      <pivotArea dataOnly="0" labelOnly="1" outline="0" fieldPosition="0">
        <references count="2">
          <reference field="4294967294" count="2">
            <x v="0"/>
            <x v="1"/>
          </reference>
          <reference field="3" count="1" selected="0">
            <x v="7"/>
          </reference>
        </references>
      </pivotArea>
    </format>
    <format dxfId="18">
      <pivotArea outline="0" fieldPosition="0">
        <references count="2">
          <reference field="4294967294" count="2" selected="0">
            <x v="0"/>
            <x v="1"/>
          </reference>
          <reference field="3" count="1" selected="0">
            <x v="9"/>
          </reference>
        </references>
      </pivotArea>
    </format>
    <format dxfId="17">
      <pivotArea dataOnly="0" labelOnly="1" outline="0" fieldPosition="0">
        <references count="1">
          <reference field="3" count="1">
            <x v="9"/>
          </reference>
        </references>
      </pivotArea>
    </format>
    <format dxfId="16">
      <pivotArea dataOnly="0" labelOnly="1" outline="0" fieldPosition="0">
        <references count="2">
          <reference field="4294967294" count="2">
            <x v="0"/>
            <x v="1"/>
          </reference>
          <reference field="3" count="1" selected="0">
            <x v="9"/>
          </reference>
        </references>
      </pivotArea>
    </format>
    <format dxfId="15">
      <pivotArea outline="0" collapsedLevelsAreSubtotals="1" fieldPosition="0">
        <references count="2">
          <reference field="4294967294" count="6" selected="0">
            <x v="0"/>
            <x v="1"/>
            <x v="2"/>
            <x v="3"/>
            <x v="4"/>
            <x v="5"/>
          </reference>
          <reference field="3" count="1" selected="0">
            <x v="1"/>
          </reference>
        </references>
      </pivotArea>
    </format>
    <format dxfId="14">
      <pivotArea outline="0" collapsedLevelsAreSubtotals="1" fieldPosition="0">
        <references count="2">
          <reference field="4294967294" count="6" selected="0">
            <x v="0"/>
            <x v="1"/>
            <x v="2"/>
            <x v="3"/>
            <x v="4"/>
            <x v="5"/>
          </reference>
          <reference field="3" count="1" selected="0">
            <x v="3"/>
          </reference>
        </references>
      </pivotArea>
    </format>
    <format dxfId="13">
      <pivotArea outline="0" collapsedLevelsAreSubtotals="1" fieldPosition="0">
        <references count="2">
          <reference field="4294967294" count="6" selected="0">
            <x v="0"/>
            <x v="1"/>
            <x v="2"/>
            <x v="3"/>
            <x v="4"/>
            <x v="5"/>
          </reference>
          <reference field="3" count="1" selected="0">
            <x v="5"/>
          </reference>
        </references>
      </pivotArea>
    </format>
    <format dxfId="12">
      <pivotArea outline="0" collapsedLevelsAreSubtotals="1" fieldPosition="0">
        <references count="2">
          <reference field="4294967294" count="6" selected="0">
            <x v="0"/>
            <x v="1"/>
            <x v="2"/>
            <x v="3"/>
            <x v="4"/>
            <x v="5"/>
          </reference>
          <reference field="3" count="1" selected="0">
            <x v="7"/>
          </reference>
        </references>
      </pivotArea>
    </format>
    <format dxfId="11">
      <pivotArea outline="0" collapsedLevelsAreSubtotals="1" fieldPosition="0">
        <references count="2">
          <reference field="4294967294" count="6" selected="0">
            <x v="0"/>
            <x v="1"/>
            <x v="2"/>
            <x v="3"/>
            <x v="4"/>
            <x v="5"/>
          </reference>
          <reference field="3" count="1" selected="0">
            <x v="9"/>
          </reference>
        </references>
      </pivotArea>
    </format>
    <format dxfId="10">
      <pivotArea dataOnly="0" labelOnly="1" outline="0" fieldPosition="0">
        <references count="2">
          <reference field="4294967294" count="4">
            <x v="2"/>
            <x v="3"/>
            <x v="4"/>
            <x v="5"/>
          </reference>
          <reference field="3" count="1" selected="0">
            <x v="1"/>
          </reference>
        </references>
      </pivotArea>
    </format>
    <format dxfId="9">
      <pivotArea dataOnly="0" labelOnly="1" outline="0" fieldPosition="0">
        <references count="2">
          <reference field="4294967294" count="4">
            <x v="2"/>
            <x v="3"/>
            <x v="4"/>
            <x v="5"/>
          </reference>
          <reference field="3" count="1" selected="0">
            <x v="3"/>
          </reference>
        </references>
      </pivotArea>
    </format>
    <format dxfId="8">
      <pivotArea dataOnly="0" labelOnly="1" outline="0" fieldPosition="0">
        <references count="2">
          <reference field="4294967294" count="4">
            <x v="2"/>
            <x v="3"/>
            <x v="4"/>
            <x v="5"/>
          </reference>
          <reference field="3" count="1" selected="0">
            <x v="5"/>
          </reference>
        </references>
      </pivotArea>
    </format>
    <format dxfId="7">
      <pivotArea dataOnly="0" labelOnly="1" outline="0" fieldPosition="0">
        <references count="2">
          <reference field="4294967294" count="4">
            <x v="2"/>
            <x v="3"/>
            <x v="4"/>
            <x v="5"/>
          </reference>
          <reference field="3" count="1" selected="0">
            <x v="7"/>
          </reference>
        </references>
      </pivotArea>
    </format>
    <format dxfId="6">
      <pivotArea dataOnly="0" labelOnly="1" outline="0" fieldPosition="0">
        <references count="2">
          <reference field="4294967294" count="4">
            <x v="2"/>
            <x v="3"/>
            <x v="4"/>
            <x v="5"/>
          </reference>
          <reference field="3" count="1" selected="0">
            <x v="9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3" cacheId="1" dataOnRows="1" applyNumberFormats="0" applyBorderFormats="0" applyFontFormats="0" applyPatternFormats="0" applyAlignmentFormats="0" applyWidthHeightFormats="1" dataCaption="Data" updatedVersion="3" minRefreshableVersion="3" showMemberPropertyTips="0" useAutoFormatting="1" itemPrintTitles="1" createdVersion="3" indent="0" compact="0" compactData="0" gridDropZones="1">
  <location ref="O8:Q52" firstHeaderRow="1" firstDataRow="1" firstDataCol="2"/>
  <pivotFields count="9">
    <pivotField compact="0" outline="0" subtotalTop="0" showAll="0" includeNewItemsInFilter="1"/>
    <pivotField axis="axisRow" compact="0" outline="0" subtotalTop="0" showAll="0" includeNewItemsInFilter="1" defaultSubtotal="0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compact="0" numFmtId="3" outline="0" subtotalTop="0" showAll="0" includeNewItemsInFilter="1" defaultSubtotal="0"/>
    <pivotField dataField="1" compact="0" numFmtId="1" outline="0" subtotalTop="0" showAll="0" includeNewItemsInFilter="1" defaultSubtotal="0"/>
    <pivotField dataField="1" compact="0" outline="0" showAll="0" defaultSubtotal="0"/>
    <pivotField dataField="1" compact="0" numFmtId="3" outline="0" subtotalTop="0" showAll="0" includeNewItemsInFilter="1" defaultSubtotal="0"/>
    <pivotField dataField="1" compact="0" numFmtId="3" outline="0" subtotalTop="0" showAll="0" includeNewItemsInFilter="1" defaultSubtotal="0"/>
    <pivotField compact="0" outline="0" showAll="0" defaultSubtotal="0"/>
    <pivotField compact="0" outline="0" subtotalTop="0" showAll="0" includeNewItemsInFilter="1" defaultSubtotal="0"/>
  </pivotFields>
  <rowFields count="2">
    <field x="1"/>
    <field x="-2"/>
  </rowFields>
  <rowItems count="44">
    <i>
      <x/>
      <x/>
    </i>
    <i r="1" i="1">
      <x v="1"/>
    </i>
    <i r="1" i="2">
      <x v="2"/>
    </i>
    <i r="1" i="3">
      <x v="3"/>
    </i>
    <i>
      <x v="1"/>
      <x/>
    </i>
    <i r="1" i="1">
      <x v="1"/>
    </i>
    <i r="1" i="2">
      <x v="2"/>
    </i>
    <i r="1" i="3">
      <x v="3"/>
    </i>
    <i>
      <x v="2"/>
      <x/>
    </i>
    <i r="1" i="1">
      <x v="1"/>
    </i>
    <i r="1" i="2">
      <x v="2"/>
    </i>
    <i r="1" i="3">
      <x v="3"/>
    </i>
    <i>
      <x v="3"/>
      <x/>
    </i>
    <i r="1" i="1">
      <x v="1"/>
    </i>
    <i r="1" i="2">
      <x v="2"/>
    </i>
    <i r="1" i="3">
      <x v="3"/>
    </i>
    <i>
      <x v="4"/>
      <x/>
    </i>
    <i r="1" i="1">
      <x v="1"/>
    </i>
    <i r="1" i="2">
      <x v="2"/>
    </i>
    <i r="1" i="3">
      <x v="3"/>
    </i>
    <i>
      <x v="5"/>
      <x/>
    </i>
    <i r="1" i="1">
      <x v="1"/>
    </i>
    <i r="1" i="2">
      <x v="2"/>
    </i>
    <i r="1" i="3">
      <x v="3"/>
    </i>
    <i>
      <x v="6"/>
      <x/>
    </i>
    <i r="1" i="1">
      <x v="1"/>
    </i>
    <i r="1" i="2">
      <x v="2"/>
    </i>
    <i r="1" i="3">
      <x v="3"/>
    </i>
    <i>
      <x v="7"/>
      <x/>
    </i>
    <i r="1" i="1">
      <x v="1"/>
    </i>
    <i r="1" i="2">
      <x v="2"/>
    </i>
    <i r="1" i="3">
      <x v="3"/>
    </i>
    <i>
      <x v="8"/>
      <x/>
    </i>
    <i r="1" i="1">
      <x v="1"/>
    </i>
    <i r="1" i="2">
      <x v="2"/>
    </i>
    <i r="1" i="3">
      <x v="3"/>
    </i>
    <i>
      <x v="9"/>
      <x/>
    </i>
    <i r="1" i="1">
      <x v="1"/>
    </i>
    <i r="1" i="2">
      <x v="2"/>
    </i>
    <i r="1" i="3">
      <x v="3"/>
    </i>
    <i t="grand">
      <x/>
    </i>
    <i t="grand" i="1">
      <x/>
    </i>
    <i t="grand" i="2">
      <x/>
    </i>
    <i t="grand" i="3">
      <x/>
    </i>
  </rowItems>
  <colItems count="1">
    <i/>
  </colItems>
  <dataFields count="4">
    <dataField name="Sum of Treatment" fld="4" baseField="0" baseItem="0"/>
    <dataField name="Average of # Fe L.s./farm" fld="6" subtotal="average" baseField="0" baseItem="0" numFmtId="3"/>
    <dataField name="Average of age (d in SW)" fld="3" subtotal="average" baseField="0" baseItem="0" numFmtId="165"/>
    <dataField name="Average of # motiles/farm" fld="5" subtotal="average" baseField="0" baseItem="0" numFmtId="3"/>
  </dataFields>
  <formats count="6">
    <format dxfId="5">
      <pivotArea outline="0" fieldPosition="0">
        <references count="2">
          <reference field="4294967294" count="1" selected="0">
            <x v="1"/>
          </reference>
          <reference field="1" count="1" selected="0">
            <x v="0"/>
          </reference>
        </references>
      </pivotArea>
    </format>
    <format dxfId="4">
      <pivotArea outline="0" fieldPosition="0">
        <references count="2">
          <reference field="4294967294" count="1" selected="0">
            <x v="1"/>
          </reference>
          <reference field="1" count="1" selected="0">
            <x v="1"/>
          </reference>
        </references>
      </pivotArea>
    </format>
    <format dxfId="3">
      <pivotArea outline="0" fieldPosition="0">
        <references count="1">
          <reference field="4294967294" count="1">
            <x v="1"/>
          </reference>
        </references>
      </pivotArea>
    </format>
    <format dxfId="2">
      <pivotArea outline="0" fieldPosition="0">
        <references count="2">
          <reference field="4294967294" count="1" selected="0">
            <x v="2"/>
          </reference>
          <reference field="1" count="1" selected="0">
            <x v="0"/>
          </reference>
        </references>
      </pivotArea>
    </format>
    <format dxfId="1">
      <pivotArea outline="0" fieldPosition="0">
        <references count="1">
          <reference field="4294967294" count="1">
            <x v="2"/>
          </reference>
        </references>
      </pivotArea>
    </format>
    <format dxfId="0">
      <pivotArea outline="0" fieldPosition="0">
        <references count="1">
          <reference field="4294967294" count="1">
            <x v="3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5" cacheId="2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AA117:AB130" firstHeaderRow="1" firstDataRow="1" firstDataCol="1"/>
  <pivotFields count="2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# Tx" fld="1" baseField="0" baseItem="0"/>
  </dataFields>
  <pivotTableStyleInfo name="PivotStyleLight16"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PivotTable4" cacheId="3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AA62:AB75" firstHeaderRow="1" firstDataRow="1" firstDataCol="1"/>
  <pivotFields count="2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# Tx" fld="1" baseField="0" baseItem="0"/>
  </dataFields>
  <pivotTableStyleInfo name="PivotStyleLight16"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AA44:AB57" firstHeaderRow="1" firstDataRow="1" firstDataCol="1"/>
  <pivotFields count="2">
    <pivotField axis="axisRow" showAll="0">
      <items count="13">
        <item x="1"/>
        <item x="2"/>
        <item x="3"/>
        <item x="4"/>
        <item x="5"/>
        <item x="6"/>
        <item x="7"/>
        <item x="8"/>
        <item x="9"/>
        <item x="10"/>
        <item x="0"/>
        <item x="11"/>
        <item t="default"/>
      </items>
    </pivotField>
    <pivotField dataField="1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# Tx" fld="1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comments" Target="../comments4.xml"/><Relationship Id="rId3" Type="http://schemas.openxmlformats.org/officeDocument/2006/relationships/pivotTable" Target="../pivotTables/pivotTable4.xml"/><Relationship Id="rId7" Type="http://schemas.openxmlformats.org/officeDocument/2006/relationships/vmlDrawing" Target="../drawings/vmlDrawing4.v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5.bin"/><Relationship Id="rId4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://www.psc.org/pubs/FRP2005AnnualReport.pdf" TargetMode="External"/><Relationship Id="rId2" Type="http://schemas.openxmlformats.org/officeDocument/2006/relationships/hyperlink" Target="http://www.psc.org/pubs/FRP2005AnnualReport.pdf" TargetMode="External"/><Relationship Id="rId1" Type="http://schemas.openxmlformats.org/officeDocument/2006/relationships/hyperlink" Target="http://www.psc.org/pubs/FRP2005AnnualReport.pdf" TargetMode="External"/><Relationship Id="rId6" Type="http://schemas.openxmlformats.org/officeDocument/2006/relationships/drawing" Target="../drawings/drawing2.xml"/><Relationship Id="rId5" Type="http://schemas.openxmlformats.org/officeDocument/2006/relationships/printerSettings" Target="../printerSettings/printerSettings10.bin"/><Relationship Id="rId4" Type="http://schemas.openxmlformats.org/officeDocument/2006/relationships/hyperlink" Target="http://www.psc.org/pubs/FRP2005AnnualReport.pdf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>
      <selection activeCell="A18" sqref="A18"/>
    </sheetView>
  </sheetViews>
  <sheetFormatPr defaultRowHeight="12.75"/>
  <sheetData>
    <row r="1" spans="1:3">
      <c r="A1" s="57" t="s">
        <v>728</v>
      </c>
    </row>
    <row r="3" spans="1:3">
      <c r="A3" s="118" t="s">
        <v>815</v>
      </c>
    </row>
    <row r="4" spans="1:3">
      <c r="B4" s="118" t="s">
        <v>412</v>
      </c>
    </row>
    <row r="5" spans="1:3">
      <c r="B5" s="159"/>
      <c r="C5" s="278" t="s">
        <v>413</v>
      </c>
    </row>
    <row r="6" spans="1:3">
      <c r="B6" s="259"/>
      <c r="C6" s="278" t="s">
        <v>422</v>
      </c>
    </row>
    <row r="7" spans="1:3">
      <c r="B7" s="260"/>
      <c r="C7" s="278" t="s">
        <v>414</v>
      </c>
    </row>
    <row r="9" spans="1:3">
      <c r="B9" s="118" t="s">
        <v>415</v>
      </c>
    </row>
    <row r="10" spans="1:3">
      <c r="B10" s="118" t="s">
        <v>402</v>
      </c>
    </row>
    <row r="12" spans="1:3">
      <c r="A12" s="118" t="s">
        <v>420</v>
      </c>
    </row>
    <row r="13" spans="1:3">
      <c r="B13" s="118" t="s">
        <v>421</v>
      </c>
    </row>
    <row r="14" spans="1:3">
      <c r="B14" s="118" t="s">
        <v>419</v>
      </c>
    </row>
    <row r="15" spans="1:3">
      <c r="B15" s="118" t="s">
        <v>727</v>
      </c>
    </row>
    <row r="16" spans="1:3">
      <c r="B16" s="118" t="s">
        <v>822</v>
      </c>
    </row>
    <row r="21" spans="1:7">
      <c r="A21" s="118" t="s">
        <v>833</v>
      </c>
    </row>
    <row r="22" spans="1:7">
      <c r="A22" s="118" t="s">
        <v>832</v>
      </c>
    </row>
    <row r="23" spans="1:7">
      <c r="A23" s="118" t="s">
        <v>825</v>
      </c>
    </row>
    <row r="24" spans="1:7">
      <c r="A24" s="118" t="s">
        <v>816</v>
      </c>
    </row>
    <row r="25" spans="1:7">
      <c r="A25" s="118" t="s">
        <v>818</v>
      </c>
    </row>
    <row r="26" spans="1:7">
      <c r="A26" s="118" t="s">
        <v>819</v>
      </c>
    </row>
    <row r="27" spans="1:7">
      <c r="A27" s="118" t="s">
        <v>817</v>
      </c>
    </row>
    <row r="28" spans="1:7">
      <c r="A28" s="118" t="s">
        <v>834</v>
      </c>
      <c r="G28" s="118"/>
    </row>
    <row r="29" spans="1:7">
      <c r="A29" s="118" t="s">
        <v>820</v>
      </c>
    </row>
    <row r="30" spans="1:7">
      <c r="A30" s="118" t="s">
        <v>821</v>
      </c>
    </row>
    <row r="31" spans="1:7">
      <c r="A31" s="118" t="s">
        <v>835</v>
      </c>
    </row>
    <row r="32" spans="1:7">
      <c r="A32" s="118"/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IJ3034"/>
  <sheetViews>
    <sheetView topLeftCell="N1" workbookViewId="0">
      <pane ySplit="1" topLeftCell="A723" activePane="bottomLeft" state="frozen"/>
      <selection pane="bottomLeft" activeCell="T1" sqref="T1"/>
    </sheetView>
  </sheetViews>
  <sheetFormatPr defaultColWidth="9.140625" defaultRowHeight="12.75"/>
  <cols>
    <col min="1" max="1" width="7" style="118" bestFit="1" customWidth="1"/>
    <col min="2" max="2" width="9.85546875" style="11" customWidth="1"/>
    <col min="3" max="3" width="9" style="226" customWidth="1"/>
    <col min="4" max="4" width="8.140625" style="157" customWidth="1"/>
    <col min="5" max="5" width="6.42578125" style="11" customWidth="1"/>
    <col min="6" max="6" width="7.7109375" style="11" customWidth="1"/>
    <col min="7" max="7" width="7.28515625" style="11" customWidth="1"/>
    <col min="8" max="8" width="8.85546875" style="11" customWidth="1"/>
    <col min="9" max="9" width="10.5703125" style="163" bestFit="1" customWidth="1"/>
    <col min="10" max="10" width="10.42578125" style="15" customWidth="1"/>
    <col min="11" max="11" width="10.28515625" style="15" customWidth="1"/>
    <col min="12" max="12" width="10.42578125" style="15" customWidth="1"/>
    <col min="13" max="13" width="9.7109375" style="174" customWidth="1"/>
    <col min="14" max="14" width="10.5703125" style="528" customWidth="1"/>
    <col min="15" max="15" width="9.140625" style="15" customWidth="1"/>
    <col min="16" max="16" width="9" style="8" bestFit="1" customWidth="1"/>
    <col min="17" max="17" width="8" style="11" customWidth="1"/>
    <col min="18" max="18" width="8.5703125" style="11" customWidth="1"/>
    <col min="19" max="19" width="34.7109375" style="155" customWidth="1"/>
    <col min="20" max="20" width="13" style="15" customWidth="1"/>
    <col min="21" max="21" width="10.140625" style="161" customWidth="1"/>
    <col min="22" max="22" width="10.140625" style="15" customWidth="1"/>
    <col min="23" max="23" width="14.28515625" style="15" customWidth="1"/>
    <col min="24" max="16384" width="9.140625" style="118"/>
  </cols>
  <sheetData>
    <row r="1" spans="1:23" ht="38.25" customHeight="1">
      <c r="A1" s="277" t="s">
        <v>196</v>
      </c>
      <c r="B1" s="132" t="s">
        <v>276</v>
      </c>
      <c r="C1" s="148" t="s">
        <v>35</v>
      </c>
      <c r="D1" s="429" t="s">
        <v>34</v>
      </c>
      <c r="E1" s="145" t="s">
        <v>0</v>
      </c>
      <c r="F1" s="149" t="s">
        <v>40</v>
      </c>
      <c r="G1" s="149" t="s">
        <v>61</v>
      </c>
      <c r="H1" s="149" t="s">
        <v>4</v>
      </c>
      <c r="I1" s="150" t="s">
        <v>1</v>
      </c>
      <c r="J1" s="149" t="s">
        <v>42</v>
      </c>
      <c r="K1" s="149" t="s">
        <v>417</v>
      </c>
      <c r="L1" s="149" t="s">
        <v>418</v>
      </c>
      <c r="M1" s="436" t="s">
        <v>669</v>
      </c>
      <c r="N1" s="527" t="s">
        <v>793</v>
      </c>
      <c r="O1" s="149" t="s">
        <v>43</v>
      </c>
      <c r="P1" s="151" t="s">
        <v>273</v>
      </c>
      <c r="Q1" s="145" t="s">
        <v>365</v>
      </c>
      <c r="R1" s="149" t="s">
        <v>366</v>
      </c>
      <c r="S1" s="147" t="s">
        <v>120</v>
      </c>
      <c r="T1" s="153" t="s">
        <v>416</v>
      </c>
      <c r="U1" s="152" t="s">
        <v>387</v>
      </c>
      <c r="V1" s="153" t="s">
        <v>388</v>
      </c>
      <c r="W1" s="154" t="s">
        <v>395</v>
      </c>
    </row>
    <row r="2" spans="1:23" ht="12.75" customHeight="1">
      <c r="A2" s="118">
        <v>1</v>
      </c>
      <c r="B2" s="128">
        <v>1</v>
      </c>
      <c r="C2" s="156">
        <v>36526</v>
      </c>
      <c r="D2" s="157" t="s">
        <v>44</v>
      </c>
      <c r="E2" s="8">
        <v>2000</v>
      </c>
      <c r="F2" s="158">
        <f>C2-H2</f>
        <v>640</v>
      </c>
      <c r="G2" s="158">
        <f>IF(F2&lt;365,1,2)</f>
        <v>2</v>
      </c>
      <c r="H2" s="159">
        <v>35886</v>
      </c>
      <c r="I2" s="211">
        <v>200000</v>
      </c>
      <c r="J2" s="11"/>
      <c r="K2" s="11"/>
      <c r="L2" s="11"/>
      <c r="O2" s="11"/>
      <c r="S2" s="155" t="s">
        <v>349</v>
      </c>
      <c r="T2" s="11"/>
      <c r="V2" s="11"/>
      <c r="W2" s="11"/>
    </row>
    <row r="3" spans="1:23" ht="12.75" customHeight="1">
      <c r="A3" s="118">
        <v>2</v>
      </c>
      <c r="B3" s="128">
        <v>1</v>
      </c>
      <c r="C3" s="156">
        <v>36557</v>
      </c>
      <c r="D3" s="157" t="s">
        <v>45</v>
      </c>
      <c r="E3" s="8">
        <v>2000</v>
      </c>
      <c r="F3" s="158">
        <f>C3-H3</f>
        <v>671</v>
      </c>
      <c r="G3" s="158">
        <f>IF(F3&lt;365,1,2)</f>
        <v>2</v>
      </c>
      <c r="H3" s="159">
        <v>35886</v>
      </c>
      <c r="I3" s="211">
        <v>100000</v>
      </c>
      <c r="J3" s="11"/>
      <c r="K3" s="11"/>
      <c r="L3" s="11"/>
      <c r="O3" s="11"/>
      <c r="T3" s="11"/>
      <c r="V3" s="11"/>
      <c r="W3" s="11"/>
    </row>
    <row r="4" spans="1:23" ht="12.75" customHeight="1">
      <c r="A4" s="118">
        <v>3</v>
      </c>
      <c r="B4" s="128">
        <v>1</v>
      </c>
      <c r="C4" s="156">
        <v>36586</v>
      </c>
      <c r="D4" s="157" t="s">
        <v>46</v>
      </c>
      <c r="E4" s="8">
        <v>2000</v>
      </c>
      <c r="F4" s="158">
        <f>C4-H4</f>
        <v>700</v>
      </c>
      <c r="G4" s="158">
        <f>IF(F4&lt;365,1,2)</f>
        <v>2</v>
      </c>
      <c r="H4" s="159">
        <v>35886</v>
      </c>
      <c r="I4" s="211">
        <v>50000</v>
      </c>
      <c r="J4" s="11"/>
      <c r="K4" s="11"/>
      <c r="L4" s="11"/>
      <c r="O4" s="11"/>
      <c r="S4" s="155" t="s">
        <v>22</v>
      </c>
      <c r="T4" s="11"/>
      <c r="V4" s="11"/>
      <c r="W4" s="11"/>
    </row>
    <row r="5" spans="1:23" ht="12.75" customHeight="1">
      <c r="A5" s="118">
        <v>4</v>
      </c>
      <c r="B5" s="128">
        <v>1</v>
      </c>
      <c r="C5" s="156">
        <v>36617</v>
      </c>
      <c r="D5" s="157" t="s">
        <v>47</v>
      </c>
      <c r="E5" s="8">
        <v>2000</v>
      </c>
      <c r="F5" s="158"/>
      <c r="G5" s="162"/>
      <c r="H5" s="128"/>
      <c r="I5" s="160"/>
      <c r="J5" s="11"/>
      <c r="K5" s="11"/>
      <c r="L5" s="11"/>
      <c r="O5" s="11"/>
      <c r="S5" s="155" t="s">
        <v>286</v>
      </c>
      <c r="T5" s="11"/>
      <c r="V5" s="11"/>
      <c r="W5" s="11"/>
    </row>
    <row r="6" spans="1:23" ht="12.75" customHeight="1">
      <c r="A6" s="118">
        <v>5</v>
      </c>
      <c r="B6" s="128">
        <v>1</v>
      </c>
      <c r="C6" s="156">
        <v>36647</v>
      </c>
      <c r="D6" s="157" t="s">
        <v>48</v>
      </c>
      <c r="E6" s="8">
        <v>2000</v>
      </c>
      <c r="F6" s="158"/>
      <c r="G6" s="162"/>
      <c r="H6" s="128"/>
      <c r="I6" s="160"/>
      <c r="J6" s="11"/>
      <c r="K6" s="11"/>
      <c r="L6" s="11"/>
      <c r="O6" s="11"/>
      <c r="T6" s="11"/>
      <c r="V6" s="11"/>
      <c r="W6" s="11"/>
    </row>
    <row r="7" spans="1:23" ht="12.75" customHeight="1">
      <c r="A7" s="118">
        <v>6</v>
      </c>
      <c r="B7" s="128">
        <v>1</v>
      </c>
      <c r="C7" s="156">
        <v>36678</v>
      </c>
      <c r="D7" s="157" t="s">
        <v>49</v>
      </c>
      <c r="E7" s="8">
        <v>2000</v>
      </c>
      <c r="F7" s="158"/>
      <c r="G7" s="162"/>
      <c r="H7" s="128"/>
      <c r="I7" s="160"/>
      <c r="J7" s="11"/>
      <c r="K7" s="11"/>
      <c r="L7" s="11"/>
      <c r="O7" s="11"/>
      <c r="T7" s="11"/>
      <c r="V7" s="11"/>
      <c r="W7" s="11"/>
    </row>
    <row r="8" spans="1:23" ht="12.75" customHeight="1">
      <c r="A8" s="118">
        <v>7</v>
      </c>
      <c r="B8" s="128">
        <v>1</v>
      </c>
      <c r="C8" s="156">
        <v>36708</v>
      </c>
      <c r="D8" s="157" t="s">
        <v>50</v>
      </c>
      <c r="E8" s="8">
        <v>2000</v>
      </c>
      <c r="F8" s="158"/>
      <c r="G8" s="162"/>
      <c r="H8" s="128"/>
      <c r="I8" s="160"/>
      <c r="J8" s="11"/>
      <c r="K8" s="11"/>
      <c r="L8" s="11"/>
      <c r="O8" s="11"/>
      <c r="T8" s="11"/>
      <c r="V8" s="11"/>
      <c r="W8" s="11"/>
    </row>
    <row r="9" spans="1:23" ht="12.75" customHeight="1">
      <c r="A9" s="118">
        <v>8</v>
      </c>
      <c r="B9" s="128">
        <v>1</v>
      </c>
      <c r="C9" s="156">
        <v>36739</v>
      </c>
      <c r="D9" s="157" t="s">
        <v>51</v>
      </c>
      <c r="E9" s="8">
        <v>2000</v>
      </c>
      <c r="F9" s="158"/>
      <c r="G9" s="162"/>
      <c r="H9" s="128"/>
      <c r="I9" s="160"/>
      <c r="J9" s="11"/>
      <c r="K9" s="11"/>
      <c r="L9" s="11"/>
      <c r="O9" s="11"/>
      <c r="T9" s="11"/>
      <c r="V9" s="11"/>
      <c r="W9" s="11"/>
    </row>
    <row r="10" spans="1:23" ht="12.75" customHeight="1">
      <c r="A10" s="118">
        <v>9</v>
      </c>
      <c r="B10" s="128">
        <v>1</v>
      </c>
      <c r="C10" s="156">
        <v>36770</v>
      </c>
      <c r="D10" s="157" t="s">
        <v>52</v>
      </c>
      <c r="E10" s="8">
        <v>2000</v>
      </c>
      <c r="F10" s="158"/>
      <c r="G10" s="162"/>
      <c r="H10" s="128"/>
      <c r="I10" s="160"/>
      <c r="J10" s="11"/>
      <c r="K10" s="11"/>
      <c r="L10" s="11"/>
      <c r="O10" s="11"/>
      <c r="T10" s="11"/>
      <c r="V10" s="11"/>
      <c r="W10" s="11"/>
    </row>
    <row r="11" spans="1:23" ht="12.75" customHeight="1">
      <c r="A11" s="118">
        <v>10</v>
      </c>
      <c r="B11" s="128">
        <v>1</v>
      </c>
      <c r="C11" s="156">
        <v>36800</v>
      </c>
      <c r="D11" s="157" t="s">
        <v>53</v>
      </c>
      <c r="E11" s="8">
        <v>2000</v>
      </c>
      <c r="F11" s="158">
        <v>0</v>
      </c>
      <c r="G11" s="158">
        <f t="shared" ref="G11:G34" si="0">IF(F11&lt;365,1,2)</f>
        <v>1</v>
      </c>
      <c r="H11" s="162">
        <v>36800</v>
      </c>
      <c r="I11" s="163">
        <v>126496</v>
      </c>
      <c r="J11" s="11"/>
      <c r="K11" s="11"/>
      <c r="L11" s="11"/>
      <c r="O11" s="11"/>
      <c r="T11" s="11"/>
      <c r="V11" s="11"/>
      <c r="W11" s="11"/>
    </row>
    <row r="12" spans="1:23" ht="12.75" customHeight="1">
      <c r="A12" s="118">
        <v>11</v>
      </c>
      <c r="B12" s="128">
        <v>1</v>
      </c>
      <c r="C12" s="156">
        <v>36831</v>
      </c>
      <c r="D12" s="157" t="s">
        <v>54</v>
      </c>
      <c r="E12" s="8">
        <v>2000</v>
      </c>
      <c r="F12" s="158">
        <f t="shared" ref="F12:F37" si="1">C12-H12</f>
        <v>31</v>
      </c>
      <c r="G12" s="158">
        <f t="shared" si="0"/>
        <v>1</v>
      </c>
      <c r="H12" s="162">
        <v>36800</v>
      </c>
      <c r="I12" s="163">
        <v>285626</v>
      </c>
      <c r="J12" s="11"/>
      <c r="K12" s="11"/>
      <c r="L12" s="11"/>
      <c r="O12" s="11"/>
      <c r="T12" s="11"/>
      <c r="V12" s="11"/>
      <c r="W12" s="11"/>
    </row>
    <row r="13" spans="1:23" ht="12.75" customHeight="1">
      <c r="A13" s="118">
        <v>12</v>
      </c>
      <c r="B13" s="128">
        <v>1</v>
      </c>
      <c r="C13" s="156">
        <v>36861</v>
      </c>
      <c r="D13" s="157" t="s">
        <v>55</v>
      </c>
      <c r="E13" s="8">
        <v>2000</v>
      </c>
      <c r="F13" s="158">
        <f t="shared" si="1"/>
        <v>61</v>
      </c>
      <c r="G13" s="158">
        <f t="shared" si="0"/>
        <v>1</v>
      </c>
      <c r="H13" s="162">
        <v>36800</v>
      </c>
      <c r="I13" s="163">
        <v>279610</v>
      </c>
      <c r="J13" s="11"/>
      <c r="K13" s="11"/>
      <c r="L13" s="11"/>
      <c r="O13" s="11"/>
      <c r="T13" s="11"/>
      <c r="V13" s="11"/>
      <c r="W13" s="11"/>
    </row>
    <row r="14" spans="1:23" ht="14.25" customHeight="1">
      <c r="A14" s="118">
        <v>13</v>
      </c>
      <c r="B14" s="128">
        <v>1</v>
      </c>
      <c r="C14" s="156">
        <v>36892</v>
      </c>
      <c r="D14" s="157" t="s">
        <v>44</v>
      </c>
      <c r="E14" s="8">
        <v>2001</v>
      </c>
      <c r="F14" s="158">
        <f t="shared" si="1"/>
        <v>92</v>
      </c>
      <c r="G14" s="158">
        <f t="shared" si="0"/>
        <v>1</v>
      </c>
      <c r="H14" s="162">
        <v>36800</v>
      </c>
      <c r="I14" s="163">
        <v>907334</v>
      </c>
      <c r="J14" s="11"/>
      <c r="K14" s="11"/>
      <c r="L14" s="11"/>
      <c r="O14" s="11"/>
      <c r="T14" s="11"/>
      <c r="V14" s="11"/>
      <c r="W14" s="11"/>
    </row>
    <row r="15" spans="1:23" ht="14.25" customHeight="1">
      <c r="A15" s="118">
        <v>14</v>
      </c>
      <c r="B15" s="128">
        <v>1</v>
      </c>
      <c r="C15" s="156">
        <v>36923</v>
      </c>
      <c r="D15" s="157" t="s">
        <v>45</v>
      </c>
      <c r="E15" s="8">
        <v>2001</v>
      </c>
      <c r="F15" s="158">
        <f t="shared" si="1"/>
        <v>123</v>
      </c>
      <c r="G15" s="158">
        <f t="shared" si="0"/>
        <v>1</v>
      </c>
      <c r="H15" s="162">
        <v>36800</v>
      </c>
      <c r="I15" s="163">
        <v>1085128</v>
      </c>
      <c r="J15" s="11"/>
      <c r="K15" s="11"/>
      <c r="L15" s="11"/>
      <c r="O15" s="11"/>
      <c r="T15" s="11"/>
      <c r="V15" s="11"/>
      <c r="W15" s="11"/>
    </row>
    <row r="16" spans="1:23" ht="12.75" customHeight="1">
      <c r="A16" s="118">
        <v>15</v>
      </c>
      <c r="B16" s="128">
        <v>1</v>
      </c>
      <c r="C16" s="156">
        <v>36951</v>
      </c>
      <c r="D16" s="157" t="s">
        <v>46</v>
      </c>
      <c r="E16" s="8">
        <v>2001</v>
      </c>
      <c r="F16" s="158">
        <f t="shared" si="1"/>
        <v>151</v>
      </c>
      <c r="G16" s="158">
        <f t="shared" si="0"/>
        <v>1</v>
      </c>
      <c r="H16" s="162">
        <v>36800</v>
      </c>
      <c r="I16" s="163">
        <v>1079261</v>
      </c>
      <c r="J16" s="11"/>
      <c r="K16" s="11"/>
      <c r="L16" s="11"/>
      <c r="O16" s="11"/>
      <c r="T16" s="11"/>
      <c r="V16" s="11"/>
      <c r="W16" s="11"/>
    </row>
    <row r="17" spans="1:23" ht="12.75" customHeight="1">
      <c r="A17" s="118">
        <v>16</v>
      </c>
      <c r="B17" s="128">
        <v>1</v>
      </c>
      <c r="C17" s="156">
        <v>36982</v>
      </c>
      <c r="D17" s="157" t="s">
        <v>47</v>
      </c>
      <c r="E17" s="8">
        <v>2001</v>
      </c>
      <c r="F17" s="158">
        <f t="shared" si="1"/>
        <v>182</v>
      </c>
      <c r="G17" s="158">
        <f t="shared" si="0"/>
        <v>1</v>
      </c>
      <c r="H17" s="162">
        <v>36800</v>
      </c>
      <c r="I17" s="163">
        <v>1111684</v>
      </c>
      <c r="J17" s="15">
        <v>3.7166666666666663</v>
      </c>
      <c r="K17" s="15">
        <v>2.9633333333333334</v>
      </c>
      <c r="L17" s="15">
        <v>0.8833333333333333</v>
      </c>
      <c r="O17" s="15">
        <v>2</v>
      </c>
      <c r="T17" s="161">
        <f>$I17*K17</f>
        <v>3294290.2533333334</v>
      </c>
      <c r="U17" s="161">
        <f>$I17*L17</f>
        <v>981987.53333333333</v>
      </c>
      <c r="V17" s="161">
        <f t="shared" ref="V17:V18" si="2">$I17*O17</f>
        <v>2223368</v>
      </c>
      <c r="W17" s="161">
        <f>V17*0.4</f>
        <v>889347.20000000007</v>
      </c>
    </row>
    <row r="18" spans="1:23" ht="12.75" customHeight="1">
      <c r="A18" s="118">
        <v>17</v>
      </c>
      <c r="B18" s="128">
        <v>1</v>
      </c>
      <c r="C18" s="156">
        <v>37012</v>
      </c>
      <c r="D18" s="157" t="s">
        <v>48</v>
      </c>
      <c r="E18" s="8">
        <v>2001</v>
      </c>
      <c r="F18" s="158">
        <f t="shared" si="1"/>
        <v>212</v>
      </c>
      <c r="G18" s="158">
        <f t="shared" si="0"/>
        <v>1</v>
      </c>
      <c r="H18" s="162">
        <v>36800</v>
      </c>
      <c r="I18" s="163">
        <v>1106770</v>
      </c>
      <c r="J18" s="15">
        <v>0.82857142857142851</v>
      </c>
      <c r="K18" s="15">
        <v>4.4528571428571428</v>
      </c>
      <c r="L18" s="15">
        <v>1.65</v>
      </c>
      <c r="O18" s="15">
        <v>0</v>
      </c>
      <c r="P18" s="8">
        <v>1</v>
      </c>
      <c r="T18" s="161">
        <f>$I18*K18</f>
        <v>4928288.7</v>
      </c>
      <c r="U18" s="161">
        <f>$I18*L18</f>
        <v>1826170.5</v>
      </c>
      <c r="V18" s="161">
        <f t="shared" si="2"/>
        <v>0</v>
      </c>
      <c r="W18" s="161">
        <f>V18*0.4</f>
        <v>0</v>
      </c>
    </row>
    <row r="19" spans="1:23" ht="12.75" customHeight="1">
      <c r="A19" s="118">
        <v>18</v>
      </c>
      <c r="B19" s="128">
        <v>1</v>
      </c>
      <c r="C19" s="156">
        <v>37043</v>
      </c>
      <c r="D19" s="157" t="s">
        <v>49</v>
      </c>
      <c r="E19" s="8">
        <v>2001</v>
      </c>
      <c r="F19" s="158">
        <f t="shared" si="1"/>
        <v>243</v>
      </c>
      <c r="G19" s="158">
        <f t="shared" si="0"/>
        <v>1</v>
      </c>
      <c r="H19" s="162">
        <v>36800</v>
      </c>
      <c r="I19" s="163">
        <v>1101246</v>
      </c>
      <c r="J19" s="11"/>
      <c r="K19" s="11"/>
      <c r="L19" s="11"/>
      <c r="O19" s="11"/>
      <c r="T19" s="11"/>
      <c r="V19" s="11"/>
      <c r="W19" s="11"/>
    </row>
    <row r="20" spans="1:23" ht="12.75" customHeight="1">
      <c r="A20" s="118">
        <v>19</v>
      </c>
      <c r="B20" s="128">
        <v>1</v>
      </c>
      <c r="C20" s="156">
        <v>37073</v>
      </c>
      <c r="D20" s="157" t="s">
        <v>50</v>
      </c>
      <c r="E20" s="8">
        <v>2001</v>
      </c>
      <c r="F20" s="158">
        <f t="shared" si="1"/>
        <v>273</v>
      </c>
      <c r="G20" s="158">
        <f t="shared" si="0"/>
        <v>1</v>
      </c>
      <c r="H20" s="162">
        <v>36800</v>
      </c>
      <c r="I20" s="163">
        <v>1092686</v>
      </c>
      <c r="J20" s="11"/>
      <c r="K20" s="11"/>
      <c r="L20" s="11"/>
      <c r="O20" s="11"/>
      <c r="T20" s="11"/>
      <c r="V20" s="11"/>
      <c r="W20" s="11"/>
    </row>
    <row r="21" spans="1:23" ht="12.75" customHeight="1">
      <c r="A21" s="118">
        <v>20</v>
      </c>
      <c r="B21" s="128">
        <v>1</v>
      </c>
      <c r="C21" s="156">
        <v>37104</v>
      </c>
      <c r="D21" s="157" t="s">
        <v>51</v>
      </c>
      <c r="E21" s="8">
        <v>2001</v>
      </c>
      <c r="F21" s="158">
        <f t="shared" si="1"/>
        <v>304</v>
      </c>
      <c r="G21" s="158">
        <f t="shared" si="0"/>
        <v>1</v>
      </c>
      <c r="H21" s="162">
        <v>36800</v>
      </c>
      <c r="I21" s="163">
        <v>1084737</v>
      </c>
      <c r="J21" s="11"/>
      <c r="K21" s="11"/>
      <c r="L21" s="11"/>
      <c r="O21" s="11"/>
      <c r="T21" s="11"/>
      <c r="V21" s="11"/>
      <c r="W21" s="11"/>
    </row>
    <row r="22" spans="1:23" ht="12.75" customHeight="1">
      <c r="A22" s="118">
        <v>21</v>
      </c>
      <c r="B22" s="259">
        <v>1</v>
      </c>
      <c r="C22" s="156">
        <v>37135</v>
      </c>
      <c r="D22" s="157" t="s">
        <v>52</v>
      </c>
      <c r="E22" s="8">
        <v>2001</v>
      </c>
      <c r="F22" s="158">
        <f t="shared" si="1"/>
        <v>335</v>
      </c>
      <c r="G22" s="158">
        <f t="shared" si="0"/>
        <v>1</v>
      </c>
      <c r="H22" s="162">
        <v>36800</v>
      </c>
      <c r="I22" s="163">
        <v>1083209</v>
      </c>
      <c r="J22" s="15">
        <v>1</v>
      </c>
      <c r="K22" s="15">
        <v>1</v>
      </c>
      <c r="L22" s="15">
        <v>0</v>
      </c>
      <c r="O22" s="15">
        <v>0</v>
      </c>
      <c r="T22" s="161">
        <f t="shared" ref="T22:U28" si="3">$I22*K22</f>
        <v>1083209</v>
      </c>
      <c r="U22" s="161">
        <f t="shared" si="3"/>
        <v>0</v>
      </c>
      <c r="V22" s="161">
        <f t="shared" ref="V22:V28" si="4">$I22*O22</f>
        <v>0</v>
      </c>
      <c r="W22" s="161">
        <f t="shared" ref="W22:W28" si="5">V22*0.4</f>
        <v>0</v>
      </c>
    </row>
    <row r="23" spans="1:23" ht="12.75" customHeight="1">
      <c r="A23" s="118">
        <v>22</v>
      </c>
      <c r="B23" s="128">
        <v>1</v>
      </c>
      <c r="C23" s="156">
        <v>37165</v>
      </c>
      <c r="D23" s="157" t="s">
        <v>53</v>
      </c>
      <c r="E23" s="8">
        <v>2001</v>
      </c>
      <c r="F23" s="158">
        <f t="shared" si="1"/>
        <v>365</v>
      </c>
      <c r="G23" s="158">
        <f t="shared" si="0"/>
        <v>2</v>
      </c>
      <c r="H23" s="162">
        <v>36800</v>
      </c>
      <c r="I23" s="163">
        <v>1081913</v>
      </c>
      <c r="J23" s="15">
        <v>0.5</v>
      </c>
      <c r="K23" s="15">
        <v>3.6</v>
      </c>
      <c r="L23" s="15">
        <v>1.2</v>
      </c>
      <c r="M23" s="174">
        <v>0</v>
      </c>
      <c r="O23" s="15">
        <v>1.1000000000000001</v>
      </c>
      <c r="T23" s="161">
        <f t="shared" si="3"/>
        <v>3894886.8000000003</v>
      </c>
      <c r="U23" s="161">
        <f t="shared" si="3"/>
        <v>1298295.5999999999</v>
      </c>
      <c r="V23" s="161">
        <f t="shared" si="4"/>
        <v>1190104.3</v>
      </c>
      <c r="W23" s="161">
        <f t="shared" si="5"/>
        <v>476041.72000000003</v>
      </c>
    </row>
    <row r="24" spans="1:23" ht="12.75" customHeight="1">
      <c r="A24" s="118">
        <v>23</v>
      </c>
      <c r="B24" s="128">
        <v>1</v>
      </c>
      <c r="C24" s="156">
        <v>37196</v>
      </c>
      <c r="D24" s="157" t="s">
        <v>54</v>
      </c>
      <c r="E24" s="8">
        <v>2001</v>
      </c>
      <c r="F24" s="158">
        <f t="shared" si="1"/>
        <v>396</v>
      </c>
      <c r="G24" s="158">
        <f t="shared" si="0"/>
        <v>2</v>
      </c>
      <c r="H24" s="162">
        <v>36800</v>
      </c>
      <c r="I24" s="163">
        <v>1080830</v>
      </c>
      <c r="J24" s="15">
        <v>0.5</v>
      </c>
      <c r="K24" s="15">
        <v>6.9</v>
      </c>
      <c r="L24" s="15">
        <v>4</v>
      </c>
      <c r="M24" s="174">
        <v>1</v>
      </c>
      <c r="O24" s="15">
        <v>0.6</v>
      </c>
      <c r="T24" s="161">
        <f t="shared" si="3"/>
        <v>7457727</v>
      </c>
      <c r="U24" s="161">
        <f t="shared" si="3"/>
        <v>4323320</v>
      </c>
      <c r="V24" s="161">
        <f t="shared" si="4"/>
        <v>648498</v>
      </c>
      <c r="W24" s="161">
        <f t="shared" si="5"/>
        <v>259399.2</v>
      </c>
    </row>
    <row r="25" spans="1:23" ht="12.75" customHeight="1">
      <c r="A25" s="118">
        <v>24</v>
      </c>
      <c r="B25" s="128">
        <v>1</v>
      </c>
      <c r="C25" s="156">
        <v>37226</v>
      </c>
      <c r="D25" s="157" t="s">
        <v>55</v>
      </c>
      <c r="E25" s="8">
        <v>2001</v>
      </c>
      <c r="F25" s="158">
        <f t="shared" si="1"/>
        <v>426</v>
      </c>
      <c r="G25" s="158">
        <f t="shared" si="0"/>
        <v>2</v>
      </c>
      <c r="H25" s="162">
        <v>36800</v>
      </c>
      <c r="I25" s="163">
        <v>1080176</v>
      </c>
      <c r="J25" s="15">
        <v>1.55</v>
      </c>
      <c r="K25" s="15">
        <v>6.61</v>
      </c>
      <c r="L25" s="15">
        <v>3.45</v>
      </c>
      <c r="O25" s="15">
        <v>0</v>
      </c>
      <c r="T25" s="161">
        <f t="shared" si="3"/>
        <v>7139963.3600000003</v>
      </c>
      <c r="U25" s="161">
        <f t="shared" si="3"/>
        <v>3726607.2</v>
      </c>
      <c r="V25" s="161">
        <f t="shared" si="4"/>
        <v>0</v>
      </c>
      <c r="W25" s="161">
        <f t="shared" si="5"/>
        <v>0</v>
      </c>
    </row>
    <row r="26" spans="1:23" ht="12.75" customHeight="1">
      <c r="A26" s="118">
        <v>25</v>
      </c>
      <c r="B26" s="128">
        <v>1</v>
      </c>
      <c r="C26" s="156">
        <v>37257</v>
      </c>
      <c r="D26" s="157" t="s">
        <v>44</v>
      </c>
      <c r="E26" s="8">
        <v>2002</v>
      </c>
      <c r="F26" s="158">
        <f t="shared" si="1"/>
        <v>457</v>
      </c>
      <c r="G26" s="158">
        <f t="shared" si="0"/>
        <v>2</v>
      </c>
      <c r="H26" s="162">
        <v>36800</v>
      </c>
      <c r="I26" s="163">
        <v>1079348</v>
      </c>
      <c r="J26" s="173"/>
      <c r="K26" s="173"/>
      <c r="L26" s="165">
        <v>4</v>
      </c>
      <c r="N26" s="528">
        <v>1</v>
      </c>
      <c r="O26" s="165">
        <f>(O25+O27)/2</f>
        <v>0</v>
      </c>
      <c r="T26" s="161">
        <f t="shared" si="3"/>
        <v>0</v>
      </c>
      <c r="U26" s="161">
        <f t="shared" si="3"/>
        <v>4317392</v>
      </c>
      <c r="V26" s="161">
        <f t="shared" si="4"/>
        <v>0</v>
      </c>
      <c r="W26" s="161">
        <f t="shared" si="5"/>
        <v>0</v>
      </c>
    </row>
    <row r="27" spans="1:23" ht="12.75" customHeight="1">
      <c r="A27" s="118">
        <v>26</v>
      </c>
      <c r="B27" s="128">
        <v>1</v>
      </c>
      <c r="C27" s="156">
        <v>37288</v>
      </c>
      <c r="D27" s="157" t="s">
        <v>45</v>
      </c>
      <c r="E27" s="8">
        <v>2002</v>
      </c>
      <c r="F27" s="158">
        <f t="shared" si="1"/>
        <v>488</v>
      </c>
      <c r="G27" s="158">
        <f t="shared" si="0"/>
        <v>2</v>
      </c>
      <c r="H27" s="162">
        <v>36800</v>
      </c>
      <c r="I27" s="163">
        <v>1078273</v>
      </c>
      <c r="J27" s="15">
        <v>0.59</v>
      </c>
      <c r="K27" s="15">
        <v>6.2839999999999998</v>
      </c>
      <c r="L27" s="15">
        <v>2.5659999999999998</v>
      </c>
      <c r="O27" s="15">
        <v>0</v>
      </c>
      <c r="P27" s="8">
        <v>0.5</v>
      </c>
      <c r="S27" s="155" t="s">
        <v>71</v>
      </c>
      <c r="T27" s="161">
        <f t="shared" si="3"/>
        <v>6775867.5319999997</v>
      </c>
      <c r="U27" s="161">
        <f t="shared" si="3"/>
        <v>2766848.5179999997</v>
      </c>
      <c r="V27" s="161">
        <f t="shared" si="4"/>
        <v>0</v>
      </c>
      <c r="W27" s="161">
        <f t="shared" si="5"/>
        <v>0</v>
      </c>
    </row>
    <row r="28" spans="1:23" ht="12.75" customHeight="1">
      <c r="A28" s="118">
        <v>27</v>
      </c>
      <c r="B28" s="128">
        <v>1</v>
      </c>
      <c r="C28" s="156">
        <v>37316</v>
      </c>
      <c r="D28" s="157" t="s">
        <v>46</v>
      </c>
      <c r="E28" s="8">
        <v>2002</v>
      </c>
      <c r="F28" s="158">
        <f t="shared" si="1"/>
        <v>516</v>
      </c>
      <c r="G28" s="158">
        <f t="shared" si="0"/>
        <v>2</v>
      </c>
      <c r="H28" s="162">
        <v>36800</v>
      </c>
      <c r="I28" s="163">
        <v>1077375</v>
      </c>
      <c r="J28" s="15">
        <v>1.2</v>
      </c>
      <c r="K28" s="15">
        <v>8.7566666666666677</v>
      </c>
      <c r="L28" s="15">
        <v>3.4</v>
      </c>
      <c r="O28" s="15">
        <v>0</v>
      </c>
      <c r="P28" s="8">
        <v>0.5</v>
      </c>
      <c r="S28" s="155" t="s">
        <v>71</v>
      </c>
      <c r="T28" s="161">
        <f t="shared" si="3"/>
        <v>9434213.7500000019</v>
      </c>
      <c r="U28" s="161">
        <f t="shared" si="3"/>
        <v>3663075</v>
      </c>
      <c r="V28" s="161">
        <f t="shared" si="4"/>
        <v>0</v>
      </c>
      <c r="W28" s="161">
        <f t="shared" si="5"/>
        <v>0</v>
      </c>
    </row>
    <row r="29" spans="1:23" ht="12.75" customHeight="1">
      <c r="A29" s="118">
        <v>28</v>
      </c>
      <c r="B29" s="128">
        <v>1</v>
      </c>
      <c r="C29" s="156">
        <v>37347</v>
      </c>
      <c r="D29" s="157" t="s">
        <v>47</v>
      </c>
      <c r="E29" s="8">
        <v>2002</v>
      </c>
      <c r="F29" s="158">
        <f t="shared" si="1"/>
        <v>547</v>
      </c>
      <c r="G29" s="158">
        <f t="shared" si="0"/>
        <v>2</v>
      </c>
      <c r="H29" s="162">
        <v>36800</v>
      </c>
      <c r="I29" s="163">
        <v>1075954</v>
      </c>
      <c r="J29" s="11"/>
      <c r="K29" s="11"/>
      <c r="L29" s="11"/>
      <c r="O29" s="11"/>
      <c r="T29" s="11"/>
      <c r="V29" s="11"/>
      <c r="W29" s="11"/>
    </row>
    <row r="30" spans="1:23" ht="12.75" customHeight="1">
      <c r="A30" s="118">
        <v>29</v>
      </c>
      <c r="B30" s="128">
        <v>1</v>
      </c>
      <c r="C30" s="156">
        <v>37377</v>
      </c>
      <c r="D30" s="157" t="s">
        <v>48</v>
      </c>
      <c r="E30" s="8">
        <v>2002</v>
      </c>
      <c r="F30" s="158">
        <f t="shared" si="1"/>
        <v>577</v>
      </c>
      <c r="G30" s="158">
        <f t="shared" si="0"/>
        <v>2</v>
      </c>
      <c r="H30" s="162">
        <v>36800</v>
      </c>
      <c r="I30" s="163">
        <v>1073211</v>
      </c>
      <c r="J30" s="11"/>
      <c r="K30" s="11"/>
      <c r="L30" s="11"/>
      <c r="O30" s="11"/>
      <c r="T30" s="11"/>
      <c r="V30" s="11"/>
      <c r="W30" s="11"/>
    </row>
    <row r="31" spans="1:23" ht="12.75" customHeight="1">
      <c r="A31" s="118">
        <v>30</v>
      </c>
      <c r="B31" s="259">
        <v>1</v>
      </c>
      <c r="C31" s="156">
        <v>37408</v>
      </c>
      <c r="D31" s="157" t="s">
        <v>49</v>
      </c>
      <c r="E31" s="8">
        <v>2002</v>
      </c>
      <c r="F31" s="158">
        <f t="shared" si="1"/>
        <v>608</v>
      </c>
      <c r="G31" s="158">
        <f t="shared" si="0"/>
        <v>2</v>
      </c>
      <c r="H31" s="162">
        <v>36800</v>
      </c>
      <c r="I31" s="163">
        <v>602421</v>
      </c>
      <c r="J31" s="15">
        <v>0.3</v>
      </c>
      <c r="K31" s="15">
        <v>0.25</v>
      </c>
      <c r="L31" s="15">
        <v>0</v>
      </c>
      <c r="O31" s="15">
        <v>0</v>
      </c>
      <c r="S31" s="155" t="s">
        <v>290</v>
      </c>
      <c r="T31" s="161">
        <f>$I31*K31</f>
        <v>150605.25</v>
      </c>
      <c r="U31" s="161">
        <f>$I31*L31</f>
        <v>0</v>
      </c>
      <c r="V31" s="161">
        <f>$I31*O31</f>
        <v>0</v>
      </c>
      <c r="W31" s="161">
        <f>V31*0.4</f>
        <v>0</v>
      </c>
    </row>
    <row r="32" spans="1:23" ht="12.75" customHeight="1">
      <c r="A32" s="118">
        <v>31</v>
      </c>
      <c r="B32" s="128">
        <v>1</v>
      </c>
      <c r="C32" s="156">
        <v>37438</v>
      </c>
      <c r="D32" s="157" t="s">
        <v>50</v>
      </c>
      <c r="E32" s="8">
        <v>2002</v>
      </c>
      <c r="F32" s="158">
        <f t="shared" si="1"/>
        <v>638</v>
      </c>
      <c r="G32" s="158">
        <f t="shared" si="0"/>
        <v>2</v>
      </c>
      <c r="H32" s="162">
        <v>36800</v>
      </c>
      <c r="I32" s="160">
        <v>597562</v>
      </c>
      <c r="J32" s="11"/>
      <c r="K32" s="11"/>
      <c r="L32" s="11"/>
      <c r="O32" s="11"/>
      <c r="S32" s="155" t="s">
        <v>26</v>
      </c>
      <c r="T32" s="11"/>
      <c r="V32" s="11"/>
      <c r="W32" s="11"/>
    </row>
    <row r="33" spans="1:23" ht="12.75" customHeight="1">
      <c r="A33" s="118">
        <v>32</v>
      </c>
      <c r="B33" s="128">
        <v>1</v>
      </c>
      <c r="C33" s="156">
        <v>37469</v>
      </c>
      <c r="D33" s="157" t="s">
        <v>51</v>
      </c>
      <c r="E33" s="8">
        <v>2002</v>
      </c>
      <c r="F33" s="158">
        <f t="shared" si="1"/>
        <v>669</v>
      </c>
      <c r="G33" s="158">
        <f t="shared" si="0"/>
        <v>2</v>
      </c>
      <c r="H33" s="162">
        <v>36800</v>
      </c>
      <c r="I33" s="160">
        <v>571729</v>
      </c>
      <c r="J33" s="11"/>
      <c r="K33" s="166"/>
      <c r="L33" s="11"/>
      <c r="O33" s="11"/>
      <c r="T33" s="166"/>
      <c r="V33" s="11"/>
      <c r="W33" s="11"/>
    </row>
    <row r="34" spans="1:23" ht="12.75" customHeight="1">
      <c r="A34" s="118">
        <v>33</v>
      </c>
      <c r="B34" s="128">
        <v>1</v>
      </c>
      <c r="C34" s="156">
        <v>37500</v>
      </c>
      <c r="D34" s="157" t="s">
        <v>52</v>
      </c>
      <c r="E34" s="8">
        <v>2002</v>
      </c>
      <c r="F34" s="158">
        <f t="shared" si="1"/>
        <v>700</v>
      </c>
      <c r="G34" s="158">
        <f t="shared" si="0"/>
        <v>2</v>
      </c>
      <c r="H34" s="162">
        <v>36800</v>
      </c>
      <c r="I34" s="160">
        <v>488926</v>
      </c>
      <c r="J34" s="11"/>
      <c r="K34" s="166"/>
      <c r="L34" s="11"/>
      <c r="O34" s="11"/>
      <c r="T34" s="166"/>
      <c r="V34" s="11"/>
      <c r="W34" s="11"/>
    </row>
    <row r="35" spans="1:23" ht="12.75" customHeight="1">
      <c r="A35" s="118">
        <v>34</v>
      </c>
      <c r="B35" s="260">
        <v>1</v>
      </c>
      <c r="C35" s="156">
        <v>37530</v>
      </c>
      <c r="D35" s="157" t="s">
        <v>53</v>
      </c>
      <c r="E35" s="8">
        <v>2002</v>
      </c>
      <c r="F35" s="158">
        <f t="shared" si="1"/>
        <v>730</v>
      </c>
      <c r="G35" s="158">
        <f>IF(F35&lt;730,2,3)</f>
        <v>3</v>
      </c>
      <c r="H35" s="162">
        <v>36800</v>
      </c>
      <c r="I35" s="160">
        <v>403562</v>
      </c>
      <c r="J35" s="11"/>
      <c r="K35" s="166"/>
      <c r="L35" s="11"/>
      <c r="O35" s="11"/>
      <c r="T35" s="166"/>
      <c r="V35" s="11"/>
      <c r="W35" s="11"/>
    </row>
    <row r="36" spans="1:23" ht="12.75" customHeight="1">
      <c r="A36" s="118">
        <v>35</v>
      </c>
      <c r="B36" s="260">
        <v>1</v>
      </c>
      <c r="C36" s="156">
        <v>37561</v>
      </c>
      <c r="D36" s="157" t="s">
        <v>54</v>
      </c>
      <c r="E36" s="8">
        <v>2002</v>
      </c>
      <c r="F36" s="158">
        <f t="shared" si="1"/>
        <v>761</v>
      </c>
      <c r="G36" s="158">
        <f>IF(F36&lt;730,2,3)</f>
        <v>3</v>
      </c>
      <c r="H36" s="162">
        <v>36800</v>
      </c>
      <c r="I36" s="160">
        <v>196819</v>
      </c>
      <c r="J36" s="11"/>
      <c r="K36" s="166"/>
      <c r="L36" s="11"/>
      <c r="O36" s="11"/>
      <c r="T36" s="166"/>
      <c r="V36" s="11"/>
      <c r="W36" s="11"/>
    </row>
    <row r="37" spans="1:23" ht="12.75" customHeight="1">
      <c r="A37" s="118">
        <v>36</v>
      </c>
      <c r="B37" s="260">
        <v>1</v>
      </c>
      <c r="C37" s="156">
        <v>37591</v>
      </c>
      <c r="D37" s="157" t="s">
        <v>55</v>
      </c>
      <c r="E37" s="8">
        <v>2002</v>
      </c>
      <c r="F37" s="158">
        <f t="shared" si="1"/>
        <v>791</v>
      </c>
      <c r="G37" s="158">
        <f>IF(F37&lt;730,2,3)</f>
        <v>3</v>
      </c>
      <c r="H37" s="162">
        <v>36800</v>
      </c>
      <c r="I37" s="160">
        <v>24975</v>
      </c>
      <c r="J37" s="11"/>
      <c r="K37" s="166"/>
      <c r="L37" s="11"/>
      <c r="O37" s="11"/>
      <c r="T37" s="166"/>
      <c r="V37" s="11"/>
      <c r="W37" s="11"/>
    </row>
    <row r="38" spans="1:23" ht="12.75" customHeight="1">
      <c r="A38" s="118">
        <v>37</v>
      </c>
      <c r="B38" s="128">
        <v>1</v>
      </c>
      <c r="C38" s="156">
        <v>37622</v>
      </c>
      <c r="D38" s="157" t="s">
        <v>44</v>
      </c>
      <c r="E38" s="8">
        <v>2003</v>
      </c>
      <c r="F38" s="158"/>
      <c r="J38" s="11"/>
      <c r="K38" s="166"/>
      <c r="L38" s="11"/>
      <c r="O38" s="11"/>
      <c r="S38" s="155" t="s">
        <v>11</v>
      </c>
      <c r="T38" s="166"/>
      <c r="V38" s="11"/>
      <c r="W38" s="11"/>
    </row>
    <row r="39" spans="1:23" ht="12.75" customHeight="1">
      <c r="A39" s="118">
        <v>38</v>
      </c>
      <c r="B39" s="128">
        <v>1</v>
      </c>
      <c r="C39" s="156">
        <v>37653</v>
      </c>
      <c r="D39" s="157" t="s">
        <v>45</v>
      </c>
      <c r="E39" s="8">
        <v>2003</v>
      </c>
      <c r="F39" s="158">
        <f t="shared" ref="F39:F62" si="6">C39-H39</f>
        <v>0</v>
      </c>
      <c r="G39" s="158">
        <f t="shared" ref="G39:G62" si="7">IF(F39&lt;365,1,2)</f>
        <v>1</v>
      </c>
      <c r="H39" s="162">
        <v>37653</v>
      </c>
      <c r="I39" s="163">
        <v>9785</v>
      </c>
      <c r="J39" s="11"/>
      <c r="K39" s="166"/>
      <c r="L39" s="165">
        <v>0</v>
      </c>
      <c r="N39" s="528" t="s">
        <v>794</v>
      </c>
      <c r="O39" s="165">
        <v>0</v>
      </c>
      <c r="T39" s="166"/>
      <c r="U39" s="161">
        <f t="shared" ref="U39:U62" si="8">$I39*L39</f>
        <v>0</v>
      </c>
      <c r="V39" s="161">
        <f t="shared" ref="V39:V62" si="9">$I39*O39</f>
        <v>0</v>
      </c>
      <c r="W39" s="161">
        <f t="shared" ref="W39:W62" si="10">V39*0.4</f>
        <v>0</v>
      </c>
    </row>
    <row r="40" spans="1:23" ht="12.75" customHeight="1">
      <c r="A40" s="118">
        <v>39</v>
      </c>
      <c r="B40" s="128">
        <v>1</v>
      </c>
      <c r="C40" s="156">
        <v>37681</v>
      </c>
      <c r="D40" s="157" t="s">
        <v>46</v>
      </c>
      <c r="E40" s="8">
        <v>2003</v>
      </c>
      <c r="F40" s="158">
        <f t="shared" si="6"/>
        <v>28</v>
      </c>
      <c r="G40" s="158">
        <f t="shared" si="7"/>
        <v>1</v>
      </c>
      <c r="H40" s="162">
        <v>37653</v>
      </c>
      <c r="I40" s="194">
        <v>735000</v>
      </c>
      <c r="L40" s="165">
        <v>0</v>
      </c>
      <c r="N40" s="528" t="s">
        <v>794</v>
      </c>
      <c r="O40" s="165">
        <v>0</v>
      </c>
      <c r="Q40" s="11">
        <v>7.52</v>
      </c>
      <c r="R40" s="11">
        <v>32.61</v>
      </c>
      <c r="S40" s="155" t="s">
        <v>11</v>
      </c>
      <c r="U40" s="161">
        <f t="shared" si="8"/>
        <v>0</v>
      </c>
      <c r="V40" s="161">
        <f t="shared" si="9"/>
        <v>0</v>
      </c>
      <c r="W40" s="161">
        <f t="shared" si="10"/>
        <v>0</v>
      </c>
    </row>
    <row r="41" spans="1:23" ht="12.75" customHeight="1">
      <c r="A41" s="118">
        <v>40</v>
      </c>
      <c r="B41" s="128">
        <v>1</v>
      </c>
      <c r="C41" s="156">
        <v>37712</v>
      </c>
      <c r="D41" s="157" t="s">
        <v>47</v>
      </c>
      <c r="E41" s="8">
        <v>2003</v>
      </c>
      <c r="F41" s="158">
        <f t="shared" si="6"/>
        <v>59</v>
      </c>
      <c r="G41" s="158">
        <f t="shared" si="7"/>
        <v>1</v>
      </c>
      <c r="H41" s="162">
        <v>37653</v>
      </c>
      <c r="I41" s="163">
        <v>723711</v>
      </c>
      <c r="J41" s="15">
        <v>1.55</v>
      </c>
      <c r="K41" s="15">
        <v>2.31</v>
      </c>
      <c r="L41" s="15">
        <v>0</v>
      </c>
      <c r="O41" s="15">
        <v>0.33</v>
      </c>
      <c r="Q41" s="11">
        <v>8.06</v>
      </c>
      <c r="R41" s="11">
        <v>31.8</v>
      </c>
      <c r="T41" s="161">
        <f t="shared" ref="T41:T49" si="11">$I41*K41</f>
        <v>1671772.4100000001</v>
      </c>
      <c r="U41" s="161">
        <f t="shared" si="8"/>
        <v>0</v>
      </c>
      <c r="V41" s="161">
        <f t="shared" si="9"/>
        <v>238824.63</v>
      </c>
      <c r="W41" s="161">
        <f t="shared" si="10"/>
        <v>95529.852000000014</v>
      </c>
    </row>
    <row r="42" spans="1:23" ht="12.75" customHeight="1">
      <c r="A42" s="118">
        <v>41</v>
      </c>
      <c r="B42" s="128">
        <v>1</v>
      </c>
      <c r="C42" s="156">
        <v>37742</v>
      </c>
      <c r="D42" s="157" t="s">
        <v>48</v>
      </c>
      <c r="E42" s="8">
        <v>2003</v>
      </c>
      <c r="F42" s="158">
        <f t="shared" si="6"/>
        <v>89</v>
      </c>
      <c r="G42" s="158">
        <f t="shared" si="7"/>
        <v>1</v>
      </c>
      <c r="H42" s="162">
        <v>37653</v>
      </c>
      <c r="I42" s="163">
        <v>970982</v>
      </c>
      <c r="J42" s="15">
        <v>1.79</v>
      </c>
      <c r="K42" s="15">
        <v>2.41</v>
      </c>
      <c r="L42" s="15">
        <v>0.14000000000000001</v>
      </c>
      <c r="M42" s="174">
        <v>0</v>
      </c>
      <c r="O42" s="15">
        <v>0.22</v>
      </c>
      <c r="Q42" s="11">
        <v>9.1300000000000008</v>
      </c>
      <c r="R42" s="11">
        <v>27.77</v>
      </c>
      <c r="T42" s="161">
        <f t="shared" si="11"/>
        <v>2340066.62</v>
      </c>
      <c r="U42" s="161">
        <f t="shared" si="8"/>
        <v>135937.48000000001</v>
      </c>
      <c r="V42" s="161">
        <f t="shared" si="9"/>
        <v>213616.04</v>
      </c>
      <c r="W42" s="161">
        <f t="shared" si="10"/>
        <v>85446.416000000012</v>
      </c>
    </row>
    <row r="43" spans="1:23" ht="12.75" customHeight="1">
      <c r="A43" s="118">
        <v>42</v>
      </c>
      <c r="B43" s="128">
        <v>1</v>
      </c>
      <c r="C43" s="156">
        <v>37773</v>
      </c>
      <c r="D43" s="157" t="s">
        <v>49</v>
      </c>
      <c r="E43" s="8">
        <v>2003</v>
      </c>
      <c r="F43" s="158">
        <f t="shared" si="6"/>
        <v>120</v>
      </c>
      <c r="G43" s="158">
        <f t="shared" si="7"/>
        <v>1</v>
      </c>
      <c r="H43" s="162">
        <v>37653</v>
      </c>
      <c r="I43" s="163">
        <v>1060101</v>
      </c>
      <c r="J43" s="15">
        <v>4.37</v>
      </c>
      <c r="K43" s="15">
        <v>0.74</v>
      </c>
      <c r="L43" s="15">
        <v>0.12</v>
      </c>
      <c r="M43" s="174">
        <v>0</v>
      </c>
      <c r="O43" s="15">
        <v>1.1299999999999999</v>
      </c>
      <c r="Q43" s="11">
        <v>10.53</v>
      </c>
      <c r="R43" s="11">
        <v>26.13</v>
      </c>
      <c r="T43" s="161">
        <f t="shared" si="11"/>
        <v>784474.74</v>
      </c>
      <c r="U43" s="161">
        <f t="shared" si="8"/>
        <v>127212.12</v>
      </c>
      <c r="V43" s="161">
        <f t="shared" si="9"/>
        <v>1197914.1299999999</v>
      </c>
      <c r="W43" s="161">
        <f t="shared" si="10"/>
        <v>479165.652</v>
      </c>
    </row>
    <row r="44" spans="1:23" ht="12.75" customHeight="1">
      <c r="A44" s="118">
        <v>43</v>
      </c>
      <c r="B44" s="128">
        <v>1</v>
      </c>
      <c r="C44" s="156">
        <v>37803</v>
      </c>
      <c r="D44" s="157" t="s">
        <v>50</v>
      </c>
      <c r="E44" s="8">
        <v>2003</v>
      </c>
      <c r="F44" s="158">
        <f t="shared" si="6"/>
        <v>150</v>
      </c>
      <c r="G44" s="158">
        <f t="shared" si="7"/>
        <v>1</v>
      </c>
      <c r="H44" s="162">
        <v>37653</v>
      </c>
      <c r="I44" s="163">
        <v>1025047</v>
      </c>
      <c r="J44" s="15">
        <v>2.1</v>
      </c>
      <c r="K44" s="15">
        <v>1.43</v>
      </c>
      <c r="L44" s="15">
        <v>0.47</v>
      </c>
      <c r="M44" s="174">
        <v>1</v>
      </c>
      <c r="O44" s="15">
        <v>2.33</v>
      </c>
      <c r="Q44" s="11">
        <v>11.1</v>
      </c>
      <c r="R44" s="11">
        <v>25.24</v>
      </c>
      <c r="T44" s="161">
        <f t="shared" si="11"/>
        <v>1465817.21</v>
      </c>
      <c r="U44" s="161">
        <f t="shared" si="8"/>
        <v>481772.08999999997</v>
      </c>
      <c r="V44" s="161">
        <f t="shared" si="9"/>
        <v>2388359.5100000002</v>
      </c>
      <c r="W44" s="161">
        <f t="shared" si="10"/>
        <v>955343.80400000012</v>
      </c>
    </row>
    <row r="45" spans="1:23" ht="12.75" customHeight="1">
      <c r="A45" s="118">
        <v>44</v>
      </c>
      <c r="B45" s="128">
        <v>1</v>
      </c>
      <c r="C45" s="156">
        <v>37834</v>
      </c>
      <c r="D45" s="157" t="s">
        <v>51</v>
      </c>
      <c r="E45" s="8">
        <v>2003</v>
      </c>
      <c r="F45" s="158">
        <f t="shared" si="6"/>
        <v>181</v>
      </c>
      <c r="G45" s="158">
        <f t="shared" si="7"/>
        <v>1</v>
      </c>
      <c r="H45" s="162">
        <v>37653</v>
      </c>
      <c r="I45" s="163">
        <v>1016703</v>
      </c>
      <c r="J45" s="15">
        <v>0.67</v>
      </c>
      <c r="K45" s="15">
        <v>1</v>
      </c>
      <c r="L45" s="15">
        <v>0.18</v>
      </c>
      <c r="M45" s="174">
        <v>1</v>
      </c>
      <c r="O45" s="15">
        <v>1.1299999999999999</v>
      </c>
      <c r="Q45" s="11">
        <v>11.26</v>
      </c>
      <c r="R45" s="11">
        <v>27.27</v>
      </c>
      <c r="T45" s="161">
        <f t="shared" si="11"/>
        <v>1016703</v>
      </c>
      <c r="U45" s="161">
        <f t="shared" si="8"/>
        <v>183006.53999999998</v>
      </c>
      <c r="V45" s="161">
        <f t="shared" si="9"/>
        <v>1148874.3899999999</v>
      </c>
      <c r="W45" s="161">
        <f t="shared" si="10"/>
        <v>459549.75599999999</v>
      </c>
    </row>
    <row r="46" spans="1:23" ht="12.75" customHeight="1">
      <c r="A46" s="118">
        <v>45</v>
      </c>
      <c r="B46" s="128">
        <v>1</v>
      </c>
      <c r="C46" s="156">
        <v>37865</v>
      </c>
      <c r="D46" s="157" t="s">
        <v>52</v>
      </c>
      <c r="E46" s="8">
        <v>2003</v>
      </c>
      <c r="F46" s="158">
        <f t="shared" si="6"/>
        <v>212</v>
      </c>
      <c r="G46" s="158">
        <f t="shared" si="7"/>
        <v>1</v>
      </c>
      <c r="H46" s="162">
        <v>37653</v>
      </c>
      <c r="I46" s="163">
        <v>1014202</v>
      </c>
      <c r="J46" s="15">
        <v>4.17</v>
      </c>
      <c r="K46" s="15">
        <v>2.57</v>
      </c>
      <c r="L46" s="15">
        <v>0.78</v>
      </c>
      <c r="M46" s="174">
        <v>1</v>
      </c>
      <c r="O46" s="15">
        <v>0.6</v>
      </c>
      <c r="Q46" s="11">
        <v>11.12</v>
      </c>
      <c r="R46" s="11">
        <v>27.57</v>
      </c>
      <c r="T46" s="161">
        <f t="shared" si="11"/>
        <v>2606499.1399999997</v>
      </c>
      <c r="U46" s="161">
        <f t="shared" si="8"/>
        <v>791077.56</v>
      </c>
      <c r="V46" s="161">
        <f t="shared" si="9"/>
        <v>608521.19999999995</v>
      </c>
      <c r="W46" s="161">
        <f t="shared" si="10"/>
        <v>243408.47999999998</v>
      </c>
    </row>
    <row r="47" spans="1:23" ht="12.75" customHeight="1">
      <c r="A47" s="118">
        <v>46</v>
      </c>
      <c r="B47" s="128">
        <v>1</v>
      </c>
      <c r="C47" s="156">
        <v>37895</v>
      </c>
      <c r="D47" s="157" t="s">
        <v>53</v>
      </c>
      <c r="E47" s="8">
        <v>2003</v>
      </c>
      <c r="F47" s="158">
        <f t="shared" si="6"/>
        <v>242</v>
      </c>
      <c r="G47" s="158">
        <f t="shared" si="7"/>
        <v>1</v>
      </c>
      <c r="H47" s="162">
        <v>37653</v>
      </c>
      <c r="I47" s="163">
        <v>1012627</v>
      </c>
      <c r="J47" s="15">
        <v>3.12</v>
      </c>
      <c r="K47" s="15">
        <v>1.6</v>
      </c>
      <c r="L47" s="15">
        <v>0.6</v>
      </c>
      <c r="M47" s="174">
        <v>0</v>
      </c>
      <c r="O47" s="15">
        <v>0.82</v>
      </c>
      <c r="Q47" s="11">
        <v>10.8</v>
      </c>
      <c r="T47" s="161">
        <f t="shared" si="11"/>
        <v>1620203.2000000002</v>
      </c>
      <c r="U47" s="161">
        <f t="shared" si="8"/>
        <v>607576.19999999995</v>
      </c>
      <c r="V47" s="161">
        <f t="shared" si="9"/>
        <v>830354.1399999999</v>
      </c>
      <c r="W47" s="161">
        <f t="shared" si="10"/>
        <v>332141.65599999996</v>
      </c>
    </row>
    <row r="48" spans="1:23" ht="12.75" customHeight="1">
      <c r="A48" s="118">
        <v>47</v>
      </c>
      <c r="B48" s="128">
        <v>1</v>
      </c>
      <c r="C48" s="156">
        <v>37926</v>
      </c>
      <c r="D48" s="157" t="s">
        <v>54</v>
      </c>
      <c r="E48" s="8">
        <v>2003</v>
      </c>
      <c r="F48" s="158">
        <f t="shared" si="6"/>
        <v>273</v>
      </c>
      <c r="G48" s="158">
        <f t="shared" si="7"/>
        <v>1</v>
      </c>
      <c r="H48" s="162">
        <v>37653</v>
      </c>
      <c r="I48" s="163">
        <v>1010825</v>
      </c>
      <c r="J48" s="15">
        <v>0.12</v>
      </c>
      <c r="K48" s="15">
        <v>0.88</v>
      </c>
      <c r="L48" s="15">
        <v>0.59</v>
      </c>
      <c r="M48" s="174">
        <v>0</v>
      </c>
      <c r="O48" s="15">
        <v>0.24</v>
      </c>
      <c r="R48" s="11">
        <v>30</v>
      </c>
      <c r="T48" s="161">
        <f t="shared" si="11"/>
        <v>889526</v>
      </c>
      <c r="U48" s="161">
        <f t="shared" si="8"/>
        <v>596386.75</v>
      </c>
      <c r="V48" s="161">
        <f t="shared" si="9"/>
        <v>242598</v>
      </c>
      <c r="W48" s="161">
        <f t="shared" si="10"/>
        <v>97039.200000000012</v>
      </c>
    </row>
    <row r="49" spans="1:23" ht="12.75" customHeight="1">
      <c r="A49" s="118">
        <v>48</v>
      </c>
      <c r="B49" s="128">
        <v>1</v>
      </c>
      <c r="C49" s="156">
        <v>37956</v>
      </c>
      <c r="D49" s="157" t="s">
        <v>55</v>
      </c>
      <c r="E49" s="8">
        <v>2003</v>
      </c>
      <c r="F49" s="158">
        <f t="shared" si="6"/>
        <v>303</v>
      </c>
      <c r="G49" s="158">
        <f t="shared" si="7"/>
        <v>1</v>
      </c>
      <c r="H49" s="162">
        <v>37653</v>
      </c>
      <c r="I49" s="163">
        <v>1009714</v>
      </c>
      <c r="J49" s="15">
        <v>0.49</v>
      </c>
      <c r="K49" s="15">
        <v>1.84</v>
      </c>
      <c r="L49" s="15">
        <v>1.53</v>
      </c>
      <c r="O49" s="15">
        <v>1.29</v>
      </c>
      <c r="Q49" s="11">
        <v>7.3</v>
      </c>
      <c r="R49" s="11">
        <v>29</v>
      </c>
      <c r="T49" s="161">
        <f t="shared" si="11"/>
        <v>1857873.76</v>
      </c>
      <c r="U49" s="161">
        <f t="shared" si="8"/>
        <v>1544862.42</v>
      </c>
      <c r="V49" s="161">
        <f t="shared" si="9"/>
        <v>1302531.06</v>
      </c>
      <c r="W49" s="161">
        <f t="shared" si="10"/>
        <v>521012.42400000006</v>
      </c>
    </row>
    <row r="50" spans="1:23" ht="12.75" customHeight="1">
      <c r="A50" s="118">
        <v>49</v>
      </c>
      <c r="B50" s="128">
        <v>1</v>
      </c>
      <c r="C50" s="156">
        <v>37987</v>
      </c>
      <c r="D50" s="157" t="s">
        <v>44</v>
      </c>
      <c r="E50" s="8">
        <v>2004</v>
      </c>
      <c r="F50" s="158">
        <f t="shared" si="6"/>
        <v>334</v>
      </c>
      <c r="G50" s="158">
        <f t="shared" si="7"/>
        <v>1</v>
      </c>
      <c r="H50" s="162">
        <v>37653</v>
      </c>
      <c r="I50" s="163">
        <v>664857</v>
      </c>
      <c r="L50" s="165">
        <v>1.55</v>
      </c>
      <c r="N50" s="528">
        <v>2</v>
      </c>
      <c r="O50" s="165">
        <v>1.1499999999999999</v>
      </c>
      <c r="S50" s="155" t="s">
        <v>291</v>
      </c>
      <c r="U50" s="161">
        <f t="shared" si="8"/>
        <v>1030528.35</v>
      </c>
      <c r="V50" s="161">
        <f t="shared" si="9"/>
        <v>764585.54999999993</v>
      </c>
      <c r="W50" s="161">
        <f t="shared" si="10"/>
        <v>305834.21999999997</v>
      </c>
    </row>
    <row r="51" spans="1:23" ht="12.75" customHeight="1">
      <c r="A51" s="118">
        <v>50</v>
      </c>
      <c r="B51" s="128">
        <v>1</v>
      </c>
      <c r="C51" s="156">
        <v>38018</v>
      </c>
      <c r="D51" s="157" t="s">
        <v>45</v>
      </c>
      <c r="E51" s="8">
        <v>2004</v>
      </c>
      <c r="F51" s="158">
        <f t="shared" si="6"/>
        <v>365</v>
      </c>
      <c r="G51" s="158">
        <f t="shared" si="7"/>
        <v>2</v>
      </c>
      <c r="H51" s="162">
        <v>37653</v>
      </c>
      <c r="I51" s="198">
        <v>664500</v>
      </c>
      <c r="L51" s="165">
        <v>1.58</v>
      </c>
      <c r="N51" s="528">
        <v>2</v>
      </c>
      <c r="O51" s="165">
        <v>1</v>
      </c>
      <c r="U51" s="161">
        <f t="shared" si="8"/>
        <v>1049910</v>
      </c>
      <c r="V51" s="161">
        <f t="shared" si="9"/>
        <v>664500</v>
      </c>
      <c r="W51" s="161">
        <f t="shared" si="10"/>
        <v>265800</v>
      </c>
    </row>
    <row r="52" spans="1:23" ht="12.75" customHeight="1">
      <c r="A52" s="118">
        <v>51</v>
      </c>
      <c r="B52" s="128">
        <v>1</v>
      </c>
      <c r="C52" s="156">
        <v>38047</v>
      </c>
      <c r="D52" s="157" t="s">
        <v>46</v>
      </c>
      <c r="E52" s="8">
        <v>2004</v>
      </c>
      <c r="F52" s="158">
        <f t="shared" si="6"/>
        <v>394</v>
      </c>
      <c r="G52" s="158">
        <f t="shared" si="7"/>
        <v>2</v>
      </c>
      <c r="H52" s="162">
        <v>37653</v>
      </c>
      <c r="I52" s="194">
        <v>666175</v>
      </c>
      <c r="J52" s="15">
        <v>0.5</v>
      </c>
      <c r="K52" s="15">
        <v>3.7</v>
      </c>
      <c r="L52" s="15">
        <v>1.6</v>
      </c>
      <c r="O52" s="15">
        <v>0.8</v>
      </c>
      <c r="Q52" s="11">
        <v>8.08</v>
      </c>
      <c r="R52" s="11">
        <v>29.43</v>
      </c>
      <c r="T52" s="161">
        <f t="shared" ref="T52:T60" si="12">$I52*K52</f>
        <v>2464847.5</v>
      </c>
      <c r="U52" s="161">
        <f t="shared" si="8"/>
        <v>1065880</v>
      </c>
      <c r="V52" s="161">
        <f t="shared" si="9"/>
        <v>532940</v>
      </c>
      <c r="W52" s="161">
        <f t="shared" si="10"/>
        <v>213176</v>
      </c>
    </row>
    <row r="53" spans="1:23" ht="12.75" customHeight="1">
      <c r="A53" s="118">
        <v>52</v>
      </c>
      <c r="B53" s="128">
        <v>1</v>
      </c>
      <c r="C53" s="156">
        <v>38078</v>
      </c>
      <c r="D53" s="157" t="s">
        <v>47</v>
      </c>
      <c r="E53" s="8">
        <v>2004</v>
      </c>
      <c r="F53" s="158">
        <f t="shared" si="6"/>
        <v>425</v>
      </c>
      <c r="G53" s="158">
        <f t="shared" si="7"/>
        <v>2</v>
      </c>
      <c r="H53" s="162">
        <v>37653</v>
      </c>
      <c r="I53" s="194">
        <v>665669</v>
      </c>
      <c r="J53" s="15">
        <v>2.0099999999999998</v>
      </c>
      <c r="K53" s="15">
        <v>6.39</v>
      </c>
      <c r="L53" s="15">
        <v>0.92</v>
      </c>
      <c r="M53" s="174">
        <v>1</v>
      </c>
      <c r="O53" s="15">
        <v>0.34</v>
      </c>
      <c r="Q53" s="11">
        <v>9</v>
      </c>
      <c r="R53" s="11">
        <v>30.7</v>
      </c>
      <c r="T53" s="161">
        <f t="shared" si="12"/>
        <v>4253624.91</v>
      </c>
      <c r="U53" s="161">
        <f t="shared" si="8"/>
        <v>612415.48</v>
      </c>
      <c r="V53" s="161">
        <f t="shared" si="9"/>
        <v>226327.46000000002</v>
      </c>
      <c r="W53" s="161">
        <f t="shared" si="10"/>
        <v>90530.984000000011</v>
      </c>
    </row>
    <row r="54" spans="1:23" ht="12.75" customHeight="1">
      <c r="A54" s="118">
        <v>53</v>
      </c>
      <c r="B54" s="128">
        <v>1</v>
      </c>
      <c r="C54" s="156">
        <v>38108</v>
      </c>
      <c r="D54" s="157" t="s">
        <v>48</v>
      </c>
      <c r="E54" s="8">
        <v>2004</v>
      </c>
      <c r="F54" s="158">
        <f t="shared" si="6"/>
        <v>455</v>
      </c>
      <c r="G54" s="158">
        <f t="shared" si="7"/>
        <v>2</v>
      </c>
      <c r="H54" s="162">
        <v>37653</v>
      </c>
      <c r="I54" s="194">
        <v>483726</v>
      </c>
      <c r="J54" s="15">
        <v>1.55</v>
      </c>
      <c r="K54" s="15">
        <v>15.6</v>
      </c>
      <c r="L54" s="15">
        <v>7.8</v>
      </c>
      <c r="M54" s="174">
        <v>2</v>
      </c>
      <c r="O54" s="15">
        <v>0.25</v>
      </c>
      <c r="P54" s="8">
        <v>1</v>
      </c>
      <c r="Q54" s="11">
        <v>9.98</v>
      </c>
      <c r="R54" s="11">
        <v>30.32</v>
      </c>
      <c r="T54" s="161">
        <f t="shared" si="12"/>
        <v>7546125.5999999996</v>
      </c>
      <c r="U54" s="161">
        <f t="shared" si="8"/>
        <v>3773062.8</v>
      </c>
      <c r="V54" s="161">
        <f t="shared" si="9"/>
        <v>120931.5</v>
      </c>
      <c r="W54" s="161">
        <f t="shared" si="10"/>
        <v>48372.600000000006</v>
      </c>
    </row>
    <row r="55" spans="1:23" ht="12.75" customHeight="1">
      <c r="A55" s="118">
        <v>54</v>
      </c>
      <c r="B55" s="128">
        <v>1</v>
      </c>
      <c r="C55" s="156">
        <v>38139</v>
      </c>
      <c r="D55" s="157" t="s">
        <v>49</v>
      </c>
      <c r="E55" s="8">
        <v>2004</v>
      </c>
      <c r="F55" s="158">
        <f t="shared" si="6"/>
        <v>486</v>
      </c>
      <c r="G55" s="158">
        <f t="shared" si="7"/>
        <v>2</v>
      </c>
      <c r="H55" s="162">
        <v>37653</v>
      </c>
      <c r="I55" s="194">
        <v>398036</v>
      </c>
      <c r="J55" s="15">
        <v>0</v>
      </c>
      <c r="K55" s="15">
        <v>0.4</v>
      </c>
      <c r="L55" s="15">
        <v>0.3</v>
      </c>
      <c r="M55" s="174">
        <v>0</v>
      </c>
      <c r="O55" s="15">
        <v>0</v>
      </c>
      <c r="Q55" s="11">
        <v>10.28</v>
      </c>
      <c r="R55" s="11">
        <v>28.26</v>
      </c>
      <c r="T55" s="161">
        <f t="shared" si="12"/>
        <v>159214.40000000002</v>
      </c>
      <c r="U55" s="161">
        <f t="shared" si="8"/>
        <v>119410.79999999999</v>
      </c>
      <c r="V55" s="161">
        <f t="shared" si="9"/>
        <v>0</v>
      </c>
      <c r="W55" s="161">
        <f t="shared" si="10"/>
        <v>0</v>
      </c>
    </row>
    <row r="56" spans="1:23" ht="12.75" customHeight="1">
      <c r="A56" s="118">
        <v>55</v>
      </c>
      <c r="B56" s="128">
        <v>1</v>
      </c>
      <c r="C56" s="156">
        <v>38169</v>
      </c>
      <c r="D56" s="157" t="s">
        <v>50</v>
      </c>
      <c r="E56" s="8">
        <v>2004</v>
      </c>
      <c r="F56" s="158">
        <f t="shared" si="6"/>
        <v>516</v>
      </c>
      <c r="G56" s="158">
        <f t="shared" si="7"/>
        <v>2</v>
      </c>
      <c r="H56" s="162">
        <v>37653</v>
      </c>
      <c r="I56" s="194">
        <v>357340</v>
      </c>
      <c r="J56" s="15">
        <v>0.1</v>
      </c>
      <c r="K56" s="15">
        <v>0.4</v>
      </c>
      <c r="L56" s="15">
        <v>0.1</v>
      </c>
      <c r="M56" s="174">
        <v>2</v>
      </c>
      <c r="O56" s="15">
        <v>0</v>
      </c>
      <c r="Q56" s="11">
        <v>12.01</v>
      </c>
      <c r="R56" s="11">
        <v>26.03</v>
      </c>
      <c r="S56" s="155" t="s">
        <v>7</v>
      </c>
      <c r="T56" s="161">
        <f t="shared" si="12"/>
        <v>142936</v>
      </c>
      <c r="U56" s="161">
        <f t="shared" si="8"/>
        <v>35734</v>
      </c>
      <c r="V56" s="161">
        <f t="shared" si="9"/>
        <v>0</v>
      </c>
      <c r="W56" s="161">
        <f t="shared" si="10"/>
        <v>0</v>
      </c>
    </row>
    <row r="57" spans="1:23" ht="12.75" customHeight="1">
      <c r="A57" s="118">
        <v>56</v>
      </c>
      <c r="B57" s="128">
        <v>1</v>
      </c>
      <c r="C57" s="156">
        <v>38200</v>
      </c>
      <c r="D57" s="157" t="s">
        <v>51</v>
      </c>
      <c r="E57" s="8">
        <v>2004</v>
      </c>
      <c r="F57" s="158">
        <f t="shared" si="6"/>
        <v>547</v>
      </c>
      <c r="G57" s="158">
        <f t="shared" si="7"/>
        <v>2</v>
      </c>
      <c r="H57" s="162">
        <v>37653</v>
      </c>
      <c r="I57" s="198">
        <v>300000</v>
      </c>
      <c r="J57" s="15">
        <v>0.08</v>
      </c>
      <c r="K57" s="15">
        <v>2.17</v>
      </c>
      <c r="L57" s="15">
        <v>0.9</v>
      </c>
      <c r="M57" s="174">
        <v>1</v>
      </c>
      <c r="O57" s="15">
        <v>0.1</v>
      </c>
      <c r="Q57" s="11">
        <v>12.27</v>
      </c>
      <c r="R57" s="11">
        <v>26.26</v>
      </c>
      <c r="S57" s="155" t="s">
        <v>7</v>
      </c>
      <c r="T57" s="161">
        <f t="shared" si="12"/>
        <v>651000</v>
      </c>
      <c r="U57" s="161">
        <f t="shared" si="8"/>
        <v>270000</v>
      </c>
      <c r="V57" s="161">
        <f t="shared" si="9"/>
        <v>30000</v>
      </c>
      <c r="W57" s="161">
        <f t="shared" si="10"/>
        <v>12000</v>
      </c>
    </row>
    <row r="58" spans="1:23" ht="12.75" customHeight="1">
      <c r="A58" s="118">
        <v>57</v>
      </c>
      <c r="B58" s="128">
        <v>1</v>
      </c>
      <c r="C58" s="156">
        <v>38231</v>
      </c>
      <c r="D58" s="157" t="s">
        <v>52</v>
      </c>
      <c r="E58" s="8">
        <v>2004</v>
      </c>
      <c r="F58" s="158">
        <f t="shared" si="6"/>
        <v>578</v>
      </c>
      <c r="G58" s="158">
        <f t="shared" si="7"/>
        <v>2</v>
      </c>
      <c r="H58" s="162">
        <v>37653</v>
      </c>
      <c r="I58" s="198">
        <v>250000</v>
      </c>
      <c r="J58" s="15">
        <v>0.2</v>
      </c>
      <c r="K58" s="15">
        <v>2.9</v>
      </c>
      <c r="L58" s="15">
        <v>0.8</v>
      </c>
      <c r="M58" s="174">
        <v>1</v>
      </c>
      <c r="O58" s="15">
        <v>0</v>
      </c>
      <c r="Q58" s="11">
        <v>11.1</v>
      </c>
      <c r="R58" s="11">
        <v>30</v>
      </c>
      <c r="S58" s="155" t="s">
        <v>7</v>
      </c>
      <c r="T58" s="161">
        <f t="shared" si="12"/>
        <v>725000</v>
      </c>
      <c r="U58" s="161">
        <f t="shared" si="8"/>
        <v>200000</v>
      </c>
      <c r="V58" s="161">
        <f t="shared" si="9"/>
        <v>0</v>
      </c>
      <c r="W58" s="161">
        <f t="shared" si="10"/>
        <v>0</v>
      </c>
    </row>
    <row r="59" spans="1:23" ht="12.75" customHeight="1">
      <c r="A59" s="118">
        <v>58</v>
      </c>
      <c r="B59" s="128">
        <v>1</v>
      </c>
      <c r="C59" s="156">
        <v>38261</v>
      </c>
      <c r="D59" s="157" t="s">
        <v>53</v>
      </c>
      <c r="E59" s="8">
        <v>2004</v>
      </c>
      <c r="F59" s="158">
        <f t="shared" si="6"/>
        <v>608</v>
      </c>
      <c r="G59" s="158">
        <f t="shared" si="7"/>
        <v>2</v>
      </c>
      <c r="H59" s="162">
        <v>37653</v>
      </c>
      <c r="I59" s="198">
        <v>200000</v>
      </c>
      <c r="J59" s="15">
        <v>0.06</v>
      </c>
      <c r="K59" s="15">
        <v>5.3</v>
      </c>
      <c r="L59" s="15">
        <v>3.79</v>
      </c>
      <c r="M59" s="174">
        <v>0</v>
      </c>
      <c r="O59" s="15">
        <v>0.7</v>
      </c>
      <c r="Q59" s="11">
        <v>10.199999999999999</v>
      </c>
      <c r="R59" s="11">
        <v>27</v>
      </c>
      <c r="S59" s="155" t="s">
        <v>7</v>
      </c>
      <c r="T59" s="161">
        <f t="shared" si="12"/>
        <v>1060000</v>
      </c>
      <c r="U59" s="161">
        <f t="shared" si="8"/>
        <v>758000</v>
      </c>
      <c r="V59" s="161">
        <f t="shared" si="9"/>
        <v>140000</v>
      </c>
      <c r="W59" s="161">
        <f t="shared" si="10"/>
        <v>56000</v>
      </c>
    </row>
    <row r="60" spans="1:23" ht="12.75" customHeight="1">
      <c r="A60" s="118">
        <v>59</v>
      </c>
      <c r="B60" s="128">
        <v>1</v>
      </c>
      <c r="C60" s="156">
        <v>38292</v>
      </c>
      <c r="D60" s="157" t="s">
        <v>54</v>
      </c>
      <c r="E60" s="8">
        <v>2004</v>
      </c>
      <c r="F60" s="158">
        <f t="shared" si="6"/>
        <v>639</v>
      </c>
      <c r="G60" s="158">
        <f t="shared" si="7"/>
        <v>2</v>
      </c>
      <c r="H60" s="162">
        <v>37653</v>
      </c>
      <c r="I60" s="198">
        <v>150000</v>
      </c>
      <c r="J60" s="15">
        <v>0.94</v>
      </c>
      <c r="K60" s="15">
        <v>14.93</v>
      </c>
      <c r="L60" s="15">
        <v>10.32</v>
      </c>
      <c r="O60" s="15">
        <v>0.11</v>
      </c>
      <c r="P60" s="8">
        <v>1</v>
      </c>
      <c r="Q60" s="11">
        <v>9.01</v>
      </c>
      <c r="R60" s="11">
        <v>25.26</v>
      </c>
      <c r="S60" s="155" t="s">
        <v>7</v>
      </c>
      <c r="T60" s="161">
        <f t="shared" si="12"/>
        <v>2239500</v>
      </c>
      <c r="U60" s="161">
        <f t="shared" si="8"/>
        <v>1548000</v>
      </c>
      <c r="V60" s="161">
        <f t="shared" si="9"/>
        <v>16500</v>
      </c>
      <c r="W60" s="161">
        <f t="shared" si="10"/>
        <v>6600</v>
      </c>
    </row>
    <row r="61" spans="1:23" ht="12.75" customHeight="1">
      <c r="A61" s="118">
        <v>60</v>
      </c>
      <c r="B61" s="128">
        <v>1</v>
      </c>
      <c r="C61" s="156">
        <v>38322</v>
      </c>
      <c r="D61" s="157" t="s">
        <v>55</v>
      </c>
      <c r="E61" s="8">
        <v>2004</v>
      </c>
      <c r="F61" s="158">
        <f t="shared" si="6"/>
        <v>669</v>
      </c>
      <c r="G61" s="158">
        <f t="shared" si="7"/>
        <v>2</v>
      </c>
      <c r="H61" s="162">
        <v>37653</v>
      </c>
      <c r="I61" s="198">
        <v>100000</v>
      </c>
      <c r="L61" s="165">
        <v>5</v>
      </c>
      <c r="N61" s="528" t="s">
        <v>795</v>
      </c>
      <c r="O61" s="165">
        <v>0.1</v>
      </c>
      <c r="S61" s="155" t="s">
        <v>7</v>
      </c>
      <c r="U61" s="161">
        <f t="shared" si="8"/>
        <v>500000</v>
      </c>
      <c r="V61" s="161">
        <f t="shared" si="9"/>
        <v>10000</v>
      </c>
      <c r="W61" s="161">
        <f t="shared" si="10"/>
        <v>4000</v>
      </c>
    </row>
    <row r="62" spans="1:23" ht="12.75" customHeight="1">
      <c r="A62" s="118">
        <v>61</v>
      </c>
      <c r="B62" s="128">
        <v>1</v>
      </c>
      <c r="C62" s="156">
        <v>38353</v>
      </c>
      <c r="D62" s="157" t="s">
        <v>44</v>
      </c>
      <c r="E62" s="8">
        <v>2005</v>
      </c>
      <c r="F62" s="158">
        <f t="shared" si="6"/>
        <v>700</v>
      </c>
      <c r="G62" s="158">
        <f t="shared" si="7"/>
        <v>2</v>
      </c>
      <c r="H62" s="162">
        <v>37653</v>
      </c>
      <c r="I62" s="198">
        <v>50000</v>
      </c>
      <c r="L62" s="165">
        <v>0.5</v>
      </c>
      <c r="N62" s="528" t="s">
        <v>795</v>
      </c>
      <c r="O62" s="165">
        <v>0</v>
      </c>
      <c r="S62" s="236" t="s">
        <v>350</v>
      </c>
      <c r="U62" s="161">
        <f t="shared" si="8"/>
        <v>25000</v>
      </c>
      <c r="V62" s="161">
        <f t="shared" si="9"/>
        <v>0</v>
      </c>
      <c r="W62" s="161">
        <f t="shared" si="10"/>
        <v>0</v>
      </c>
    </row>
    <row r="63" spans="1:23" ht="12.75" customHeight="1">
      <c r="A63" s="118">
        <v>62</v>
      </c>
      <c r="B63" s="128">
        <v>1</v>
      </c>
      <c r="C63" s="156">
        <v>38384</v>
      </c>
      <c r="D63" s="157" t="s">
        <v>45</v>
      </c>
      <c r="E63" s="8">
        <v>2005</v>
      </c>
      <c r="F63" s="158"/>
      <c r="H63" s="162"/>
      <c r="I63" s="194"/>
    </row>
    <row r="64" spans="1:23" ht="12.75" customHeight="1">
      <c r="A64" s="118">
        <v>63</v>
      </c>
      <c r="B64" s="128">
        <v>1</v>
      </c>
      <c r="C64" s="156">
        <v>38412</v>
      </c>
      <c r="D64" s="157" t="s">
        <v>46</v>
      </c>
      <c r="E64" s="8">
        <v>2005</v>
      </c>
      <c r="F64" s="158"/>
      <c r="H64" s="162"/>
      <c r="I64" s="194"/>
    </row>
    <row r="65" spans="1:23" s="127" customFormat="1" ht="12.75" customHeight="1">
      <c r="A65" s="118">
        <v>64</v>
      </c>
      <c r="B65" s="128">
        <v>1</v>
      </c>
      <c r="C65" s="156">
        <v>38443</v>
      </c>
      <c r="D65" s="157" t="s">
        <v>47</v>
      </c>
      <c r="E65" s="8">
        <v>2005</v>
      </c>
      <c r="F65" s="158">
        <f t="shared" ref="F65:F82" si="13">C65-H65</f>
        <v>31</v>
      </c>
      <c r="G65" s="158">
        <f t="shared" ref="G65:G82" si="14">IF(F65&lt;365,1,2)</f>
        <v>1</v>
      </c>
      <c r="H65" s="162">
        <v>38412</v>
      </c>
      <c r="I65" s="194">
        <v>774581</v>
      </c>
      <c r="J65" s="15">
        <v>2.27</v>
      </c>
      <c r="K65" s="15">
        <v>3</v>
      </c>
      <c r="L65" s="15">
        <v>0.73</v>
      </c>
      <c r="M65" s="174"/>
      <c r="N65" s="528"/>
      <c r="O65" s="15">
        <v>0.02</v>
      </c>
      <c r="P65" s="8"/>
      <c r="Q65" s="11">
        <v>9</v>
      </c>
      <c r="R65" s="11">
        <v>29</v>
      </c>
      <c r="S65" s="155" t="s">
        <v>6</v>
      </c>
      <c r="T65" s="161">
        <f t="shared" ref="T65:T81" si="15">$I65*K65</f>
        <v>2323743</v>
      </c>
      <c r="U65" s="161">
        <f t="shared" ref="U65:U81" si="16">$I65*L65</f>
        <v>565444.13</v>
      </c>
      <c r="V65" s="161">
        <f t="shared" ref="V65:V82" si="17">$I65*O65</f>
        <v>15491.62</v>
      </c>
      <c r="W65" s="161">
        <f t="shared" ref="W65:W82" si="18">V65*0.4</f>
        <v>6196.648000000001</v>
      </c>
    </row>
    <row r="66" spans="1:23" s="127" customFormat="1" ht="12.75" customHeight="1">
      <c r="A66" s="118">
        <v>65</v>
      </c>
      <c r="B66" s="128">
        <v>1</v>
      </c>
      <c r="C66" s="156">
        <v>38473</v>
      </c>
      <c r="D66" s="157" t="s">
        <v>48</v>
      </c>
      <c r="E66" s="8">
        <v>2005</v>
      </c>
      <c r="F66" s="158">
        <f t="shared" si="13"/>
        <v>61</v>
      </c>
      <c r="G66" s="158">
        <f t="shared" si="14"/>
        <v>1</v>
      </c>
      <c r="H66" s="162">
        <v>38412</v>
      </c>
      <c r="I66" s="194">
        <v>772971</v>
      </c>
      <c r="J66" s="15">
        <v>2.1800000000000002</v>
      </c>
      <c r="K66" s="15">
        <v>1.48</v>
      </c>
      <c r="L66" s="15">
        <v>0.47</v>
      </c>
      <c r="M66" s="174">
        <v>0</v>
      </c>
      <c r="N66" s="528"/>
      <c r="O66" s="15">
        <v>0.24</v>
      </c>
      <c r="P66" s="8">
        <v>1</v>
      </c>
      <c r="Q66" s="11">
        <v>10</v>
      </c>
      <c r="R66" s="11">
        <v>26</v>
      </c>
      <c r="S66" s="155"/>
      <c r="T66" s="161">
        <f t="shared" si="15"/>
        <v>1143997.08</v>
      </c>
      <c r="U66" s="161">
        <f t="shared" si="16"/>
        <v>363296.37</v>
      </c>
      <c r="V66" s="161">
        <f t="shared" si="17"/>
        <v>185513.03999999998</v>
      </c>
      <c r="W66" s="161">
        <f t="shared" si="18"/>
        <v>74205.216</v>
      </c>
    </row>
    <row r="67" spans="1:23" s="127" customFormat="1" ht="12.75" customHeight="1">
      <c r="A67" s="118">
        <v>66</v>
      </c>
      <c r="B67" s="128">
        <v>1</v>
      </c>
      <c r="C67" s="156">
        <v>38504</v>
      </c>
      <c r="D67" s="157" t="s">
        <v>49</v>
      </c>
      <c r="E67" s="8">
        <v>2005</v>
      </c>
      <c r="F67" s="158">
        <f t="shared" si="13"/>
        <v>92</v>
      </c>
      <c r="G67" s="158">
        <f t="shared" si="14"/>
        <v>1</v>
      </c>
      <c r="H67" s="162">
        <v>38412</v>
      </c>
      <c r="I67" s="194">
        <v>762760</v>
      </c>
      <c r="J67" s="15">
        <v>0.28999999999999998</v>
      </c>
      <c r="K67" s="15">
        <v>0.49</v>
      </c>
      <c r="L67" s="15">
        <v>0.06</v>
      </c>
      <c r="M67" s="174">
        <v>2</v>
      </c>
      <c r="N67" s="528"/>
      <c r="O67" s="15">
        <v>1.65</v>
      </c>
      <c r="P67" s="8"/>
      <c r="Q67" s="11">
        <v>11</v>
      </c>
      <c r="R67" s="11">
        <v>26</v>
      </c>
      <c r="S67" s="155"/>
      <c r="T67" s="161">
        <f t="shared" si="15"/>
        <v>373752.39999999997</v>
      </c>
      <c r="U67" s="161">
        <f t="shared" si="16"/>
        <v>45765.599999999999</v>
      </c>
      <c r="V67" s="161">
        <f t="shared" si="17"/>
        <v>1258554</v>
      </c>
      <c r="W67" s="161">
        <f t="shared" si="18"/>
        <v>503421.60000000003</v>
      </c>
    </row>
    <row r="68" spans="1:23" s="127" customFormat="1" ht="12.75" customHeight="1">
      <c r="A68" s="118">
        <v>67</v>
      </c>
      <c r="B68" s="128">
        <v>1</v>
      </c>
      <c r="C68" s="156">
        <v>38534</v>
      </c>
      <c r="D68" s="157" t="s">
        <v>50</v>
      </c>
      <c r="E68" s="8">
        <v>2005</v>
      </c>
      <c r="F68" s="158">
        <f t="shared" si="13"/>
        <v>122</v>
      </c>
      <c r="G68" s="158">
        <f t="shared" si="14"/>
        <v>1</v>
      </c>
      <c r="H68" s="162">
        <v>38412</v>
      </c>
      <c r="I68" s="194">
        <v>857130</v>
      </c>
      <c r="J68" s="15">
        <v>0.25</v>
      </c>
      <c r="K68" s="15">
        <v>0.78</v>
      </c>
      <c r="L68" s="15">
        <v>0.1</v>
      </c>
      <c r="M68" s="174">
        <v>1</v>
      </c>
      <c r="N68" s="528"/>
      <c r="O68" s="15">
        <v>0.4</v>
      </c>
      <c r="P68" s="8"/>
      <c r="Q68" s="11">
        <v>11</v>
      </c>
      <c r="R68" s="11">
        <v>19</v>
      </c>
      <c r="S68" s="155"/>
      <c r="T68" s="161">
        <f t="shared" si="15"/>
        <v>668561.4</v>
      </c>
      <c r="U68" s="161">
        <f t="shared" si="16"/>
        <v>85713</v>
      </c>
      <c r="V68" s="161">
        <f t="shared" si="17"/>
        <v>342852</v>
      </c>
      <c r="W68" s="161">
        <f t="shared" si="18"/>
        <v>137140.80000000002</v>
      </c>
    </row>
    <row r="69" spans="1:23" s="127" customFormat="1" ht="12.75" customHeight="1">
      <c r="A69" s="118">
        <v>68</v>
      </c>
      <c r="B69" s="128">
        <v>1</v>
      </c>
      <c r="C69" s="156">
        <v>38565</v>
      </c>
      <c r="D69" s="157" t="s">
        <v>51</v>
      </c>
      <c r="E69" s="8">
        <v>2005</v>
      </c>
      <c r="F69" s="158">
        <f t="shared" si="13"/>
        <v>153</v>
      </c>
      <c r="G69" s="158">
        <f t="shared" si="14"/>
        <v>1</v>
      </c>
      <c r="H69" s="162">
        <v>38412</v>
      </c>
      <c r="I69" s="198">
        <v>800000</v>
      </c>
      <c r="J69" s="15">
        <v>1.05</v>
      </c>
      <c r="K69" s="15">
        <v>0.38</v>
      </c>
      <c r="L69" s="15">
        <v>0.05</v>
      </c>
      <c r="M69" s="174"/>
      <c r="N69" s="528"/>
      <c r="O69" s="15">
        <v>1.02</v>
      </c>
      <c r="P69" s="8"/>
      <c r="Q69" s="11">
        <v>12</v>
      </c>
      <c r="R69" s="11">
        <v>25</v>
      </c>
      <c r="S69" s="155"/>
      <c r="T69" s="161">
        <f t="shared" si="15"/>
        <v>304000</v>
      </c>
      <c r="U69" s="161">
        <f t="shared" si="16"/>
        <v>40000</v>
      </c>
      <c r="V69" s="161">
        <f t="shared" si="17"/>
        <v>816000</v>
      </c>
      <c r="W69" s="161">
        <f t="shared" si="18"/>
        <v>326400</v>
      </c>
    </row>
    <row r="70" spans="1:23" s="127" customFormat="1" ht="12.75" customHeight="1">
      <c r="A70" s="118">
        <v>69</v>
      </c>
      <c r="B70" s="128">
        <v>1</v>
      </c>
      <c r="C70" s="156">
        <v>38596</v>
      </c>
      <c r="D70" s="157" t="s">
        <v>52</v>
      </c>
      <c r="E70" s="8">
        <v>2005</v>
      </c>
      <c r="F70" s="158">
        <f t="shared" si="13"/>
        <v>184</v>
      </c>
      <c r="G70" s="158">
        <f t="shared" si="14"/>
        <v>1</v>
      </c>
      <c r="H70" s="162">
        <v>38412</v>
      </c>
      <c r="I70" s="198">
        <v>750000</v>
      </c>
      <c r="J70" s="173"/>
      <c r="K70" s="165">
        <f>(K69+K71)/2</f>
        <v>3.39</v>
      </c>
      <c r="L70" s="165">
        <f>(L69+L71)/2</f>
        <v>1.7749999999999999</v>
      </c>
      <c r="M70" s="174"/>
      <c r="N70" s="528">
        <v>1</v>
      </c>
      <c r="O70" s="165">
        <f>(O69+O71)/2</f>
        <v>1.625</v>
      </c>
      <c r="P70" s="167"/>
      <c r="Q70" s="146">
        <v>11</v>
      </c>
      <c r="R70" s="146">
        <v>25</v>
      </c>
      <c r="S70" s="155"/>
      <c r="T70" s="161">
        <f t="shared" si="15"/>
        <v>2542500</v>
      </c>
      <c r="U70" s="161">
        <f t="shared" si="16"/>
        <v>1331250</v>
      </c>
      <c r="V70" s="161">
        <f t="shared" si="17"/>
        <v>1218750</v>
      </c>
      <c r="W70" s="161">
        <f t="shared" si="18"/>
        <v>487500</v>
      </c>
    </row>
    <row r="71" spans="1:23" s="127" customFormat="1" ht="12.75" customHeight="1">
      <c r="A71" s="118">
        <v>70</v>
      </c>
      <c r="B71" s="128">
        <v>1</v>
      </c>
      <c r="C71" s="156">
        <v>38626</v>
      </c>
      <c r="D71" s="157" t="s">
        <v>53</v>
      </c>
      <c r="E71" s="8">
        <v>2005</v>
      </c>
      <c r="F71" s="158">
        <f t="shared" si="13"/>
        <v>214</v>
      </c>
      <c r="G71" s="158">
        <f t="shared" si="14"/>
        <v>1</v>
      </c>
      <c r="H71" s="162">
        <v>38412</v>
      </c>
      <c r="I71" s="198">
        <v>700000</v>
      </c>
      <c r="J71" s="15">
        <v>0.47</v>
      </c>
      <c r="K71" s="15">
        <v>6.4</v>
      </c>
      <c r="L71" s="15">
        <v>3.5</v>
      </c>
      <c r="M71" s="174"/>
      <c r="N71" s="528"/>
      <c r="O71" s="15">
        <v>2.23</v>
      </c>
      <c r="P71" s="8"/>
      <c r="Q71" s="11">
        <v>10</v>
      </c>
      <c r="R71" s="11">
        <v>26</v>
      </c>
      <c r="S71" s="155"/>
      <c r="T71" s="161">
        <f t="shared" si="15"/>
        <v>4480000</v>
      </c>
      <c r="U71" s="161">
        <f t="shared" si="16"/>
        <v>2450000</v>
      </c>
      <c r="V71" s="161">
        <f t="shared" si="17"/>
        <v>1561000</v>
      </c>
      <c r="W71" s="161">
        <f t="shared" si="18"/>
        <v>624400</v>
      </c>
    </row>
    <row r="72" spans="1:23" s="127" customFormat="1" ht="12.75" customHeight="1">
      <c r="A72" s="118">
        <v>71</v>
      </c>
      <c r="B72" s="128">
        <v>1</v>
      </c>
      <c r="C72" s="156">
        <v>38657</v>
      </c>
      <c r="D72" s="157" t="s">
        <v>54</v>
      </c>
      <c r="E72" s="8">
        <v>2005</v>
      </c>
      <c r="F72" s="158">
        <f t="shared" si="13"/>
        <v>245</v>
      </c>
      <c r="G72" s="158">
        <f t="shared" si="14"/>
        <v>1</v>
      </c>
      <c r="H72" s="162">
        <v>38412</v>
      </c>
      <c r="I72" s="198">
        <v>680000</v>
      </c>
      <c r="J72" s="15">
        <v>0.15</v>
      </c>
      <c r="K72" s="15">
        <v>3.25</v>
      </c>
      <c r="L72" s="15">
        <v>1.97</v>
      </c>
      <c r="M72" s="174">
        <v>0</v>
      </c>
      <c r="N72" s="528"/>
      <c r="O72" s="15">
        <v>0.55000000000000004</v>
      </c>
      <c r="P72" s="8"/>
      <c r="Q72" s="11">
        <v>9</v>
      </c>
      <c r="R72" s="11">
        <v>29</v>
      </c>
      <c r="S72" s="155"/>
      <c r="T72" s="161">
        <f t="shared" si="15"/>
        <v>2210000</v>
      </c>
      <c r="U72" s="161">
        <f t="shared" si="16"/>
        <v>1339600</v>
      </c>
      <c r="V72" s="161">
        <f t="shared" si="17"/>
        <v>374000.00000000006</v>
      </c>
      <c r="W72" s="161">
        <f t="shared" si="18"/>
        <v>149600.00000000003</v>
      </c>
    </row>
    <row r="73" spans="1:23" s="127" customFormat="1" ht="12.75" customHeight="1">
      <c r="A73" s="118">
        <v>72</v>
      </c>
      <c r="B73" s="128">
        <v>1</v>
      </c>
      <c r="C73" s="156">
        <v>38687</v>
      </c>
      <c r="D73" s="157" t="s">
        <v>55</v>
      </c>
      <c r="E73" s="8">
        <v>2005</v>
      </c>
      <c r="F73" s="158">
        <f t="shared" si="13"/>
        <v>275</v>
      </c>
      <c r="G73" s="158">
        <f t="shared" si="14"/>
        <v>1</v>
      </c>
      <c r="H73" s="162">
        <v>38412</v>
      </c>
      <c r="I73" s="198">
        <v>660000</v>
      </c>
      <c r="J73" s="15">
        <v>0.13</v>
      </c>
      <c r="K73" s="15">
        <v>2.33</v>
      </c>
      <c r="L73" s="15">
        <v>1.35</v>
      </c>
      <c r="M73" s="174">
        <v>0</v>
      </c>
      <c r="N73" s="528"/>
      <c r="O73" s="15">
        <v>0.33</v>
      </c>
      <c r="P73" s="8">
        <v>1</v>
      </c>
      <c r="Q73" s="11">
        <v>8</v>
      </c>
      <c r="R73" s="11">
        <v>29</v>
      </c>
      <c r="S73" s="155"/>
      <c r="T73" s="161">
        <f t="shared" si="15"/>
        <v>1537800</v>
      </c>
      <c r="U73" s="161">
        <f t="shared" si="16"/>
        <v>891000.00000000012</v>
      </c>
      <c r="V73" s="161">
        <f t="shared" si="17"/>
        <v>217800</v>
      </c>
      <c r="W73" s="161">
        <f t="shared" si="18"/>
        <v>87120</v>
      </c>
    </row>
    <row r="74" spans="1:23" s="127" customFormat="1" ht="12.75" customHeight="1">
      <c r="A74" s="118">
        <v>73</v>
      </c>
      <c r="B74" s="128">
        <v>1</v>
      </c>
      <c r="C74" s="156">
        <v>38718</v>
      </c>
      <c r="D74" s="157" t="s">
        <v>44</v>
      </c>
      <c r="E74" s="8">
        <v>2006</v>
      </c>
      <c r="F74" s="158">
        <f t="shared" si="13"/>
        <v>306</v>
      </c>
      <c r="G74" s="158">
        <f t="shared" si="14"/>
        <v>1</v>
      </c>
      <c r="H74" s="162">
        <v>38412</v>
      </c>
      <c r="I74" s="198">
        <v>640000</v>
      </c>
      <c r="J74" s="15">
        <v>0.02</v>
      </c>
      <c r="K74" s="15">
        <v>0.18</v>
      </c>
      <c r="L74" s="15">
        <v>0.1</v>
      </c>
      <c r="M74" s="174">
        <v>0</v>
      </c>
      <c r="N74" s="528"/>
      <c r="O74" s="15">
        <v>0</v>
      </c>
      <c r="P74" s="8"/>
      <c r="Q74" s="11">
        <v>8</v>
      </c>
      <c r="R74" s="11">
        <v>29</v>
      </c>
      <c r="S74" s="155"/>
      <c r="T74" s="161">
        <f t="shared" si="15"/>
        <v>115200</v>
      </c>
      <c r="U74" s="161">
        <f t="shared" si="16"/>
        <v>64000</v>
      </c>
      <c r="V74" s="161">
        <f t="shared" si="17"/>
        <v>0</v>
      </c>
      <c r="W74" s="161">
        <f t="shared" si="18"/>
        <v>0</v>
      </c>
    </row>
    <row r="75" spans="1:23" s="127" customFormat="1" ht="12.75" customHeight="1">
      <c r="A75" s="118">
        <v>74</v>
      </c>
      <c r="B75" s="128">
        <v>1</v>
      </c>
      <c r="C75" s="156">
        <v>38749</v>
      </c>
      <c r="D75" s="157" t="s">
        <v>45</v>
      </c>
      <c r="E75" s="8">
        <v>2006</v>
      </c>
      <c r="F75" s="158">
        <f t="shared" si="13"/>
        <v>337</v>
      </c>
      <c r="G75" s="158">
        <f t="shared" si="14"/>
        <v>1</v>
      </c>
      <c r="H75" s="162">
        <v>38412</v>
      </c>
      <c r="I75" s="198">
        <v>636000</v>
      </c>
      <c r="J75" s="15">
        <v>0</v>
      </c>
      <c r="K75" s="15">
        <v>0.02</v>
      </c>
      <c r="L75" s="15">
        <v>0</v>
      </c>
      <c r="M75" s="174">
        <v>0</v>
      </c>
      <c r="N75" s="528"/>
      <c r="O75" s="15">
        <v>0.02</v>
      </c>
      <c r="P75" s="8"/>
      <c r="Q75" s="11">
        <v>8</v>
      </c>
      <c r="R75" s="11">
        <v>30</v>
      </c>
      <c r="S75" s="155"/>
      <c r="T75" s="161">
        <f t="shared" si="15"/>
        <v>12720</v>
      </c>
      <c r="U75" s="161">
        <f t="shared" si="16"/>
        <v>0</v>
      </c>
      <c r="V75" s="161">
        <f t="shared" si="17"/>
        <v>12720</v>
      </c>
      <c r="W75" s="161">
        <f t="shared" si="18"/>
        <v>5088</v>
      </c>
    </row>
    <row r="76" spans="1:23" s="127" customFormat="1" ht="12.75" customHeight="1">
      <c r="A76" s="118">
        <v>75</v>
      </c>
      <c r="B76" s="128">
        <v>1</v>
      </c>
      <c r="C76" s="156">
        <v>38777</v>
      </c>
      <c r="D76" s="157" t="s">
        <v>46</v>
      </c>
      <c r="E76" s="8">
        <v>2006</v>
      </c>
      <c r="F76" s="158">
        <f t="shared" si="13"/>
        <v>365</v>
      </c>
      <c r="G76" s="158">
        <f t="shared" si="14"/>
        <v>2</v>
      </c>
      <c r="H76" s="162">
        <v>38412</v>
      </c>
      <c r="I76" s="194">
        <v>632465</v>
      </c>
      <c r="J76" s="15">
        <v>0</v>
      </c>
      <c r="K76" s="15">
        <v>0</v>
      </c>
      <c r="L76" s="15">
        <v>0</v>
      </c>
      <c r="M76" s="174">
        <v>0</v>
      </c>
      <c r="N76" s="528"/>
      <c r="O76" s="15">
        <v>0</v>
      </c>
      <c r="P76" s="8"/>
      <c r="Q76" s="11">
        <v>8</v>
      </c>
      <c r="R76" s="11">
        <v>31</v>
      </c>
      <c r="S76" s="155"/>
      <c r="T76" s="161">
        <f t="shared" si="15"/>
        <v>0</v>
      </c>
      <c r="U76" s="161">
        <f t="shared" si="16"/>
        <v>0</v>
      </c>
      <c r="V76" s="161">
        <f t="shared" si="17"/>
        <v>0</v>
      </c>
      <c r="W76" s="161">
        <f t="shared" si="18"/>
        <v>0</v>
      </c>
    </row>
    <row r="77" spans="1:23" s="127" customFormat="1" ht="12.75" customHeight="1">
      <c r="A77" s="118">
        <v>76</v>
      </c>
      <c r="B77" s="128">
        <v>1</v>
      </c>
      <c r="C77" s="156">
        <v>38808</v>
      </c>
      <c r="D77" s="157" t="s">
        <v>47</v>
      </c>
      <c r="E77" s="8">
        <v>2006</v>
      </c>
      <c r="F77" s="158">
        <f t="shared" si="13"/>
        <v>396</v>
      </c>
      <c r="G77" s="158">
        <f t="shared" si="14"/>
        <v>2</v>
      </c>
      <c r="H77" s="162">
        <v>38412</v>
      </c>
      <c r="I77" s="194">
        <v>631880</v>
      </c>
      <c r="J77" s="15">
        <v>1.08</v>
      </c>
      <c r="K77" s="15">
        <v>0.23</v>
      </c>
      <c r="L77" s="15">
        <v>0</v>
      </c>
      <c r="M77" s="174">
        <v>0</v>
      </c>
      <c r="N77" s="528"/>
      <c r="O77" s="15">
        <v>0.47</v>
      </c>
      <c r="P77" s="8"/>
      <c r="Q77" s="11">
        <v>8</v>
      </c>
      <c r="R77" s="11">
        <v>30</v>
      </c>
      <c r="S77" s="155"/>
      <c r="T77" s="161">
        <f t="shared" si="15"/>
        <v>145332.4</v>
      </c>
      <c r="U77" s="161">
        <f t="shared" si="16"/>
        <v>0</v>
      </c>
      <c r="V77" s="161">
        <f t="shared" si="17"/>
        <v>296983.59999999998</v>
      </c>
      <c r="W77" s="161">
        <f t="shared" si="18"/>
        <v>118793.44</v>
      </c>
    </row>
    <row r="78" spans="1:23" s="127" customFormat="1" ht="12.75" customHeight="1">
      <c r="A78" s="118">
        <v>77</v>
      </c>
      <c r="B78" s="128">
        <v>1</v>
      </c>
      <c r="C78" s="156">
        <v>38838</v>
      </c>
      <c r="D78" s="157" t="s">
        <v>48</v>
      </c>
      <c r="E78" s="8">
        <v>2006</v>
      </c>
      <c r="F78" s="158">
        <f t="shared" si="13"/>
        <v>426</v>
      </c>
      <c r="G78" s="158">
        <f t="shared" si="14"/>
        <v>2</v>
      </c>
      <c r="H78" s="162">
        <v>38412</v>
      </c>
      <c r="I78" s="194">
        <v>631392</v>
      </c>
      <c r="J78" s="15">
        <v>0.15</v>
      </c>
      <c r="K78" s="15">
        <v>3.38</v>
      </c>
      <c r="L78" s="15">
        <v>1.42</v>
      </c>
      <c r="M78" s="174">
        <v>2</v>
      </c>
      <c r="N78" s="528"/>
      <c r="O78" s="15">
        <v>0.35</v>
      </c>
      <c r="P78" s="8">
        <v>1</v>
      </c>
      <c r="Q78" s="11">
        <v>9</v>
      </c>
      <c r="R78" s="11">
        <v>30</v>
      </c>
      <c r="S78" s="155"/>
      <c r="T78" s="161">
        <f t="shared" si="15"/>
        <v>2134104.96</v>
      </c>
      <c r="U78" s="161">
        <f t="shared" si="16"/>
        <v>896576.6399999999</v>
      </c>
      <c r="V78" s="161">
        <f t="shared" si="17"/>
        <v>220987.19999999998</v>
      </c>
      <c r="W78" s="161">
        <f t="shared" si="18"/>
        <v>88394.880000000005</v>
      </c>
    </row>
    <row r="79" spans="1:23" s="127" customFormat="1" ht="12.75" customHeight="1">
      <c r="A79" s="118">
        <v>78</v>
      </c>
      <c r="B79" s="128">
        <v>1</v>
      </c>
      <c r="C79" s="156">
        <v>38869</v>
      </c>
      <c r="D79" s="157" t="s">
        <v>49</v>
      </c>
      <c r="E79" s="8">
        <v>2006</v>
      </c>
      <c r="F79" s="158">
        <f t="shared" si="13"/>
        <v>457</v>
      </c>
      <c r="G79" s="158">
        <f t="shared" si="14"/>
        <v>2</v>
      </c>
      <c r="H79" s="162">
        <v>38412</v>
      </c>
      <c r="I79" s="194">
        <v>630772</v>
      </c>
      <c r="J79" s="15">
        <v>0.08</v>
      </c>
      <c r="K79" s="15">
        <v>1.22</v>
      </c>
      <c r="L79" s="15">
        <v>0.56999999999999995</v>
      </c>
      <c r="M79" s="174">
        <v>0</v>
      </c>
      <c r="N79" s="528"/>
      <c r="O79" s="15">
        <v>0</v>
      </c>
      <c r="P79" s="8"/>
      <c r="Q79" s="11">
        <v>11</v>
      </c>
      <c r="R79" s="11">
        <v>26</v>
      </c>
      <c r="S79" s="155"/>
      <c r="T79" s="161">
        <f t="shared" si="15"/>
        <v>769541.84</v>
      </c>
      <c r="U79" s="161">
        <f t="shared" si="16"/>
        <v>359540.04</v>
      </c>
      <c r="V79" s="161">
        <f t="shared" si="17"/>
        <v>0</v>
      </c>
      <c r="W79" s="161">
        <f t="shared" si="18"/>
        <v>0</v>
      </c>
    </row>
    <row r="80" spans="1:23" s="127" customFormat="1" ht="12.75" customHeight="1">
      <c r="A80" s="118">
        <v>79</v>
      </c>
      <c r="B80" s="128">
        <v>1</v>
      </c>
      <c r="C80" s="156">
        <v>38899</v>
      </c>
      <c r="D80" s="157" t="s">
        <v>50</v>
      </c>
      <c r="E80" s="8">
        <v>2006</v>
      </c>
      <c r="F80" s="158">
        <f t="shared" si="13"/>
        <v>487</v>
      </c>
      <c r="G80" s="158">
        <f t="shared" si="14"/>
        <v>2</v>
      </c>
      <c r="H80" s="162">
        <v>38412</v>
      </c>
      <c r="I80" s="194">
        <v>589996</v>
      </c>
      <c r="J80" s="15">
        <v>0.02</v>
      </c>
      <c r="K80" s="15">
        <v>0.05</v>
      </c>
      <c r="L80" s="15">
        <v>0.02</v>
      </c>
      <c r="M80" s="174">
        <v>0</v>
      </c>
      <c r="N80" s="528"/>
      <c r="O80" s="15">
        <v>0</v>
      </c>
      <c r="P80" s="8"/>
      <c r="Q80" s="11">
        <v>12</v>
      </c>
      <c r="R80" s="11">
        <v>27</v>
      </c>
      <c r="S80" s="155"/>
      <c r="T80" s="161">
        <f t="shared" si="15"/>
        <v>29499.800000000003</v>
      </c>
      <c r="U80" s="161">
        <f t="shared" si="16"/>
        <v>11799.92</v>
      </c>
      <c r="V80" s="161">
        <f t="shared" si="17"/>
        <v>0</v>
      </c>
      <c r="W80" s="161">
        <f t="shared" si="18"/>
        <v>0</v>
      </c>
    </row>
    <row r="81" spans="1:23" s="127" customFormat="1" ht="12.75" customHeight="1">
      <c r="A81" s="118">
        <v>80</v>
      </c>
      <c r="B81" s="128">
        <v>1</v>
      </c>
      <c r="C81" s="156">
        <v>38930</v>
      </c>
      <c r="D81" s="157" t="s">
        <v>51</v>
      </c>
      <c r="E81" s="8">
        <v>2006</v>
      </c>
      <c r="F81" s="158">
        <f t="shared" si="13"/>
        <v>518</v>
      </c>
      <c r="G81" s="158">
        <f t="shared" si="14"/>
        <v>2</v>
      </c>
      <c r="H81" s="162">
        <v>38412</v>
      </c>
      <c r="I81" s="194">
        <v>459685</v>
      </c>
      <c r="J81" s="15">
        <v>0.1</v>
      </c>
      <c r="K81" s="15">
        <v>0.1166666</v>
      </c>
      <c r="L81" s="15">
        <v>0.05</v>
      </c>
      <c r="M81" s="174"/>
      <c r="N81" s="528"/>
      <c r="O81" s="15">
        <v>0.05</v>
      </c>
      <c r="P81" s="8"/>
      <c r="Q81" s="11">
        <v>11</v>
      </c>
      <c r="R81" s="11">
        <v>28</v>
      </c>
      <c r="S81" s="155"/>
      <c r="T81" s="161">
        <f t="shared" si="15"/>
        <v>53629.886020999998</v>
      </c>
      <c r="U81" s="161">
        <f t="shared" si="16"/>
        <v>22984.25</v>
      </c>
      <c r="V81" s="161">
        <f t="shared" si="17"/>
        <v>22984.25</v>
      </c>
      <c r="W81" s="161">
        <f t="shared" si="18"/>
        <v>9193.7000000000007</v>
      </c>
    </row>
    <row r="82" spans="1:23" s="127" customFormat="1" ht="12.75" customHeight="1">
      <c r="A82" s="118">
        <v>81</v>
      </c>
      <c r="B82" s="128">
        <v>1</v>
      </c>
      <c r="C82" s="156">
        <v>38961</v>
      </c>
      <c r="D82" s="157" t="s">
        <v>52</v>
      </c>
      <c r="E82" s="8">
        <v>2006</v>
      </c>
      <c r="F82" s="158">
        <f t="shared" si="13"/>
        <v>549</v>
      </c>
      <c r="G82" s="158">
        <f t="shared" si="14"/>
        <v>2</v>
      </c>
      <c r="H82" s="162">
        <v>38412</v>
      </c>
      <c r="I82" s="194">
        <v>201390</v>
      </c>
      <c r="J82" s="15"/>
      <c r="K82" s="15"/>
      <c r="L82" s="165">
        <v>0.1</v>
      </c>
      <c r="M82" s="174"/>
      <c r="N82" s="528" t="s">
        <v>795</v>
      </c>
      <c r="O82" s="165">
        <v>0.1</v>
      </c>
      <c r="P82" s="8"/>
      <c r="Q82" s="11"/>
      <c r="R82" s="11"/>
      <c r="S82" s="155"/>
      <c r="T82" s="15"/>
      <c r="U82" s="161">
        <f>$I82*L82</f>
        <v>20139</v>
      </c>
      <c r="V82" s="161">
        <f t="shared" si="17"/>
        <v>20139</v>
      </c>
      <c r="W82" s="161">
        <f t="shared" si="18"/>
        <v>8055.6</v>
      </c>
    </row>
    <row r="83" spans="1:23" s="127" customFormat="1" ht="12.75" customHeight="1">
      <c r="A83" s="118">
        <v>82</v>
      </c>
      <c r="B83" s="128">
        <v>1</v>
      </c>
      <c r="C83" s="156">
        <v>38991</v>
      </c>
      <c r="D83" s="157" t="s">
        <v>53</v>
      </c>
      <c r="E83" s="8">
        <v>2006</v>
      </c>
      <c r="F83" s="158"/>
      <c r="G83" s="11"/>
      <c r="H83" s="162"/>
      <c r="I83" s="194"/>
      <c r="J83" s="15"/>
      <c r="K83" s="15"/>
      <c r="L83" s="15"/>
      <c r="M83" s="174"/>
      <c r="N83" s="528"/>
      <c r="O83" s="15"/>
      <c r="P83" s="8"/>
      <c r="Q83" s="11"/>
      <c r="R83" s="11"/>
      <c r="S83" s="155"/>
      <c r="T83" s="15"/>
      <c r="U83" s="161"/>
      <c r="V83" s="15"/>
      <c r="W83" s="15"/>
    </row>
    <row r="84" spans="1:23" s="127" customFormat="1" ht="12.75" customHeight="1">
      <c r="A84" s="118">
        <v>83</v>
      </c>
      <c r="B84" s="128">
        <v>1</v>
      </c>
      <c r="C84" s="156">
        <v>39022</v>
      </c>
      <c r="D84" s="157" t="s">
        <v>54</v>
      </c>
      <c r="E84" s="8">
        <v>2006</v>
      </c>
      <c r="F84" s="158"/>
      <c r="G84" s="11"/>
      <c r="H84" s="162"/>
      <c r="I84" s="194"/>
      <c r="J84" s="15"/>
      <c r="K84" s="15"/>
      <c r="L84" s="15"/>
      <c r="M84" s="174"/>
      <c r="N84" s="528"/>
      <c r="O84" s="15"/>
      <c r="P84" s="8"/>
      <c r="Q84" s="11"/>
      <c r="R84" s="11"/>
      <c r="S84" s="155"/>
      <c r="T84" s="15"/>
      <c r="U84" s="161"/>
      <c r="V84" s="15"/>
      <c r="W84" s="15"/>
    </row>
    <row r="85" spans="1:23" s="127" customFormat="1" ht="12.75" customHeight="1">
      <c r="A85" s="118">
        <v>84</v>
      </c>
      <c r="B85" s="128">
        <v>1</v>
      </c>
      <c r="C85" s="156">
        <v>39052</v>
      </c>
      <c r="D85" s="157" t="s">
        <v>55</v>
      </c>
      <c r="E85" s="8">
        <v>2006</v>
      </c>
      <c r="F85" s="158"/>
      <c r="G85" s="11"/>
      <c r="H85" s="162"/>
      <c r="I85" s="194"/>
      <c r="J85" s="15"/>
      <c r="K85" s="15"/>
      <c r="L85" s="15"/>
      <c r="M85" s="174"/>
      <c r="N85" s="528"/>
      <c r="O85" s="15"/>
      <c r="P85" s="8"/>
      <c r="Q85" s="11"/>
      <c r="R85" s="11"/>
      <c r="S85" s="155"/>
      <c r="T85" s="15"/>
      <c r="U85" s="161"/>
      <c r="V85" s="15"/>
      <c r="W85" s="15"/>
    </row>
    <row r="86" spans="1:23" s="127" customFormat="1" ht="12.75" customHeight="1">
      <c r="A86" s="118">
        <v>85</v>
      </c>
      <c r="B86" s="128">
        <v>1</v>
      </c>
      <c r="C86" s="156">
        <v>39083</v>
      </c>
      <c r="D86" s="157" t="s">
        <v>44</v>
      </c>
      <c r="E86" s="8">
        <v>2007</v>
      </c>
      <c r="F86" s="128"/>
      <c r="G86" s="128"/>
      <c r="H86" s="128"/>
      <c r="I86" s="160"/>
      <c r="J86" s="128"/>
      <c r="K86" s="169"/>
      <c r="L86" s="128"/>
      <c r="M86" s="174"/>
      <c r="N86" s="528"/>
      <c r="O86" s="128"/>
      <c r="P86" s="170"/>
      <c r="Q86" s="128"/>
      <c r="R86" s="128"/>
      <c r="S86" s="180"/>
      <c r="T86" s="169"/>
      <c r="U86" s="171"/>
      <c r="V86" s="128"/>
      <c r="W86" s="128"/>
    </row>
    <row r="87" spans="1:23" ht="12.75" customHeight="1">
      <c r="A87" s="118">
        <v>86</v>
      </c>
      <c r="B87" s="128">
        <v>1</v>
      </c>
      <c r="C87" s="156">
        <v>39114</v>
      </c>
      <c r="D87" s="157" t="s">
        <v>45</v>
      </c>
      <c r="E87" s="8">
        <v>2007</v>
      </c>
      <c r="F87" s="128"/>
      <c r="G87" s="128"/>
      <c r="H87" s="128"/>
      <c r="I87" s="160"/>
      <c r="J87" s="128"/>
      <c r="K87" s="169"/>
      <c r="L87" s="128"/>
      <c r="O87" s="128"/>
      <c r="P87" s="170"/>
      <c r="Q87" s="128"/>
      <c r="R87" s="128"/>
      <c r="S87" s="180"/>
      <c r="T87" s="169"/>
      <c r="U87" s="171"/>
      <c r="V87" s="128"/>
      <c r="W87" s="128"/>
    </row>
    <row r="88" spans="1:23" ht="12.75" customHeight="1">
      <c r="A88" s="118">
        <v>87</v>
      </c>
      <c r="B88" s="128">
        <v>1</v>
      </c>
      <c r="C88" s="156">
        <v>39142</v>
      </c>
      <c r="D88" s="157" t="s">
        <v>46</v>
      </c>
      <c r="E88" s="8">
        <v>2007</v>
      </c>
      <c r="F88" s="128"/>
      <c r="G88" s="128"/>
      <c r="H88" s="128"/>
      <c r="I88" s="160"/>
      <c r="J88" s="128"/>
      <c r="K88" s="169"/>
      <c r="L88" s="128"/>
      <c r="O88" s="128"/>
      <c r="P88" s="170"/>
      <c r="Q88" s="128"/>
      <c r="R88" s="128"/>
      <c r="S88" s="180"/>
      <c r="T88" s="169"/>
      <c r="U88" s="171"/>
      <c r="V88" s="128"/>
      <c r="W88" s="128"/>
    </row>
    <row r="89" spans="1:23" ht="12.75" customHeight="1">
      <c r="A89" s="118">
        <v>88</v>
      </c>
      <c r="B89" s="128">
        <v>1</v>
      </c>
      <c r="C89" s="156">
        <v>39173</v>
      </c>
      <c r="D89" s="157" t="s">
        <v>47</v>
      </c>
      <c r="E89" s="8">
        <v>2007</v>
      </c>
      <c r="F89" s="128"/>
      <c r="G89" s="128"/>
      <c r="H89" s="128"/>
      <c r="I89" s="160"/>
      <c r="J89" s="128"/>
      <c r="K89" s="169"/>
      <c r="L89" s="128"/>
      <c r="O89" s="128"/>
      <c r="P89" s="170"/>
      <c r="Q89" s="128"/>
      <c r="R89" s="128"/>
      <c r="S89" s="180"/>
      <c r="T89" s="169"/>
      <c r="U89" s="171"/>
      <c r="V89" s="128"/>
      <c r="W89" s="128"/>
    </row>
    <row r="90" spans="1:23" ht="12.75" customHeight="1">
      <c r="A90" s="118">
        <v>89</v>
      </c>
      <c r="B90" s="128">
        <v>1</v>
      </c>
      <c r="C90" s="156">
        <v>39203</v>
      </c>
      <c r="D90" s="157" t="s">
        <v>48</v>
      </c>
      <c r="E90" s="8">
        <v>2007</v>
      </c>
      <c r="F90" s="128"/>
      <c r="G90" s="128"/>
      <c r="H90" s="172"/>
      <c r="I90" s="160"/>
      <c r="J90" s="128"/>
      <c r="K90" s="169"/>
      <c r="L90" s="128"/>
      <c r="O90" s="128"/>
      <c r="P90" s="170"/>
      <c r="Q90" s="128"/>
      <c r="R90" s="128"/>
      <c r="S90" s="180"/>
      <c r="T90" s="169"/>
      <c r="U90" s="171"/>
      <c r="V90" s="128"/>
      <c r="W90" s="128"/>
    </row>
    <row r="91" spans="1:23" ht="12.75" customHeight="1">
      <c r="A91" s="118">
        <v>90</v>
      </c>
      <c r="B91" s="128">
        <v>1</v>
      </c>
      <c r="C91" s="156">
        <v>39234</v>
      </c>
      <c r="D91" s="157" t="s">
        <v>49</v>
      </c>
      <c r="E91" s="8">
        <v>2007</v>
      </c>
      <c r="F91" s="128"/>
      <c r="G91" s="128"/>
      <c r="H91" s="128"/>
      <c r="I91" s="160"/>
      <c r="J91" s="128"/>
      <c r="K91" s="169"/>
      <c r="L91" s="128"/>
      <c r="O91" s="128"/>
      <c r="P91" s="170"/>
      <c r="Q91" s="128"/>
      <c r="R91" s="128"/>
      <c r="S91" s="180"/>
      <c r="T91" s="169"/>
      <c r="U91" s="171"/>
      <c r="V91" s="128"/>
      <c r="W91" s="128"/>
    </row>
    <row r="92" spans="1:23" ht="12.75" customHeight="1">
      <c r="A92" s="118">
        <v>91</v>
      </c>
      <c r="B92" s="128">
        <v>1</v>
      </c>
      <c r="C92" s="156">
        <v>39264</v>
      </c>
      <c r="D92" s="157" t="s">
        <v>50</v>
      </c>
      <c r="E92" s="8">
        <v>2007</v>
      </c>
      <c r="F92" s="128"/>
      <c r="G92" s="128"/>
      <c r="H92" s="128"/>
      <c r="I92" s="160"/>
      <c r="J92" s="128"/>
      <c r="K92" s="169"/>
      <c r="L92" s="128"/>
      <c r="O92" s="128"/>
      <c r="P92" s="170"/>
      <c r="Q92" s="128"/>
      <c r="R92" s="128"/>
      <c r="S92" s="180"/>
      <c r="T92" s="169"/>
      <c r="U92" s="171"/>
      <c r="V92" s="128"/>
      <c r="W92" s="128"/>
    </row>
    <row r="93" spans="1:23" ht="12.75" customHeight="1">
      <c r="A93" s="118">
        <v>92</v>
      </c>
      <c r="B93" s="128">
        <v>1</v>
      </c>
      <c r="C93" s="156">
        <v>39295</v>
      </c>
      <c r="D93" s="157" t="s">
        <v>51</v>
      </c>
      <c r="E93" s="8">
        <v>2007</v>
      </c>
      <c r="F93" s="128"/>
      <c r="G93" s="128"/>
      <c r="H93" s="128"/>
      <c r="I93" s="160"/>
      <c r="J93" s="128"/>
      <c r="K93" s="169"/>
      <c r="L93" s="128"/>
      <c r="O93" s="128"/>
      <c r="P93" s="170"/>
      <c r="Q93" s="128"/>
      <c r="R93" s="128"/>
      <c r="S93" s="180"/>
      <c r="T93" s="169"/>
      <c r="U93" s="171"/>
      <c r="V93" s="128"/>
      <c r="W93" s="128"/>
    </row>
    <row r="94" spans="1:23" ht="12.75" customHeight="1">
      <c r="A94" s="118">
        <v>93</v>
      </c>
      <c r="B94" s="128">
        <v>1</v>
      </c>
      <c r="C94" s="156">
        <v>39326</v>
      </c>
      <c r="D94" s="157" t="s">
        <v>52</v>
      </c>
      <c r="E94" s="8">
        <v>2007</v>
      </c>
      <c r="F94" s="128"/>
      <c r="G94" s="128"/>
      <c r="H94" s="128"/>
      <c r="I94" s="160"/>
      <c r="J94" s="128"/>
      <c r="K94" s="169"/>
      <c r="L94" s="128"/>
      <c r="O94" s="128"/>
      <c r="P94" s="170"/>
      <c r="Q94" s="128"/>
      <c r="R94" s="128"/>
      <c r="S94" s="180"/>
      <c r="T94" s="169"/>
      <c r="U94" s="171"/>
      <c r="V94" s="128"/>
      <c r="W94" s="128"/>
    </row>
    <row r="95" spans="1:23" ht="12.75" customHeight="1">
      <c r="A95" s="118">
        <v>94</v>
      </c>
      <c r="B95" s="128">
        <v>1</v>
      </c>
      <c r="C95" s="156">
        <v>39356</v>
      </c>
      <c r="D95" s="157" t="s">
        <v>53</v>
      </c>
      <c r="E95" s="8">
        <v>2007</v>
      </c>
      <c r="F95" s="128"/>
      <c r="G95" s="128"/>
      <c r="H95" s="128"/>
      <c r="I95" s="160"/>
      <c r="J95" s="128"/>
      <c r="K95" s="169"/>
      <c r="L95" s="128"/>
      <c r="O95" s="128"/>
      <c r="P95" s="170"/>
      <c r="Q95" s="128"/>
      <c r="R95" s="128"/>
      <c r="S95" s="180"/>
      <c r="T95" s="169"/>
      <c r="U95" s="171"/>
      <c r="V95" s="128"/>
      <c r="W95" s="128"/>
    </row>
    <row r="96" spans="1:23" ht="12.75" customHeight="1">
      <c r="A96" s="118">
        <v>95</v>
      </c>
      <c r="B96" s="128">
        <v>1</v>
      </c>
      <c r="C96" s="156">
        <v>39387</v>
      </c>
      <c r="D96" s="157" t="s">
        <v>54</v>
      </c>
      <c r="E96" s="8">
        <v>2007</v>
      </c>
      <c r="F96" s="128"/>
      <c r="G96" s="128"/>
      <c r="H96" s="128"/>
      <c r="I96" s="160"/>
      <c r="J96" s="128"/>
      <c r="K96" s="169"/>
      <c r="L96" s="128"/>
      <c r="O96" s="128"/>
      <c r="P96" s="170"/>
      <c r="Q96" s="128"/>
      <c r="R96" s="128"/>
      <c r="S96" s="180"/>
      <c r="T96" s="169"/>
      <c r="U96" s="171"/>
      <c r="V96" s="128"/>
      <c r="W96" s="128"/>
    </row>
    <row r="97" spans="1:23" ht="12.75" customHeight="1">
      <c r="A97" s="118">
        <v>96</v>
      </c>
      <c r="B97" s="128">
        <v>1</v>
      </c>
      <c r="C97" s="156">
        <v>39417</v>
      </c>
      <c r="D97" s="157" t="s">
        <v>55</v>
      </c>
      <c r="E97" s="8">
        <v>2007</v>
      </c>
      <c r="F97" s="128"/>
      <c r="G97" s="128"/>
      <c r="H97" s="128"/>
      <c r="I97" s="160"/>
      <c r="J97" s="128"/>
      <c r="K97" s="169"/>
      <c r="L97" s="128"/>
      <c r="O97" s="128"/>
      <c r="P97" s="170"/>
      <c r="Q97" s="128"/>
      <c r="R97" s="128"/>
      <c r="S97" s="180"/>
      <c r="T97" s="169"/>
      <c r="U97" s="171"/>
      <c r="V97" s="128"/>
      <c r="W97" s="128"/>
    </row>
    <row r="98" spans="1:23" s="127" customFormat="1" ht="12.75" customHeight="1">
      <c r="A98" s="118">
        <v>97</v>
      </c>
      <c r="B98" s="128">
        <v>1</v>
      </c>
      <c r="C98" s="156">
        <v>39448</v>
      </c>
      <c r="D98" s="157" t="s">
        <v>44</v>
      </c>
      <c r="E98" s="127">
        <v>2008</v>
      </c>
      <c r="H98" s="128"/>
      <c r="I98" s="160"/>
      <c r="J98" s="173"/>
      <c r="K98" s="173"/>
      <c r="L98" s="173"/>
      <c r="M98" s="174"/>
      <c r="N98" s="528"/>
      <c r="O98" s="173"/>
      <c r="P98" s="170"/>
      <c r="Q98" s="174"/>
      <c r="R98" s="174"/>
      <c r="S98" s="180"/>
      <c r="T98" s="128"/>
      <c r="U98" s="128"/>
      <c r="V98" s="128"/>
      <c r="W98" s="128"/>
    </row>
    <row r="99" spans="1:23" s="127" customFormat="1" ht="12.75" customHeight="1">
      <c r="A99" s="118">
        <v>98</v>
      </c>
      <c r="B99" s="128">
        <v>1</v>
      </c>
      <c r="C99" s="156">
        <v>39479</v>
      </c>
      <c r="D99" s="157" t="s">
        <v>45</v>
      </c>
      <c r="E99" s="127">
        <v>2008</v>
      </c>
      <c r="H99" s="128"/>
      <c r="I99" s="160"/>
      <c r="J99" s="173"/>
      <c r="K99" s="173"/>
      <c r="L99" s="173"/>
      <c r="M99" s="174"/>
      <c r="N99" s="528"/>
      <c r="O99" s="173"/>
      <c r="P99" s="170"/>
      <c r="Q99" s="174"/>
      <c r="R99" s="174"/>
      <c r="S99" s="180"/>
      <c r="T99" s="128"/>
      <c r="U99" s="118"/>
      <c r="V99" s="118"/>
      <c r="W99" s="118"/>
    </row>
    <row r="100" spans="1:23" s="127" customFormat="1" ht="12.75" customHeight="1">
      <c r="A100" s="118">
        <v>99</v>
      </c>
      <c r="B100" s="128">
        <v>1</v>
      </c>
      <c r="C100" s="156">
        <v>39508</v>
      </c>
      <c r="D100" s="157" t="s">
        <v>46</v>
      </c>
      <c r="E100" s="127">
        <v>2008</v>
      </c>
      <c r="H100" s="128"/>
      <c r="I100" s="160"/>
      <c r="J100" s="173"/>
      <c r="K100" s="173"/>
      <c r="L100" s="173"/>
      <c r="M100" s="174"/>
      <c r="N100" s="528"/>
      <c r="O100" s="173"/>
      <c r="P100" s="170"/>
      <c r="Q100" s="174"/>
      <c r="R100" s="174"/>
      <c r="S100" s="180"/>
      <c r="T100" s="128"/>
      <c r="U100" s="118"/>
      <c r="V100" s="118"/>
      <c r="W100" s="118"/>
    </row>
    <row r="101" spans="1:23" s="127" customFormat="1" ht="12.75" customHeight="1">
      <c r="A101" s="118">
        <v>100</v>
      </c>
      <c r="B101" s="128">
        <v>1</v>
      </c>
      <c r="C101" s="156">
        <v>39539</v>
      </c>
      <c r="D101" s="157" t="s">
        <v>47</v>
      </c>
      <c r="E101" s="127">
        <v>2008</v>
      </c>
      <c r="H101" s="128"/>
      <c r="I101" s="160"/>
      <c r="J101" s="173"/>
      <c r="K101" s="173"/>
      <c r="L101" s="173"/>
      <c r="M101" s="174"/>
      <c r="N101" s="528"/>
      <c r="O101" s="173"/>
      <c r="P101" s="170"/>
      <c r="Q101" s="174"/>
      <c r="R101" s="174"/>
      <c r="S101" s="180"/>
      <c r="T101" s="128"/>
      <c r="U101" s="118"/>
      <c r="V101" s="118"/>
      <c r="W101" s="118"/>
    </row>
    <row r="102" spans="1:23" s="127" customFormat="1">
      <c r="A102" s="118">
        <v>101</v>
      </c>
      <c r="B102" s="128">
        <v>1</v>
      </c>
      <c r="C102" s="156">
        <v>39569</v>
      </c>
      <c r="D102" s="157" t="s">
        <v>48</v>
      </c>
      <c r="E102" s="127">
        <v>2008</v>
      </c>
      <c r="F102" s="158">
        <f t="shared" ref="F102:F109" si="19">C102-H102</f>
        <v>121</v>
      </c>
      <c r="G102" s="158">
        <f t="shared" ref="G102:G109" si="20">IF(F102&lt;365,1,2)</f>
        <v>1</v>
      </c>
      <c r="H102" s="175">
        <v>39448</v>
      </c>
      <c r="I102" s="160">
        <v>581502</v>
      </c>
      <c r="J102" s="164">
        <v>0.4</v>
      </c>
      <c r="K102" s="164">
        <v>0.97499999999999998</v>
      </c>
      <c r="L102" s="164">
        <v>0.25</v>
      </c>
      <c r="M102" s="193"/>
      <c r="N102" s="529"/>
      <c r="O102" s="164">
        <v>0</v>
      </c>
      <c r="P102" s="170"/>
      <c r="Q102" s="174">
        <v>9</v>
      </c>
      <c r="R102" s="174">
        <v>29</v>
      </c>
      <c r="S102" s="180" t="s">
        <v>302</v>
      </c>
      <c r="T102" s="161">
        <f t="shared" ref="T102:U109" si="21">$I102*K102</f>
        <v>566964.44999999995</v>
      </c>
      <c r="U102" s="161">
        <f t="shared" si="21"/>
        <v>145375.5</v>
      </c>
      <c r="V102" s="161">
        <f t="shared" ref="V102:V109" si="22">$I102*O102</f>
        <v>0</v>
      </c>
      <c r="W102" s="161">
        <f t="shared" ref="W102:W109" si="23">V102*0.4</f>
        <v>0</v>
      </c>
    </row>
    <row r="103" spans="1:23" s="127" customFormat="1" ht="12.75" customHeight="1">
      <c r="A103" s="118">
        <v>102</v>
      </c>
      <c r="B103" s="128">
        <v>1</v>
      </c>
      <c r="C103" s="156">
        <v>39600</v>
      </c>
      <c r="D103" s="157" t="s">
        <v>49</v>
      </c>
      <c r="E103" s="127">
        <v>2008</v>
      </c>
      <c r="F103" s="158">
        <f t="shared" si="19"/>
        <v>152</v>
      </c>
      <c r="G103" s="158">
        <f t="shared" si="20"/>
        <v>1</v>
      </c>
      <c r="H103" s="175">
        <v>39448</v>
      </c>
      <c r="I103" s="160">
        <v>575893</v>
      </c>
      <c r="J103" s="164">
        <v>0</v>
      </c>
      <c r="K103" s="164">
        <v>0.31666666666666665</v>
      </c>
      <c r="L103" s="164">
        <v>0.23333333333333336</v>
      </c>
      <c r="M103" s="193">
        <v>0</v>
      </c>
      <c r="N103" s="529"/>
      <c r="O103" s="164">
        <v>0.18333333333333335</v>
      </c>
      <c r="P103" s="170"/>
      <c r="Q103" s="174"/>
      <c r="R103" s="174"/>
      <c r="S103" s="180"/>
      <c r="T103" s="161">
        <f t="shared" si="21"/>
        <v>182366.11666666667</v>
      </c>
      <c r="U103" s="161">
        <f t="shared" si="21"/>
        <v>134375.03333333335</v>
      </c>
      <c r="V103" s="161">
        <f t="shared" si="22"/>
        <v>105580.38333333335</v>
      </c>
      <c r="W103" s="161">
        <f t="shared" si="23"/>
        <v>42232.153333333343</v>
      </c>
    </row>
    <row r="104" spans="1:23" s="127" customFormat="1">
      <c r="A104" s="118">
        <v>103</v>
      </c>
      <c r="B104" s="128">
        <v>1</v>
      </c>
      <c r="C104" s="156">
        <v>39630</v>
      </c>
      <c r="D104" s="176" t="s">
        <v>50</v>
      </c>
      <c r="E104" s="127">
        <v>2008</v>
      </c>
      <c r="F104" s="158">
        <f t="shared" si="19"/>
        <v>182</v>
      </c>
      <c r="G104" s="158">
        <f t="shared" si="20"/>
        <v>1</v>
      </c>
      <c r="H104" s="175">
        <v>39448</v>
      </c>
      <c r="I104" s="160">
        <v>575000</v>
      </c>
      <c r="J104" s="164">
        <v>0</v>
      </c>
      <c r="K104" s="164">
        <v>0.4</v>
      </c>
      <c r="L104" s="164">
        <v>0.25</v>
      </c>
      <c r="M104" s="193">
        <v>0</v>
      </c>
      <c r="N104" s="529"/>
      <c r="O104" s="164">
        <v>0.43</v>
      </c>
      <c r="P104" s="128"/>
      <c r="Q104" s="174"/>
      <c r="R104" s="174"/>
      <c r="S104" s="180"/>
      <c r="T104" s="161">
        <f t="shared" si="21"/>
        <v>230000</v>
      </c>
      <c r="U104" s="161">
        <f t="shared" si="21"/>
        <v>143750</v>
      </c>
      <c r="V104" s="161">
        <f t="shared" si="22"/>
        <v>247250</v>
      </c>
      <c r="W104" s="161">
        <f t="shared" si="23"/>
        <v>98900</v>
      </c>
    </row>
    <row r="105" spans="1:23" s="127" customFormat="1">
      <c r="A105" s="118">
        <v>104</v>
      </c>
      <c r="B105" s="128">
        <v>1</v>
      </c>
      <c r="C105" s="156">
        <v>39661</v>
      </c>
      <c r="D105" s="176" t="s">
        <v>51</v>
      </c>
      <c r="E105" s="127">
        <v>2008</v>
      </c>
      <c r="F105" s="158">
        <f t="shared" si="19"/>
        <v>213</v>
      </c>
      <c r="G105" s="158">
        <f t="shared" si="20"/>
        <v>1</v>
      </c>
      <c r="H105" s="175">
        <v>39448</v>
      </c>
      <c r="I105" s="160">
        <v>574000</v>
      </c>
      <c r="J105" s="164">
        <v>0</v>
      </c>
      <c r="K105" s="164">
        <v>0.33</v>
      </c>
      <c r="L105" s="164">
        <v>0.28000000000000003</v>
      </c>
      <c r="M105" s="193">
        <v>0</v>
      </c>
      <c r="N105" s="529"/>
      <c r="O105" s="164">
        <v>0.22</v>
      </c>
      <c r="P105" s="128"/>
      <c r="Q105" s="174"/>
      <c r="R105" s="174"/>
      <c r="S105" s="180"/>
      <c r="T105" s="161">
        <f t="shared" si="21"/>
        <v>189420</v>
      </c>
      <c r="U105" s="161">
        <f t="shared" si="21"/>
        <v>160720.00000000003</v>
      </c>
      <c r="V105" s="161">
        <f t="shared" si="22"/>
        <v>126280</v>
      </c>
      <c r="W105" s="161">
        <f t="shared" si="23"/>
        <v>50512</v>
      </c>
    </row>
    <row r="106" spans="1:23" s="127" customFormat="1">
      <c r="A106" s="118">
        <v>105</v>
      </c>
      <c r="B106" s="128">
        <v>1</v>
      </c>
      <c r="C106" s="156">
        <v>39692</v>
      </c>
      <c r="D106" s="176" t="s">
        <v>52</v>
      </c>
      <c r="E106" s="127">
        <v>2008</v>
      </c>
      <c r="F106" s="158">
        <f t="shared" si="19"/>
        <v>244</v>
      </c>
      <c r="G106" s="158">
        <f t="shared" si="20"/>
        <v>1</v>
      </c>
      <c r="H106" s="175">
        <v>39448</v>
      </c>
      <c r="I106" s="160">
        <v>573000</v>
      </c>
      <c r="J106" s="164">
        <v>0.2</v>
      </c>
      <c r="K106" s="164">
        <v>1.3</v>
      </c>
      <c r="L106" s="164">
        <v>0.4</v>
      </c>
      <c r="M106" s="193">
        <v>0</v>
      </c>
      <c r="N106" s="529"/>
      <c r="O106" s="164">
        <v>0.1</v>
      </c>
      <c r="P106" s="128"/>
      <c r="Q106" s="174"/>
      <c r="R106" s="174"/>
      <c r="S106" s="180"/>
      <c r="T106" s="161">
        <f t="shared" si="21"/>
        <v>744900</v>
      </c>
      <c r="U106" s="161">
        <f t="shared" si="21"/>
        <v>229200</v>
      </c>
      <c r="V106" s="161">
        <f t="shared" si="22"/>
        <v>57300</v>
      </c>
      <c r="W106" s="161">
        <f t="shared" si="23"/>
        <v>22920</v>
      </c>
    </row>
    <row r="107" spans="1:23" s="127" customFormat="1">
      <c r="A107" s="118">
        <v>106</v>
      </c>
      <c r="B107" s="128">
        <v>1</v>
      </c>
      <c r="C107" s="156">
        <v>39722</v>
      </c>
      <c r="D107" s="176" t="s">
        <v>53</v>
      </c>
      <c r="E107" s="127">
        <v>2008</v>
      </c>
      <c r="F107" s="158">
        <f t="shared" si="19"/>
        <v>274</v>
      </c>
      <c r="G107" s="158">
        <f t="shared" si="20"/>
        <v>1</v>
      </c>
      <c r="H107" s="175">
        <v>39448</v>
      </c>
      <c r="I107" s="160">
        <v>572000</v>
      </c>
      <c r="J107" s="164">
        <v>0.4</v>
      </c>
      <c r="K107" s="164">
        <v>0.93</v>
      </c>
      <c r="L107" s="164">
        <v>0.57999999999999996</v>
      </c>
      <c r="M107" s="193">
        <v>0</v>
      </c>
      <c r="N107" s="529"/>
      <c r="O107" s="164">
        <v>0.22</v>
      </c>
      <c r="P107" s="128"/>
      <c r="Q107" s="174"/>
      <c r="R107" s="174"/>
      <c r="S107" s="180" t="s">
        <v>7</v>
      </c>
      <c r="T107" s="161">
        <f t="shared" si="21"/>
        <v>531960</v>
      </c>
      <c r="U107" s="161">
        <f t="shared" si="21"/>
        <v>331760</v>
      </c>
      <c r="V107" s="161">
        <f t="shared" si="22"/>
        <v>125840</v>
      </c>
      <c r="W107" s="161">
        <f t="shared" si="23"/>
        <v>50336</v>
      </c>
    </row>
    <row r="108" spans="1:23" s="127" customFormat="1">
      <c r="A108" s="118">
        <v>107</v>
      </c>
      <c r="B108" s="128">
        <v>1</v>
      </c>
      <c r="C108" s="156">
        <v>39753</v>
      </c>
      <c r="D108" s="176" t="s">
        <v>54</v>
      </c>
      <c r="E108" s="127">
        <v>2008</v>
      </c>
      <c r="F108" s="158">
        <f t="shared" si="19"/>
        <v>305</v>
      </c>
      <c r="G108" s="158">
        <f t="shared" si="20"/>
        <v>1</v>
      </c>
      <c r="H108" s="175">
        <v>39448</v>
      </c>
      <c r="I108" s="160">
        <v>318000</v>
      </c>
      <c r="J108" s="164">
        <v>0.16666666666666666</v>
      </c>
      <c r="K108" s="164">
        <v>0.93333333333333346</v>
      </c>
      <c r="L108" s="164">
        <v>0.58333333333333337</v>
      </c>
      <c r="M108" s="193"/>
      <c r="N108" s="529"/>
      <c r="O108" s="164">
        <v>0.13333333333333333</v>
      </c>
      <c r="P108" s="128"/>
      <c r="Q108" s="174"/>
      <c r="R108" s="174"/>
      <c r="S108" s="180"/>
      <c r="T108" s="161">
        <f t="shared" si="21"/>
        <v>296800.00000000006</v>
      </c>
      <c r="U108" s="161">
        <f t="shared" si="21"/>
        <v>185500</v>
      </c>
      <c r="V108" s="161">
        <f t="shared" si="22"/>
        <v>42400</v>
      </c>
      <c r="W108" s="161">
        <f t="shared" si="23"/>
        <v>16960</v>
      </c>
    </row>
    <row r="109" spans="1:23" s="127" customFormat="1">
      <c r="A109" s="118">
        <v>108</v>
      </c>
      <c r="B109" s="128">
        <v>1</v>
      </c>
      <c r="C109" s="156">
        <v>39783</v>
      </c>
      <c r="D109" s="176" t="s">
        <v>55</v>
      </c>
      <c r="E109" s="127">
        <v>2008</v>
      </c>
      <c r="F109" s="158">
        <f t="shared" si="19"/>
        <v>335</v>
      </c>
      <c r="G109" s="158">
        <f t="shared" si="20"/>
        <v>1</v>
      </c>
      <c r="H109" s="175">
        <v>39448</v>
      </c>
      <c r="I109" s="160">
        <v>47000</v>
      </c>
      <c r="J109" s="191"/>
      <c r="K109" s="177">
        <v>0.93666666666666698</v>
      </c>
      <c r="L109" s="177">
        <v>0.586666666666667</v>
      </c>
      <c r="M109" s="193"/>
      <c r="N109" s="529" t="s">
        <v>795</v>
      </c>
      <c r="O109" s="177">
        <v>4.6666666666667002E-2</v>
      </c>
      <c r="P109" s="128"/>
      <c r="Q109" s="174"/>
      <c r="R109" s="174"/>
      <c r="S109" s="180"/>
      <c r="T109" s="161">
        <f t="shared" si="21"/>
        <v>44023.33333333335</v>
      </c>
      <c r="U109" s="161">
        <f t="shared" si="21"/>
        <v>27573.33333333335</v>
      </c>
      <c r="V109" s="161">
        <f t="shared" si="22"/>
        <v>2193.3333333333489</v>
      </c>
      <c r="W109" s="161">
        <f t="shared" si="23"/>
        <v>877.33333333333962</v>
      </c>
    </row>
    <row r="110" spans="1:23">
      <c r="A110" s="118">
        <v>109</v>
      </c>
      <c r="B110" s="128">
        <v>1</v>
      </c>
      <c r="C110" s="156">
        <v>39814</v>
      </c>
      <c r="D110" s="157" t="s">
        <v>44</v>
      </c>
      <c r="E110" s="127">
        <v>2009</v>
      </c>
      <c r="F110" s="118"/>
      <c r="G110" s="118"/>
      <c r="H110" s="118"/>
      <c r="I110" s="125"/>
      <c r="J110" s="164"/>
      <c r="K110" s="164"/>
      <c r="L110" s="164"/>
      <c r="M110" s="193"/>
      <c r="N110" s="529"/>
      <c r="O110" s="164"/>
      <c r="P110" s="118"/>
      <c r="Q110" s="118"/>
      <c r="R110" s="118"/>
      <c r="S110" s="221"/>
      <c r="T110" s="118"/>
      <c r="U110" s="118"/>
      <c r="V110" s="118"/>
      <c r="W110" s="118"/>
    </row>
    <row r="111" spans="1:23">
      <c r="A111" s="118">
        <v>110</v>
      </c>
      <c r="B111" s="128">
        <v>1</v>
      </c>
      <c r="C111" s="156">
        <v>39845</v>
      </c>
      <c r="D111" s="157" t="s">
        <v>45</v>
      </c>
      <c r="E111" s="127">
        <v>2009</v>
      </c>
      <c r="F111" s="118"/>
      <c r="G111" s="118"/>
      <c r="H111" s="118"/>
      <c r="I111" s="125"/>
      <c r="J111" s="164"/>
      <c r="K111" s="164"/>
      <c r="L111" s="164"/>
      <c r="M111" s="193"/>
      <c r="N111" s="529"/>
      <c r="O111" s="164"/>
      <c r="P111" s="118"/>
      <c r="Q111" s="118"/>
      <c r="R111" s="118"/>
      <c r="S111" s="221"/>
      <c r="T111" s="118"/>
      <c r="U111" s="118"/>
      <c r="V111" s="118"/>
      <c r="W111" s="118"/>
    </row>
    <row r="112" spans="1:23">
      <c r="A112" s="118">
        <v>111</v>
      </c>
      <c r="B112" s="128">
        <v>1</v>
      </c>
      <c r="C112" s="156">
        <v>39873</v>
      </c>
      <c r="D112" s="157" t="s">
        <v>46</v>
      </c>
      <c r="E112" s="127">
        <v>2009</v>
      </c>
      <c r="F112" s="158">
        <f t="shared" ref="F112:F137" si="24">C112-H112</f>
        <v>0</v>
      </c>
      <c r="G112" s="158">
        <f t="shared" ref="G112:G137" si="25">IF(F112&lt;365,1,2)</f>
        <v>1</v>
      </c>
      <c r="H112" s="178">
        <v>39873</v>
      </c>
      <c r="I112" s="125">
        <v>655784</v>
      </c>
      <c r="J112" s="164"/>
      <c r="K112" s="164"/>
      <c r="L112" s="177">
        <v>0</v>
      </c>
      <c r="M112" s="193"/>
      <c r="N112" s="529" t="s">
        <v>794</v>
      </c>
      <c r="O112" s="177">
        <v>0</v>
      </c>
      <c r="P112" s="118"/>
      <c r="Q112" s="118"/>
      <c r="R112" s="118"/>
      <c r="S112" s="221" t="s">
        <v>255</v>
      </c>
      <c r="T112" s="161"/>
      <c r="U112" s="161">
        <f t="shared" ref="U112:U126" si="26">$I112*L112</f>
        <v>0</v>
      </c>
      <c r="V112" s="161">
        <f t="shared" ref="V112:V126" si="27">$I112*O112</f>
        <v>0</v>
      </c>
      <c r="W112" s="161">
        <f t="shared" ref="W112:W126" si="28">V112*0.4</f>
        <v>0</v>
      </c>
    </row>
    <row r="113" spans="1:23">
      <c r="A113" s="118">
        <v>112</v>
      </c>
      <c r="B113" s="128">
        <v>1</v>
      </c>
      <c r="C113" s="156">
        <v>39904</v>
      </c>
      <c r="D113" s="157" t="s">
        <v>47</v>
      </c>
      <c r="E113" s="127">
        <v>2009</v>
      </c>
      <c r="F113" s="158">
        <f t="shared" si="24"/>
        <v>31</v>
      </c>
      <c r="G113" s="158">
        <f t="shared" si="25"/>
        <v>1</v>
      </c>
      <c r="H113" s="178">
        <v>39873</v>
      </c>
      <c r="I113" s="125">
        <v>653988</v>
      </c>
      <c r="J113" s="164">
        <v>0.33</v>
      </c>
      <c r="K113" s="164">
        <v>0.18</v>
      </c>
      <c r="L113" s="164">
        <v>0</v>
      </c>
      <c r="M113" s="193"/>
      <c r="N113" s="529"/>
      <c r="O113" s="164">
        <v>0.2</v>
      </c>
      <c r="P113" s="118"/>
      <c r="Q113" s="118"/>
      <c r="R113" s="118"/>
      <c r="S113" s="221"/>
      <c r="T113" s="161">
        <f>$I113*K113</f>
        <v>117717.84</v>
      </c>
      <c r="U113" s="161">
        <f t="shared" si="26"/>
        <v>0</v>
      </c>
      <c r="V113" s="161">
        <f t="shared" si="27"/>
        <v>130797.6</v>
      </c>
      <c r="W113" s="161">
        <f t="shared" si="28"/>
        <v>52319.040000000008</v>
      </c>
    </row>
    <row r="114" spans="1:23">
      <c r="A114" s="118">
        <v>113</v>
      </c>
      <c r="B114" s="128">
        <v>1</v>
      </c>
      <c r="C114" s="156">
        <v>39934</v>
      </c>
      <c r="D114" s="157" t="s">
        <v>48</v>
      </c>
      <c r="E114" s="127">
        <v>2009</v>
      </c>
      <c r="F114" s="158">
        <f t="shared" si="24"/>
        <v>61</v>
      </c>
      <c r="G114" s="158">
        <f t="shared" si="25"/>
        <v>1</v>
      </c>
      <c r="H114" s="178">
        <v>39873</v>
      </c>
      <c r="I114" s="125">
        <v>652907</v>
      </c>
      <c r="J114" s="164">
        <v>0.35</v>
      </c>
      <c r="K114" s="164">
        <v>0.1</v>
      </c>
      <c r="L114" s="164">
        <v>1.66666E-2</v>
      </c>
      <c r="M114" s="193">
        <v>0</v>
      </c>
      <c r="N114" s="529"/>
      <c r="O114" s="164">
        <v>1.66666E-2</v>
      </c>
      <c r="P114" s="118"/>
      <c r="Q114" s="118"/>
      <c r="R114" s="118"/>
      <c r="S114" s="221"/>
      <c r="T114" s="161">
        <f>$I114*K114</f>
        <v>65290.700000000004</v>
      </c>
      <c r="U114" s="161">
        <f t="shared" si="26"/>
        <v>10881.739806199999</v>
      </c>
      <c r="V114" s="161">
        <f t="shared" si="27"/>
        <v>10881.739806199999</v>
      </c>
      <c r="W114" s="161">
        <f t="shared" si="28"/>
        <v>4352.6959224800003</v>
      </c>
    </row>
    <row r="115" spans="1:23">
      <c r="A115" s="118">
        <v>114</v>
      </c>
      <c r="B115" s="128">
        <v>1</v>
      </c>
      <c r="C115" s="156">
        <v>39965</v>
      </c>
      <c r="D115" s="157" t="s">
        <v>49</v>
      </c>
      <c r="E115" s="127">
        <v>2009</v>
      </c>
      <c r="F115" s="158">
        <f t="shared" si="24"/>
        <v>92</v>
      </c>
      <c r="G115" s="158">
        <f t="shared" si="25"/>
        <v>1</v>
      </c>
      <c r="H115" s="178">
        <v>39873</v>
      </c>
      <c r="I115" s="125">
        <v>651916</v>
      </c>
      <c r="J115" s="164">
        <v>0.62</v>
      </c>
      <c r="K115" s="164">
        <v>0.1</v>
      </c>
      <c r="L115" s="164">
        <v>0</v>
      </c>
      <c r="M115" s="193">
        <v>0</v>
      </c>
      <c r="N115" s="529"/>
      <c r="O115" s="164">
        <v>0.13</v>
      </c>
      <c r="P115" s="118"/>
      <c r="Q115" s="118"/>
      <c r="R115" s="118"/>
      <c r="S115" s="221"/>
      <c r="T115" s="161">
        <f>$I115*K115</f>
        <v>65191.600000000006</v>
      </c>
      <c r="U115" s="161">
        <f t="shared" si="26"/>
        <v>0</v>
      </c>
      <c r="V115" s="161">
        <f t="shared" si="27"/>
        <v>84749.08</v>
      </c>
      <c r="W115" s="161">
        <f t="shared" si="28"/>
        <v>33899.632000000005</v>
      </c>
    </row>
    <row r="116" spans="1:23">
      <c r="A116" s="118">
        <v>115</v>
      </c>
      <c r="B116" s="128">
        <v>1</v>
      </c>
      <c r="C116" s="156">
        <v>39995</v>
      </c>
      <c r="D116" s="157" t="s">
        <v>50</v>
      </c>
      <c r="E116" s="127">
        <v>2009</v>
      </c>
      <c r="F116" s="158">
        <f t="shared" si="24"/>
        <v>122</v>
      </c>
      <c r="G116" s="158">
        <f t="shared" si="25"/>
        <v>1</v>
      </c>
      <c r="H116" s="178">
        <v>39873</v>
      </c>
      <c r="I116" s="125">
        <v>652124</v>
      </c>
      <c r="J116" s="164">
        <v>2.3333333333333335</v>
      </c>
      <c r="K116" s="164">
        <v>0.46666666666666667</v>
      </c>
      <c r="L116" s="164">
        <v>8.3333333333333332E-3</v>
      </c>
      <c r="M116" s="193">
        <v>0</v>
      </c>
      <c r="N116" s="529"/>
      <c r="O116" s="164">
        <v>0.29166666666666669</v>
      </c>
      <c r="P116" s="118"/>
      <c r="Q116" s="118"/>
      <c r="R116" s="118"/>
      <c r="S116" s="221"/>
      <c r="T116" s="161">
        <f t="shared" ref="T116:T120" si="29">$I116*K116</f>
        <v>304324.53333333333</v>
      </c>
      <c r="U116" s="161">
        <f t="shared" ref="U116:U120" si="30">$I116*L116</f>
        <v>5434.3666666666668</v>
      </c>
      <c r="V116" s="161">
        <f t="shared" ref="V116:V120" si="31">$I116*O116</f>
        <v>190202.83333333334</v>
      </c>
      <c r="W116" s="161">
        <f t="shared" ref="W116:W120" si="32">V116*0.4</f>
        <v>76081.133333333346</v>
      </c>
    </row>
    <row r="117" spans="1:23">
      <c r="A117" s="118">
        <v>116</v>
      </c>
      <c r="B117" s="128">
        <v>1</v>
      </c>
      <c r="C117" s="156">
        <v>40026</v>
      </c>
      <c r="D117" s="157" t="s">
        <v>51</v>
      </c>
      <c r="E117" s="127">
        <v>2009</v>
      </c>
      <c r="F117" s="158">
        <f t="shared" si="24"/>
        <v>153</v>
      </c>
      <c r="G117" s="158">
        <f t="shared" si="25"/>
        <v>1</v>
      </c>
      <c r="H117" s="178">
        <v>39873</v>
      </c>
      <c r="I117" s="125">
        <v>644827</v>
      </c>
      <c r="J117" s="164">
        <v>0.58333333333333337</v>
      </c>
      <c r="K117" s="164">
        <v>0.45833333333333331</v>
      </c>
      <c r="L117" s="164">
        <v>0.13333333333333333</v>
      </c>
      <c r="M117" s="193">
        <v>0</v>
      </c>
      <c r="N117" s="529"/>
      <c r="O117" s="164">
        <v>0.29166666666666669</v>
      </c>
      <c r="P117" s="118"/>
      <c r="Q117" s="118"/>
      <c r="R117" s="118"/>
      <c r="S117" s="221"/>
      <c r="T117" s="161">
        <f t="shared" si="29"/>
        <v>295545.70833333331</v>
      </c>
      <c r="U117" s="161">
        <f t="shared" si="30"/>
        <v>85976.933333333334</v>
      </c>
      <c r="V117" s="161">
        <f t="shared" si="31"/>
        <v>188074.54166666669</v>
      </c>
      <c r="W117" s="161">
        <f t="shared" si="32"/>
        <v>75229.81666666668</v>
      </c>
    </row>
    <row r="118" spans="1:23">
      <c r="A118" s="118">
        <v>117</v>
      </c>
      <c r="B118" s="128">
        <v>1</v>
      </c>
      <c r="C118" s="156">
        <v>40057</v>
      </c>
      <c r="D118" s="157" t="s">
        <v>52</v>
      </c>
      <c r="E118" s="127">
        <v>2009</v>
      </c>
      <c r="F118" s="158">
        <f t="shared" si="24"/>
        <v>184</v>
      </c>
      <c r="G118" s="158">
        <f t="shared" si="25"/>
        <v>1</v>
      </c>
      <c r="H118" s="178">
        <v>39873</v>
      </c>
      <c r="I118" s="125">
        <v>642076</v>
      </c>
      <c r="J118" s="164">
        <v>8.3333333333333329E-2</v>
      </c>
      <c r="K118" s="164">
        <v>0.56666666666666665</v>
      </c>
      <c r="L118" s="164">
        <v>0.1</v>
      </c>
      <c r="M118" s="193">
        <v>0</v>
      </c>
      <c r="N118" s="529"/>
      <c r="O118" s="164">
        <v>0.13333333333333333</v>
      </c>
      <c r="P118" s="118"/>
      <c r="Q118" s="118"/>
      <c r="R118" s="118"/>
      <c r="S118" s="221"/>
      <c r="T118" s="161">
        <f t="shared" si="29"/>
        <v>363843.06666666665</v>
      </c>
      <c r="U118" s="161">
        <f t="shared" si="30"/>
        <v>64207.600000000006</v>
      </c>
      <c r="V118" s="161">
        <f t="shared" si="31"/>
        <v>85610.133333333331</v>
      </c>
      <c r="W118" s="161">
        <f t="shared" si="32"/>
        <v>34244.053333333337</v>
      </c>
    </row>
    <row r="119" spans="1:23">
      <c r="A119" s="118">
        <v>118</v>
      </c>
      <c r="B119" s="128">
        <v>1</v>
      </c>
      <c r="C119" s="156">
        <v>40087</v>
      </c>
      <c r="D119" s="157" t="s">
        <v>53</v>
      </c>
      <c r="E119" s="127">
        <v>2009</v>
      </c>
      <c r="F119" s="158">
        <f t="shared" si="24"/>
        <v>214</v>
      </c>
      <c r="G119" s="158">
        <f t="shared" si="25"/>
        <v>1</v>
      </c>
      <c r="H119" s="178">
        <v>39873</v>
      </c>
      <c r="I119" s="125">
        <v>640771</v>
      </c>
      <c r="J119" s="164">
        <v>0.35</v>
      </c>
      <c r="K119" s="164">
        <v>0.83750000000000002</v>
      </c>
      <c r="L119" s="164">
        <v>0.35</v>
      </c>
      <c r="M119" s="193">
        <v>0</v>
      </c>
      <c r="N119" s="529"/>
      <c r="O119" s="164">
        <v>8.7499999999999994E-2</v>
      </c>
      <c r="P119" s="118"/>
      <c r="Q119" s="118"/>
      <c r="R119" s="118"/>
      <c r="S119" s="221"/>
      <c r="T119" s="161">
        <f t="shared" si="29"/>
        <v>536645.71250000002</v>
      </c>
      <c r="U119" s="161">
        <f t="shared" si="30"/>
        <v>224269.84999999998</v>
      </c>
      <c r="V119" s="161">
        <f t="shared" si="31"/>
        <v>56067.462499999994</v>
      </c>
      <c r="W119" s="161">
        <f t="shared" si="32"/>
        <v>22426.985000000001</v>
      </c>
    </row>
    <row r="120" spans="1:23">
      <c r="A120" s="118">
        <v>119</v>
      </c>
      <c r="B120" s="128">
        <v>1</v>
      </c>
      <c r="C120" s="156">
        <v>40118</v>
      </c>
      <c r="D120" s="157" t="s">
        <v>54</v>
      </c>
      <c r="E120" s="127">
        <v>2009</v>
      </c>
      <c r="F120" s="158">
        <f t="shared" si="24"/>
        <v>245</v>
      </c>
      <c r="G120" s="158">
        <f t="shared" si="25"/>
        <v>1</v>
      </c>
      <c r="H120" s="178">
        <v>39873</v>
      </c>
      <c r="I120" s="125">
        <v>639147</v>
      </c>
      <c r="J120" s="164">
        <v>0.28333333333333333</v>
      </c>
      <c r="K120" s="164">
        <v>0.65</v>
      </c>
      <c r="L120" s="164">
        <v>0.36666666666666664</v>
      </c>
      <c r="M120" s="193"/>
      <c r="N120" s="529"/>
      <c r="O120" s="164">
        <v>0.16666666666666666</v>
      </c>
      <c r="P120" s="118"/>
      <c r="Q120" s="118"/>
      <c r="R120" s="118"/>
      <c r="S120" s="221"/>
      <c r="T120" s="161">
        <f t="shared" si="29"/>
        <v>415445.55</v>
      </c>
      <c r="U120" s="161">
        <f t="shared" si="30"/>
        <v>234353.9</v>
      </c>
      <c r="V120" s="161">
        <f t="shared" si="31"/>
        <v>106524.5</v>
      </c>
      <c r="W120" s="161">
        <f t="shared" si="32"/>
        <v>42609.8</v>
      </c>
    </row>
    <row r="121" spans="1:23">
      <c r="A121" s="118">
        <v>120</v>
      </c>
      <c r="B121" s="128">
        <v>1</v>
      </c>
      <c r="C121" s="156">
        <v>40148</v>
      </c>
      <c r="D121" s="157" t="s">
        <v>55</v>
      </c>
      <c r="E121" s="127">
        <v>2009</v>
      </c>
      <c r="F121" s="158"/>
      <c r="G121" s="158"/>
      <c r="H121" s="178"/>
      <c r="I121" s="125"/>
      <c r="J121" s="164"/>
      <c r="K121" s="164"/>
      <c r="L121" s="164"/>
      <c r="M121" s="193"/>
      <c r="N121" s="529"/>
      <c r="O121" s="164"/>
      <c r="P121" s="118"/>
      <c r="Q121" s="118"/>
      <c r="R121" s="118"/>
      <c r="S121" s="2" t="s">
        <v>409</v>
      </c>
      <c r="T121" s="161"/>
      <c r="V121" s="161"/>
      <c r="W121" s="161"/>
    </row>
    <row r="122" spans="1:23" ht="12.75" customHeight="1">
      <c r="A122" s="118">
        <v>121</v>
      </c>
      <c r="B122" s="128">
        <v>2</v>
      </c>
      <c r="C122" s="156">
        <v>36404</v>
      </c>
      <c r="D122" s="157" t="s">
        <v>52</v>
      </c>
      <c r="E122" s="8">
        <v>1999</v>
      </c>
      <c r="F122" s="158">
        <f t="shared" si="24"/>
        <v>153</v>
      </c>
      <c r="G122" s="158">
        <f t="shared" si="25"/>
        <v>1</v>
      </c>
      <c r="H122" s="172">
        <v>36251</v>
      </c>
      <c r="I122" s="211">
        <v>502917.123809524</v>
      </c>
      <c r="J122" s="15">
        <v>0.4</v>
      </c>
      <c r="K122" s="15">
        <v>4.0999999999999996</v>
      </c>
      <c r="L122" s="15">
        <v>1.5</v>
      </c>
      <c r="O122" s="15">
        <v>0.1</v>
      </c>
      <c r="T122" s="128"/>
      <c r="U122" s="161">
        <f t="shared" si="26"/>
        <v>754375.68571428605</v>
      </c>
      <c r="V122" s="161">
        <f t="shared" si="27"/>
        <v>50291.712380952406</v>
      </c>
      <c r="W122" s="161">
        <f t="shared" si="28"/>
        <v>20116.684952380965</v>
      </c>
    </row>
    <row r="123" spans="1:23" ht="12.75" customHeight="1">
      <c r="A123" s="118">
        <v>122</v>
      </c>
      <c r="B123" s="128">
        <v>2</v>
      </c>
      <c r="C123" s="156">
        <v>36434</v>
      </c>
      <c r="D123" s="157" t="s">
        <v>53</v>
      </c>
      <c r="E123" s="8">
        <v>1999</v>
      </c>
      <c r="F123" s="158">
        <f t="shared" si="24"/>
        <v>183</v>
      </c>
      <c r="G123" s="158">
        <f t="shared" si="25"/>
        <v>1</v>
      </c>
      <c r="H123" s="172">
        <v>36251</v>
      </c>
      <c r="I123" s="211">
        <v>498033.438095238</v>
      </c>
      <c r="J123" s="15">
        <v>0.66473684210526318</v>
      </c>
      <c r="K123" s="15">
        <v>3.2868421052631573</v>
      </c>
      <c r="L123" s="15">
        <v>1.0321052631578949</v>
      </c>
      <c r="M123" s="174">
        <v>1</v>
      </c>
      <c r="O123" s="15">
        <v>1.4494736842105262</v>
      </c>
      <c r="T123" s="128"/>
      <c r="U123" s="161">
        <f t="shared" si="26"/>
        <v>514022.93268671678</v>
      </c>
      <c r="V123" s="161">
        <f t="shared" si="27"/>
        <v>721886.36237593973</v>
      </c>
      <c r="W123" s="161">
        <f t="shared" si="28"/>
        <v>288754.54495037592</v>
      </c>
    </row>
    <row r="124" spans="1:23" ht="12.75" customHeight="1">
      <c r="A124" s="118">
        <v>123</v>
      </c>
      <c r="B124" s="128">
        <v>2</v>
      </c>
      <c r="C124" s="156">
        <v>36465</v>
      </c>
      <c r="D124" s="157" t="s">
        <v>54</v>
      </c>
      <c r="E124" s="8">
        <v>1999</v>
      </c>
      <c r="F124" s="158">
        <f t="shared" si="24"/>
        <v>214</v>
      </c>
      <c r="G124" s="158">
        <f t="shared" si="25"/>
        <v>1</v>
      </c>
      <c r="H124" s="172">
        <v>36251</v>
      </c>
      <c r="I124" s="211">
        <v>493149.75238095201</v>
      </c>
      <c r="J124" s="15">
        <v>0.85</v>
      </c>
      <c r="K124" s="15">
        <v>6.35</v>
      </c>
      <c r="L124" s="15">
        <v>2.5499999999999998</v>
      </c>
      <c r="M124" s="174">
        <v>0</v>
      </c>
      <c r="O124" s="15">
        <v>1.4</v>
      </c>
      <c r="P124" s="170">
        <v>1</v>
      </c>
      <c r="S124" s="237" t="s">
        <v>213</v>
      </c>
      <c r="T124" s="161">
        <f>$I124*K124</f>
        <v>3131500.9276190451</v>
      </c>
      <c r="U124" s="161">
        <f t="shared" si="26"/>
        <v>1257531.8685714274</v>
      </c>
      <c r="V124" s="161">
        <f t="shared" si="27"/>
        <v>690409.65333333274</v>
      </c>
      <c r="W124" s="161">
        <f t="shared" si="28"/>
        <v>276163.86133333313</v>
      </c>
    </row>
    <row r="125" spans="1:23" ht="12.75" customHeight="1">
      <c r="A125" s="118">
        <v>124</v>
      </c>
      <c r="B125" s="128">
        <v>2</v>
      </c>
      <c r="C125" s="156">
        <v>36495</v>
      </c>
      <c r="D125" s="157" t="s">
        <v>55</v>
      </c>
      <c r="E125" s="8">
        <v>1999</v>
      </c>
      <c r="F125" s="158">
        <f t="shared" si="24"/>
        <v>244</v>
      </c>
      <c r="G125" s="158">
        <f t="shared" si="25"/>
        <v>1</v>
      </c>
      <c r="H125" s="172">
        <v>36251</v>
      </c>
      <c r="I125" s="211">
        <v>488266.066666667</v>
      </c>
      <c r="J125" s="15">
        <v>0.28333333333333333</v>
      </c>
      <c r="K125" s="15">
        <v>5.3888888888888893</v>
      </c>
      <c r="L125" s="15">
        <v>2.7527777777777778</v>
      </c>
      <c r="M125" s="174">
        <v>0</v>
      </c>
      <c r="O125" s="15">
        <v>2.5122222222222224</v>
      </c>
      <c r="T125" s="128"/>
      <c r="U125" s="161">
        <f t="shared" si="26"/>
        <v>1344087.977962964</v>
      </c>
      <c r="V125" s="161">
        <f t="shared" si="27"/>
        <v>1226632.8630370379</v>
      </c>
      <c r="W125" s="161">
        <f t="shared" si="28"/>
        <v>490653.14521481516</v>
      </c>
    </row>
    <row r="126" spans="1:23" ht="12.75" customHeight="1">
      <c r="A126" s="118">
        <v>125</v>
      </c>
      <c r="B126" s="128">
        <v>2</v>
      </c>
      <c r="C126" s="156">
        <v>36526</v>
      </c>
      <c r="D126" s="157" t="s">
        <v>44</v>
      </c>
      <c r="E126" s="8">
        <v>2000</v>
      </c>
      <c r="F126" s="158">
        <f t="shared" si="24"/>
        <v>275</v>
      </c>
      <c r="G126" s="158">
        <f t="shared" si="25"/>
        <v>1</v>
      </c>
      <c r="H126" s="172">
        <v>36251</v>
      </c>
      <c r="I126" s="163">
        <v>488099</v>
      </c>
      <c r="J126" s="15">
        <v>0.67500000000000004</v>
      </c>
      <c r="K126" s="15">
        <v>5.5049999999999999</v>
      </c>
      <c r="L126" s="15">
        <v>2.4</v>
      </c>
      <c r="O126" s="15">
        <v>0.75</v>
      </c>
      <c r="T126" s="11"/>
      <c r="U126" s="161">
        <f t="shared" si="26"/>
        <v>1171437.5999999999</v>
      </c>
      <c r="V126" s="161">
        <f t="shared" si="27"/>
        <v>366074.25</v>
      </c>
      <c r="W126" s="161">
        <f t="shared" si="28"/>
        <v>146429.70000000001</v>
      </c>
    </row>
    <row r="127" spans="1:23" ht="12.75" customHeight="1">
      <c r="A127" s="118">
        <v>126</v>
      </c>
      <c r="B127" s="128">
        <v>2</v>
      </c>
      <c r="C127" s="156">
        <v>36557</v>
      </c>
      <c r="D127" s="157" t="s">
        <v>45</v>
      </c>
      <c r="E127" s="8">
        <v>2000</v>
      </c>
      <c r="F127" s="158">
        <f t="shared" si="24"/>
        <v>306</v>
      </c>
      <c r="G127" s="158">
        <f t="shared" si="25"/>
        <v>1</v>
      </c>
      <c r="H127" s="172">
        <v>36251</v>
      </c>
      <c r="I127" s="163">
        <v>473865</v>
      </c>
      <c r="J127" s="11"/>
      <c r="K127" s="11"/>
      <c r="L127" s="11"/>
      <c r="O127" s="11"/>
      <c r="R127" s="166"/>
      <c r="T127" s="11"/>
      <c r="V127" s="11"/>
      <c r="W127" s="11"/>
    </row>
    <row r="128" spans="1:23" ht="12.75" customHeight="1">
      <c r="A128" s="118">
        <v>127</v>
      </c>
      <c r="B128" s="128">
        <v>2</v>
      </c>
      <c r="C128" s="156">
        <v>36586</v>
      </c>
      <c r="D128" s="157" t="s">
        <v>46</v>
      </c>
      <c r="E128" s="8">
        <v>2000</v>
      </c>
      <c r="F128" s="158">
        <f t="shared" si="24"/>
        <v>335</v>
      </c>
      <c r="G128" s="158">
        <f t="shared" si="25"/>
        <v>1</v>
      </c>
      <c r="H128" s="172">
        <v>36251</v>
      </c>
      <c r="I128" s="163">
        <v>471525</v>
      </c>
      <c r="J128" s="11"/>
      <c r="K128" s="11"/>
      <c r="L128" s="11"/>
      <c r="O128" s="11"/>
      <c r="R128" s="166"/>
      <c r="T128" s="11"/>
      <c r="V128" s="11"/>
      <c r="W128" s="11"/>
    </row>
    <row r="129" spans="1:23" ht="12.75" customHeight="1">
      <c r="A129" s="118">
        <v>128</v>
      </c>
      <c r="B129" s="128">
        <v>2</v>
      </c>
      <c r="C129" s="156">
        <v>36617</v>
      </c>
      <c r="D129" s="157" t="s">
        <v>47</v>
      </c>
      <c r="E129" s="8">
        <v>2000</v>
      </c>
      <c r="F129" s="158">
        <f t="shared" si="24"/>
        <v>366</v>
      </c>
      <c r="G129" s="158">
        <f t="shared" si="25"/>
        <v>2</v>
      </c>
      <c r="H129" s="172">
        <v>36251</v>
      </c>
      <c r="I129" s="163">
        <v>467711</v>
      </c>
      <c r="J129" s="11"/>
      <c r="K129" s="11"/>
      <c r="L129" s="11"/>
      <c r="O129" s="11"/>
      <c r="R129" s="166"/>
      <c r="T129" s="11"/>
      <c r="V129" s="11"/>
      <c r="W129" s="11"/>
    </row>
    <row r="130" spans="1:23" ht="12.75" customHeight="1">
      <c r="A130" s="118">
        <v>129</v>
      </c>
      <c r="B130" s="128">
        <v>2</v>
      </c>
      <c r="C130" s="156">
        <v>36647</v>
      </c>
      <c r="D130" s="157" t="s">
        <v>48</v>
      </c>
      <c r="E130" s="8">
        <v>2000</v>
      </c>
      <c r="F130" s="158">
        <f t="shared" si="24"/>
        <v>396</v>
      </c>
      <c r="G130" s="158">
        <f t="shared" si="25"/>
        <v>2</v>
      </c>
      <c r="H130" s="172">
        <v>36251</v>
      </c>
      <c r="I130" s="163">
        <v>467110</v>
      </c>
      <c r="J130" s="15">
        <v>3.33</v>
      </c>
      <c r="K130" s="15">
        <v>1.03</v>
      </c>
      <c r="L130" s="15">
        <v>0.05</v>
      </c>
      <c r="O130" s="15">
        <v>2.62</v>
      </c>
      <c r="R130" s="166"/>
      <c r="T130" s="161">
        <f t="shared" ref="T130:U134" si="33">$I130*K130</f>
        <v>481123.3</v>
      </c>
      <c r="U130" s="161">
        <f t="shared" si="33"/>
        <v>23355.5</v>
      </c>
      <c r="V130" s="161">
        <f t="shared" ref="V130:V134" si="34">$I130*O130</f>
        <v>1223828.2</v>
      </c>
      <c r="W130" s="161">
        <f>V130*0.4</f>
        <v>489531.28</v>
      </c>
    </row>
    <row r="131" spans="1:23" ht="12.75" customHeight="1">
      <c r="A131" s="118">
        <v>130</v>
      </c>
      <c r="B131" s="128">
        <v>2</v>
      </c>
      <c r="C131" s="156">
        <v>36678</v>
      </c>
      <c r="D131" s="157" t="s">
        <v>49</v>
      </c>
      <c r="E131" s="8">
        <v>2000</v>
      </c>
      <c r="F131" s="158">
        <f t="shared" si="24"/>
        <v>427</v>
      </c>
      <c r="G131" s="158">
        <f t="shared" si="25"/>
        <v>2</v>
      </c>
      <c r="H131" s="172">
        <v>36251</v>
      </c>
      <c r="I131" s="163">
        <v>458729</v>
      </c>
      <c r="J131" s="15">
        <v>6.73</v>
      </c>
      <c r="K131" s="15">
        <v>12.28</v>
      </c>
      <c r="L131" s="15">
        <v>3.72</v>
      </c>
      <c r="M131" s="174">
        <v>0</v>
      </c>
      <c r="O131" s="15">
        <v>0.53</v>
      </c>
      <c r="R131" s="166"/>
      <c r="T131" s="161">
        <f t="shared" si="33"/>
        <v>5633192.1200000001</v>
      </c>
      <c r="U131" s="161">
        <f t="shared" si="33"/>
        <v>1706471.8800000001</v>
      </c>
      <c r="V131" s="161">
        <f t="shared" si="34"/>
        <v>243126.37000000002</v>
      </c>
      <c r="W131" s="161">
        <f>V131*0.4</f>
        <v>97250.54800000001</v>
      </c>
    </row>
    <row r="132" spans="1:23" ht="12.75" customHeight="1">
      <c r="A132" s="118">
        <v>131</v>
      </c>
      <c r="B132" s="128">
        <v>2</v>
      </c>
      <c r="C132" s="156">
        <v>36708</v>
      </c>
      <c r="D132" s="157" t="s">
        <v>50</v>
      </c>
      <c r="E132" s="8">
        <v>2000</v>
      </c>
      <c r="F132" s="158">
        <f t="shared" si="24"/>
        <v>457</v>
      </c>
      <c r="G132" s="158">
        <f t="shared" si="25"/>
        <v>2</v>
      </c>
      <c r="H132" s="172">
        <v>36251</v>
      </c>
      <c r="I132" s="163">
        <v>455173</v>
      </c>
      <c r="J132" s="15">
        <v>7.02</v>
      </c>
      <c r="K132" s="15">
        <v>20.57</v>
      </c>
      <c r="L132" s="15">
        <v>8.4700000000000006</v>
      </c>
      <c r="M132" s="174">
        <v>2</v>
      </c>
      <c r="O132" s="15">
        <v>1.1200000000000001</v>
      </c>
      <c r="P132" s="170">
        <v>1</v>
      </c>
      <c r="R132" s="166"/>
      <c r="S132" s="180"/>
      <c r="T132" s="161">
        <f t="shared" si="33"/>
        <v>9362908.6099999994</v>
      </c>
      <c r="U132" s="161">
        <f t="shared" si="33"/>
        <v>3855315.3100000005</v>
      </c>
      <c r="V132" s="161">
        <f t="shared" si="34"/>
        <v>509793.76000000007</v>
      </c>
      <c r="W132" s="161">
        <f>V132*0.4</f>
        <v>203917.50400000004</v>
      </c>
    </row>
    <row r="133" spans="1:23" ht="12.75" customHeight="1">
      <c r="A133" s="118">
        <v>132</v>
      </c>
      <c r="B133" s="128">
        <v>2</v>
      </c>
      <c r="C133" s="156">
        <v>36739</v>
      </c>
      <c r="D133" s="157" t="s">
        <v>51</v>
      </c>
      <c r="E133" s="8">
        <v>2000</v>
      </c>
      <c r="F133" s="158">
        <f t="shared" si="24"/>
        <v>488</v>
      </c>
      <c r="G133" s="158">
        <f t="shared" si="25"/>
        <v>2</v>
      </c>
      <c r="H133" s="172">
        <v>36251</v>
      </c>
      <c r="I133" s="179">
        <v>433173</v>
      </c>
      <c r="J133" s="15">
        <v>0.53</v>
      </c>
      <c r="K133" s="15">
        <v>8.2799999999999994</v>
      </c>
      <c r="L133" s="15">
        <v>5.4</v>
      </c>
      <c r="M133" s="174">
        <v>0</v>
      </c>
      <c r="O133" s="15">
        <v>0.04</v>
      </c>
      <c r="R133" s="166"/>
      <c r="S133" s="155" t="s">
        <v>25</v>
      </c>
      <c r="T133" s="161">
        <f t="shared" si="33"/>
        <v>3586672.44</v>
      </c>
      <c r="U133" s="161">
        <f t="shared" si="33"/>
        <v>2339134.2000000002</v>
      </c>
      <c r="V133" s="161">
        <f t="shared" si="34"/>
        <v>17326.920000000002</v>
      </c>
      <c r="W133" s="161">
        <f>V133*0.4</f>
        <v>6930.7680000000009</v>
      </c>
    </row>
    <row r="134" spans="1:23" ht="12.75" customHeight="1">
      <c r="A134" s="118">
        <v>133</v>
      </c>
      <c r="B134" s="128">
        <v>2</v>
      </c>
      <c r="C134" s="156">
        <v>36770</v>
      </c>
      <c r="D134" s="157" t="s">
        <v>52</v>
      </c>
      <c r="E134" s="8">
        <v>2000</v>
      </c>
      <c r="F134" s="158">
        <f t="shared" si="24"/>
        <v>519</v>
      </c>
      <c r="G134" s="158">
        <f t="shared" si="25"/>
        <v>2</v>
      </c>
      <c r="H134" s="172">
        <v>36251</v>
      </c>
      <c r="I134" s="179">
        <v>300000</v>
      </c>
      <c r="J134" s="15">
        <v>0.27500000000000002</v>
      </c>
      <c r="K134" s="15">
        <v>3.9750000000000001</v>
      </c>
      <c r="L134" s="15">
        <v>2.2250000000000001</v>
      </c>
      <c r="O134" s="15">
        <v>0</v>
      </c>
      <c r="R134" s="166"/>
      <c r="S134" s="155" t="s">
        <v>25</v>
      </c>
      <c r="T134" s="161">
        <f t="shared" si="33"/>
        <v>1192500</v>
      </c>
      <c r="U134" s="161">
        <f t="shared" si="33"/>
        <v>667500</v>
      </c>
      <c r="V134" s="161">
        <f t="shared" si="34"/>
        <v>0</v>
      </c>
      <c r="W134" s="161">
        <f>V134*0.4</f>
        <v>0</v>
      </c>
    </row>
    <row r="135" spans="1:23" ht="12.75" customHeight="1">
      <c r="A135" s="118">
        <v>134</v>
      </c>
      <c r="B135" s="128">
        <v>2</v>
      </c>
      <c r="C135" s="156">
        <v>36800</v>
      </c>
      <c r="D135" s="157" t="s">
        <v>53</v>
      </c>
      <c r="E135" s="8">
        <v>2000</v>
      </c>
      <c r="F135" s="158">
        <f t="shared" si="24"/>
        <v>549</v>
      </c>
      <c r="G135" s="158">
        <f t="shared" si="25"/>
        <v>2</v>
      </c>
      <c r="H135" s="172">
        <v>36251</v>
      </c>
      <c r="I135" s="179">
        <v>200000</v>
      </c>
      <c r="J135" s="11"/>
      <c r="K135" s="11"/>
      <c r="L135" s="11"/>
      <c r="O135" s="11"/>
      <c r="R135" s="166"/>
      <c r="S135" s="155" t="s">
        <v>25</v>
      </c>
      <c r="T135" s="11"/>
      <c r="V135" s="11"/>
      <c r="W135" s="11"/>
    </row>
    <row r="136" spans="1:23" ht="12.75" customHeight="1">
      <c r="A136" s="118">
        <v>135</v>
      </c>
      <c r="B136" s="128">
        <v>2</v>
      </c>
      <c r="C136" s="156">
        <v>36831</v>
      </c>
      <c r="D136" s="157" t="s">
        <v>54</v>
      </c>
      <c r="E136" s="8">
        <v>2000</v>
      </c>
      <c r="F136" s="158">
        <f t="shared" si="24"/>
        <v>580</v>
      </c>
      <c r="G136" s="158">
        <f t="shared" si="25"/>
        <v>2</v>
      </c>
      <c r="H136" s="172">
        <v>36251</v>
      </c>
      <c r="I136" s="179">
        <v>100000</v>
      </c>
      <c r="J136" s="11"/>
      <c r="K136" s="11"/>
      <c r="L136" s="11"/>
      <c r="O136" s="11"/>
      <c r="R136" s="166"/>
      <c r="S136" s="155" t="s">
        <v>25</v>
      </c>
      <c r="T136" s="11"/>
      <c r="V136" s="11"/>
      <c r="W136" s="11"/>
    </row>
    <row r="137" spans="1:23" ht="12.75" customHeight="1">
      <c r="A137" s="118">
        <v>136</v>
      </c>
      <c r="B137" s="128">
        <v>2</v>
      </c>
      <c r="C137" s="156">
        <v>36861</v>
      </c>
      <c r="D137" s="157" t="s">
        <v>55</v>
      </c>
      <c r="E137" s="8">
        <v>2000</v>
      </c>
      <c r="F137" s="158">
        <f t="shared" si="24"/>
        <v>610</v>
      </c>
      <c r="G137" s="158">
        <f t="shared" si="25"/>
        <v>2</v>
      </c>
      <c r="H137" s="172">
        <v>36251</v>
      </c>
      <c r="I137" s="179">
        <v>50000</v>
      </c>
      <c r="J137" s="11"/>
      <c r="K137" s="11"/>
      <c r="L137" s="11"/>
      <c r="O137" s="11"/>
      <c r="R137" s="166"/>
      <c r="S137" s="155" t="s">
        <v>25</v>
      </c>
      <c r="T137" s="11"/>
      <c r="V137" s="11"/>
      <c r="W137" s="11"/>
    </row>
    <row r="138" spans="1:23" ht="12.75" customHeight="1">
      <c r="A138" s="118">
        <v>137</v>
      </c>
      <c r="B138" s="128">
        <v>2</v>
      </c>
      <c r="C138" s="156">
        <v>36892</v>
      </c>
      <c r="D138" s="157" t="s">
        <v>44</v>
      </c>
      <c r="E138" s="8">
        <v>2001</v>
      </c>
      <c r="F138" s="158"/>
      <c r="G138" s="162"/>
      <c r="H138" s="172"/>
      <c r="I138" s="160"/>
      <c r="J138" s="128"/>
      <c r="K138" s="128"/>
      <c r="L138" s="128"/>
      <c r="O138" s="128"/>
      <c r="R138" s="166"/>
      <c r="T138" s="128"/>
      <c r="U138" s="171"/>
      <c r="V138" s="128"/>
      <c r="W138" s="128"/>
    </row>
    <row r="139" spans="1:23" ht="12.75" customHeight="1">
      <c r="A139" s="118">
        <v>138</v>
      </c>
      <c r="B139" s="128">
        <v>2</v>
      </c>
      <c r="C139" s="156">
        <v>36923</v>
      </c>
      <c r="D139" s="157" t="s">
        <v>45</v>
      </c>
      <c r="E139" s="8">
        <v>2001</v>
      </c>
      <c r="F139" s="158"/>
      <c r="G139" s="162"/>
      <c r="H139" s="128"/>
      <c r="I139" s="160"/>
      <c r="J139" s="128"/>
      <c r="K139" s="128"/>
      <c r="L139" s="128"/>
      <c r="O139" s="128"/>
      <c r="R139" s="166"/>
      <c r="T139" s="128"/>
      <c r="U139" s="171"/>
      <c r="V139" s="128"/>
      <c r="W139" s="128"/>
    </row>
    <row r="140" spans="1:23" ht="12.75" customHeight="1">
      <c r="A140" s="118">
        <v>139</v>
      </c>
      <c r="B140" s="128">
        <v>2</v>
      </c>
      <c r="C140" s="156">
        <v>36951</v>
      </c>
      <c r="D140" s="157" t="s">
        <v>46</v>
      </c>
      <c r="E140" s="8">
        <v>2001</v>
      </c>
      <c r="F140" s="158"/>
      <c r="G140" s="162"/>
      <c r="H140" s="128"/>
      <c r="I140" s="160"/>
      <c r="J140" s="128"/>
      <c r="K140" s="128"/>
      <c r="L140" s="128"/>
      <c r="O140" s="128"/>
      <c r="R140" s="166"/>
      <c r="T140" s="128"/>
      <c r="U140" s="171"/>
      <c r="V140" s="128"/>
      <c r="W140" s="128"/>
    </row>
    <row r="141" spans="1:23" ht="12.75" customHeight="1">
      <c r="A141" s="118">
        <v>140</v>
      </c>
      <c r="B141" s="128">
        <v>2</v>
      </c>
      <c r="C141" s="156">
        <v>36982</v>
      </c>
      <c r="D141" s="157" t="s">
        <v>47</v>
      </c>
      <c r="E141" s="8">
        <v>2001</v>
      </c>
      <c r="F141" s="158"/>
      <c r="G141" s="162"/>
      <c r="H141" s="128"/>
      <c r="I141" s="160"/>
      <c r="J141" s="173"/>
      <c r="K141" s="173"/>
      <c r="L141" s="173"/>
      <c r="O141" s="173"/>
      <c r="R141" s="166"/>
      <c r="T141" s="173"/>
      <c r="U141" s="171"/>
      <c r="V141" s="173"/>
      <c r="W141" s="173"/>
    </row>
    <row r="142" spans="1:23" ht="12.75" customHeight="1">
      <c r="A142" s="118">
        <v>141</v>
      </c>
      <c r="B142" s="128">
        <v>2</v>
      </c>
      <c r="C142" s="156">
        <v>37012</v>
      </c>
      <c r="D142" s="157" t="s">
        <v>48</v>
      </c>
      <c r="E142" s="8">
        <v>2001</v>
      </c>
      <c r="F142" s="158"/>
      <c r="G142" s="162"/>
      <c r="H142" s="128"/>
      <c r="I142" s="160"/>
      <c r="J142" s="173"/>
      <c r="K142" s="173"/>
      <c r="L142" s="173"/>
      <c r="O142" s="173"/>
      <c r="R142" s="166"/>
      <c r="T142" s="173"/>
      <c r="U142" s="171"/>
      <c r="V142" s="173"/>
      <c r="W142" s="173"/>
    </row>
    <row r="143" spans="1:23" ht="12.75" customHeight="1">
      <c r="A143" s="118">
        <v>142</v>
      </c>
      <c r="B143" s="128">
        <v>2</v>
      </c>
      <c r="C143" s="156">
        <v>37043</v>
      </c>
      <c r="D143" s="157" t="s">
        <v>49</v>
      </c>
      <c r="E143" s="8">
        <v>2001</v>
      </c>
      <c r="F143" s="158"/>
      <c r="G143" s="162"/>
      <c r="H143" s="128"/>
      <c r="I143" s="160"/>
      <c r="J143" s="128"/>
      <c r="K143" s="128"/>
      <c r="L143" s="128"/>
      <c r="O143" s="128"/>
      <c r="R143" s="166"/>
      <c r="T143" s="128"/>
      <c r="U143" s="171"/>
      <c r="V143" s="128"/>
      <c r="W143" s="128"/>
    </row>
    <row r="144" spans="1:23" ht="12.75" customHeight="1">
      <c r="A144" s="118">
        <v>143</v>
      </c>
      <c r="B144" s="128">
        <v>2</v>
      </c>
      <c r="C144" s="156">
        <v>37073</v>
      </c>
      <c r="D144" s="157" t="s">
        <v>50</v>
      </c>
      <c r="E144" s="8">
        <v>2001</v>
      </c>
      <c r="F144" s="158"/>
      <c r="G144" s="162"/>
      <c r="H144" s="128"/>
      <c r="I144" s="160"/>
      <c r="J144" s="128"/>
      <c r="K144" s="128"/>
      <c r="L144" s="128"/>
      <c r="O144" s="128"/>
      <c r="T144" s="128"/>
      <c r="U144" s="171"/>
      <c r="V144" s="128"/>
      <c r="W144" s="128"/>
    </row>
    <row r="145" spans="1:23" ht="12.75" customHeight="1">
      <c r="A145" s="118">
        <v>144</v>
      </c>
      <c r="B145" s="128">
        <v>2</v>
      </c>
      <c r="C145" s="156">
        <v>37104</v>
      </c>
      <c r="D145" s="157" t="s">
        <v>51</v>
      </c>
      <c r="E145" s="8">
        <v>2001</v>
      </c>
      <c r="F145" s="158"/>
      <c r="G145" s="162"/>
      <c r="H145" s="128"/>
      <c r="I145" s="160"/>
      <c r="J145" s="128"/>
      <c r="K145" s="128"/>
      <c r="L145" s="128"/>
      <c r="O145" s="128"/>
      <c r="T145" s="128"/>
      <c r="U145" s="171"/>
      <c r="V145" s="128"/>
      <c r="W145" s="128"/>
    </row>
    <row r="146" spans="1:23" ht="12.75" customHeight="1">
      <c r="A146" s="118">
        <v>145</v>
      </c>
      <c r="B146" s="128">
        <v>2</v>
      </c>
      <c r="C146" s="156">
        <v>37135</v>
      </c>
      <c r="D146" s="157" t="s">
        <v>52</v>
      </c>
      <c r="E146" s="8">
        <v>2001</v>
      </c>
      <c r="F146" s="158"/>
      <c r="G146" s="162"/>
      <c r="H146" s="128"/>
      <c r="I146" s="160"/>
      <c r="J146" s="128"/>
      <c r="K146" s="128"/>
      <c r="L146" s="128"/>
      <c r="O146" s="128"/>
      <c r="T146" s="128"/>
      <c r="U146" s="171"/>
      <c r="V146" s="128"/>
      <c r="W146" s="128"/>
    </row>
    <row r="147" spans="1:23" ht="12.75" customHeight="1">
      <c r="A147" s="118">
        <v>146</v>
      </c>
      <c r="B147" s="128">
        <v>2</v>
      </c>
      <c r="C147" s="156">
        <v>37165</v>
      </c>
      <c r="D147" s="157" t="s">
        <v>53</v>
      </c>
      <c r="E147" s="8">
        <v>2001</v>
      </c>
      <c r="F147" s="158"/>
      <c r="G147" s="162"/>
      <c r="H147" s="128"/>
      <c r="I147" s="160"/>
      <c r="J147" s="173"/>
      <c r="K147" s="173"/>
      <c r="L147" s="173"/>
      <c r="O147" s="173"/>
      <c r="T147" s="173"/>
      <c r="U147" s="171"/>
      <c r="V147" s="173"/>
      <c r="W147" s="173"/>
    </row>
    <row r="148" spans="1:23">
      <c r="A148" s="118">
        <v>147</v>
      </c>
      <c r="B148" s="128">
        <v>2</v>
      </c>
      <c r="C148" s="156">
        <v>37196</v>
      </c>
      <c r="D148" s="157" t="s">
        <v>54</v>
      </c>
      <c r="E148" s="8">
        <v>2001</v>
      </c>
      <c r="F148" s="158"/>
      <c r="G148" s="162"/>
      <c r="H148" s="128"/>
      <c r="I148" s="160"/>
      <c r="J148" s="173"/>
      <c r="K148" s="173"/>
      <c r="L148" s="173"/>
      <c r="O148" s="173"/>
      <c r="T148" s="173"/>
      <c r="U148" s="171"/>
      <c r="V148" s="173"/>
      <c r="W148" s="173"/>
    </row>
    <row r="149" spans="1:23" ht="12.75" customHeight="1">
      <c r="A149" s="118">
        <v>148</v>
      </c>
      <c r="B149" s="128">
        <v>2</v>
      </c>
      <c r="C149" s="156">
        <v>37226</v>
      </c>
      <c r="D149" s="157" t="s">
        <v>55</v>
      </c>
      <c r="E149" s="8">
        <v>2001</v>
      </c>
      <c r="F149" s="158"/>
      <c r="G149" s="162"/>
      <c r="H149" s="128"/>
      <c r="I149" s="160"/>
      <c r="J149" s="173"/>
      <c r="K149" s="173"/>
      <c r="L149" s="173"/>
      <c r="O149" s="173"/>
      <c r="T149" s="173"/>
      <c r="U149" s="171"/>
      <c r="V149" s="173"/>
      <c r="W149" s="173"/>
    </row>
    <row r="150" spans="1:23">
      <c r="A150" s="118">
        <v>149</v>
      </c>
      <c r="B150" s="128">
        <v>2</v>
      </c>
      <c r="C150" s="156">
        <v>37257</v>
      </c>
      <c r="D150" s="157" t="s">
        <v>44</v>
      </c>
      <c r="E150" s="8">
        <v>2002</v>
      </c>
      <c r="F150" s="158"/>
      <c r="G150" s="162"/>
      <c r="H150" s="128"/>
      <c r="I150" s="160"/>
      <c r="J150" s="128"/>
      <c r="K150" s="128"/>
      <c r="L150" s="128"/>
      <c r="O150" s="128"/>
      <c r="T150" s="128"/>
      <c r="U150" s="171"/>
      <c r="V150" s="128"/>
      <c r="W150" s="128"/>
    </row>
    <row r="151" spans="1:23">
      <c r="A151" s="118">
        <v>150</v>
      </c>
      <c r="B151" s="128">
        <v>2</v>
      </c>
      <c r="C151" s="156">
        <v>37288</v>
      </c>
      <c r="D151" s="157" t="s">
        <v>45</v>
      </c>
      <c r="E151" s="8">
        <v>2002</v>
      </c>
      <c r="F151" s="158"/>
      <c r="G151" s="162"/>
      <c r="H151" s="128"/>
      <c r="I151" s="160"/>
      <c r="J151" s="128"/>
      <c r="K151" s="128"/>
      <c r="L151" s="128"/>
      <c r="O151" s="128"/>
      <c r="T151" s="128"/>
      <c r="U151" s="171"/>
      <c r="V151" s="128"/>
      <c r="W151" s="128"/>
    </row>
    <row r="152" spans="1:23">
      <c r="A152" s="118">
        <v>151</v>
      </c>
      <c r="B152" s="128">
        <v>2</v>
      </c>
      <c r="C152" s="156">
        <v>37316</v>
      </c>
      <c r="D152" s="157" t="s">
        <v>46</v>
      </c>
      <c r="E152" s="8">
        <v>2002</v>
      </c>
      <c r="F152" s="158"/>
      <c r="G152" s="162"/>
      <c r="H152" s="128"/>
      <c r="I152" s="160"/>
      <c r="J152" s="173"/>
      <c r="K152" s="173"/>
      <c r="L152" s="173"/>
      <c r="O152" s="173"/>
      <c r="T152" s="173"/>
      <c r="U152" s="171"/>
      <c r="V152" s="173"/>
      <c r="W152" s="173"/>
    </row>
    <row r="153" spans="1:23">
      <c r="A153" s="118">
        <v>152</v>
      </c>
      <c r="B153" s="128">
        <v>2</v>
      </c>
      <c r="C153" s="156">
        <v>37347</v>
      </c>
      <c r="D153" s="157" t="s">
        <v>47</v>
      </c>
      <c r="E153" s="8">
        <v>2002</v>
      </c>
      <c r="F153" s="158"/>
      <c r="G153" s="162"/>
      <c r="H153" s="128"/>
      <c r="I153" s="160"/>
      <c r="J153" s="128"/>
      <c r="K153" s="128"/>
      <c r="L153" s="128"/>
      <c r="O153" s="128"/>
      <c r="T153" s="128"/>
      <c r="U153" s="171"/>
      <c r="V153" s="128"/>
      <c r="W153" s="128"/>
    </row>
    <row r="154" spans="1:23">
      <c r="A154" s="118">
        <v>153</v>
      </c>
      <c r="B154" s="128">
        <v>2</v>
      </c>
      <c r="C154" s="156">
        <v>37377</v>
      </c>
      <c r="D154" s="157" t="s">
        <v>48</v>
      </c>
      <c r="E154" s="8">
        <v>2002</v>
      </c>
      <c r="F154" s="158"/>
      <c r="G154" s="162"/>
      <c r="H154" s="128"/>
      <c r="I154" s="160"/>
      <c r="J154" s="128"/>
      <c r="K154" s="128"/>
      <c r="L154" s="128"/>
      <c r="O154" s="128"/>
      <c r="T154" s="128"/>
      <c r="U154" s="171"/>
      <c r="V154" s="128"/>
      <c r="W154" s="128"/>
    </row>
    <row r="155" spans="1:23">
      <c r="A155" s="118">
        <v>154</v>
      </c>
      <c r="B155" s="259">
        <v>2</v>
      </c>
      <c r="C155" s="156">
        <v>37408</v>
      </c>
      <c r="D155" s="157" t="s">
        <v>49</v>
      </c>
      <c r="E155" s="8">
        <v>2002</v>
      </c>
      <c r="F155" s="158">
        <f t="shared" ref="F155:F170" si="35">C155-H155</f>
        <v>608</v>
      </c>
      <c r="G155" s="158">
        <f>IF(F155&lt;365,1,2)</f>
        <v>2</v>
      </c>
      <c r="H155" s="172">
        <v>36800</v>
      </c>
      <c r="I155" s="160">
        <v>469182</v>
      </c>
      <c r="J155" s="15">
        <v>1.2575000000000001</v>
      </c>
      <c r="K155" s="15">
        <v>0.82250000000000001</v>
      </c>
      <c r="L155" s="15">
        <v>0.32500000000000001</v>
      </c>
      <c r="O155" s="15">
        <v>0</v>
      </c>
      <c r="S155" s="155" t="s">
        <v>287</v>
      </c>
      <c r="T155" s="161">
        <f t="shared" ref="T155:U157" si="36">$I155*K155</f>
        <v>385902.19500000001</v>
      </c>
      <c r="U155" s="161">
        <f t="shared" si="36"/>
        <v>152484.15</v>
      </c>
      <c r="V155" s="161">
        <f t="shared" ref="V155:V170" si="37">$I155*O155</f>
        <v>0</v>
      </c>
      <c r="W155" s="161">
        <f t="shared" ref="W155:W170" si="38">V155*0.4</f>
        <v>0</v>
      </c>
    </row>
    <row r="156" spans="1:23">
      <c r="A156" s="118">
        <v>155</v>
      </c>
      <c r="B156" s="259">
        <v>2</v>
      </c>
      <c r="C156" s="156">
        <v>37438</v>
      </c>
      <c r="D156" s="157" t="s">
        <v>50</v>
      </c>
      <c r="E156" s="8">
        <v>2002</v>
      </c>
      <c r="F156" s="158">
        <f t="shared" si="35"/>
        <v>638</v>
      </c>
      <c r="G156" s="158">
        <f>IF(F156&lt;365,1,2)</f>
        <v>2</v>
      </c>
      <c r="H156" s="172">
        <v>36800</v>
      </c>
      <c r="I156" s="160">
        <v>468050</v>
      </c>
      <c r="J156" s="15">
        <v>1.34</v>
      </c>
      <c r="K156" s="15">
        <v>1.425</v>
      </c>
      <c r="L156" s="15">
        <v>0.39500000000000002</v>
      </c>
      <c r="M156" s="174">
        <v>0</v>
      </c>
      <c r="O156" s="15">
        <v>0</v>
      </c>
      <c r="T156" s="161">
        <f t="shared" si="36"/>
        <v>666971.25</v>
      </c>
      <c r="U156" s="161">
        <f t="shared" si="36"/>
        <v>184879.75</v>
      </c>
      <c r="V156" s="161">
        <f t="shared" si="37"/>
        <v>0</v>
      </c>
      <c r="W156" s="161">
        <f t="shared" si="38"/>
        <v>0</v>
      </c>
    </row>
    <row r="157" spans="1:23">
      <c r="A157" s="118">
        <v>156</v>
      </c>
      <c r="B157" s="128">
        <v>2</v>
      </c>
      <c r="C157" s="156">
        <v>37469</v>
      </c>
      <c r="D157" s="157" t="s">
        <v>51</v>
      </c>
      <c r="E157" s="8">
        <v>2002</v>
      </c>
      <c r="F157" s="158">
        <f t="shared" si="35"/>
        <v>669</v>
      </c>
      <c r="G157" s="158">
        <f>IF(F157&lt;365,1,2)</f>
        <v>2</v>
      </c>
      <c r="H157" s="172">
        <v>36800</v>
      </c>
      <c r="I157" s="160">
        <v>466792</v>
      </c>
      <c r="J157" s="15">
        <v>0.1</v>
      </c>
      <c r="K157" s="15">
        <v>3.416666666666667</v>
      </c>
      <c r="L157" s="15">
        <v>2.2999999999999998</v>
      </c>
      <c r="O157" s="15">
        <v>0.05</v>
      </c>
      <c r="T157" s="161">
        <f t="shared" si="36"/>
        <v>1594872.6666666667</v>
      </c>
      <c r="U157" s="161">
        <f t="shared" si="36"/>
        <v>1073621.5999999999</v>
      </c>
      <c r="V157" s="161">
        <f t="shared" si="37"/>
        <v>23339.600000000002</v>
      </c>
      <c r="W157" s="161">
        <f t="shared" si="38"/>
        <v>9335.840000000002</v>
      </c>
    </row>
    <row r="158" spans="1:23">
      <c r="A158" s="118">
        <v>157</v>
      </c>
      <c r="B158" s="128">
        <v>2</v>
      </c>
      <c r="C158" s="156">
        <v>37500</v>
      </c>
      <c r="D158" s="157" t="s">
        <v>52</v>
      </c>
      <c r="E158" s="8">
        <v>2002</v>
      </c>
      <c r="F158" s="158">
        <f t="shared" si="35"/>
        <v>700</v>
      </c>
      <c r="G158" s="158">
        <f>IF(F158&lt;365,1,2)</f>
        <v>2</v>
      </c>
      <c r="H158" s="172">
        <v>36800</v>
      </c>
      <c r="I158" s="160">
        <v>465490</v>
      </c>
      <c r="J158" s="11"/>
      <c r="L158" s="165">
        <v>3.4</v>
      </c>
      <c r="N158" s="528">
        <v>3</v>
      </c>
      <c r="O158" s="165">
        <v>0.04</v>
      </c>
      <c r="T158" s="11"/>
      <c r="U158" s="161">
        <f t="shared" ref="U158:U170" si="39">$I158*L158</f>
        <v>1582666</v>
      </c>
      <c r="V158" s="161">
        <f t="shared" si="37"/>
        <v>18619.600000000002</v>
      </c>
      <c r="W158" s="161">
        <f t="shared" si="38"/>
        <v>7447.8400000000011</v>
      </c>
    </row>
    <row r="159" spans="1:23">
      <c r="A159" s="118">
        <v>158</v>
      </c>
      <c r="B159" s="128">
        <v>2</v>
      </c>
      <c r="C159" s="156">
        <v>37530</v>
      </c>
      <c r="D159" s="157" t="s">
        <v>53</v>
      </c>
      <c r="E159" s="8">
        <v>2002</v>
      </c>
      <c r="F159" s="158">
        <f t="shared" si="35"/>
        <v>730</v>
      </c>
      <c r="G159" s="158">
        <f t="shared" ref="G159:G170" si="40">IF(F159&lt;730,2,3)</f>
        <v>3</v>
      </c>
      <c r="H159" s="172">
        <v>36800</v>
      </c>
      <c r="I159" s="160">
        <v>464425</v>
      </c>
      <c r="J159" s="11"/>
      <c r="L159" s="165">
        <v>4.5</v>
      </c>
      <c r="N159" s="528">
        <v>3</v>
      </c>
      <c r="O159" s="165">
        <v>0.03</v>
      </c>
      <c r="T159" s="11"/>
      <c r="U159" s="161">
        <f t="shared" si="39"/>
        <v>2089912.5</v>
      </c>
      <c r="V159" s="161">
        <f t="shared" si="37"/>
        <v>13932.75</v>
      </c>
      <c r="W159" s="161">
        <f t="shared" si="38"/>
        <v>5573.1</v>
      </c>
    </row>
    <row r="160" spans="1:23">
      <c r="A160" s="118">
        <v>159</v>
      </c>
      <c r="B160" s="128">
        <v>2</v>
      </c>
      <c r="C160" s="156">
        <v>37561</v>
      </c>
      <c r="D160" s="157" t="s">
        <v>54</v>
      </c>
      <c r="E160" s="8">
        <v>2002</v>
      </c>
      <c r="F160" s="158">
        <f t="shared" si="35"/>
        <v>761</v>
      </c>
      <c r="G160" s="158">
        <f t="shared" si="40"/>
        <v>3</v>
      </c>
      <c r="H160" s="172">
        <v>36800</v>
      </c>
      <c r="I160" s="160">
        <v>463513</v>
      </c>
      <c r="J160" s="11"/>
      <c r="L160" s="165">
        <v>5.6</v>
      </c>
      <c r="N160" s="528">
        <v>3</v>
      </c>
      <c r="O160" s="165">
        <v>0.02</v>
      </c>
      <c r="T160" s="11"/>
      <c r="U160" s="161">
        <f t="shared" si="39"/>
        <v>2595672.7999999998</v>
      </c>
      <c r="V160" s="161">
        <f t="shared" si="37"/>
        <v>9270.26</v>
      </c>
      <c r="W160" s="161">
        <f t="shared" si="38"/>
        <v>3708.1040000000003</v>
      </c>
    </row>
    <row r="161" spans="1:23">
      <c r="A161" s="118">
        <v>160</v>
      </c>
      <c r="B161" s="128">
        <v>2</v>
      </c>
      <c r="C161" s="156">
        <v>37591</v>
      </c>
      <c r="D161" s="157" t="s">
        <v>55</v>
      </c>
      <c r="E161" s="8">
        <v>2002</v>
      </c>
      <c r="F161" s="158">
        <f t="shared" si="35"/>
        <v>791</v>
      </c>
      <c r="G161" s="158">
        <f t="shared" si="40"/>
        <v>3</v>
      </c>
      <c r="H161" s="172">
        <v>36800</v>
      </c>
      <c r="I161" s="160">
        <v>443972</v>
      </c>
      <c r="J161" s="15">
        <v>0.3775</v>
      </c>
      <c r="K161" s="15">
        <v>10.3575</v>
      </c>
      <c r="L161" s="15">
        <v>6.93</v>
      </c>
      <c r="O161" s="15">
        <v>0</v>
      </c>
      <c r="T161" s="161">
        <f t="shared" ref="T161:T170" si="41">$I161*K161</f>
        <v>4598439.99</v>
      </c>
      <c r="U161" s="161">
        <f t="shared" si="39"/>
        <v>3076725.96</v>
      </c>
      <c r="V161" s="161">
        <f t="shared" si="37"/>
        <v>0</v>
      </c>
      <c r="W161" s="161">
        <f t="shared" si="38"/>
        <v>0</v>
      </c>
    </row>
    <row r="162" spans="1:23" ht="12.75" customHeight="1">
      <c r="A162" s="118">
        <v>161</v>
      </c>
      <c r="B162" s="128">
        <v>2</v>
      </c>
      <c r="C162" s="156">
        <v>37622</v>
      </c>
      <c r="D162" s="157" t="s">
        <v>44</v>
      </c>
      <c r="E162" s="8">
        <v>2003</v>
      </c>
      <c r="F162" s="158">
        <f t="shared" si="35"/>
        <v>822</v>
      </c>
      <c r="G162" s="158">
        <f t="shared" si="40"/>
        <v>3</v>
      </c>
      <c r="H162" s="172">
        <v>36800</v>
      </c>
      <c r="I162" s="160">
        <v>443972</v>
      </c>
      <c r="J162" s="15">
        <v>0.3833333333333333</v>
      </c>
      <c r="K162" s="15">
        <v>13.7</v>
      </c>
      <c r="L162" s="15">
        <v>8.9</v>
      </c>
      <c r="M162" s="174">
        <v>1</v>
      </c>
      <c r="O162" s="15">
        <v>0</v>
      </c>
      <c r="T162" s="161">
        <f t="shared" si="41"/>
        <v>6082416.3999999994</v>
      </c>
      <c r="U162" s="161">
        <f t="shared" si="39"/>
        <v>3951350.8000000003</v>
      </c>
      <c r="V162" s="161">
        <f t="shared" si="37"/>
        <v>0</v>
      </c>
      <c r="W162" s="161">
        <f t="shared" si="38"/>
        <v>0</v>
      </c>
    </row>
    <row r="163" spans="1:23" ht="12.75" customHeight="1">
      <c r="A163" s="118">
        <v>162</v>
      </c>
      <c r="B163" s="128">
        <v>2</v>
      </c>
      <c r="C163" s="156">
        <v>37653</v>
      </c>
      <c r="D163" s="157" t="s">
        <v>45</v>
      </c>
      <c r="E163" s="8">
        <v>2003</v>
      </c>
      <c r="F163" s="158">
        <f t="shared" si="35"/>
        <v>853</v>
      </c>
      <c r="G163" s="158">
        <f t="shared" si="40"/>
        <v>3</v>
      </c>
      <c r="H163" s="172">
        <v>36800</v>
      </c>
      <c r="I163" s="160">
        <v>443972</v>
      </c>
      <c r="J163" s="15">
        <v>0.64</v>
      </c>
      <c r="K163" s="15">
        <v>8.16</v>
      </c>
      <c r="L163" s="15">
        <v>4.5</v>
      </c>
      <c r="M163" s="174">
        <v>1</v>
      </c>
      <c r="O163" s="15">
        <v>0.06</v>
      </c>
      <c r="T163" s="161">
        <f t="shared" si="41"/>
        <v>3622811.52</v>
      </c>
      <c r="U163" s="161">
        <f t="shared" si="39"/>
        <v>1997874</v>
      </c>
      <c r="V163" s="161">
        <f t="shared" si="37"/>
        <v>26638.32</v>
      </c>
      <c r="W163" s="161">
        <f t="shared" si="38"/>
        <v>10655.328000000001</v>
      </c>
    </row>
    <row r="164" spans="1:23" ht="12.75" customHeight="1">
      <c r="A164" s="118">
        <v>163</v>
      </c>
      <c r="B164" s="128">
        <v>2</v>
      </c>
      <c r="C164" s="156">
        <v>37681</v>
      </c>
      <c r="D164" s="157" t="s">
        <v>46</v>
      </c>
      <c r="E164" s="8">
        <v>2003</v>
      </c>
      <c r="F164" s="158">
        <f t="shared" si="35"/>
        <v>881</v>
      </c>
      <c r="G164" s="158">
        <f t="shared" si="40"/>
        <v>3</v>
      </c>
      <c r="H164" s="172">
        <v>36800</v>
      </c>
      <c r="I164" s="160">
        <v>293723</v>
      </c>
      <c r="J164" s="15">
        <v>0.7</v>
      </c>
      <c r="K164" s="15">
        <v>10.77</v>
      </c>
      <c r="L164" s="15">
        <v>5.12</v>
      </c>
      <c r="M164" s="174">
        <v>2</v>
      </c>
      <c r="O164" s="15">
        <v>0.47</v>
      </c>
      <c r="P164" s="8">
        <v>1</v>
      </c>
      <c r="S164" s="155" t="s">
        <v>2</v>
      </c>
      <c r="T164" s="161">
        <f t="shared" si="41"/>
        <v>3163396.71</v>
      </c>
      <c r="U164" s="161">
        <f t="shared" si="39"/>
        <v>1503861.76</v>
      </c>
      <c r="V164" s="161">
        <f t="shared" si="37"/>
        <v>138049.81</v>
      </c>
      <c r="W164" s="161">
        <f t="shared" si="38"/>
        <v>55219.923999999999</v>
      </c>
    </row>
    <row r="165" spans="1:23" ht="12.75" customHeight="1">
      <c r="A165" s="118">
        <v>164</v>
      </c>
      <c r="B165" s="128">
        <v>2</v>
      </c>
      <c r="C165" s="156">
        <v>37712</v>
      </c>
      <c r="D165" s="157" t="s">
        <v>47</v>
      </c>
      <c r="E165" s="8">
        <v>2003</v>
      </c>
      <c r="F165" s="158">
        <f t="shared" si="35"/>
        <v>912</v>
      </c>
      <c r="G165" s="158">
        <f t="shared" si="40"/>
        <v>3</v>
      </c>
      <c r="H165" s="172">
        <v>36800</v>
      </c>
      <c r="I165" s="160">
        <v>292286</v>
      </c>
      <c r="J165" s="15">
        <v>0.51</v>
      </c>
      <c r="K165" s="15">
        <v>2.2599999999999998</v>
      </c>
      <c r="L165" s="15">
        <v>0.53</v>
      </c>
      <c r="M165" s="174">
        <v>0</v>
      </c>
      <c r="O165" s="15">
        <v>0.35</v>
      </c>
      <c r="T165" s="161">
        <f t="shared" si="41"/>
        <v>660566.36</v>
      </c>
      <c r="U165" s="161">
        <f t="shared" si="39"/>
        <v>154911.58000000002</v>
      </c>
      <c r="V165" s="161">
        <f t="shared" si="37"/>
        <v>102300.09999999999</v>
      </c>
      <c r="W165" s="161">
        <f t="shared" si="38"/>
        <v>40920.04</v>
      </c>
    </row>
    <row r="166" spans="1:23" ht="12.75" customHeight="1">
      <c r="A166" s="118">
        <v>165</v>
      </c>
      <c r="B166" s="128">
        <v>2</v>
      </c>
      <c r="C166" s="156">
        <v>37742</v>
      </c>
      <c r="D166" s="157" t="s">
        <v>48</v>
      </c>
      <c r="E166" s="8">
        <v>2003</v>
      </c>
      <c r="F166" s="158">
        <f t="shared" si="35"/>
        <v>942</v>
      </c>
      <c r="G166" s="158">
        <f t="shared" si="40"/>
        <v>3</v>
      </c>
      <c r="H166" s="172">
        <v>36800</v>
      </c>
      <c r="I166" s="218">
        <v>117624</v>
      </c>
      <c r="J166" s="15">
        <v>0</v>
      </c>
      <c r="K166" s="15">
        <v>0.4</v>
      </c>
      <c r="L166" s="15">
        <v>0</v>
      </c>
      <c r="M166" s="174">
        <v>0</v>
      </c>
      <c r="O166" s="15">
        <v>0.03</v>
      </c>
      <c r="Q166" s="11">
        <v>9.4</v>
      </c>
      <c r="R166" s="11">
        <v>31.55</v>
      </c>
      <c r="T166" s="161">
        <f t="shared" si="41"/>
        <v>47049.600000000006</v>
      </c>
      <c r="U166" s="161">
        <f t="shared" si="39"/>
        <v>0</v>
      </c>
      <c r="V166" s="161">
        <f t="shared" si="37"/>
        <v>3528.72</v>
      </c>
      <c r="W166" s="161">
        <f t="shared" si="38"/>
        <v>1411.4880000000001</v>
      </c>
    </row>
    <row r="167" spans="1:23" ht="12.75" customHeight="1">
      <c r="A167" s="118">
        <v>166</v>
      </c>
      <c r="B167" s="128">
        <v>2</v>
      </c>
      <c r="C167" s="156">
        <v>37773</v>
      </c>
      <c r="D167" s="157" t="s">
        <v>49</v>
      </c>
      <c r="E167" s="8">
        <v>2003</v>
      </c>
      <c r="F167" s="158">
        <f t="shared" si="35"/>
        <v>973</v>
      </c>
      <c r="G167" s="158">
        <f t="shared" si="40"/>
        <v>3</v>
      </c>
      <c r="H167" s="172">
        <v>36800</v>
      </c>
      <c r="I167" s="194">
        <v>34865</v>
      </c>
      <c r="J167" s="15">
        <v>0</v>
      </c>
      <c r="K167" s="15">
        <v>0.09</v>
      </c>
      <c r="L167" s="15">
        <v>0.03</v>
      </c>
      <c r="M167" s="174">
        <v>0</v>
      </c>
      <c r="O167" s="15">
        <v>1.03</v>
      </c>
      <c r="Q167" s="11">
        <v>10.64</v>
      </c>
      <c r="R167" s="11">
        <v>29.63</v>
      </c>
      <c r="T167" s="161">
        <f t="shared" si="41"/>
        <v>3137.85</v>
      </c>
      <c r="U167" s="161">
        <f t="shared" si="39"/>
        <v>1045.95</v>
      </c>
      <c r="V167" s="161">
        <f t="shared" si="37"/>
        <v>35910.950000000004</v>
      </c>
      <c r="W167" s="161">
        <f t="shared" si="38"/>
        <v>14364.380000000003</v>
      </c>
    </row>
    <row r="168" spans="1:23" ht="12.75" customHeight="1">
      <c r="A168" s="118">
        <v>167</v>
      </c>
      <c r="B168" s="128">
        <v>2</v>
      </c>
      <c r="C168" s="156">
        <v>37803</v>
      </c>
      <c r="D168" s="157" t="s">
        <v>50</v>
      </c>
      <c r="E168" s="8">
        <v>2003</v>
      </c>
      <c r="F168" s="158">
        <f t="shared" si="35"/>
        <v>1003</v>
      </c>
      <c r="G168" s="158">
        <f t="shared" si="40"/>
        <v>3</v>
      </c>
      <c r="H168" s="172">
        <v>36800</v>
      </c>
      <c r="I168" s="198">
        <v>20000</v>
      </c>
      <c r="J168" s="15">
        <v>0.05</v>
      </c>
      <c r="K168" s="15">
        <v>1</v>
      </c>
      <c r="L168" s="15">
        <v>0.05</v>
      </c>
      <c r="O168" s="15">
        <v>0.15</v>
      </c>
      <c r="Q168" s="11">
        <v>11.24</v>
      </c>
      <c r="R168" s="11">
        <v>27.32</v>
      </c>
      <c r="T168" s="161">
        <f t="shared" si="41"/>
        <v>20000</v>
      </c>
      <c r="U168" s="161">
        <f t="shared" si="39"/>
        <v>1000</v>
      </c>
      <c r="V168" s="161">
        <f t="shared" si="37"/>
        <v>3000</v>
      </c>
      <c r="W168" s="161">
        <f t="shared" si="38"/>
        <v>1200</v>
      </c>
    </row>
    <row r="169" spans="1:23" ht="12.75" customHeight="1">
      <c r="A169" s="118">
        <v>168</v>
      </c>
      <c r="B169" s="128">
        <v>2</v>
      </c>
      <c r="C169" s="156">
        <v>37834</v>
      </c>
      <c r="D169" s="157" t="s">
        <v>51</v>
      </c>
      <c r="E169" s="8">
        <v>2003</v>
      </c>
      <c r="F169" s="158">
        <f t="shared" si="35"/>
        <v>1034</v>
      </c>
      <c r="G169" s="158">
        <f t="shared" si="40"/>
        <v>3</v>
      </c>
      <c r="H169" s="172">
        <v>36800</v>
      </c>
      <c r="I169" s="198">
        <v>10000</v>
      </c>
      <c r="J169" s="173"/>
      <c r="K169" s="165">
        <f>(K168+K170)/2</f>
        <v>1.1499999999999999</v>
      </c>
      <c r="L169" s="165">
        <f>(L168+L170)/2</f>
        <v>2.5000000000000001E-2</v>
      </c>
      <c r="N169" s="528">
        <v>1</v>
      </c>
      <c r="O169" s="165">
        <f>(O168+O170)/2</f>
        <v>2.4500000000000002</v>
      </c>
      <c r="T169" s="161">
        <f t="shared" si="41"/>
        <v>11500</v>
      </c>
      <c r="U169" s="161">
        <f t="shared" si="39"/>
        <v>250</v>
      </c>
      <c r="V169" s="161">
        <f t="shared" si="37"/>
        <v>24500</v>
      </c>
      <c r="W169" s="161">
        <f t="shared" si="38"/>
        <v>9800</v>
      </c>
    </row>
    <row r="170" spans="1:23" ht="12.75" customHeight="1">
      <c r="A170" s="118">
        <v>169</v>
      </c>
      <c r="B170" s="128">
        <v>2</v>
      </c>
      <c r="C170" s="156">
        <v>37865</v>
      </c>
      <c r="D170" s="157" t="s">
        <v>52</v>
      </c>
      <c r="E170" s="8">
        <v>2003</v>
      </c>
      <c r="F170" s="158">
        <f t="shared" si="35"/>
        <v>1065</v>
      </c>
      <c r="G170" s="158">
        <f t="shared" si="40"/>
        <v>3</v>
      </c>
      <c r="H170" s="172">
        <v>36800</v>
      </c>
      <c r="I170" s="198">
        <v>5000</v>
      </c>
      <c r="J170" s="15">
        <v>1.5</v>
      </c>
      <c r="K170" s="15">
        <v>1.3</v>
      </c>
      <c r="L170" s="15">
        <v>0</v>
      </c>
      <c r="O170" s="15">
        <v>4.75</v>
      </c>
      <c r="Q170" s="11">
        <v>11.4</v>
      </c>
      <c r="R170" s="11">
        <v>28.1</v>
      </c>
      <c r="S170" s="155" t="s">
        <v>3</v>
      </c>
      <c r="T170" s="161">
        <f t="shared" si="41"/>
        <v>6500</v>
      </c>
      <c r="U170" s="161">
        <f t="shared" si="39"/>
        <v>0</v>
      </c>
      <c r="V170" s="161">
        <f t="shared" si="37"/>
        <v>23750</v>
      </c>
      <c r="W170" s="161">
        <f t="shared" si="38"/>
        <v>9500</v>
      </c>
    </row>
    <row r="171" spans="1:23" ht="14.25" customHeight="1">
      <c r="A171" s="118">
        <v>170</v>
      </c>
      <c r="B171" s="128">
        <v>2</v>
      </c>
      <c r="C171" s="156">
        <v>37895</v>
      </c>
      <c r="D171" s="157" t="s">
        <v>53</v>
      </c>
      <c r="E171" s="8">
        <v>2003</v>
      </c>
      <c r="F171" s="158"/>
      <c r="G171" s="158"/>
      <c r="H171" s="128"/>
      <c r="I171" s="194"/>
    </row>
    <row r="172" spans="1:23" ht="14.25" customHeight="1">
      <c r="A172" s="118">
        <v>171</v>
      </c>
      <c r="B172" s="128">
        <v>2</v>
      </c>
      <c r="C172" s="156">
        <v>37926</v>
      </c>
      <c r="D172" s="157" t="s">
        <v>54</v>
      </c>
      <c r="E172" s="8">
        <v>2003</v>
      </c>
      <c r="F172" s="158"/>
      <c r="H172" s="128"/>
      <c r="I172" s="194"/>
    </row>
    <row r="173" spans="1:23" ht="14.25" customHeight="1">
      <c r="A173" s="118">
        <v>172</v>
      </c>
      <c r="B173" s="128">
        <v>2</v>
      </c>
      <c r="C173" s="156">
        <v>37956</v>
      </c>
      <c r="D173" s="157" t="s">
        <v>55</v>
      </c>
      <c r="E173" s="8">
        <v>2003</v>
      </c>
      <c r="F173" s="158"/>
      <c r="H173" s="128"/>
      <c r="I173" s="194"/>
    </row>
    <row r="174" spans="1:23" ht="14.25" customHeight="1">
      <c r="A174" s="118">
        <v>173</v>
      </c>
      <c r="B174" s="128">
        <v>2</v>
      </c>
      <c r="C174" s="156">
        <v>37987</v>
      </c>
      <c r="D174" s="157" t="s">
        <v>44</v>
      </c>
      <c r="E174" s="8">
        <v>2004</v>
      </c>
      <c r="F174" s="158">
        <f t="shared" ref="F174:F192" si="42">C174-H174</f>
        <v>245</v>
      </c>
      <c r="G174" s="158">
        <f t="shared" ref="G174:G192" si="43">IF(F174&lt;365,1,2)</f>
        <v>1</v>
      </c>
      <c r="H174" s="172">
        <v>37742</v>
      </c>
      <c r="I174" s="194">
        <v>273325</v>
      </c>
      <c r="L174" s="165">
        <v>1.5</v>
      </c>
      <c r="N174" s="528" t="s">
        <v>446</v>
      </c>
      <c r="O174" s="165">
        <v>1.29</v>
      </c>
      <c r="S174" s="155" t="s">
        <v>288</v>
      </c>
      <c r="U174" s="161">
        <f t="shared" ref="U174:U192" si="44">$I174*L174</f>
        <v>409987.5</v>
      </c>
      <c r="V174" s="161">
        <f t="shared" ref="V174:V192" si="45">$I174*O174</f>
        <v>352589.25</v>
      </c>
      <c r="W174" s="161">
        <f t="shared" ref="W174:W192" si="46">V174*0.4</f>
        <v>141035.70000000001</v>
      </c>
    </row>
    <row r="175" spans="1:23" ht="14.25" customHeight="1">
      <c r="A175" s="118">
        <v>174</v>
      </c>
      <c r="B175" s="128">
        <v>2</v>
      </c>
      <c r="C175" s="156">
        <v>38018</v>
      </c>
      <c r="D175" s="157" t="s">
        <v>45</v>
      </c>
      <c r="E175" s="8">
        <v>2004</v>
      </c>
      <c r="F175" s="158">
        <f t="shared" si="42"/>
        <v>276</v>
      </c>
      <c r="G175" s="158">
        <f t="shared" si="43"/>
        <v>1</v>
      </c>
      <c r="H175" s="172">
        <v>37742</v>
      </c>
      <c r="I175" s="198">
        <v>260000</v>
      </c>
      <c r="L175" s="165">
        <v>1.5</v>
      </c>
      <c r="N175" s="528" t="s">
        <v>446</v>
      </c>
      <c r="O175" s="165">
        <v>0.7</v>
      </c>
      <c r="U175" s="161">
        <f t="shared" si="44"/>
        <v>390000</v>
      </c>
      <c r="V175" s="161">
        <f t="shared" si="45"/>
        <v>182000</v>
      </c>
      <c r="W175" s="161">
        <f t="shared" si="46"/>
        <v>72800</v>
      </c>
    </row>
    <row r="176" spans="1:23" ht="14.25" customHeight="1">
      <c r="A176" s="118">
        <v>175</v>
      </c>
      <c r="B176" s="128">
        <v>2</v>
      </c>
      <c r="C176" s="156">
        <v>38047</v>
      </c>
      <c r="D176" s="157" t="s">
        <v>46</v>
      </c>
      <c r="E176" s="8">
        <v>2004</v>
      </c>
      <c r="F176" s="158">
        <f t="shared" si="42"/>
        <v>305</v>
      </c>
      <c r="G176" s="158">
        <f t="shared" si="43"/>
        <v>1</v>
      </c>
      <c r="H176" s="162">
        <v>37742</v>
      </c>
      <c r="I176" s="194">
        <v>248827</v>
      </c>
      <c r="J176" s="15">
        <v>1.6</v>
      </c>
      <c r="K176" s="15">
        <v>3.6</v>
      </c>
      <c r="L176" s="15">
        <v>1</v>
      </c>
      <c r="O176" s="15">
        <v>0.1</v>
      </c>
      <c r="Q176" s="11">
        <v>7.35</v>
      </c>
      <c r="R176" s="11">
        <v>31.79</v>
      </c>
      <c r="T176" s="161">
        <f t="shared" ref="T176:T186" si="47">$I176*K176</f>
        <v>895777.20000000007</v>
      </c>
      <c r="U176" s="161">
        <f t="shared" si="44"/>
        <v>248827</v>
      </c>
      <c r="V176" s="161">
        <f t="shared" si="45"/>
        <v>24882.7</v>
      </c>
      <c r="W176" s="161">
        <f t="shared" si="46"/>
        <v>9953.0800000000017</v>
      </c>
    </row>
    <row r="177" spans="1:23" ht="14.25" customHeight="1">
      <c r="A177" s="118">
        <v>176</v>
      </c>
      <c r="B177" s="128">
        <v>2</v>
      </c>
      <c r="C177" s="156">
        <v>38078</v>
      </c>
      <c r="D177" s="157" t="s">
        <v>47</v>
      </c>
      <c r="E177" s="8">
        <v>2004</v>
      </c>
      <c r="F177" s="158">
        <f t="shared" si="42"/>
        <v>336</v>
      </c>
      <c r="G177" s="158">
        <f t="shared" si="43"/>
        <v>1</v>
      </c>
      <c r="H177" s="162">
        <v>37742</v>
      </c>
      <c r="I177" s="194">
        <v>248582</v>
      </c>
      <c r="J177" s="15">
        <v>3.82</v>
      </c>
      <c r="K177" s="15">
        <v>9.61</v>
      </c>
      <c r="L177" s="15">
        <v>1.81</v>
      </c>
      <c r="M177" s="174">
        <v>0</v>
      </c>
      <c r="O177" s="15">
        <v>0</v>
      </c>
      <c r="Q177" s="11">
        <v>8.4</v>
      </c>
      <c r="R177" s="11">
        <v>31</v>
      </c>
      <c r="T177" s="161">
        <f t="shared" si="47"/>
        <v>2388873.02</v>
      </c>
      <c r="U177" s="161">
        <f t="shared" si="44"/>
        <v>449933.42000000004</v>
      </c>
      <c r="V177" s="161">
        <f t="shared" si="45"/>
        <v>0</v>
      </c>
      <c r="W177" s="161">
        <f t="shared" si="46"/>
        <v>0</v>
      </c>
    </row>
    <row r="178" spans="1:23" ht="14.25" customHeight="1">
      <c r="A178" s="118">
        <v>177</v>
      </c>
      <c r="B178" s="128">
        <v>2</v>
      </c>
      <c r="C178" s="156">
        <v>38108</v>
      </c>
      <c r="D178" s="157" t="s">
        <v>48</v>
      </c>
      <c r="E178" s="8">
        <v>2004</v>
      </c>
      <c r="F178" s="158">
        <f t="shared" si="42"/>
        <v>366</v>
      </c>
      <c r="G178" s="158">
        <f t="shared" si="43"/>
        <v>2</v>
      </c>
      <c r="H178" s="162">
        <v>37742</v>
      </c>
      <c r="I178" s="194">
        <v>402222</v>
      </c>
      <c r="J178" s="15">
        <v>3.8</v>
      </c>
      <c r="K178" s="15">
        <v>16</v>
      </c>
      <c r="L178" s="15">
        <v>7.3</v>
      </c>
      <c r="M178" s="174">
        <v>2</v>
      </c>
      <c r="O178" s="15">
        <v>0</v>
      </c>
      <c r="P178" s="8">
        <v>1</v>
      </c>
      <c r="Q178" s="11">
        <v>9.4600000000000009</v>
      </c>
      <c r="R178" s="11">
        <v>29.28</v>
      </c>
      <c r="S178" s="180"/>
      <c r="T178" s="161">
        <f t="shared" si="47"/>
        <v>6435552</v>
      </c>
      <c r="U178" s="161">
        <f t="shared" si="44"/>
        <v>2936220.6</v>
      </c>
      <c r="V178" s="161">
        <f t="shared" si="45"/>
        <v>0</v>
      </c>
      <c r="W178" s="161">
        <f t="shared" si="46"/>
        <v>0</v>
      </c>
    </row>
    <row r="179" spans="1:23" ht="14.25" customHeight="1">
      <c r="A179" s="118">
        <v>178</v>
      </c>
      <c r="B179" s="128">
        <v>2</v>
      </c>
      <c r="C179" s="156">
        <v>38139</v>
      </c>
      <c r="D179" s="157" t="s">
        <v>49</v>
      </c>
      <c r="E179" s="8">
        <v>2004</v>
      </c>
      <c r="F179" s="158">
        <f t="shared" si="42"/>
        <v>397</v>
      </c>
      <c r="G179" s="158">
        <f t="shared" si="43"/>
        <v>2</v>
      </c>
      <c r="H179" s="162">
        <v>37742</v>
      </c>
      <c r="I179" s="194">
        <v>401686</v>
      </c>
      <c r="J179" s="15">
        <v>0.75</v>
      </c>
      <c r="K179" s="15">
        <v>3.7</v>
      </c>
      <c r="L179" s="15">
        <v>1.6</v>
      </c>
      <c r="M179" s="174">
        <v>0</v>
      </c>
      <c r="O179" s="15">
        <v>0</v>
      </c>
      <c r="P179" s="127"/>
      <c r="Q179" s="11">
        <v>10.18</v>
      </c>
      <c r="R179" s="11">
        <v>28.58</v>
      </c>
      <c r="T179" s="161">
        <f t="shared" si="47"/>
        <v>1486238.2000000002</v>
      </c>
      <c r="U179" s="161">
        <f t="shared" si="44"/>
        <v>642697.60000000009</v>
      </c>
      <c r="V179" s="161">
        <f t="shared" si="45"/>
        <v>0</v>
      </c>
      <c r="W179" s="161">
        <f t="shared" si="46"/>
        <v>0</v>
      </c>
    </row>
    <row r="180" spans="1:23" ht="14.25" customHeight="1">
      <c r="A180" s="118">
        <v>179</v>
      </c>
      <c r="B180" s="128">
        <v>2</v>
      </c>
      <c r="C180" s="156">
        <v>38169</v>
      </c>
      <c r="D180" s="157" t="s">
        <v>50</v>
      </c>
      <c r="E180" s="8">
        <v>2004</v>
      </c>
      <c r="F180" s="158">
        <f t="shared" si="42"/>
        <v>427</v>
      </c>
      <c r="G180" s="158">
        <f t="shared" si="43"/>
        <v>2</v>
      </c>
      <c r="H180" s="162">
        <v>37742</v>
      </c>
      <c r="I180" s="194">
        <v>401166</v>
      </c>
      <c r="J180" s="15">
        <v>0</v>
      </c>
      <c r="K180" s="15">
        <v>0.8</v>
      </c>
      <c r="L180" s="15">
        <v>0.3</v>
      </c>
      <c r="M180" s="174">
        <v>0</v>
      </c>
      <c r="O180" s="15">
        <v>0</v>
      </c>
      <c r="Q180" s="11">
        <v>11.25</v>
      </c>
      <c r="R180" s="11">
        <v>28.25</v>
      </c>
      <c r="T180" s="161">
        <f t="shared" si="47"/>
        <v>320932.80000000005</v>
      </c>
      <c r="U180" s="161">
        <f t="shared" si="44"/>
        <v>120349.79999999999</v>
      </c>
      <c r="V180" s="161">
        <f t="shared" si="45"/>
        <v>0</v>
      </c>
      <c r="W180" s="161">
        <f t="shared" si="46"/>
        <v>0</v>
      </c>
    </row>
    <row r="181" spans="1:23" ht="14.25" customHeight="1">
      <c r="A181" s="118">
        <v>180</v>
      </c>
      <c r="B181" s="128">
        <v>2</v>
      </c>
      <c r="C181" s="156">
        <v>38200</v>
      </c>
      <c r="D181" s="157" t="s">
        <v>51</v>
      </c>
      <c r="E181" s="8">
        <v>2004</v>
      </c>
      <c r="F181" s="158">
        <f t="shared" si="42"/>
        <v>458</v>
      </c>
      <c r="G181" s="158">
        <f t="shared" si="43"/>
        <v>2</v>
      </c>
      <c r="H181" s="162">
        <v>37742</v>
      </c>
      <c r="I181" s="198">
        <v>400000</v>
      </c>
      <c r="J181" s="15">
        <v>0.12</v>
      </c>
      <c r="K181" s="15">
        <v>0.6</v>
      </c>
      <c r="L181" s="15">
        <v>0.12</v>
      </c>
      <c r="M181" s="174">
        <v>2</v>
      </c>
      <c r="O181" s="15">
        <v>0</v>
      </c>
      <c r="Q181" s="11">
        <v>11.38</v>
      </c>
      <c r="R181" s="11">
        <v>27.77</v>
      </c>
      <c r="T181" s="161">
        <f t="shared" si="47"/>
        <v>240000</v>
      </c>
      <c r="U181" s="161">
        <f t="shared" si="44"/>
        <v>48000</v>
      </c>
      <c r="V181" s="161">
        <f t="shared" si="45"/>
        <v>0</v>
      </c>
      <c r="W181" s="161">
        <f t="shared" si="46"/>
        <v>0</v>
      </c>
    </row>
    <row r="182" spans="1:23" ht="14.25" customHeight="1">
      <c r="A182" s="118">
        <v>181</v>
      </c>
      <c r="B182" s="128">
        <v>2</v>
      </c>
      <c r="C182" s="156">
        <v>38231</v>
      </c>
      <c r="D182" s="157" t="s">
        <v>52</v>
      </c>
      <c r="E182" s="8">
        <v>2004</v>
      </c>
      <c r="F182" s="158">
        <f t="shared" si="42"/>
        <v>489</v>
      </c>
      <c r="G182" s="158">
        <f t="shared" si="43"/>
        <v>2</v>
      </c>
      <c r="H182" s="162">
        <v>37742</v>
      </c>
      <c r="I182" s="198">
        <v>399000</v>
      </c>
      <c r="J182" s="15">
        <v>0.5</v>
      </c>
      <c r="K182" s="15">
        <v>2.2000000000000002</v>
      </c>
      <c r="L182" s="15">
        <v>0.6</v>
      </c>
      <c r="M182" s="174">
        <v>0</v>
      </c>
      <c r="O182" s="15">
        <v>0</v>
      </c>
      <c r="Q182" s="11">
        <v>10.63</v>
      </c>
      <c r="R182" s="11">
        <v>26.1</v>
      </c>
      <c r="T182" s="161">
        <f t="shared" si="47"/>
        <v>877800.00000000012</v>
      </c>
      <c r="U182" s="161">
        <f t="shared" si="44"/>
        <v>239400</v>
      </c>
      <c r="V182" s="161">
        <f t="shared" si="45"/>
        <v>0</v>
      </c>
      <c r="W182" s="161">
        <f t="shared" si="46"/>
        <v>0</v>
      </c>
    </row>
    <row r="183" spans="1:23" ht="14.25" customHeight="1">
      <c r="A183" s="118">
        <v>182</v>
      </c>
      <c r="B183" s="128">
        <v>2</v>
      </c>
      <c r="C183" s="156">
        <v>38261</v>
      </c>
      <c r="D183" s="157" t="s">
        <v>53</v>
      </c>
      <c r="E183" s="8">
        <v>2004</v>
      </c>
      <c r="F183" s="158">
        <f t="shared" si="42"/>
        <v>519</v>
      </c>
      <c r="G183" s="158">
        <f t="shared" si="43"/>
        <v>2</v>
      </c>
      <c r="H183" s="162">
        <v>37742</v>
      </c>
      <c r="I183" s="198">
        <v>398000</v>
      </c>
      <c r="J183" s="15">
        <v>1.65</v>
      </c>
      <c r="K183" s="15">
        <v>2.64</v>
      </c>
      <c r="L183" s="15">
        <v>1.51</v>
      </c>
      <c r="M183" s="174">
        <v>0</v>
      </c>
      <c r="O183" s="15">
        <v>0</v>
      </c>
      <c r="Q183" s="11">
        <v>9.6</v>
      </c>
      <c r="R183" s="11">
        <v>28.7</v>
      </c>
      <c r="T183" s="161">
        <f t="shared" si="47"/>
        <v>1050720</v>
      </c>
      <c r="U183" s="161">
        <f t="shared" si="44"/>
        <v>600980</v>
      </c>
      <c r="V183" s="161">
        <f t="shared" si="45"/>
        <v>0</v>
      </c>
      <c r="W183" s="161">
        <f t="shared" si="46"/>
        <v>0</v>
      </c>
    </row>
    <row r="184" spans="1:23" ht="14.25" customHeight="1">
      <c r="A184" s="118">
        <v>183</v>
      </c>
      <c r="B184" s="128">
        <v>2</v>
      </c>
      <c r="C184" s="156">
        <v>38292</v>
      </c>
      <c r="D184" s="157" t="s">
        <v>54</v>
      </c>
      <c r="E184" s="8">
        <v>2004</v>
      </c>
      <c r="F184" s="158">
        <f t="shared" si="42"/>
        <v>550</v>
      </c>
      <c r="G184" s="158">
        <f t="shared" si="43"/>
        <v>2</v>
      </c>
      <c r="H184" s="162">
        <v>37742</v>
      </c>
      <c r="I184" s="198">
        <v>397000</v>
      </c>
      <c r="J184" s="15">
        <v>2.75</v>
      </c>
      <c r="K184" s="15">
        <v>7.21</v>
      </c>
      <c r="L184" s="15">
        <v>3.6</v>
      </c>
      <c r="M184" s="174">
        <v>0</v>
      </c>
      <c r="O184" s="15">
        <v>0.19</v>
      </c>
      <c r="Q184" s="11">
        <v>8.11</v>
      </c>
      <c r="R184" s="11">
        <v>25.78</v>
      </c>
      <c r="T184" s="161">
        <f t="shared" si="47"/>
        <v>2862370</v>
      </c>
      <c r="U184" s="161">
        <f t="shared" si="44"/>
        <v>1429200</v>
      </c>
      <c r="V184" s="161">
        <f t="shared" si="45"/>
        <v>75430</v>
      </c>
      <c r="W184" s="161">
        <f t="shared" si="46"/>
        <v>30172</v>
      </c>
    </row>
    <row r="185" spans="1:23" ht="12.75" customHeight="1">
      <c r="A185" s="118">
        <v>184</v>
      </c>
      <c r="B185" s="128">
        <v>2</v>
      </c>
      <c r="C185" s="156">
        <v>38322</v>
      </c>
      <c r="D185" s="157" t="s">
        <v>55</v>
      </c>
      <c r="E185" s="8">
        <v>2004</v>
      </c>
      <c r="F185" s="158">
        <f t="shared" si="42"/>
        <v>580</v>
      </c>
      <c r="G185" s="158">
        <f t="shared" si="43"/>
        <v>2</v>
      </c>
      <c r="H185" s="162">
        <v>37742</v>
      </c>
      <c r="I185" s="198">
        <v>396000</v>
      </c>
      <c r="J185" s="15">
        <v>0</v>
      </c>
      <c r="K185" s="15">
        <v>9.93</v>
      </c>
      <c r="L185" s="15">
        <v>5.87</v>
      </c>
      <c r="M185" s="174">
        <v>0</v>
      </c>
      <c r="O185" s="15">
        <v>1.52</v>
      </c>
      <c r="Q185" s="11">
        <v>7</v>
      </c>
      <c r="R185" s="11">
        <v>27</v>
      </c>
      <c r="T185" s="161">
        <f t="shared" si="47"/>
        <v>3932280</v>
      </c>
      <c r="U185" s="161">
        <f t="shared" si="44"/>
        <v>2324520</v>
      </c>
      <c r="V185" s="161">
        <f t="shared" si="45"/>
        <v>601920</v>
      </c>
      <c r="W185" s="161">
        <f t="shared" si="46"/>
        <v>240768</v>
      </c>
    </row>
    <row r="186" spans="1:23" ht="12.75" customHeight="1">
      <c r="A186" s="118">
        <v>185</v>
      </c>
      <c r="B186" s="128">
        <v>2</v>
      </c>
      <c r="C186" s="181">
        <v>38353</v>
      </c>
      <c r="D186" s="157" t="s">
        <v>44</v>
      </c>
      <c r="E186" s="8">
        <v>2005</v>
      </c>
      <c r="F186" s="158">
        <f t="shared" si="42"/>
        <v>611</v>
      </c>
      <c r="G186" s="158">
        <f t="shared" si="43"/>
        <v>2</v>
      </c>
      <c r="H186" s="172">
        <v>37742</v>
      </c>
      <c r="I186" s="248">
        <v>300000</v>
      </c>
      <c r="J186" s="173">
        <v>0.23</v>
      </c>
      <c r="K186" s="173">
        <v>9.93</v>
      </c>
      <c r="L186" s="173">
        <v>6.05</v>
      </c>
      <c r="O186" s="173">
        <v>0.33</v>
      </c>
      <c r="P186" s="170"/>
      <c r="Q186" s="128">
        <v>7</v>
      </c>
      <c r="R186" s="128">
        <v>26</v>
      </c>
      <c r="S186" s="180" t="s">
        <v>2</v>
      </c>
      <c r="T186" s="161">
        <f t="shared" si="47"/>
        <v>2979000</v>
      </c>
      <c r="U186" s="161">
        <f t="shared" si="44"/>
        <v>1815000</v>
      </c>
      <c r="V186" s="161">
        <f t="shared" si="45"/>
        <v>99000</v>
      </c>
      <c r="W186" s="161">
        <f t="shared" si="46"/>
        <v>39600</v>
      </c>
    </row>
    <row r="187" spans="1:23" ht="12.75" customHeight="1">
      <c r="A187" s="118">
        <v>186</v>
      </c>
      <c r="B187" s="128">
        <v>2</v>
      </c>
      <c r="C187" s="181">
        <v>38384</v>
      </c>
      <c r="D187" s="157" t="s">
        <v>45</v>
      </c>
      <c r="E187" s="8">
        <v>2005</v>
      </c>
      <c r="F187" s="158">
        <f t="shared" si="42"/>
        <v>642</v>
      </c>
      <c r="G187" s="158">
        <f t="shared" si="43"/>
        <v>2</v>
      </c>
      <c r="H187" s="172">
        <v>37742</v>
      </c>
      <c r="I187" s="248">
        <v>200000</v>
      </c>
      <c r="J187" s="173"/>
      <c r="K187" s="173"/>
      <c r="L187" s="165">
        <v>8</v>
      </c>
      <c r="N187" s="528" t="s">
        <v>795</v>
      </c>
      <c r="O187" s="165">
        <v>0.4</v>
      </c>
      <c r="P187" s="170"/>
      <c r="Q187" s="128"/>
      <c r="R187" s="128"/>
      <c r="S187" s="180"/>
      <c r="T187" s="173"/>
      <c r="U187" s="171">
        <f t="shared" si="44"/>
        <v>1600000</v>
      </c>
      <c r="V187" s="171">
        <f t="shared" si="45"/>
        <v>80000</v>
      </c>
      <c r="W187" s="161">
        <f t="shared" si="46"/>
        <v>32000</v>
      </c>
    </row>
    <row r="188" spans="1:23" ht="12.75" customHeight="1">
      <c r="A188" s="118">
        <v>187</v>
      </c>
      <c r="B188" s="128">
        <v>2</v>
      </c>
      <c r="C188" s="181">
        <v>38412</v>
      </c>
      <c r="D188" s="157" t="s">
        <v>46</v>
      </c>
      <c r="E188" s="8">
        <v>2005</v>
      </c>
      <c r="F188" s="158">
        <f t="shared" si="42"/>
        <v>670</v>
      </c>
      <c r="G188" s="158">
        <f t="shared" si="43"/>
        <v>2</v>
      </c>
      <c r="H188" s="172">
        <v>37742</v>
      </c>
      <c r="I188" s="248">
        <v>100000</v>
      </c>
      <c r="J188" s="173"/>
      <c r="K188" s="173"/>
      <c r="L188" s="165">
        <v>10</v>
      </c>
      <c r="N188" s="528" t="s">
        <v>795</v>
      </c>
      <c r="O188" s="165">
        <v>0.5</v>
      </c>
      <c r="P188" s="170"/>
      <c r="Q188" s="128"/>
      <c r="R188" s="128"/>
      <c r="S188" s="238" t="s">
        <v>10</v>
      </c>
      <c r="T188" s="173"/>
      <c r="U188" s="171">
        <f t="shared" si="44"/>
        <v>1000000</v>
      </c>
      <c r="V188" s="171">
        <f t="shared" si="45"/>
        <v>50000</v>
      </c>
      <c r="W188" s="161">
        <f t="shared" si="46"/>
        <v>20000</v>
      </c>
    </row>
    <row r="189" spans="1:23" ht="12.75" customHeight="1">
      <c r="A189" s="118">
        <v>188</v>
      </c>
      <c r="B189" s="128">
        <v>2</v>
      </c>
      <c r="C189" s="181">
        <v>38443</v>
      </c>
      <c r="D189" s="157" t="s">
        <v>47</v>
      </c>
      <c r="E189" s="8">
        <v>2005</v>
      </c>
      <c r="F189" s="158">
        <f t="shared" si="42"/>
        <v>701</v>
      </c>
      <c r="G189" s="158">
        <f t="shared" si="43"/>
        <v>2</v>
      </c>
      <c r="H189" s="172">
        <v>37742</v>
      </c>
      <c r="I189" s="248">
        <v>80000</v>
      </c>
      <c r="J189" s="173"/>
      <c r="K189" s="173"/>
      <c r="L189" s="165">
        <v>12</v>
      </c>
      <c r="N189" s="528" t="s">
        <v>795</v>
      </c>
      <c r="O189" s="165">
        <v>0.6</v>
      </c>
      <c r="P189" s="170"/>
      <c r="Q189" s="128"/>
      <c r="R189" s="128"/>
      <c r="S189" s="238" t="s">
        <v>10</v>
      </c>
      <c r="T189" s="173"/>
      <c r="U189" s="171">
        <f t="shared" si="44"/>
        <v>960000</v>
      </c>
      <c r="V189" s="171">
        <f t="shared" si="45"/>
        <v>48000</v>
      </c>
      <c r="W189" s="161">
        <f t="shared" si="46"/>
        <v>19200</v>
      </c>
    </row>
    <row r="190" spans="1:23" ht="12.75" customHeight="1">
      <c r="A190" s="118">
        <v>189</v>
      </c>
      <c r="B190" s="128">
        <v>2</v>
      </c>
      <c r="C190" s="181">
        <v>38473</v>
      </c>
      <c r="D190" s="157" t="s">
        <v>48</v>
      </c>
      <c r="E190" s="8">
        <v>2005</v>
      </c>
      <c r="F190" s="158">
        <f t="shared" si="42"/>
        <v>731</v>
      </c>
      <c r="G190" s="158">
        <f t="shared" si="43"/>
        <v>2</v>
      </c>
      <c r="H190" s="172">
        <v>37742</v>
      </c>
      <c r="I190" s="248">
        <v>60000</v>
      </c>
      <c r="J190" s="173"/>
      <c r="K190" s="173"/>
      <c r="L190" s="165">
        <v>13</v>
      </c>
      <c r="N190" s="528" t="s">
        <v>795</v>
      </c>
      <c r="O190" s="165">
        <v>0.7</v>
      </c>
      <c r="P190" s="170"/>
      <c r="Q190" s="128"/>
      <c r="R190" s="128"/>
      <c r="S190" s="238" t="s">
        <v>10</v>
      </c>
      <c r="T190" s="173"/>
      <c r="U190" s="171">
        <f t="shared" si="44"/>
        <v>780000</v>
      </c>
      <c r="V190" s="171">
        <f t="shared" si="45"/>
        <v>42000</v>
      </c>
      <c r="W190" s="161">
        <f t="shared" si="46"/>
        <v>16800</v>
      </c>
    </row>
    <row r="191" spans="1:23" ht="12.75" customHeight="1">
      <c r="A191" s="118">
        <v>190</v>
      </c>
      <c r="B191" s="128">
        <v>2</v>
      </c>
      <c r="C191" s="181">
        <v>38504</v>
      </c>
      <c r="D191" s="157" t="s">
        <v>49</v>
      </c>
      <c r="E191" s="8">
        <v>2005</v>
      </c>
      <c r="F191" s="158">
        <f t="shared" si="42"/>
        <v>762</v>
      </c>
      <c r="G191" s="158">
        <f t="shared" si="43"/>
        <v>2</v>
      </c>
      <c r="H191" s="172">
        <v>37742</v>
      </c>
      <c r="I191" s="248">
        <v>40000</v>
      </c>
      <c r="J191" s="173"/>
      <c r="K191" s="173"/>
      <c r="L191" s="165">
        <v>14</v>
      </c>
      <c r="N191" s="528" t="s">
        <v>795</v>
      </c>
      <c r="O191" s="165">
        <v>0.8</v>
      </c>
      <c r="P191" s="170"/>
      <c r="Q191" s="128"/>
      <c r="R191" s="128"/>
      <c r="S191" s="238" t="s">
        <v>10</v>
      </c>
      <c r="T191" s="173"/>
      <c r="U191" s="171">
        <f t="shared" si="44"/>
        <v>560000</v>
      </c>
      <c r="V191" s="171">
        <f t="shared" si="45"/>
        <v>32000</v>
      </c>
      <c r="W191" s="161">
        <f t="shared" si="46"/>
        <v>12800</v>
      </c>
    </row>
    <row r="192" spans="1:23" ht="12.75" customHeight="1">
      <c r="A192" s="118">
        <v>191</v>
      </c>
      <c r="B192" s="128">
        <v>2</v>
      </c>
      <c r="C192" s="181">
        <v>38534</v>
      </c>
      <c r="D192" s="157" t="s">
        <v>50</v>
      </c>
      <c r="E192" s="8">
        <v>2005</v>
      </c>
      <c r="F192" s="158">
        <f t="shared" si="42"/>
        <v>792</v>
      </c>
      <c r="G192" s="158">
        <f t="shared" si="43"/>
        <v>2</v>
      </c>
      <c r="H192" s="172">
        <v>37742</v>
      </c>
      <c r="I192" s="248">
        <v>20000</v>
      </c>
      <c r="J192" s="173"/>
      <c r="K192" s="173"/>
      <c r="L192" s="165">
        <v>15</v>
      </c>
      <c r="N192" s="528" t="s">
        <v>795</v>
      </c>
      <c r="O192" s="165">
        <v>0.9</v>
      </c>
      <c r="P192" s="170"/>
      <c r="Q192" s="128"/>
      <c r="R192" s="128"/>
      <c r="S192" s="238" t="s">
        <v>10</v>
      </c>
      <c r="T192" s="173"/>
      <c r="U192" s="171">
        <f t="shared" si="44"/>
        <v>300000</v>
      </c>
      <c r="V192" s="171">
        <f t="shared" si="45"/>
        <v>18000</v>
      </c>
      <c r="W192" s="161">
        <f t="shared" si="46"/>
        <v>7200</v>
      </c>
    </row>
    <row r="193" spans="1:23" ht="12.75" customHeight="1">
      <c r="A193" s="118">
        <v>192</v>
      </c>
      <c r="B193" s="128">
        <v>2</v>
      </c>
      <c r="C193" s="181">
        <v>38565</v>
      </c>
      <c r="D193" s="157" t="s">
        <v>51</v>
      </c>
      <c r="E193" s="8">
        <v>2005</v>
      </c>
      <c r="F193" s="158"/>
      <c r="G193" s="128"/>
      <c r="H193" s="172"/>
      <c r="I193" s="194"/>
      <c r="J193" s="173"/>
      <c r="K193" s="173"/>
      <c r="L193" s="173"/>
      <c r="O193" s="173"/>
      <c r="P193" s="170"/>
      <c r="Q193" s="128"/>
      <c r="R193" s="128"/>
      <c r="S193" s="180"/>
      <c r="T193" s="173"/>
      <c r="U193" s="171"/>
      <c r="V193" s="173"/>
      <c r="W193" s="173"/>
    </row>
    <row r="194" spans="1:23" ht="12.75" customHeight="1">
      <c r="A194" s="118">
        <v>193</v>
      </c>
      <c r="B194" s="128">
        <v>2</v>
      </c>
      <c r="C194" s="181">
        <v>38596</v>
      </c>
      <c r="D194" s="157" t="s">
        <v>52</v>
      </c>
      <c r="E194" s="8">
        <v>2005</v>
      </c>
      <c r="F194" s="158"/>
      <c r="G194" s="128"/>
      <c r="H194" s="172"/>
      <c r="I194" s="194"/>
      <c r="J194" s="173"/>
      <c r="K194" s="173"/>
      <c r="L194" s="173"/>
      <c r="O194" s="173"/>
      <c r="P194" s="170"/>
      <c r="Q194" s="128"/>
      <c r="R194" s="128"/>
      <c r="S194" s="180"/>
      <c r="T194" s="173"/>
      <c r="U194" s="171"/>
      <c r="V194" s="173"/>
      <c r="W194" s="173"/>
    </row>
    <row r="195" spans="1:23" ht="12.75" customHeight="1">
      <c r="A195" s="118">
        <v>194</v>
      </c>
      <c r="B195" s="128">
        <v>2</v>
      </c>
      <c r="C195" s="181">
        <v>38626</v>
      </c>
      <c r="D195" s="157" t="s">
        <v>53</v>
      </c>
      <c r="E195" s="8">
        <v>2005</v>
      </c>
      <c r="F195" s="158"/>
      <c r="G195" s="128"/>
      <c r="H195" s="172"/>
      <c r="I195" s="194"/>
      <c r="J195" s="173"/>
      <c r="K195" s="173"/>
      <c r="L195" s="173"/>
      <c r="O195" s="173"/>
      <c r="P195" s="170"/>
      <c r="Q195" s="128"/>
      <c r="R195" s="128"/>
      <c r="S195" s="180"/>
      <c r="T195" s="173"/>
      <c r="U195" s="171"/>
      <c r="V195" s="173"/>
      <c r="W195" s="173"/>
    </row>
    <row r="196" spans="1:23" ht="12.75" customHeight="1">
      <c r="A196" s="118">
        <v>195</v>
      </c>
      <c r="B196" s="128">
        <v>2</v>
      </c>
      <c r="C196" s="156">
        <v>38657</v>
      </c>
      <c r="D196" s="157" t="s">
        <v>54</v>
      </c>
      <c r="E196" s="8">
        <v>2005</v>
      </c>
      <c r="F196" s="158"/>
      <c r="H196" s="162"/>
      <c r="I196" s="194"/>
    </row>
    <row r="197" spans="1:23" ht="12.75" customHeight="1">
      <c r="A197" s="118">
        <v>196</v>
      </c>
      <c r="B197" s="128">
        <v>2</v>
      </c>
      <c r="C197" s="156">
        <v>38687</v>
      </c>
      <c r="D197" s="157" t="s">
        <v>55</v>
      </c>
      <c r="E197" s="8">
        <v>2005</v>
      </c>
      <c r="F197" s="158"/>
      <c r="H197" s="162"/>
      <c r="I197" s="194"/>
    </row>
    <row r="198" spans="1:23" ht="12.75" customHeight="1">
      <c r="A198" s="118">
        <v>197</v>
      </c>
      <c r="B198" s="128">
        <v>2</v>
      </c>
      <c r="C198" s="156">
        <v>38718</v>
      </c>
      <c r="D198" s="157" t="s">
        <v>44</v>
      </c>
      <c r="E198" s="8">
        <v>2006</v>
      </c>
      <c r="F198" s="158"/>
      <c r="H198" s="162"/>
      <c r="I198" s="194"/>
    </row>
    <row r="199" spans="1:23" ht="12.75" customHeight="1">
      <c r="A199" s="118">
        <v>198</v>
      </c>
      <c r="B199" s="128">
        <v>2</v>
      </c>
      <c r="C199" s="156">
        <v>38749</v>
      </c>
      <c r="D199" s="157" t="s">
        <v>45</v>
      </c>
      <c r="E199" s="8">
        <v>2006</v>
      </c>
      <c r="F199" s="158">
        <f t="shared" ref="F199:F207" si="48">C199-H199</f>
        <v>365</v>
      </c>
      <c r="G199" s="158">
        <f t="shared" ref="G199:G207" si="49">IF(F199&lt;365,1,2)</f>
        <v>2</v>
      </c>
      <c r="H199" s="162">
        <v>38384</v>
      </c>
      <c r="I199" s="194"/>
    </row>
    <row r="200" spans="1:23" ht="12.75" customHeight="1">
      <c r="A200" s="118">
        <v>199</v>
      </c>
      <c r="B200" s="128">
        <v>2</v>
      </c>
      <c r="C200" s="156">
        <v>38777</v>
      </c>
      <c r="D200" s="157" t="s">
        <v>46</v>
      </c>
      <c r="E200" s="8">
        <v>2006</v>
      </c>
      <c r="F200" s="158">
        <f t="shared" si="48"/>
        <v>393</v>
      </c>
      <c r="G200" s="158">
        <f t="shared" si="49"/>
        <v>2</v>
      </c>
      <c r="H200" s="162">
        <v>38384</v>
      </c>
      <c r="I200" s="194">
        <v>200270</v>
      </c>
      <c r="J200" s="15">
        <v>0.05</v>
      </c>
      <c r="K200" s="15">
        <v>0.03</v>
      </c>
      <c r="L200" s="15">
        <v>0.03</v>
      </c>
      <c r="O200" s="15">
        <v>0</v>
      </c>
      <c r="Q200" s="11">
        <v>7</v>
      </c>
      <c r="R200" s="11">
        <v>31</v>
      </c>
      <c r="S200" s="155" t="s">
        <v>5</v>
      </c>
      <c r="T200" s="161">
        <f t="shared" ref="T200:U206" si="50">$I200*K200</f>
        <v>6008.0999999999995</v>
      </c>
      <c r="U200" s="161">
        <f t="shared" si="50"/>
        <v>6008.0999999999995</v>
      </c>
      <c r="V200" s="161">
        <f t="shared" ref="V200:V207" si="51">$I200*O200</f>
        <v>0</v>
      </c>
      <c r="W200" s="161">
        <f t="shared" ref="W200:W207" si="52">V200*0.4</f>
        <v>0</v>
      </c>
    </row>
    <row r="201" spans="1:23" ht="12.75" customHeight="1">
      <c r="A201" s="118">
        <v>200</v>
      </c>
      <c r="B201" s="128">
        <v>2</v>
      </c>
      <c r="C201" s="156">
        <v>38808</v>
      </c>
      <c r="D201" s="157" t="s">
        <v>47</v>
      </c>
      <c r="E201" s="8">
        <v>2006</v>
      </c>
      <c r="F201" s="158">
        <f t="shared" si="48"/>
        <v>424</v>
      </c>
      <c r="G201" s="158">
        <f t="shared" si="49"/>
        <v>2</v>
      </c>
      <c r="H201" s="162">
        <v>38384</v>
      </c>
      <c r="I201" s="194">
        <v>200145</v>
      </c>
      <c r="J201" s="15">
        <v>2.0499999999999998</v>
      </c>
      <c r="K201" s="15">
        <v>0.57999999999999996</v>
      </c>
      <c r="L201" s="15">
        <v>0.02</v>
      </c>
      <c r="M201" s="174">
        <v>0</v>
      </c>
      <c r="O201" s="15">
        <v>0.57999999999999996</v>
      </c>
      <c r="Q201" s="11">
        <v>8</v>
      </c>
      <c r="R201" s="11">
        <v>31</v>
      </c>
      <c r="T201" s="161">
        <f t="shared" si="50"/>
        <v>116084.09999999999</v>
      </c>
      <c r="U201" s="161">
        <f t="shared" si="50"/>
        <v>4002.9</v>
      </c>
      <c r="V201" s="161">
        <f t="shared" si="51"/>
        <v>116084.09999999999</v>
      </c>
      <c r="W201" s="161">
        <f t="shared" si="52"/>
        <v>46433.64</v>
      </c>
    </row>
    <row r="202" spans="1:23" ht="12.75" customHeight="1">
      <c r="A202" s="118">
        <v>201</v>
      </c>
      <c r="B202" s="128">
        <v>2</v>
      </c>
      <c r="C202" s="156">
        <v>38838</v>
      </c>
      <c r="D202" s="157" t="s">
        <v>48</v>
      </c>
      <c r="E202" s="8">
        <v>2006</v>
      </c>
      <c r="F202" s="158">
        <f t="shared" si="48"/>
        <v>454</v>
      </c>
      <c r="G202" s="158">
        <f t="shared" si="49"/>
        <v>2</v>
      </c>
      <c r="H202" s="162">
        <v>38384</v>
      </c>
      <c r="I202" s="194">
        <v>199936</v>
      </c>
      <c r="J202" s="15">
        <v>0</v>
      </c>
      <c r="K202" s="15">
        <v>4.9800000000000004</v>
      </c>
      <c r="L202" s="15">
        <v>2.35</v>
      </c>
      <c r="M202" s="174">
        <v>2</v>
      </c>
      <c r="O202" s="15">
        <v>1.22</v>
      </c>
      <c r="P202" s="8">
        <v>1</v>
      </c>
      <c r="Q202" s="11">
        <v>9</v>
      </c>
      <c r="R202" s="11">
        <v>34</v>
      </c>
      <c r="T202" s="161">
        <f t="shared" si="50"/>
        <v>995681.28000000003</v>
      </c>
      <c r="U202" s="161">
        <f t="shared" si="50"/>
        <v>469849.60000000003</v>
      </c>
      <c r="V202" s="161">
        <f t="shared" si="51"/>
        <v>243921.91999999998</v>
      </c>
      <c r="W202" s="161">
        <f t="shared" si="52"/>
        <v>97568.767999999996</v>
      </c>
    </row>
    <row r="203" spans="1:23" ht="12.75" customHeight="1">
      <c r="A203" s="118">
        <v>202</v>
      </c>
      <c r="B203" s="128">
        <v>2</v>
      </c>
      <c r="C203" s="156">
        <v>38869</v>
      </c>
      <c r="D203" s="157" t="s">
        <v>49</v>
      </c>
      <c r="E203" s="8">
        <v>2006</v>
      </c>
      <c r="F203" s="158">
        <f t="shared" si="48"/>
        <v>485</v>
      </c>
      <c r="G203" s="158">
        <f t="shared" si="49"/>
        <v>2</v>
      </c>
      <c r="H203" s="162">
        <v>38384</v>
      </c>
      <c r="I203" s="194">
        <v>199860</v>
      </c>
      <c r="J203" s="15">
        <v>0</v>
      </c>
      <c r="K203" s="15">
        <v>1.82</v>
      </c>
      <c r="L203" s="15">
        <v>0.95</v>
      </c>
      <c r="M203" s="174">
        <v>0</v>
      </c>
      <c r="O203" s="15">
        <v>0.02</v>
      </c>
      <c r="Q203" s="11">
        <v>10</v>
      </c>
      <c r="R203" s="11">
        <v>26</v>
      </c>
      <c r="T203" s="161">
        <f t="shared" si="50"/>
        <v>363745.2</v>
      </c>
      <c r="U203" s="161">
        <f t="shared" si="50"/>
        <v>189867</v>
      </c>
      <c r="V203" s="161">
        <f t="shared" si="51"/>
        <v>3997.2000000000003</v>
      </c>
      <c r="W203" s="161">
        <f t="shared" si="52"/>
        <v>1598.88</v>
      </c>
    </row>
    <row r="204" spans="1:23" ht="12.75" customHeight="1">
      <c r="A204" s="118">
        <v>203</v>
      </c>
      <c r="B204" s="128">
        <v>2</v>
      </c>
      <c r="C204" s="156">
        <v>38899</v>
      </c>
      <c r="D204" s="157" t="s">
        <v>50</v>
      </c>
      <c r="E204" s="8">
        <v>2006</v>
      </c>
      <c r="F204" s="158">
        <f t="shared" si="48"/>
        <v>515</v>
      </c>
      <c r="G204" s="158">
        <f t="shared" si="49"/>
        <v>2</v>
      </c>
      <c r="H204" s="162">
        <v>38384</v>
      </c>
      <c r="I204" s="194">
        <v>199743</v>
      </c>
      <c r="J204" s="15">
        <v>0.02</v>
      </c>
      <c r="K204" s="15">
        <v>0.13</v>
      </c>
      <c r="L204" s="15">
        <v>0.1</v>
      </c>
      <c r="M204" s="174">
        <v>0</v>
      </c>
      <c r="O204" s="15">
        <v>0</v>
      </c>
      <c r="Q204" s="11">
        <v>11</v>
      </c>
      <c r="R204" s="11">
        <v>29</v>
      </c>
      <c r="T204" s="161">
        <f t="shared" si="50"/>
        <v>25966.59</v>
      </c>
      <c r="U204" s="161">
        <f t="shared" si="50"/>
        <v>19974.300000000003</v>
      </c>
      <c r="V204" s="161">
        <f t="shared" si="51"/>
        <v>0</v>
      </c>
      <c r="W204" s="161">
        <f t="shared" si="52"/>
        <v>0</v>
      </c>
    </row>
    <row r="205" spans="1:23" ht="12.75" customHeight="1">
      <c r="A205" s="118">
        <v>204</v>
      </c>
      <c r="B205" s="128">
        <v>2</v>
      </c>
      <c r="C205" s="156">
        <v>38930</v>
      </c>
      <c r="D205" s="157" t="s">
        <v>51</v>
      </c>
      <c r="E205" s="8">
        <v>2006</v>
      </c>
      <c r="F205" s="158">
        <f t="shared" si="48"/>
        <v>546</v>
      </c>
      <c r="G205" s="158">
        <f t="shared" si="49"/>
        <v>2</v>
      </c>
      <c r="H205" s="162">
        <v>38384</v>
      </c>
      <c r="I205" s="194">
        <v>238924</v>
      </c>
      <c r="J205" s="15">
        <v>0.53333330000000001</v>
      </c>
      <c r="K205" s="15">
        <v>0.25</v>
      </c>
      <c r="L205" s="15">
        <v>0.2</v>
      </c>
      <c r="M205" s="174">
        <v>0</v>
      </c>
      <c r="O205" s="15">
        <v>0.1833333</v>
      </c>
      <c r="Q205" s="11">
        <v>11</v>
      </c>
      <c r="R205" s="11">
        <v>29</v>
      </c>
      <c r="T205" s="161">
        <f t="shared" si="50"/>
        <v>59731</v>
      </c>
      <c r="U205" s="161">
        <f t="shared" si="50"/>
        <v>47784.800000000003</v>
      </c>
      <c r="V205" s="161">
        <f t="shared" si="51"/>
        <v>43802.725369200001</v>
      </c>
      <c r="W205" s="161">
        <f t="shared" si="52"/>
        <v>17521.090147680003</v>
      </c>
    </row>
    <row r="206" spans="1:23" ht="12.75" customHeight="1">
      <c r="A206" s="118">
        <v>205</v>
      </c>
      <c r="B206" s="128">
        <v>2</v>
      </c>
      <c r="C206" s="156">
        <v>38961</v>
      </c>
      <c r="D206" s="157" t="s">
        <v>52</v>
      </c>
      <c r="E206" s="8">
        <v>2006</v>
      </c>
      <c r="F206" s="158">
        <f t="shared" si="48"/>
        <v>577</v>
      </c>
      <c r="G206" s="158">
        <f t="shared" si="49"/>
        <v>2</v>
      </c>
      <c r="H206" s="162">
        <v>38384</v>
      </c>
      <c r="I206" s="194">
        <v>199310</v>
      </c>
      <c r="J206" s="15">
        <v>0.95</v>
      </c>
      <c r="K206" s="15">
        <v>0.83</v>
      </c>
      <c r="L206" s="15">
        <v>0.3</v>
      </c>
      <c r="O206" s="15">
        <v>1.33</v>
      </c>
      <c r="Q206" s="11">
        <v>10</v>
      </c>
      <c r="R206" s="11">
        <v>29</v>
      </c>
      <c r="S206" s="155" t="s">
        <v>2</v>
      </c>
      <c r="T206" s="161">
        <f t="shared" si="50"/>
        <v>165427.29999999999</v>
      </c>
      <c r="U206" s="161">
        <f t="shared" si="50"/>
        <v>59793</v>
      </c>
      <c r="V206" s="161">
        <f t="shared" si="51"/>
        <v>265082.3</v>
      </c>
      <c r="W206" s="161">
        <f t="shared" si="52"/>
        <v>106032.92</v>
      </c>
    </row>
    <row r="207" spans="1:23" ht="12.75" customHeight="1">
      <c r="A207" s="118">
        <v>206</v>
      </c>
      <c r="B207" s="128">
        <v>2</v>
      </c>
      <c r="C207" s="156">
        <v>38991</v>
      </c>
      <c r="D207" s="157" t="s">
        <v>53</v>
      </c>
      <c r="E207" s="8">
        <v>2006</v>
      </c>
      <c r="F207" s="158">
        <f t="shared" si="48"/>
        <v>607</v>
      </c>
      <c r="G207" s="158">
        <f t="shared" si="49"/>
        <v>2</v>
      </c>
      <c r="H207" s="162">
        <v>38384</v>
      </c>
      <c r="I207" s="194">
        <v>155664</v>
      </c>
      <c r="L207" s="165">
        <v>0.4</v>
      </c>
      <c r="N207" s="528" t="s">
        <v>795</v>
      </c>
      <c r="O207" s="165">
        <v>1.8</v>
      </c>
      <c r="U207" s="161">
        <f>$I207*L207</f>
        <v>62265.600000000006</v>
      </c>
      <c r="V207" s="161">
        <f t="shared" si="51"/>
        <v>280195.20000000001</v>
      </c>
      <c r="W207" s="161">
        <f t="shared" si="52"/>
        <v>112078.08000000002</v>
      </c>
    </row>
    <row r="208" spans="1:23" ht="12.75" customHeight="1">
      <c r="A208" s="118">
        <v>207</v>
      </c>
      <c r="B208" s="128">
        <v>2</v>
      </c>
      <c r="C208" s="156">
        <v>39022</v>
      </c>
      <c r="D208" s="157" t="s">
        <v>54</v>
      </c>
      <c r="E208" s="8">
        <v>2006</v>
      </c>
      <c r="F208" s="158"/>
      <c r="H208" s="162"/>
      <c r="I208" s="194"/>
      <c r="S208" s="155" t="s">
        <v>69</v>
      </c>
    </row>
    <row r="209" spans="1:23" ht="12.75" customHeight="1">
      <c r="A209" s="118">
        <v>208</v>
      </c>
      <c r="B209" s="128">
        <v>2</v>
      </c>
      <c r="C209" s="156">
        <v>39052</v>
      </c>
      <c r="D209" s="157" t="s">
        <v>55</v>
      </c>
      <c r="E209" s="8">
        <v>2006</v>
      </c>
      <c r="F209" s="158"/>
      <c r="H209" s="162"/>
      <c r="I209" s="194"/>
    </row>
    <row r="210" spans="1:23" ht="12.75" customHeight="1">
      <c r="A210" s="118">
        <v>209</v>
      </c>
      <c r="B210" s="128">
        <v>2</v>
      </c>
      <c r="C210" s="156">
        <v>39083</v>
      </c>
      <c r="D210" s="157" t="s">
        <v>44</v>
      </c>
      <c r="E210" s="8">
        <v>2007</v>
      </c>
      <c r="H210" s="162"/>
      <c r="I210" s="194"/>
    </row>
    <row r="211" spans="1:23" ht="12.75" customHeight="1">
      <c r="A211" s="118">
        <v>210</v>
      </c>
      <c r="B211" s="128">
        <v>2</v>
      </c>
      <c r="C211" s="156">
        <v>39114</v>
      </c>
      <c r="D211" s="157" t="s">
        <v>45</v>
      </c>
      <c r="E211" s="8">
        <v>2007</v>
      </c>
      <c r="H211" s="162"/>
      <c r="I211" s="194"/>
    </row>
    <row r="212" spans="1:23" ht="12.75" customHeight="1">
      <c r="A212" s="118">
        <v>211</v>
      </c>
      <c r="B212" s="128">
        <v>2</v>
      </c>
      <c r="C212" s="156">
        <v>39142</v>
      </c>
      <c r="D212" s="157" t="s">
        <v>46</v>
      </c>
      <c r="E212" s="8">
        <v>2007</v>
      </c>
      <c r="H212" s="162"/>
      <c r="I212" s="194"/>
    </row>
    <row r="213" spans="1:23" ht="12.75" customHeight="1">
      <c r="A213" s="118">
        <v>212</v>
      </c>
      <c r="B213" s="128">
        <v>2</v>
      </c>
      <c r="C213" s="156">
        <v>39173</v>
      </c>
      <c r="D213" s="157" t="s">
        <v>47</v>
      </c>
      <c r="E213" s="8">
        <v>2007</v>
      </c>
      <c r="H213" s="162"/>
      <c r="I213" s="194"/>
    </row>
    <row r="214" spans="1:23" ht="12.75" customHeight="1">
      <c r="A214" s="118">
        <v>213</v>
      </c>
      <c r="B214" s="128">
        <v>2</v>
      </c>
      <c r="C214" s="156">
        <v>39203</v>
      </c>
      <c r="D214" s="157" t="s">
        <v>48</v>
      </c>
      <c r="E214" s="8">
        <v>2007</v>
      </c>
      <c r="H214" s="162"/>
      <c r="I214" s="194"/>
    </row>
    <row r="215" spans="1:23" s="127" customFormat="1" ht="12.75" customHeight="1">
      <c r="A215" s="118">
        <v>214</v>
      </c>
      <c r="B215" s="128">
        <v>2</v>
      </c>
      <c r="C215" s="156">
        <v>39234</v>
      </c>
      <c r="D215" s="157" t="s">
        <v>49</v>
      </c>
      <c r="E215" s="8">
        <v>2007</v>
      </c>
      <c r="F215" s="11"/>
      <c r="G215" s="11"/>
      <c r="H215" s="162"/>
      <c r="I215" s="194"/>
      <c r="J215" s="15"/>
      <c r="K215" s="15"/>
      <c r="L215" s="15"/>
      <c r="M215" s="174"/>
      <c r="N215" s="528"/>
      <c r="O215" s="15"/>
      <c r="P215" s="8"/>
      <c r="Q215" s="11"/>
      <c r="R215" s="11"/>
      <c r="S215" s="155"/>
      <c r="T215" s="15"/>
      <c r="U215" s="161"/>
      <c r="V215" s="15"/>
      <c r="W215" s="15"/>
    </row>
    <row r="216" spans="1:23" ht="12.75" customHeight="1">
      <c r="A216" s="118">
        <v>215</v>
      </c>
      <c r="B216" s="128">
        <v>2</v>
      </c>
      <c r="C216" s="156">
        <v>39264</v>
      </c>
      <c r="D216" s="157" t="s">
        <v>50</v>
      </c>
      <c r="E216" s="8">
        <v>2007</v>
      </c>
      <c r="H216" s="162"/>
      <c r="I216" s="194"/>
    </row>
    <row r="217" spans="1:23" ht="12.75" customHeight="1">
      <c r="A217" s="118">
        <v>216</v>
      </c>
      <c r="B217" s="128">
        <v>2</v>
      </c>
      <c r="C217" s="156">
        <v>39295</v>
      </c>
      <c r="D217" s="157" t="s">
        <v>51</v>
      </c>
      <c r="E217" s="8">
        <v>2007</v>
      </c>
      <c r="H217" s="162"/>
      <c r="I217" s="194"/>
    </row>
    <row r="218" spans="1:23" ht="12.75" customHeight="1">
      <c r="A218" s="118">
        <v>217</v>
      </c>
      <c r="B218" s="128">
        <v>2</v>
      </c>
      <c r="C218" s="156">
        <v>39326</v>
      </c>
      <c r="D218" s="157" t="s">
        <v>52</v>
      </c>
      <c r="E218" s="8">
        <v>2007</v>
      </c>
      <c r="H218" s="162"/>
      <c r="I218" s="194"/>
    </row>
    <row r="219" spans="1:23" ht="12.75" customHeight="1">
      <c r="A219" s="118">
        <v>218</v>
      </c>
      <c r="B219" s="128">
        <v>2</v>
      </c>
      <c r="C219" s="156">
        <v>39356</v>
      </c>
      <c r="D219" s="157" t="s">
        <v>53</v>
      </c>
      <c r="E219" s="8">
        <v>2007</v>
      </c>
      <c r="I219" s="194"/>
    </row>
    <row r="220" spans="1:23" ht="12.75" customHeight="1">
      <c r="A220" s="118">
        <v>219</v>
      </c>
      <c r="B220" s="128">
        <v>2</v>
      </c>
      <c r="C220" s="156">
        <v>39387</v>
      </c>
      <c r="D220" s="157" t="s">
        <v>54</v>
      </c>
      <c r="E220" s="8">
        <v>2007</v>
      </c>
      <c r="H220" s="162"/>
      <c r="I220" s="194"/>
    </row>
    <row r="221" spans="1:23" ht="12.75" customHeight="1">
      <c r="A221" s="118">
        <v>220</v>
      </c>
      <c r="B221" s="128">
        <v>2</v>
      </c>
      <c r="C221" s="156">
        <v>39417</v>
      </c>
      <c r="D221" s="157" t="s">
        <v>55</v>
      </c>
      <c r="E221" s="8">
        <v>2007</v>
      </c>
      <c r="H221" s="162"/>
      <c r="I221" s="194"/>
    </row>
    <row r="222" spans="1:23" ht="12.75" customHeight="1">
      <c r="A222" s="118">
        <v>221</v>
      </c>
      <c r="B222" s="128">
        <v>2</v>
      </c>
      <c r="C222" s="156">
        <v>39448</v>
      </c>
      <c r="D222" s="157" t="s">
        <v>44</v>
      </c>
      <c r="E222" s="127">
        <v>2008</v>
      </c>
      <c r="F222" s="127"/>
      <c r="G222" s="127"/>
      <c r="I222" s="194"/>
      <c r="Q222" s="158"/>
      <c r="R222" s="158"/>
      <c r="T222" s="128"/>
      <c r="U222" s="118"/>
      <c r="V222" s="118"/>
      <c r="W222" s="118"/>
    </row>
    <row r="223" spans="1:23" ht="12.75" customHeight="1">
      <c r="A223" s="118">
        <v>222</v>
      </c>
      <c r="B223" s="128">
        <v>2</v>
      </c>
      <c r="C223" s="156">
        <v>39479</v>
      </c>
      <c r="D223" s="157" t="s">
        <v>45</v>
      </c>
      <c r="E223" s="127">
        <v>2008</v>
      </c>
      <c r="F223" s="127"/>
      <c r="G223" s="127"/>
      <c r="I223" s="194"/>
      <c r="Q223" s="158"/>
      <c r="R223" s="158"/>
      <c r="T223" s="128"/>
      <c r="U223" s="118"/>
      <c r="V223" s="118"/>
      <c r="W223" s="118"/>
    </row>
    <row r="224" spans="1:23" ht="12.75" customHeight="1">
      <c r="A224" s="118">
        <v>223</v>
      </c>
      <c r="B224" s="128">
        <v>2</v>
      </c>
      <c r="C224" s="156">
        <v>39508</v>
      </c>
      <c r="D224" s="157" t="s">
        <v>46</v>
      </c>
      <c r="E224" s="127">
        <v>2008</v>
      </c>
      <c r="F224" s="127"/>
      <c r="G224" s="127"/>
      <c r="I224" s="194"/>
      <c r="Q224" s="158"/>
      <c r="R224" s="158"/>
      <c r="T224" s="128"/>
      <c r="U224" s="118"/>
      <c r="V224" s="118"/>
      <c r="W224" s="118"/>
    </row>
    <row r="225" spans="1:23" ht="12.75" customHeight="1">
      <c r="A225" s="118">
        <v>224</v>
      </c>
      <c r="B225" s="128">
        <v>2</v>
      </c>
      <c r="C225" s="156">
        <v>39539</v>
      </c>
      <c r="D225" s="157" t="s">
        <v>47</v>
      </c>
      <c r="E225" s="127">
        <v>2008</v>
      </c>
      <c r="F225" s="158">
        <f t="shared" ref="F225:F236" si="53">C225-H225</f>
        <v>0</v>
      </c>
      <c r="G225" s="158">
        <f t="shared" ref="G225:G236" si="54">IF(F225&lt;365,1,2)</f>
        <v>1</v>
      </c>
      <c r="H225" s="172">
        <v>39539</v>
      </c>
      <c r="I225" s="194">
        <v>493088</v>
      </c>
      <c r="L225" s="165">
        <v>0</v>
      </c>
      <c r="N225" s="528" t="s">
        <v>794</v>
      </c>
      <c r="O225" s="165">
        <v>0</v>
      </c>
      <c r="Q225" s="158"/>
      <c r="R225" s="158"/>
      <c r="S225" s="155" t="s">
        <v>102</v>
      </c>
      <c r="T225" s="161"/>
      <c r="U225" s="161">
        <f t="shared" ref="U225:U236" si="55">$I225*L225</f>
        <v>0</v>
      </c>
      <c r="V225" s="161">
        <f t="shared" ref="V225:V236" si="56">$I225*O225</f>
        <v>0</v>
      </c>
      <c r="W225" s="161">
        <f t="shared" ref="W225:W236" si="57">V225*0.4</f>
        <v>0</v>
      </c>
    </row>
    <row r="226" spans="1:23" ht="12.75" customHeight="1">
      <c r="A226" s="118">
        <v>225</v>
      </c>
      <c r="B226" s="128">
        <v>2</v>
      </c>
      <c r="C226" s="183">
        <v>39569</v>
      </c>
      <c r="D226" s="184" t="s">
        <v>48</v>
      </c>
      <c r="E226" s="185">
        <v>2008</v>
      </c>
      <c r="F226" s="158">
        <f t="shared" si="53"/>
        <v>30</v>
      </c>
      <c r="G226" s="158">
        <f t="shared" si="54"/>
        <v>1</v>
      </c>
      <c r="H226" s="172">
        <v>39539</v>
      </c>
      <c r="I226" s="249">
        <v>565474</v>
      </c>
      <c r="J226" s="186">
        <v>0.05</v>
      </c>
      <c r="K226" s="186">
        <v>0.3</v>
      </c>
      <c r="L226" s="186">
        <v>0.11666666666666665</v>
      </c>
      <c r="M226" s="437"/>
      <c r="N226" s="530"/>
      <c r="O226" s="186">
        <v>6.6666666666666666E-2</v>
      </c>
      <c r="P226" s="187"/>
      <c r="Q226" s="254">
        <v>9</v>
      </c>
      <c r="R226" s="254">
        <v>29</v>
      </c>
      <c r="S226" s="182"/>
      <c r="T226" s="188">
        <f t="shared" ref="T226:T236" si="58">$I226*K226</f>
        <v>169642.19999999998</v>
      </c>
      <c r="U226" s="188">
        <f t="shared" si="55"/>
        <v>65971.96666666666</v>
      </c>
      <c r="V226" s="188">
        <f t="shared" si="56"/>
        <v>37698.266666666663</v>
      </c>
      <c r="W226" s="161">
        <f t="shared" si="57"/>
        <v>15079.306666666665</v>
      </c>
    </row>
    <row r="227" spans="1:23" ht="12.75" customHeight="1">
      <c r="A227" s="118">
        <v>226</v>
      </c>
      <c r="B227" s="128">
        <v>2</v>
      </c>
      <c r="C227" s="156">
        <v>39600</v>
      </c>
      <c r="D227" s="157" t="s">
        <v>49</v>
      </c>
      <c r="E227" s="127">
        <v>2008</v>
      </c>
      <c r="F227" s="158">
        <f t="shared" si="53"/>
        <v>61</v>
      </c>
      <c r="G227" s="158">
        <f t="shared" si="54"/>
        <v>1</v>
      </c>
      <c r="H227" s="172">
        <v>39539</v>
      </c>
      <c r="I227" s="194">
        <v>564003</v>
      </c>
      <c r="J227" s="164">
        <v>0.1</v>
      </c>
      <c r="K227" s="164">
        <v>0.26666666666666666</v>
      </c>
      <c r="L227" s="164">
        <v>0.1</v>
      </c>
      <c r="M227" s="193">
        <v>0</v>
      </c>
      <c r="N227" s="529"/>
      <c r="O227" s="164">
        <v>0.05</v>
      </c>
      <c r="Q227" s="158"/>
      <c r="R227" s="158"/>
      <c r="T227" s="161">
        <f t="shared" si="58"/>
        <v>150400.79999999999</v>
      </c>
      <c r="U227" s="161">
        <f t="shared" si="55"/>
        <v>56400.3</v>
      </c>
      <c r="V227" s="161">
        <f t="shared" si="56"/>
        <v>28200.15</v>
      </c>
      <c r="W227" s="161">
        <f t="shared" si="57"/>
        <v>11280.060000000001</v>
      </c>
    </row>
    <row r="228" spans="1:23" ht="12.75" customHeight="1">
      <c r="A228" s="118">
        <v>227</v>
      </c>
      <c r="B228" s="128">
        <v>2</v>
      </c>
      <c r="C228" s="156">
        <v>39630</v>
      </c>
      <c r="D228" s="176" t="s">
        <v>50</v>
      </c>
      <c r="E228" s="127">
        <v>2008</v>
      </c>
      <c r="F228" s="158">
        <f t="shared" si="53"/>
        <v>91</v>
      </c>
      <c r="G228" s="158">
        <f t="shared" si="54"/>
        <v>1</v>
      </c>
      <c r="H228" s="172">
        <v>39539</v>
      </c>
      <c r="I228" s="194">
        <v>471000</v>
      </c>
      <c r="J228" s="164">
        <v>0.27</v>
      </c>
      <c r="K228" s="164">
        <v>7.0000000000000007E-2</v>
      </c>
      <c r="L228" s="164">
        <v>0</v>
      </c>
      <c r="M228" s="193">
        <v>0</v>
      </c>
      <c r="N228" s="529"/>
      <c r="O228" s="164">
        <v>0.05</v>
      </c>
      <c r="R228" s="158"/>
      <c r="S228" s="239"/>
      <c r="T228" s="161">
        <f t="shared" si="58"/>
        <v>32970</v>
      </c>
      <c r="U228" s="161">
        <f t="shared" si="55"/>
        <v>0</v>
      </c>
      <c r="V228" s="161">
        <f t="shared" si="56"/>
        <v>23550</v>
      </c>
      <c r="W228" s="161">
        <f t="shared" si="57"/>
        <v>9420</v>
      </c>
    </row>
    <row r="229" spans="1:23" ht="12.75" customHeight="1">
      <c r="A229" s="118">
        <v>228</v>
      </c>
      <c r="B229" s="128">
        <v>2</v>
      </c>
      <c r="C229" s="156">
        <v>39661</v>
      </c>
      <c r="D229" s="176" t="s">
        <v>51</v>
      </c>
      <c r="E229" s="127">
        <v>2008</v>
      </c>
      <c r="F229" s="158">
        <f t="shared" si="53"/>
        <v>122</v>
      </c>
      <c r="G229" s="158">
        <f t="shared" si="54"/>
        <v>1</v>
      </c>
      <c r="H229" s="172">
        <v>39539</v>
      </c>
      <c r="I229" s="194">
        <v>471000</v>
      </c>
      <c r="J229" s="164">
        <v>0.25</v>
      </c>
      <c r="K229" s="164">
        <v>0.63</v>
      </c>
      <c r="L229" s="164">
        <v>0.12</v>
      </c>
      <c r="M229" s="193">
        <v>0</v>
      </c>
      <c r="N229" s="529"/>
      <c r="O229" s="164">
        <v>0.08</v>
      </c>
      <c r="R229" s="158"/>
      <c r="S229" s="239"/>
      <c r="T229" s="161">
        <f t="shared" si="58"/>
        <v>296730</v>
      </c>
      <c r="U229" s="161">
        <f t="shared" si="55"/>
        <v>56520</v>
      </c>
      <c r="V229" s="161">
        <f t="shared" si="56"/>
        <v>37680</v>
      </c>
      <c r="W229" s="161">
        <f t="shared" si="57"/>
        <v>15072</v>
      </c>
    </row>
    <row r="230" spans="1:23" ht="12.75" customHeight="1">
      <c r="A230" s="118">
        <v>229</v>
      </c>
      <c r="B230" s="128">
        <v>2</v>
      </c>
      <c r="C230" s="156">
        <v>39692</v>
      </c>
      <c r="D230" s="176" t="s">
        <v>52</v>
      </c>
      <c r="E230" s="127">
        <v>2008</v>
      </c>
      <c r="F230" s="158">
        <f t="shared" si="53"/>
        <v>153</v>
      </c>
      <c r="G230" s="158">
        <f t="shared" si="54"/>
        <v>1</v>
      </c>
      <c r="H230" s="172">
        <v>39539</v>
      </c>
      <c r="I230" s="194">
        <v>460000</v>
      </c>
      <c r="J230" s="164">
        <v>0.1</v>
      </c>
      <c r="K230" s="164">
        <v>0.6</v>
      </c>
      <c r="L230" s="164">
        <v>0.2</v>
      </c>
      <c r="M230" s="193">
        <v>0</v>
      </c>
      <c r="N230" s="529"/>
      <c r="O230" s="164">
        <v>0.1</v>
      </c>
      <c r="R230" s="158"/>
      <c r="S230" s="239"/>
      <c r="T230" s="161">
        <f t="shared" si="58"/>
        <v>276000</v>
      </c>
      <c r="U230" s="161">
        <f t="shared" si="55"/>
        <v>92000</v>
      </c>
      <c r="V230" s="161">
        <f t="shared" si="56"/>
        <v>46000</v>
      </c>
      <c r="W230" s="161">
        <f t="shared" si="57"/>
        <v>18400</v>
      </c>
    </row>
    <row r="231" spans="1:23" ht="12.75" customHeight="1">
      <c r="A231" s="118">
        <v>230</v>
      </c>
      <c r="B231" s="128">
        <v>2</v>
      </c>
      <c r="C231" s="156">
        <v>39722</v>
      </c>
      <c r="D231" s="176" t="s">
        <v>53</v>
      </c>
      <c r="E231" s="127">
        <v>2008</v>
      </c>
      <c r="F231" s="158">
        <f t="shared" si="53"/>
        <v>183</v>
      </c>
      <c r="G231" s="158">
        <f t="shared" si="54"/>
        <v>1</v>
      </c>
      <c r="H231" s="172">
        <v>39539</v>
      </c>
      <c r="I231" s="194">
        <v>450000</v>
      </c>
      <c r="J231" s="164">
        <v>1</v>
      </c>
      <c r="K231" s="164">
        <v>0.87</v>
      </c>
      <c r="L231" s="164">
        <v>0.47</v>
      </c>
      <c r="M231" s="193">
        <v>0</v>
      </c>
      <c r="N231" s="529"/>
      <c r="O231" s="164">
        <v>0.4</v>
      </c>
      <c r="R231" s="158"/>
      <c r="S231" s="239"/>
      <c r="T231" s="161">
        <f t="shared" si="58"/>
        <v>391500</v>
      </c>
      <c r="U231" s="161">
        <f t="shared" si="55"/>
        <v>211500</v>
      </c>
      <c r="V231" s="161">
        <f t="shared" si="56"/>
        <v>180000</v>
      </c>
      <c r="W231" s="161">
        <f t="shared" si="57"/>
        <v>72000</v>
      </c>
    </row>
    <row r="232" spans="1:23" ht="12.75" customHeight="1">
      <c r="A232" s="118">
        <v>231</v>
      </c>
      <c r="B232" s="128">
        <v>2</v>
      </c>
      <c r="C232" s="156">
        <v>39753</v>
      </c>
      <c r="D232" s="176" t="s">
        <v>54</v>
      </c>
      <c r="E232" s="127">
        <v>2008</v>
      </c>
      <c r="F232" s="158">
        <f t="shared" si="53"/>
        <v>214</v>
      </c>
      <c r="G232" s="158">
        <f t="shared" si="54"/>
        <v>1</v>
      </c>
      <c r="H232" s="172">
        <v>39539</v>
      </c>
      <c r="I232" s="194">
        <v>450000</v>
      </c>
      <c r="J232" s="164">
        <v>0.81666666666666676</v>
      </c>
      <c r="K232" s="164">
        <v>1.6333333333333331</v>
      </c>
      <c r="L232" s="164">
        <v>0.5</v>
      </c>
      <c r="M232" s="193">
        <v>0</v>
      </c>
      <c r="N232" s="529"/>
      <c r="O232" s="164">
        <v>0.33333333333333331</v>
      </c>
      <c r="R232" s="158"/>
      <c r="S232" s="239"/>
      <c r="T232" s="161">
        <f t="shared" si="58"/>
        <v>734999.99999999988</v>
      </c>
      <c r="U232" s="161">
        <f t="shared" si="55"/>
        <v>225000</v>
      </c>
      <c r="V232" s="161">
        <f t="shared" si="56"/>
        <v>150000</v>
      </c>
      <c r="W232" s="161">
        <f t="shared" si="57"/>
        <v>60000</v>
      </c>
    </row>
    <row r="233" spans="1:23" ht="12.75" customHeight="1">
      <c r="A233" s="118">
        <v>232</v>
      </c>
      <c r="B233" s="128">
        <v>2</v>
      </c>
      <c r="C233" s="156">
        <v>39783</v>
      </c>
      <c r="D233" s="176" t="s">
        <v>55</v>
      </c>
      <c r="E233" s="127">
        <v>2008</v>
      </c>
      <c r="F233" s="158">
        <f t="shared" si="53"/>
        <v>244</v>
      </c>
      <c r="G233" s="158">
        <f t="shared" si="54"/>
        <v>1</v>
      </c>
      <c r="H233" s="172">
        <v>39539</v>
      </c>
      <c r="I233" s="194">
        <v>449000</v>
      </c>
      <c r="J233" s="164">
        <v>2.95</v>
      </c>
      <c r="K233" s="164">
        <v>1.9750000000000001</v>
      </c>
      <c r="L233" s="164">
        <v>0.5</v>
      </c>
      <c r="M233" s="193">
        <v>0</v>
      </c>
      <c r="N233" s="529"/>
      <c r="O233" s="164">
        <v>1.9</v>
      </c>
      <c r="R233" s="158"/>
      <c r="S233" s="239"/>
      <c r="T233" s="161">
        <f t="shared" si="58"/>
        <v>886775</v>
      </c>
      <c r="U233" s="161">
        <f t="shared" si="55"/>
        <v>224500</v>
      </c>
      <c r="V233" s="161">
        <f t="shared" si="56"/>
        <v>853100</v>
      </c>
      <c r="W233" s="161">
        <f t="shared" si="57"/>
        <v>341240</v>
      </c>
    </row>
    <row r="234" spans="1:23" ht="12.75" customHeight="1">
      <c r="A234" s="118">
        <v>233</v>
      </c>
      <c r="B234" s="128">
        <v>2</v>
      </c>
      <c r="C234" s="156">
        <v>39814</v>
      </c>
      <c r="D234" s="157" t="s">
        <v>44</v>
      </c>
      <c r="E234" s="127">
        <v>2009</v>
      </c>
      <c r="F234" s="158">
        <f t="shared" si="53"/>
        <v>275</v>
      </c>
      <c r="G234" s="158">
        <f t="shared" si="54"/>
        <v>1</v>
      </c>
      <c r="H234" s="178">
        <v>39539</v>
      </c>
      <c r="I234" s="125">
        <v>447776</v>
      </c>
      <c r="J234" s="164">
        <v>1.5166666666666666</v>
      </c>
      <c r="K234" s="164">
        <v>1.8833333333333335</v>
      </c>
      <c r="L234" s="164">
        <v>0.45</v>
      </c>
      <c r="M234" s="193">
        <v>0</v>
      </c>
      <c r="N234" s="529"/>
      <c r="O234" s="164">
        <v>0.28333333333333338</v>
      </c>
      <c r="P234" s="118"/>
      <c r="Q234" s="118"/>
      <c r="R234" s="118"/>
      <c r="S234" s="221"/>
      <c r="T234" s="171">
        <f t="shared" si="58"/>
        <v>843311.46666666679</v>
      </c>
      <c r="U234" s="171">
        <f t="shared" si="55"/>
        <v>201499.2</v>
      </c>
      <c r="V234" s="171">
        <f t="shared" si="56"/>
        <v>126869.86666666668</v>
      </c>
      <c r="W234" s="171">
        <f t="shared" si="57"/>
        <v>50747.946666666678</v>
      </c>
    </row>
    <row r="235" spans="1:23" ht="12.75" customHeight="1">
      <c r="A235" s="118">
        <v>234</v>
      </c>
      <c r="B235" s="128">
        <v>2</v>
      </c>
      <c r="C235" s="156">
        <v>39845</v>
      </c>
      <c r="D235" s="157" t="s">
        <v>45</v>
      </c>
      <c r="E235" s="127">
        <v>2009</v>
      </c>
      <c r="F235" s="158">
        <f t="shared" si="53"/>
        <v>306</v>
      </c>
      <c r="G235" s="158">
        <f t="shared" si="54"/>
        <v>1</v>
      </c>
      <c r="H235" s="178">
        <v>39539</v>
      </c>
      <c r="I235" s="125">
        <v>344170</v>
      </c>
      <c r="J235" s="164">
        <v>0.05</v>
      </c>
      <c r="K235" s="164">
        <v>1.1000000000000001</v>
      </c>
      <c r="L235" s="164">
        <v>0.35</v>
      </c>
      <c r="M235" s="193">
        <v>2</v>
      </c>
      <c r="N235" s="529"/>
      <c r="O235" s="164">
        <v>0</v>
      </c>
      <c r="P235" s="118">
        <v>1</v>
      </c>
      <c r="Q235" s="118"/>
      <c r="R235" s="118"/>
      <c r="S235" s="221"/>
      <c r="T235" s="171">
        <f t="shared" si="58"/>
        <v>378587.00000000006</v>
      </c>
      <c r="U235" s="171">
        <f t="shared" si="55"/>
        <v>120459.49999999999</v>
      </c>
      <c r="V235" s="171">
        <f t="shared" si="56"/>
        <v>0</v>
      </c>
      <c r="W235" s="171">
        <f t="shared" si="57"/>
        <v>0</v>
      </c>
    </row>
    <row r="236" spans="1:23" ht="12.75" customHeight="1">
      <c r="A236" s="118">
        <v>235</v>
      </c>
      <c r="B236" s="128">
        <v>2</v>
      </c>
      <c r="C236" s="156">
        <v>39873</v>
      </c>
      <c r="D236" s="157" t="s">
        <v>46</v>
      </c>
      <c r="E236" s="127">
        <v>2009</v>
      </c>
      <c r="F236" s="158">
        <f t="shared" si="53"/>
        <v>334</v>
      </c>
      <c r="G236" s="158">
        <f t="shared" si="54"/>
        <v>1</v>
      </c>
      <c r="H236" s="178">
        <v>39539</v>
      </c>
      <c r="I236" s="125">
        <f>I235/2</f>
        <v>172085</v>
      </c>
      <c r="J236" s="164">
        <v>0.16666666666666666</v>
      </c>
      <c r="K236" s="164">
        <v>0.13333333333333333</v>
      </c>
      <c r="L236" s="164">
        <v>8.3333333333333329E-2</v>
      </c>
      <c r="M236" s="193"/>
      <c r="N236" s="529"/>
      <c r="O236" s="164">
        <v>1.6666666666666666E-2</v>
      </c>
      <c r="P236" s="118"/>
      <c r="Q236" s="118"/>
      <c r="R236" s="118"/>
      <c r="S236" s="221" t="s">
        <v>297</v>
      </c>
      <c r="T236" s="171">
        <f t="shared" si="58"/>
        <v>22944.666666666668</v>
      </c>
      <c r="U236" s="171">
        <f t="shared" si="55"/>
        <v>14340.416666666666</v>
      </c>
      <c r="V236" s="171">
        <f t="shared" si="56"/>
        <v>2868.0833333333335</v>
      </c>
      <c r="W236" s="171">
        <f t="shared" si="57"/>
        <v>1147.2333333333333</v>
      </c>
    </row>
    <row r="237" spans="1:23" ht="12.75" customHeight="1">
      <c r="A237" s="118">
        <v>236</v>
      </c>
      <c r="B237" s="128">
        <v>2</v>
      </c>
      <c r="C237" s="156">
        <v>39904</v>
      </c>
      <c r="D237" s="157" t="s">
        <v>47</v>
      </c>
      <c r="E237" s="127">
        <v>2009</v>
      </c>
      <c r="F237" s="118"/>
      <c r="G237" s="118"/>
      <c r="H237" s="118"/>
      <c r="I237" s="125"/>
      <c r="J237" s="164"/>
      <c r="K237" s="164"/>
      <c r="L237" s="164"/>
      <c r="M237" s="193"/>
      <c r="N237" s="529"/>
      <c r="O237" s="164"/>
      <c r="P237" s="118"/>
      <c r="Q237" s="118"/>
      <c r="R237" s="118"/>
      <c r="S237" s="221"/>
      <c r="T237" s="118"/>
      <c r="U237" s="118"/>
      <c r="V237" s="118"/>
      <c r="W237" s="118"/>
    </row>
    <row r="238" spans="1:23" ht="12.75" customHeight="1">
      <c r="A238" s="118">
        <v>237</v>
      </c>
      <c r="B238" s="128">
        <v>2</v>
      </c>
      <c r="C238" s="156">
        <v>39934</v>
      </c>
      <c r="D238" s="157" t="s">
        <v>48</v>
      </c>
      <c r="E238" s="127">
        <v>2009</v>
      </c>
      <c r="F238" s="118"/>
      <c r="G238" s="118"/>
      <c r="H238" s="118"/>
      <c r="I238" s="125"/>
      <c r="J238" s="164"/>
      <c r="K238" s="164"/>
      <c r="L238" s="164"/>
      <c r="M238" s="193"/>
      <c r="N238" s="529"/>
      <c r="O238" s="164"/>
      <c r="P238" s="118"/>
      <c r="Q238" s="118"/>
      <c r="R238" s="118"/>
      <c r="S238" s="221"/>
      <c r="T238" s="118"/>
      <c r="U238" s="118"/>
      <c r="V238" s="118"/>
      <c r="W238" s="118"/>
    </row>
    <row r="239" spans="1:23" ht="12.75" customHeight="1">
      <c r="A239" s="118">
        <v>238</v>
      </c>
      <c r="B239" s="128">
        <v>2</v>
      </c>
      <c r="C239" s="156">
        <v>39965</v>
      </c>
      <c r="D239" s="157" t="s">
        <v>49</v>
      </c>
      <c r="E239" s="127">
        <v>2009</v>
      </c>
      <c r="F239" s="118"/>
      <c r="G239" s="118"/>
      <c r="H239" s="118"/>
      <c r="I239" s="125"/>
      <c r="J239" s="164"/>
      <c r="K239" s="164"/>
      <c r="L239" s="164"/>
      <c r="M239" s="193"/>
      <c r="N239" s="529"/>
      <c r="O239" s="164"/>
      <c r="P239" s="118"/>
      <c r="Q239" s="118"/>
      <c r="R239" s="118"/>
      <c r="S239" s="221"/>
      <c r="T239" s="118"/>
      <c r="U239" s="118"/>
      <c r="V239" s="118"/>
      <c r="W239" s="118"/>
    </row>
    <row r="240" spans="1:23" ht="12.75" customHeight="1">
      <c r="A240" s="118">
        <v>239</v>
      </c>
      <c r="B240" s="128">
        <v>2</v>
      </c>
      <c r="C240" s="156">
        <v>39995</v>
      </c>
      <c r="D240" s="157" t="s">
        <v>50</v>
      </c>
      <c r="E240" s="127">
        <v>2009</v>
      </c>
      <c r="F240" s="118"/>
      <c r="G240" s="118"/>
      <c r="H240" s="118"/>
      <c r="I240" s="125"/>
      <c r="J240" s="164"/>
      <c r="K240" s="164"/>
      <c r="L240" s="164"/>
      <c r="M240" s="193"/>
      <c r="N240" s="529"/>
      <c r="O240" s="164"/>
      <c r="P240" s="118"/>
      <c r="Q240" s="118"/>
      <c r="R240" s="118"/>
      <c r="S240" s="221"/>
      <c r="T240" s="118"/>
      <c r="U240" s="118"/>
      <c r="V240" s="118"/>
      <c r="W240" s="118"/>
    </row>
    <row r="241" spans="1:23" ht="12.75" customHeight="1">
      <c r="A241" s="118">
        <v>240</v>
      </c>
      <c r="B241" s="128">
        <v>2</v>
      </c>
      <c r="C241" s="156">
        <v>40026</v>
      </c>
      <c r="D241" s="157" t="s">
        <v>51</v>
      </c>
      <c r="E241" s="127">
        <v>2009</v>
      </c>
      <c r="F241" s="118"/>
      <c r="G241" s="118"/>
      <c r="H241" s="118"/>
      <c r="I241" s="125"/>
      <c r="J241" s="164"/>
      <c r="K241" s="164"/>
      <c r="L241" s="164"/>
      <c r="M241" s="193"/>
      <c r="N241" s="529"/>
      <c r="O241" s="164"/>
      <c r="P241" s="118"/>
      <c r="Q241" s="118"/>
      <c r="R241" s="118"/>
      <c r="S241" s="221"/>
      <c r="T241" s="118"/>
      <c r="U241" s="118"/>
      <c r="V241" s="118"/>
      <c r="W241" s="118"/>
    </row>
    <row r="242" spans="1:23" ht="12.75" customHeight="1">
      <c r="A242" s="118">
        <v>241</v>
      </c>
      <c r="B242" s="128">
        <v>2</v>
      </c>
      <c r="C242" s="156">
        <v>40057</v>
      </c>
      <c r="D242" s="157" t="s">
        <v>52</v>
      </c>
      <c r="E242" s="127">
        <v>2009</v>
      </c>
      <c r="F242" s="118"/>
      <c r="G242" s="118"/>
      <c r="H242" s="118"/>
      <c r="I242" s="125"/>
      <c r="J242" s="164"/>
      <c r="K242" s="164"/>
      <c r="L242" s="164"/>
      <c r="M242" s="193"/>
      <c r="N242" s="529"/>
      <c r="O242" s="164"/>
      <c r="P242" s="118"/>
      <c r="Q242" s="118"/>
      <c r="R242" s="118"/>
      <c r="S242" s="221"/>
      <c r="T242" s="118"/>
      <c r="U242" s="118"/>
      <c r="V242" s="118"/>
      <c r="W242" s="118"/>
    </row>
    <row r="243" spans="1:23" ht="12.75" customHeight="1">
      <c r="A243" s="118">
        <v>242</v>
      </c>
      <c r="B243" s="128">
        <v>2</v>
      </c>
      <c r="C243" s="156">
        <v>40087</v>
      </c>
      <c r="D243" s="157" t="s">
        <v>53</v>
      </c>
      <c r="E243" s="127">
        <v>2009</v>
      </c>
      <c r="F243" s="118"/>
      <c r="G243" s="118"/>
      <c r="H243" s="118"/>
      <c r="I243" s="125"/>
      <c r="J243" s="164"/>
      <c r="K243" s="164"/>
      <c r="L243" s="164"/>
      <c r="M243" s="193"/>
      <c r="N243" s="529"/>
      <c r="O243" s="164"/>
      <c r="P243" s="118"/>
      <c r="Q243" s="118"/>
      <c r="R243" s="118"/>
      <c r="S243" s="221"/>
      <c r="T243" s="118"/>
      <c r="U243" s="118"/>
      <c r="V243" s="118"/>
      <c r="W243" s="118"/>
    </row>
    <row r="244" spans="1:23" ht="12.75" customHeight="1">
      <c r="A244" s="118">
        <v>243</v>
      </c>
      <c r="B244" s="128">
        <v>2</v>
      </c>
      <c r="C244" s="156">
        <v>40118</v>
      </c>
      <c r="D244" s="157" t="s">
        <v>54</v>
      </c>
      <c r="E244" s="127">
        <v>2009</v>
      </c>
      <c r="F244" s="118"/>
      <c r="G244" s="118"/>
      <c r="H244" s="118"/>
      <c r="I244" s="125"/>
      <c r="J244" s="164"/>
      <c r="K244" s="164"/>
      <c r="L244" s="164"/>
      <c r="M244" s="193"/>
      <c r="N244" s="529"/>
      <c r="O244" s="164"/>
      <c r="P244" s="118"/>
      <c r="Q244" s="118"/>
      <c r="R244" s="118"/>
      <c r="S244" s="221"/>
      <c r="T244" s="118"/>
      <c r="U244" s="118"/>
      <c r="V244" s="118"/>
      <c r="W244" s="118"/>
    </row>
    <row r="245" spans="1:23" ht="12.75" customHeight="1">
      <c r="A245" s="118">
        <v>244</v>
      </c>
      <c r="B245" s="128">
        <v>2</v>
      </c>
      <c r="C245" s="156">
        <v>40148</v>
      </c>
      <c r="D245" s="157" t="s">
        <v>55</v>
      </c>
      <c r="E245" s="127">
        <v>2009</v>
      </c>
      <c r="F245" s="118"/>
      <c r="G245" s="118"/>
      <c r="H245" s="118"/>
      <c r="I245" s="125"/>
      <c r="J245" s="164"/>
      <c r="K245" s="164"/>
      <c r="L245" s="164"/>
      <c r="M245" s="193"/>
      <c r="N245" s="529"/>
      <c r="O245" s="164"/>
      <c r="P245" s="118"/>
      <c r="Q245" s="118"/>
      <c r="R245" s="118"/>
      <c r="S245" s="221"/>
      <c r="T245" s="118"/>
      <c r="U245" s="118"/>
      <c r="V245" s="118"/>
      <c r="W245" s="118"/>
    </row>
    <row r="246" spans="1:23" ht="12.75" customHeight="1">
      <c r="A246" s="118">
        <v>245</v>
      </c>
      <c r="B246" s="128">
        <v>3</v>
      </c>
      <c r="C246" s="156">
        <v>36526</v>
      </c>
      <c r="D246" s="157" t="s">
        <v>44</v>
      </c>
      <c r="E246" s="8">
        <v>2000</v>
      </c>
      <c r="F246" s="158">
        <f t="shared" ref="F246:F255" si="59">C246-H246</f>
        <v>457</v>
      </c>
      <c r="G246" s="158">
        <f t="shared" ref="G246:G255" si="60">IF(F246&lt;365,1,2)</f>
        <v>2</v>
      </c>
      <c r="H246" s="190">
        <v>36069</v>
      </c>
      <c r="I246" s="160">
        <v>385025</v>
      </c>
      <c r="J246" s="11"/>
      <c r="K246" s="11"/>
      <c r="L246" s="11"/>
      <c r="O246" s="11"/>
      <c r="T246" s="11"/>
      <c r="V246" s="11"/>
      <c r="W246" s="11"/>
    </row>
    <row r="247" spans="1:23" ht="12.75" customHeight="1">
      <c r="A247" s="118">
        <v>246</v>
      </c>
      <c r="B247" s="128">
        <v>3</v>
      </c>
      <c r="C247" s="156">
        <v>36557</v>
      </c>
      <c r="D247" s="157" t="s">
        <v>45</v>
      </c>
      <c r="E247" s="8">
        <v>2000</v>
      </c>
      <c r="F247" s="158">
        <f t="shared" si="59"/>
        <v>488</v>
      </c>
      <c r="G247" s="158">
        <f t="shared" si="60"/>
        <v>2</v>
      </c>
      <c r="H247" s="190">
        <v>36069</v>
      </c>
      <c r="I247" s="160">
        <v>376945</v>
      </c>
      <c r="J247" s="11"/>
      <c r="K247" s="11"/>
      <c r="L247" s="11"/>
      <c r="O247" s="11"/>
      <c r="T247" s="11"/>
      <c r="V247" s="11"/>
      <c r="W247" s="11"/>
    </row>
    <row r="248" spans="1:23" ht="12.75" customHeight="1">
      <c r="A248" s="118">
        <v>247</v>
      </c>
      <c r="B248" s="128">
        <v>3</v>
      </c>
      <c r="C248" s="156">
        <v>36586</v>
      </c>
      <c r="D248" s="157" t="s">
        <v>46</v>
      </c>
      <c r="E248" s="8">
        <v>2000</v>
      </c>
      <c r="F248" s="158">
        <f t="shared" si="59"/>
        <v>517</v>
      </c>
      <c r="G248" s="158">
        <f t="shared" si="60"/>
        <v>2</v>
      </c>
      <c r="H248" s="190">
        <v>36069</v>
      </c>
      <c r="I248" s="160">
        <v>373346</v>
      </c>
      <c r="J248" s="11"/>
      <c r="K248" s="11"/>
      <c r="L248" s="11"/>
      <c r="O248" s="11"/>
      <c r="T248" s="11"/>
      <c r="V248" s="11"/>
      <c r="W248" s="11"/>
    </row>
    <row r="249" spans="1:23" ht="12.75" customHeight="1">
      <c r="A249" s="118">
        <v>248</v>
      </c>
      <c r="B249" s="128">
        <v>3</v>
      </c>
      <c r="C249" s="156">
        <v>36617</v>
      </c>
      <c r="D249" s="157" t="s">
        <v>47</v>
      </c>
      <c r="E249" s="8">
        <v>2000</v>
      </c>
      <c r="F249" s="158">
        <f t="shared" si="59"/>
        <v>548</v>
      </c>
      <c r="G249" s="158">
        <f t="shared" si="60"/>
        <v>2</v>
      </c>
      <c r="H249" s="190">
        <v>36069</v>
      </c>
      <c r="I249" s="160">
        <v>371803</v>
      </c>
      <c r="J249" s="15">
        <v>2.6749999999999998</v>
      </c>
      <c r="K249" s="15">
        <v>18.75</v>
      </c>
      <c r="L249" s="15">
        <v>7.125</v>
      </c>
      <c r="O249" s="15">
        <v>1.45</v>
      </c>
      <c r="T249" s="161">
        <f t="shared" ref="T249:U253" si="61">$I249*K249</f>
        <v>6971306.25</v>
      </c>
      <c r="U249" s="161">
        <f t="shared" si="61"/>
        <v>2649096.375</v>
      </c>
      <c r="V249" s="161">
        <f t="shared" ref="V249:V253" si="62">$I249*O249</f>
        <v>539114.35</v>
      </c>
      <c r="W249" s="161">
        <f>V249*0.4</f>
        <v>215645.74</v>
      </c>
    </row>
    <row r="250" spans="1:23" ht="12.75" customHeight="1">
      <c r="A250" s="118">
        <v>249</v>
      </c>
      <c r="B250" s="128">
        <v>3</v>
      </c>
      <c r="C250" s="156">
        <v>36647</v>
      </c>
      <c r="D250" s="157" t="s">
        <v>48</v>
      </c>
      <c r="E250" s="8">
        <v>2000</v>
      </c>
      <c r="F250" s="158">
        <f t="shared" si="59"/>
        <v>578</v>
      </c>
      <c r="G250" s="158">
        <f t="shared" si="60"/>
        <v>2</v>
      </c>
      <c r="H250" s="190">
        <v>36069</v>
      </c>
      <c r="I250" s="160">
        <v>368740</v>
      </c>
      <c r="J250" s="15">
        <v>2.6166666666666667</v>
      </c>
      <c r="K250" s="15">
        <v>34.774999999999999</v>
      </c>
      <c r="L250" s="15">
        <v>15.574999999999999</v>
      </c>
      <c r="M250" s="174">
        <v>0</v>
      </c>
      <c r="O250" s="15">
        <v>0.11666666666666665</v>
      </c>
      <c r="P250" s="8">
        <v>0.5</v>
      </c>
      <c r="S250" s="180" t="s">
        <v>351</v>
      </c>
      <c r="T250" s="161">
        <f t="shared" si="61"/>
        <v>12822933.5</v>
      </c>
      <c r="U250" s="161">
        <f t="shared" si="61"/>
        <v>5743125.5</v>
      </c>
      <c r="V250" s="161">
        <f t="shared" si="62"/>
        <v>43019.666666666664</v>
      </c>
      <c r="W250" s="161">
        <f>V250*0.4</f>
        <v>17207.866666666665</v>
      </c>
    </row>
    <row r="251" spans="1:23" ht="12.75" customHeight="1">
      <c r="A251" s="118">
        <v>250</v>
      </c>
      <c r="B251" s="128">
        <v>3</v>
      </c>
      <c r="C251" s="156">
        <v>36678</v>
      </c>
      <c r="D251" s="157" t="s">
        <v>49</v>
      </c>
      <c r="E251" s="8">
        <v>2000</v>
      </c>
      <c r="F251" s="158">
        <f t="shared" si="59"/>
        <v>609</v>
      </c>
      <c r="G251" s="158">
        <f t="shared" si="60"/>
        <v>2</v>
      </c>
      <c r="H251" s="190">
        <v>36069</v>
      </c>
      <c r="I251" s="160">
        <v>309874</v>
      </c>
      <c r="J251" s="15">
        <v>2.2999999999999998</v>
      </c>
      <c r="K251" s="15">
        <v>36.637500000000003</v>
      </c>
      <c r="L251" s="15">
        <v>17.535</v>
      </c>
      <c r="M251" s="174">
        <v>2</v>
      </c>
      <c r="O251" s="15">
        <v>7.4999999999999997E-2</v>
      </c>
      <c r="S251" s="155" t="s">
        <v>72</v>
      </c>
      <c r="T251" s="161">
        <f t="shared" si="61"/>
        <v>11353008.675000001</v>
      </c>
      <c r="U251" s="161">
        <f t="shared" si="61"/>
        <v>5433640.5899999999</v>
      </c>
      <c r="V251" s="161">
        <f t="shared" si="62"/>
        <v>23240.55</v>
      </c>
      <c r="W251" s="161">
        <f>V251*0.4</f>
        <v>9296.2199999999993</v>
      </c>
    </row>
    <row r="252" spans="1:23" ht="12.75" customHeight="1">
      <c r="A252" s="118">
        <v>251</v>
      </c>
      <c r="B252" s="128">
        <v>3</v>
      </c>
      <c r="C252" s="156">
        <v>36708</v>
      </c>
      <c r="D252" s="157" t="s">
        <v>50</v>
      </c>
      <c r="E252" s="8">
        <v>2000</v>
      </c>
      <c r="F252" s="158">
        <f t="shared" si="59"/>
        <v>639</v>
      </c>
      <c r="G252" s="158">
        <f t="shared" si="60"/>
        <v>2</v>
      </c>
      <c r="H252" s="190">
        <v>36069</v>
      </c>
      <c r="I252" s="160">
        <v>232438</v>
      </c>
      <c r="J252" s="15">
        <v>0.42499999999999999</v>
      </c>
      <c r="K252" s="15">
        <v>10.75</v>
      </c>
      <c r="L252" s="15">
        <v>6.2374999999999998</v>
      </c>
      <c r="M252" s="174">
        <v>0</v>
      </c>
      <c r="O252" s="15">
        <v>0</v>
      </c>
      <c r="T252" s="161">
        <f t="shared" si="61"/>
        <v>2498708.5</v>
      </c>
      <c r="U252" s="161">
        <f t="shared" si="61"/>
        <v>1449832.0249999999</v>
      </c>
      <c r="V252" s="161">
        <f t="shared" si="62"/>
        <v>0</v>
      </c>
      <c r="W252" s="161">
        <f>V252*0.4</f>
        <v>0</v>
      </c>
    </row>
    <row r="253" spans="1:23" ht="12.75" customHeight="1">
      <c r="A253" s="118">
        <v>252</v>
      </c>
      <c r="B253" s="128">
        <v>3</v>
      </c>
      <c r="C253" s="156">
        <v>36739</v>
      </c>
      <c r="D253" s="157" t="s">
        <v>51</v>
      </c>
      <c r="E253" s="8">
        <v>2000</v>
      </c>
      <c r="F253" s="158">
        <f t="shared" si="59"/>
        <v>670</v>
      </c>
      <c r="G253" s="158">
        <f t="shared" si="60"/>
        <v>2</v>
      </c>
      <c r="H253" s="190">
        <v>36069</v>
      </c>
      <c r="I253" s="160">
        <v>179965</v>
      </c>
      <c r="J253" s="15">
        <v>0.28999999999999998</v>
      </c>
      <c r="K253" s="15">
        <v>2.75</v>
      </c>
      <c r="L253" s="15">
        <v>1.81</v>
      </c>
      <c r="O253" s="15">
        <v>0</v>
      </c>
      <c r="T253" s="161">
        <f t="shared" si="61"/>
        <v>494903.75</v>
      </c>
      <c r="U253" s="161">
        <f t="shared" si="61"/>
        <v>325736.65000000002</v>
      </c>
      <c r="V253" s="161">
        <f t="shared" si="62"/>
        <v>0</v>
      </c>
      <c r="W253" s="161">
        <f>V253*0.4</f>
        <v>0</v>
      </c>
    </row>
    <row r="254" spans="1:23" ht="12.75" customHeight="1">
      <c r="A254" s="118">
        <v>253</v>
      </c>
      <c r="B254" s="128">
        <v>3</v>
      </c>
      <c r="C254" s="156">
        <v>36770</v>
      </c>
      <c r="D254" s="157" t="s">
        <v>52</v>
      </c>
      <c r="E254" s="8">
        <v>2000</v>
      </c>
      <c r="F254" s="158">
        <f t="shared" si="59"/>
        <v>701</v>
      </c>
      <c r="G254" s="158">
        <f t="shared" si="60"/>
        <v>2</v>
      </c>
      <c r="H254" s="190">
        <v>36069</v>
      </c>
      <c r="I254" s="160">
        <v>109308</v>
      </c>
      <c r="J254" s="11"/>
      <c r="K254" s="11"/>
      <c r="L254" s="11"/>
      <c r="O254" s="11"/>
      <c r="T254" s="11"/>
      <c r="V254" s="11"/>
      <c r="W254" s="11"/>
    </row>
    <row r="255" spans="1:23" ht="12.75" customHeight="1">
      <c r="A255" s="118">
        <v>254</v>
      </c>
      <c r="B255" s="128">
        <v>3</v>
      </c>
      <c r="C255" s="156">
        <v>36800</v>
      </c>
      <c r="D255" s="157" t="s">
        <v>53</v>
      </c>
      <c r="E255" s="8">
        <v>2000</v>
      </c>
      <c r="F255" s="158">
        <f t="shared" si="59"/>
        <v>731</v>
      </c>
      <c r="G255" s="158">
        <f t="shared" si="60"/>
        <v>2</v>
      </c>
      <c r="H255" s="190">
        <v>36069</v>
      </c>
      <c r="I255" s="160">
        <v>19450</v>
      </c>
      <c r="J255" s="11"/>
      <c r="K255" s="11"/>
      <c r="L255" s="11"/>
      <c r="O255" s="11"/>
      <c r="T255" s="11"/>
      <c r="V255" s="11"/>
      <c r="W255" s="11"/>
    </row>
    <row r="256" spans="1:23" s="127" customFormat="1" ht="12.75" customHeight="1">
      <c r="A256" s="118">
        <v>255</v>
      </c>
      <c r="B256" s="128">
        <v>3</v>
      </c>
      <c r="C256" s="156">
        <v>36831</v>
      </c>
      <c r="D256" s="157" t="s">
        <v>54</v>
      </c>
      <c r="E256" s="8">
        <v>2000</v>
      </c>
      <c r="F256" s="158"/>
      <c r="G256" s="162"/>
      <c r="H256" s="172"/>
      <c r="I256" s="160"/>
      <c r="J256" s="11"/>
      <c r="K256" s="11"/>
      <c r="L256" s="11"/>
      <c r="M256" s="174"/>
      <c r="N256" s="528"/>
      <c r="O256" s="11"/>
      <c r="P256" s="8"/>
      <c r="Q256" s="11"/>
      <c r="R256" s="11"/>
      <c r="S256" s="155"/>
      <c r="T256" s="11"/>
      <c r="U256" s="161"/>
      <c r="V256" s="11"/>
      <c r="W256" s="11"/>
    </row>
    <row r="257" spans="1:23" s="127" customFormat="1" ht="12.75" customHeight="1">
      <c r="A257" s="118">
        <v>256</v>
      </c>
      <c r="B257" s="128">
        <v>3</v>
      </c>
      <c r="C257" s="156">
        <v>36861</v>
      </c>
      <c r="D257" s="157" t="s">
        <v>55</v>
      </c>
      <c r="E257" s="8">
        <v>2000</v>
      </c>
      <c r="F257" s="158"/>
      <c r="G257" s="162"/>
      <c r="H257" s="162"/>
      <c r="I257" s="163"/>
      <c r="J257" s="11"/>
      <c r="K257" s="11"/>
      <c r="L257" s="11"/>
      <c r="M257" s="174"/>
      <c r="N257" s="528"/>
      <c r="O257" s="11"/>
      <c r="P257" s="8"/>
      <c r="Q257" s="11"/>
      <c r="R257" s="11"/>
      <c r="S257" s="155"/>
      <c r="T257" s="11"/>
      <c r="U257" s="161"/>
      <c r="V257" s="11"/>
      <c r="W257" s="11"/>
    </row>
    <row r="258" spans="1:23" s="127" customFormat="1" ht="12.75" customHeight="1">
      <c r="A258" s="118">
        <v>257</v>
      </c>
      <c r="B258" s="128">
        <v>3</v>
      </c>
      <c r="C258" s="156">
        <v>36892</v>
      </c>
      <c r="D258" s="157" t="s">
        <v>44</v>
      </c>
      <c r="E258" s="8">
        <v>2001</v>
      </c>
      <c r="F258" s="158"/>
      <c r="G258" s="162"/>
      <c r="H258" s="162"/>
      <c r="I258" s="163"/>
      <c r="J258" s="11"/>
      <c r="K258" s="11"/>
      <c r="L258" s="11"/>
      <c r="M258" s="174"/>
      <c r="N258" s="528"/>
      <c r="O258" s="11"/>
      <c r="P258" s="8"/>
      <c r="Q258" s="11"/>
      <c r="R258" s="11"/>
      <c r="S258" s="155"/>
      <c r="T258" s="11"/>
      <c r="U258" s="161"/>
      <c r="V258" s="11"/>
      <c r="W258" s="11"/>
    </row>
    <row r="259" spans="1:23" ht="12.75" customHeight="1">
      <c r="A259" s="118">
        <v>258</v>
      </c>
      <c r="B259" s="128">
        <v>3</v>
      </c>
      <c r="C259" s="156">
        <v>36923</v>
      </c>
      <c r="D259" s="157" t="s">
        <v>45</v>
      </c>
      <c r="E259" s="8">
        <v>2001</v>
      </c>
      <c r="F259" s="158"/>
      <c r="G259" s="162"/>
      <c r="H259" s="162"/>
      <c r="J259" s="11"/>
      <c r="K259" s="11"/>
      <c r="L259" s="11"/>
      <c r="O259" s="11"/>
      <c r="T259" s="11"/>
      <c r="V259" s="11"/>
      <c r="W259" s="11"/>
    </row>
    <row r="260" spans="1:23" ht="12.75" customHeight="1">
      <c r="A260" s="118">
        <v>259</v>
      </c>
      <c r="B260" s="128">
        <v>3</v>
      </c>
      <c r="C260" s="156">
        <v>36951</v>
      </c>
      <c r="D260" s="157" t="s">
        <v>46</v>
      </c>
      <c r="E260" s="8">
        <v>2001</v>
      </c>
      <c r="F260" s="158"/>
      <c r="G260" s="162"/>
      <c r="H260" s="162"/>
      <c r="J260" s="11"/>
      <c r="K260" s="11"/>
      <c r="L260" s="11"/>
      <c r="O260" s="11"/>
      <c r="T260" s="11"/>
      <c r="V260" s="11"/>
      <c r="W260" s="11"/>
    </row>
    <row r="261" spans="1:23" ht="12.75" customHeight="1">
      <c r="A261" s="118">
        <v>260</v>
      </c>
      <c r="B261" s="128">
        <v>3</v>
      </c>
      <c r="C261" s="156">
        <v>36982</v>
      </c>
      <c r="D261" s="157" t="s">
        <v>47</v>
      </c>
      <c r="E261" s="8">
        <v>2001</v>
      </c>
      <c r="F261" s="158"/>
      <c r="G261" s="162"/>
      <c r="H261" s="162"/>
      <c r="J261" s="11"/>
      <c r="K261" s="11"/>
      <c r="L261" s="11"/>
      <c r="O261" s="11"/>
      <c r="T261" s="11"/>
      <c r="V261" s="11"/>
      <c r="W261" s="11"/>
    </row>
    <row r="262" spans="1:23" ht="12.75" customHeight="1">
      <c r="A262" s="118">
        <v>261</v>
      </c>
      <c r="B262" s="128">
        <v>3</v>
      </c>
      <c r="C262" s="156">
        <v>37012</v>
      </c>
      <c r="D262" s="157" t="s">
        <v>48</v>
      </c>
      <c r="E262" s="8">
        <v>2001</v>
      </c>
      <c r="F262" s="158"/>
      <c r="G262" s="162"/>
      <c r="H262" s="162"/>
      <c r="J262" s="11"/>
      <c r="K262" s="11"/>
      <c r="L262" s="11"/>
      <c r="O262" s="11"/>
      <c r="T262" s="11"/>
      <c r="V262" s="11"/>
      <c r="W262" s="11"/>
    </row>
    <row r="263" spans="1:23" ht="12.75" customHeight="1">
      <c r="A263" s="118">
        <v>262</v>
      </c>
      <c r="B263" s="128">
        <v>3</v>
      </c>
      <c r="C263" s="156">
        <v>37043</v>
      </c>
      <c r="D263" s="157" t="s">
        <v>49</v>
      </c>
      <c r="E263" s="8">
        <v>2001</v>
      </c>
      <c r="F263" s="158"/>
      <c r="G263" s="162"/>
      <c r="H263" s="162"/>
      <c r="J263" s="11"/>
      <c r="K263" s="11"/>
      <c r="L263" s="11"/>
      <c r="O263" s="11"/>
      <c r="T263" s="11"/>
      <c r="V263" s="11"/>
      <c r="W263" s="11"/>
    </row>
    <row r="264" spans="1:23" ht="12.75" customHeight="1">
      <c r="A264" s="118">
        <v>263</v>
      </c>
      <c r="B264" s="128">
        <v>3</v>
      </c>
      <c r="C264" s="156">
        <v>37073</v>
      </c>
      <c r="D264" s="157" t="s">
        <v>50</v>
      </c>
      <c r="E264" s="8">
        <v>2001</v>
      </c>
      <c r="F264" s="158">
        <f t="shared" ref="F264:F278" si="63">C264-H264</f>
        <v>273</v>
      </c>
      <c r="G264" s="158">
        <f t="shared" ref="G264:G278" si="64">IF(F264&lt;365,1,2)</f>
        <v>1</v>
      </c>
      <c r="H264" s="162">
        <v>36800</v>
      </c>
      <c r="I264" s="163">
        <v>512868</v>
      </c>
      <c r="J264" s="11"/>
      <c r="K264" s="11"/>
      <c r="L264" s="11"/>
      <c r="O264" s="11"/>
      <c r="S264" s="155" t="s">
        <v>303</v>
      </c>
      <c r="T264" s="11"/>
      <c r="V264" s="11"/>
      <c r="W264" s="11"/>
    </row>
    <row r="265" spans="1:23" ht="12.75" customHeight="1">
      <c r="A265" s="118">
        <v>264</v>
      </c>
      <c r="B265" s="128">
        <v>3</v>
      </c>
      <c r="C265" s="156">
        <v>37104</v>
      </c>
      <c r="D265" s="157" t="s">
        <v>51</v>
      </c>
      <c r="E265" s="8">
        <v>2001</v>
      </c>
      <c r="F265" s="158">
        <f t="shared" si="63"/>
        <v>304</v>
      </c>
      <c r="G265" s="158">
        <f t="shared" si="64"/>
        <v>1</v>
      </c>
      <c r="H265" s="162">
        <v>36800</v>
      </c>
      <c r="I265" s="163">
        <v>512743</v>
      </c>
      <c r="J265" s="11"/>
      <c r="K265" s="11"/>
      <c r="L265" s="11"/>
      <c r="O265" s="11"/>
      <c r="T265" s="11"/>
      <c r="V265" s="11"/>
      <c r="W265" s="11"/>
    </row>
    <row r="266" spans="1:23" ht="12.75" customHeight="1">
      <c r="A266" s="118">
        <v>265</v>
      </c>
      <c r="B266" s="128">
        <v>3</v>
      </c>
      <c r="C266" s="156">
        <v>37135</v>
      </c>
      <c r="D266" s="157" t="s">
        <v>52</v>
      </c>
      <c r="E266" s="8">
        <v>2001</v>
      </c>
      <c r="F266" s="158">
        <f t="shared" si="63"/>
        <v>335</v>
      </c>
      <c r="G266" s="158">
        <f t="shared" si="64"/>
        <v>1</v>
      </c>
      <c r="H266" s="162">
        <v>36800</v>
      </c>
      <c r="I266" s="163">
        <v>512500</v>
      </c>
      <c r="J266" s="11"/>
      <c r="K266" s="11"/>
      <c r="L266" s="11"/>
      <c r="O266" s="11"/>
      <c r="T266" s="11"/>
      <c r="V266" s="11"/>
      <c r="W266" s="11"/>
    </row>
    <row r="267" spans="1:23" ht="12.75" customHeight="1">
      <c r="A267" s="118">
        <v>266</v>
      </c>
      <c r="B267" s="128">
        <v>3</v>
      </c>
      <c r="C267" s="156">
        <v>37165</v>
      </c>
      <c r="D267" s="157" t="s">
        <v>53</v>
      </c>
      <c r="E267" s="8">
        <v>2001</v>
      </c>
      <c r="F267" s="158">
        <f t="shared" si="63"/>
        <v>365</v>
      </c>
      <c r="G267" s="158">
        <f t="shared" si="64"/>
        <v>2</v>
      </c>
      <c r="H267" s="162">
        <v>36800</v>
      </c>
      <c r="I267" s="163">
        <v>512237</v>
      </c>
      <c r="J267" s="11"/>
      <c r="K267" s="11"/>
      <c r="L267" s="11"/>
      <c r="O267" s="11"/>
      <c r="T267" s="11"/>
      <c r="V267" s="11"/>
      <c r="W267" s="11"/>
    </row>
    <row r="268" spans="1:23" ht="12.75" customHeight="1">
      <c r="A268" s="118">
        <v>267</v>
      </c>
      <c r="B268" s="128">
        <v>3</v>
      </c>
      <c r="C268" s="156">
        <v>37196</v>
      </c>
      <c r="D268" s="157" t="s">
        <v>54</v>
      </c>
      <c r="E268" s="8">
        <v>2001</v>
      </c>
      <c r="F268" s="158">
        <f t="shared" si="63"/>
        <v>396</v>
      </c>
      <c r="G268" s="158">
        <f t="shared" si="64"/>
        <v>2</v>
      </c>
      <c r="H268" s="162">
        <v>36800</v>
      </c>
      <c r="I268" s="163">
        <v>512761</v>
      </c>
      <c r="J268" s="11"/>
      <c r="K268" s="11"/>
      <c r="L268" s="11"/>
      <c r="O268" s="11"/>
      <c r="T268" s="11"/>
      <c r="V268" s="11"/>
      <c r="W268" s="11"/>
    </row>
    <row r="269" spans="1:23" ht="12.75" customHeight="1">
      <c r="A269" s="118">
        <v>268</v>
      </c>
      <c r="B269" s="128">
        <v>3</v>
      </c>
      <c r="C269" s="156">
        <v>37226</v>
      </c>
      <c r="D269" s="157" t="s">
        <v>55</v>
      </c>
      <c r="E269" s="8">
        <v>2001</v>
      </c>
      <c r="F269" s="158">
        <f t="shared" si="63"/>
        <v>426</v>
      </c>
      <c r="G269" s="158">
        <f t="shared" si="64"/>
        <v>2</v>
      </c>
      <c r="H269" s="162">
        <v>36800</v>
      </c>
      <c r="I269" s="163">
        <v>512527</v>
      </c>
      <c r="J269" s="11"/>
      <c r="K269" s="11"/>
      <c r="L269" s="11"/>
      <c r="O269" s="11"/>
      <c r="T269" s="11"/>
      <c r="V269" s="11"/>
      <c r="W269" s="11"/>
    </row>
    <row r="270" spans="1:23" ht="12.75" customHeight="1">
      <c r="A270" s="118">
        <v>269</v>
      </c>
      <c r="B270" s="128">
        <v>3</v>
      </c>
      <c r="C270" s="156">
        <v>37257</v>
      </c>
      <c r="D270" s="157" t="s">
        <v>44</v>
      </c>
      <c r="E270" s="8">
        <v>2002</v>
      </c>
      <c r="F270" s="158">
        <f t="shared" si="63"/>
        <v>457</v>
      </c>
      <c r="G270" s="158">
        <f t="shared" si="64"/>
        <v>2</v>
      </c>
      <c r="H270" s="162">
        <v>36800</v>
      </c>
      <c r="I270" s="163">
        <v>512142</v>
      </c>
      <c r="J270" s="166"/>
      <c r="K270" s="11"/>
      <c r="L270" s="11"/>
      <c r="O270" s="11"/>
      <c r="T270" s="11"/>
      <c r="V270" s="11"/>
      <c r="W270" s="11"/>
    </row>
    <row r="271" spans="1:23" ht="12.75" customHeight="1">
      <c r="A271" s="118">
        <v>270</v>
      </c>
      <c r="B271" s="128">
        <v>3</v>
      </c>
      <c r="C271" s="156">
        <v>37288</v>
      </c>
      <c r="D271" s="157" t="s">
        <v>45</v>
      </c>
      <c r="E271" s="8">
        <v>2002</v>
      </c>
      <c r="F271" s="158">
        <f t="shared" si="63"/>
        <v>488</v>
      </c>
      <c r="G271" s="158">
        <f t="shared" si="64"/>
        <v>2</v>
      </c>
      <c r="H271" s="162">
        <v>36800</v>
      </c>
      <c r="I271" s="163">
        <v>511705</v>
      </c>
      <c r="J271" s="166"/>
      <c r="K271" s="11"/>
      <c r="L271" s="11"/>
      <c r="O271" s="11"/>
      <c r="T271" s="11"/>
      <c r="V271" s="11"/>
      <c r="W271" s="11"/>
    </row>
    <row r="272" spans="1:23" ht="12.75" customHeight="1">
      <c r="A272" s="118">
        <v>271</v>
      </c>
      <c r="B272" s="128">
        <v>3</v>
      </c>
      <c r="C272" s="156">
        <v>37316</v>
      </c>
      <c r="D272" s="157" t="s">
        <v>46</v>
      </c>
      <c r="E272" s="8">
        <v>2002</v>
      </c>
      <c r="F272" s="158">
        <f t="shared" si="63"/>
        <v>516</v>
      </c>
      <c r="G272" s="158">
        <f t="shared" si="64"/>
        <v>2</v>
      </c>
      <c r="H272" s="162">
        <v>36800</v>
      </c>
      <c r="I272" s="163">
        <v>511169</v>
      </c>
      <c r="J272" s="166"/>
      <c r="K272" s="11"/>
      <c r="L272" s="11"/>
      <c r="O272" s="11"/>
      <c r="T272" s="11"/>
      <c r="V272" s="11"/>
      <c r="W272" s="11"/>
    </row>
    <row r="273" spans="1:23" ht="12.75" customHeight="1">
      <c r="A273" s="118">
        <v>272</v>
      </c>
      <c r="B273" s="128">
        <v>3</v>
      </c>
      <c r="C273" s="156">
        <v>37347</v>
      </c>
      <c r="D273" s="157" t="s">
        <v>47</v>
      </c>
      <c r="E273" s="8">
        <v>2002</v>
      </c>
      <c r="F273" s="158">
        <f t="shared" si="63"/>
        <v>547</v>
      </c>
      <c r="G273" s="158">
        <f t="shared" si="64"/>
        <v>2</v>
      </c>
      <c r="H273" s="162">
        <v>36800</v>
      </c>
      <c r="I273" s="163">
        <v>510486</v>
      </c>
      <c r="J273" s="166"/>
      <c r="K273" s="11"/>
      <c r="L273" s="11"/>
      <c r="O273" s="11"/>
      <c r="T273" s="11"/>
      <c r="V273" s="11"/>
      <c r="W273" s="11"/>
    </row>
    <row r="274" spans="1:23" ht="12.75" customHeight="1">
      <c r="A274" s="118">
        <v>273</v>
      </c>
      <c r="B274" s="128">
        <v>3</v>
      </c>
      <c r="C274" s="156">
        <v>37377</v>
      </c>
      <c r="D274" s="157" t="s">
        <v>48</v>
      </c>
      <c r="E274" s="8">
        <v>2002</v>
      </c>
      <c r="F274" s="158">
        <f t="shared" si="63"/>
        <v>577</v>
      </c>
      <c r="G274" s="158">
        <f t="shared" si="64"/>
        <v>2</v>
      </c>
      <c r="H274" s="162">
        <v>36800</v>
      </c>
      <c r="I274" s="160">
        <v>407565</v>
      </c>
      <c r="J274" s="166"/>
      <c r="K274" s="11"/>
      <c r="L274" s="11"/>
      <c r="O274" s="11"/>
      <c r="S274" s="155" t="s">
        <v>7</v>
      </c>
      <c r="T274" s="11"/>
      <c r="V274" s="11"/>
      <c r="W274" s="11"/>
    </row>
    <row r="275" spans="1:23" ht="12.75" customHeight="1">
      <c r="A275" s="118">
        <v>274</v>
      </c>
      <c r="B275" s="260">
        <v>3</v>
      </c>
      <c r="C275" s="156">
        <v>37408</v>
      </c>
      <c r="D275" s="157" t="s">
        <v>49</v>
      </c>
      <c r="E275" s="8">
        <v>2002</v>
      </c>
      <c r="F275" s="158">
        <f t="shared" si="63"/>
        <v>608</v>
      </c>
      <c r="G275" s="158">
        <f t="shared" si="64"/>
        <v>2</v>
      </c>
      <c r="H275" s="162">
        <v>36800</v>
      </c>
      <c r="I275" s="160">
        <v>326963</v>
      </c>
      <c r="J275" s="166"/>
      <c r="K275" s="11"/>
      <c r="L275" s="11"/>
      <c r="O275" s="11"/>
      <c r="S275" s="155" t="s">
        <v>7</v>
      </c>
      <c r="T275" s="11"/>
      <c r="V275" s="11"/>
      <c r="W275" s="11"/>
    </row>
    <row r="276" spans="1:23" ht="12.75" customHeight="1">
      <c r="A276" s="118">
        <v>275</v>
      </c>
      <c r="B276" s="260">
        <v>3</v>
      </c>
      <c r="C276" s="156">
        <v>37438</v>
      </c>
      <c r="D276" s="157" t="s">
        <v>50</v>
      </c>
      <c r="E276" s="8">
        <v>2002</v>
      </c>
      <c r="F276" s="158">
        <f t="shared" si="63"/>
        <v>638</v>
      </c>
      <c r="G276" s="158">
        <f t="shared" si="64"/>
        <v>2</v>
      </c>
      <c r="H276" s="162">
        <v>36800</v>
      </c>
      <c r="I276" s="160">
        <v>226598</v>
      </c>
      <c r="J276" s="166"/>
      <c r="K276" s="11"/>
      <c r="L276" s="11"/>
      <c r="O276" s="11"/>
      <c r="S276" s="155" t="s">
        <v>7</v>
      </c>
      <c r="T276" s="11"/>
      <c r="V276" s="11"/>
      <c r="W276" s="11"/>
    </row>
    <row r="277" spans="1:23" ht="12.75" customHeight="1">
      <c r="A277" s="118">
        <v>276</v>
      </c>
      <c r="B277" s="260">
        <v>3</v>
      </c>
      <c r="C277" s="156">
        <v>37469</v>
      </c>
      <c r="D277" s="157" t="s">
        <v>51</v>
      </c>
      <c r="E277" s="8">
        <v>2002</v>
      </c>
      <c r="F277" s="158">
        <f t="shared" si="63"/>
        <v>669</v>
      </c>
      <c r="G277" s="158">
        <f t="shared" si="64"/>
        <v>2</v>
      </c>
      <c r="H277" s="162">
        <v>36800</v>
      </c>
      <c r="I277" s="160">
        <v>143628</v>
      </c>
      <c r="J277" s="166"/>
      <c r="K277" s="11"/>
      <c r="L277" s="11"/>
      <c r="O277" s="11"/>
      <c r="S277" s="155" t="s">
        <v>7</v>
      </c>
      <c r="T277" s="11"/>
      <c r="V277" s="11"/>
      <c r="W277" s="11"/>
    </row>
    <row r="278" spans="1:23" ht="12.75" customHeight="1">
      <c r="A278" s="118">
        <v>277</v>
      </c>
      <c r="B278" s="260">
        <v>3</v>
      </c>
      <c r="C278" s="156">
        <v>37500</v>
      </c>
      <c r="D278" s="157" t="s">
        <v>52</v>
      </c>
      <c r="E278" s="8">
        <v>2002</v>
      </c>
      <c r="F278" s="158">
        <f t="shared" si="63"/>
        <v>700</v>
      </c>
      <c r="G278" s="158">
        <f t="shared" si="64"/>
        <v>2</v>
      </c>
      <c r="H278" s="162">
        <v>36800</v>
      </c>
      <c r="I278" s="160">
        <v>68667</v>
      </c>
      <c r="J278" s="166"/>
      <c r="K278" s="11"/>
      <c r="L278" s="11"/>
      <c r="O278" s="11"/>
      <c r="S278" s="155" t="s">
        <v>7</v>
      </c>
      <c r="T278" s="11"/>
      <c r="V278" s="11"/>
      <c r="W278" s="11"/>
    </row>
    <row r="279" spans="1:23" ht="12.75" customHeight="1">
      <c r="A279" s="118">
        <v>278</v>
      </c>
      <c r="B279" s="128">
        <v>3</v>
      </c>
      <c r="C279" s="156">
        <v>37530</v>
      </c>
      <c r="D279" s="157" t="s">
        <v>53</v>
      </c>
      <c r="E279" s="8">
        <v>2002</v>
      </c>
      <c r="F279" s="158"/>
      <c r="G279" s="162"/>
      <c r="I279" s="160"/>
      <c r="J279" s="11"/>
      <c r="K279" s="11"/>
      <c r="L279" s="11"/>
      <c r="O279" s="11"/>
      <c r="T279" s="11"/>
      <c r="V279" s="11"/>
      <c r="W279" s="11"/>
    </row>
    <row r="280" spans="1:23" ht="12.75" customHeight="1">
      <c r="A280" s="118">
        <v>279</v>
      </c>
      <c r="B280" s="128">
        <v>3</v>
      </c>
      <c r="C280" s="156">
        <v>37561</v>
      </c>
      <c r="D280" s="157" t="s">
        <v>54</v>
      </c>
      <c r="E280" s="8">
        <v>2002</v>
      </c>
      <c r="F280" s="158">
        <v>0</v>
      </c>
      <c r="G280" s="158">
        <f t="shared" ref="G280:G302" si="65">IF(F280&lt;365,1,2)</f>
        <v>1</v>
      </c>
      <c r="H280" s="162">
        <v>37562</v>
      </c>
      <c r="I280" s="163">
        <v>188884</v>
      </c>
      <c r="J280" s="11"/>
      <c r="K280" s="11"/>
      <c r="L280" s="11"/>
      <c r="O280" s="11"/>
      <c r="S280" s="155" t="s">
        <v>11</v>
      </c>
      <c r="T280" s="11"/>
      <c r="V280" s="11"/>
      <c r="W280" s="11"/>
    </row>
    <row r="281" spans="1:23" ht="12.75" customHeight="1">
      <c r="A281" s="118">
        <v>280</v>
      </c>
      <c r="B281" s="128">
        <v>3</v>
      </c>
      <c r="C281" s="156">
        <v>37591</v>
      </c>
      <c r="D281" s="157" t="s">
        <v>55</v>
      </c>
      <c r="E281" s="8">
        <v>2002</v>
      </c>
      <c r="F281" s="158">
        <f t="shared" ref="F281:F302" si="66">C281-H281</f>
        <v>29</v>
      </c>
      <c r="G281" s="158">
        <f t="shared" si="65"/>
        <v>1</v>
      </c>
      <c r="H281" s="162">
        <v>37562</v>
      </c>
      <c r="I281" s="163">
        <v>475022</v>
      </c>
      <c r="J281" s="11"/>
      <c r="K281" s="11"/>
      <c r="L281" s="11"/>
      <c r="O281" s="11"/>
      <c r="S281" s="155" t="s">
        <v>11</v>
      </c>
      <c r="T281" s="11"/>
      <c r="V281" s="11"/>
      <c r="W281" s="11"/>
    </row>
    <row r="282" spans="1:23" ht="12.75" customHeight="1">
      <c r="A282" s="118">
        <v>281</v>
      </c>
      <c r="B282" s="128">
        <v>3</v>
      </c>
      <c r="C282" s="156">
        <v>37622</v>
      </c>
      <c r="D282" s="157" t="s">
        <v>44</v>
      </c>
      <c r="E282" s="8">
        <v>2003</v>
      </c>
      <c r="F282" s="158">
        <f t="shared" si="66"/>
        <v>60</v>
      </c>
      <c r="G282" s="158">
        <f t="shared" si="65"/>
        <v>1</v>
      </c>
      <c r="H282" s="162">
        <v>37562</v>
      </c>
      <c r="I282" s="163">
        <v>578708</v>
      </c>
      <c r="J282" s="173">
        <v>0.05</v>
      </c>
      <c r="K282" s="173">
        <v>0.3</v>
      </c>
      <c r="L282" s="173">
        <v>0.1</v>
      </c>
      <c r="O282" s="173">
        <v>0.25</v>
      </c>
      <c r="Q282" s="11">
        <v>6.8</v>
      </c>
      <c r="R282" s="11">
        <v>28.5</v>
      </c>
      <c r="S282" s="180"/>
      <c r="T282" s="161">
        <f t="shared" ref="T282:T301" si="67">$I282*K282</f>
        <v>173612.4</v>
      </c>
      <c r="U282" s="161">
        <f t="shared" ref="U282:U301" si="68">$I282*L282</f>
        <v>57870.8</v>
      </c>
      <c r="V282" s="161">
        <f t="shared" ref="V282:V302" si="69">$I282*O282</f>
        <v>144677</v>
      </c>
      <c r="W282" s="161">
        <f t="shared" ref="W282:W302" si="70">V282*0.4</f>
        <v>57870.8</v>
      </c>
    </row>
    <row r="283" spans="1:23" ht="12.75" customHeight="1">
      <c r="A283" s="118">
        <v>282</v>
      </c>
      <c r="B283" s="128">
        <v>3</v>
      </c>
      <c r="C283" s="156">
        <v>37653</v>
      </c>
      <c r="D283" s="157" t="s">
        <v>45</v>
      </c>
      <c r="E283" s="8">
        <v>2003</v>
      </c>
      <c r="F283" s="158">
        <f t="shared" si="66"/>
        <v>91</v>
      </c>
      <c r="G283" s="158">
        <f t="shared" si="65"/>
        <v>1</v>
      </c>
      <c r="H283" s="162">
        <v>37562</v>
      </c>
      <c r="I283" s="163">
        <v>553111</v>
      </c>
      <c r="J283" s="173">
        <v>0.35</v>
      </c>
      <c r="K283" s="173">
        <v>0.55000000000000004</v>
      </c>
      <c r="L283" s="173">
        <v>0.125</v>
      </c>
      <c r="M283" s="174">
        <v>0</v>
      </c>
      <c r="O283" s="173">
        <v>2.5000000000000001E-2</v>
      </c>
      <c r="Q283" s="11">
        <v>6.8</v>
      </c>
      <c r="R283" s="11">
        <v>28.5</v>
      </c>
      <c r="T283" s="161">
        <f t="shared" si="67"/>
        <v>304211.05000000005</v>
      </c>
      <c r="U283" s="161">
        <f t="shared" si="68"/>
        <v>69138.875</v>
      </c>
      <c r="V283" s="161">
        <f t="shared" si="69"/>
        <v>13827.775000000001</v>
      </c>
      <c r="W283" s="161">
        <f t="shared" si="70"/>
        <v>5531.1100000000006</v>
      </c>
    </row>
    <row r="284" spans="1:23" ht="12.75" customHeight="1">
      <c r="A284" s="118">
        <v>283</v>
      </c>
      <c r="B284" s="128">
        <v>3</v>
      </c>
      <c r="C284" s="156">
        <v>37681</v>
      </c>
      <c r="D284" s="157" t="s">
        <v>46</v>
      </c>
      <c r="E284" s="8">
        <v>2003</v>
      </c>
      <c r="F284" s="158">
        <f t="shared" si="66"/>
        <v>119</v>
      </c>
      <c r="G284" s="158">
        <f t="shared" si="65"/>
        <v>1</v>
      </c>
      <c r="H284" s="162">
        <v>37562</v>
      </c>
      <c r="I284" s="163">
        <v>551691</v>
      </c>
      <c r="J284" s="173">
        <v>0.31</v>
      </c>
      <c r="K284" s="173">
        <v>0.79</v>
      </c>
      <c r="L284" s="173">
        <v>0.158</v>
      </c>
      <c r="M284" s="174">
        <v>0</v>
      </c>
      <c r="O284" s="173">
        <v>0.13</v>
      </c>
      <c r="Q284" s="11">
        <v>7.64</v>
      </c>
      <c r="R284" s="11">
        <v>31.71</v>
      </c>
      <c r="T284" s="161">
        <f t="shared" si="67"/>
        <v>435835.89</v>
      </c>
      <c r="U284" s="161">
        <f t="shared" si="68"/>
        <v>87167.178</v>
      </c>
      <c r="V284" s="161">
        <f t="shared" si="69"/>
        <v>71719.83</v>
      </c>
      <c r="W284" s="161">
        <f t="shared" si="70"/>
        <v>28687.932000000001</v>
      </c>
    </row>
    <row r="285" spans="1:23" ht="12.75" customHeight="1">
      <c r="A285" s="118">
        <v>284</v>
      </c>
      <c r="B285" s="128">
        <v>3</v>
      </c>
      <c r="C285" s="156">
        <v>37712</v>
      </c>
      <c r="D285" s="157" t="s">
        <v>47</v>
      </c>
      <c r="E285" s="8">
        <v>2003</v>
      </c>
      <c r="F285" s="158">
        <f t="shared" si="66"/>
        <v>150</v>
      </c>
      <c r="G285" s="158">
        <f t="shared" si="65"/>
        <v>1</v>
      </c>
      <c r="H285" s="162">
        <v>37562</v>
      </c>
      <c r="I285" s="163">
        <v>550651</v>
      </c>
      <c r="J285" s="173">
        <v>0.28999999999999998</v>
      </c>
      <c r="K285" s="173">
        <v>0.5</v>
      </c>
      <c r="L285" s="173">
        <v>7.4999999999999997E-2</v>
      </c>
      <c r="M285" s="174">
        <v>0</v>
      </c>
      <c r="O285" s="173">
        <v>0.4</v>
      </c>
      <c r="Q285" s="11">
        <v>8.25</v>
      </c>
      <c r="R285" s="11">
        <v>29.37</v>
      </c>
      <c r="T285" s="161">
        <f t="shared" si="67"/>
        <v>275325.5</v>
      </c>
      <c r="U285" s="161">
        <f t="shared" si="68"/>
        <v>41298.824999999997</v>
      </c>
      <c r="V285" s="161">
        <f t="shared" si="69"/>
        <v>220260.40000000002</v>
      </c>
      <c r="W285" s="161">
        <f t="shared" si="70"/>
        <v>88104.160000000018</v>
      </c>
    </row>
    <row r="286" spans="1:23" ht="12.75" customHeight="1">
      <c r="A286" s="118">
        <v>285</v>
      </c>
      <c r="B286" s="128">
        <v>3</v>
      </c>
      <c r="C286" s="156">
        <v>37742</v>
      </c>
      <c r="D286" s="157" t="s">
        <v>48</v>
      </c>
      <c r="E286" s="8">
        <v>2003</v>
      </c>
      <c r="F286" s="158">
        <f t="shared" si="66"/>
        <v>180</v>
      </c>
      <c r="G286" s="158">
        <f t="shared" si="65"/>
        <v>1</v>
      </c>
      <c r="H286" s="162">
        <v>37562</v>
      </c>
      <c r="I286" s="163">
        <v>548831</v>
      </c>
      <c r="J286" s="173">
        <v>0.24</v>
      </c>
      <c r="K286" s="173">
        <v>0.46</v>
      </c>
      <c r="L286" s="173">
        <v>4.2000000000000003E-2</v>
      </c>
      <c r="M286" s="174">
        <v>0</v>
      </c>
      <c r="O286" s="173">
        <v>0.28999999999999998</v>
      </c>
      <c r="Q286" s="11">
        <v>9.77</v>
      </c>
      <c r="R286" s="11">
        <v>24.38</v>
      </c>
      <c r="T286" s="161">
        <f t="shared" si="67"/>
        <v>252462.26</v>
      </c>
      <c r="U286" s="161">
        <f t="shared" si="68"/>
        <v>23050.902000000002</v>
      </c>
      <c r="V286" s="161">
        <f t="shared" si="69"/>
        <v>159160.99</v>
      </c>
      <c r="W286" s="161">
        <f t="shared" si="70"/>
        <v>63664.396000000001</v>
      </c>
    </row>
    <row r="287" spans="1:23" ht="12.75" customHeight="1">
      <c r="A287" s="118">
        <v>286</v>
      </c>
      <c r="B287" s="128">
        <v>3</v>
      </c>
      <c r="C287" s="156">
        <v>37773</v>
      </c>
      <c r="D287" s="157" t="s">
        <v>49</v>
      </c>
      <c r="E287" s="8">
        <v>2003</v>
      </c>
      <c r="F287" s="158">
        <f t="shared" si="66"/>
        <v>211</v>
      </c>
      <c r="G287" s="158">
        <f t="shared" si="65"/>
        <v>1</v>
      </c>
      <c r="H287" s="162">
        <v>37562</v>
      </c>
      <c r="I287" s="163">
        <v>547185</v>
      </c>
      <c r="J287" s="173">
        <v>0.01</v>
      </c>
      <c r="K287" s="173">
        <v>0.2</v>
      </c>
      <c r="L287" s="173">
        <v>2.5000000000000001E-2</v>
      </c>
      <c r="M287" s="174">
        <v>0</v>
      </c>
      <c r="O287" s="173">
        <v>0.02</v>
      </c>
      <c r="Q287" s="11">
        <v>10.38</v>
      </c>
      <c r="R287" s="11">
        <v>18.899999999999999</v>
      </c>
      <c r="T287" s="161">
        <f t="shared" si="67"/>
        <v>109437</v>
      </c>
      <c r="U287" s="161">
        <f t="shared" si="68"/>
        <v>13679.625</v>
      </c>
      <c r="V287" s="161">
        <f t="shared" si="69"/>
        <v>10943.7</v>
      </c>
      <c r="W287" s="161">
        <f t="shared" si="70"/>
        <v>4377.4800000000005</v>
      </c>
    </row>
    <row r="288" spans="1:23" ht="12.75" customHeight="1">
      <c r="A288" s="118">
        <v>287</v>
      </c>
      <c r="B288" s="128">
        <v>3</v>
      </c>
      <c r="C288" s="156">
        <v>37803</v>
      </c>
      <c r="D288" s="157" t="s">
        <v>50</v>
      </c>
      <c r="E288" s="8">
        <v>2003</v>
      </c>
      <c r="F288" s="158">
        <f t="shared" si="66"/>
        <v>241</v>
      </c>
      <c r="G288" s="158">
        <f t="shared" si="65"/>
        <v>1</v>
      </c>
      <c r="H288" s="162">
        <v>37562</v>
      </c>
      <c r="I288" s="163">
        <v>545755</v>
      </c>
      <c r="J288" s="173">
        <v>0.02</v>
      </c>
      <c r="K288" s="173">
        <v>0.23</v>
      </c>
      <c r="L288" s="173">
        <v>0.1</v>
      </c>
      <c r="M288" s="174">
        <v>0</v>
      </c>
      <c r="O288" s="173">
        <v>0</v>
      </c>
      <c r="Q288" s="11">
        <v>11.5</v>
      </c>
      <c r="R288" s="11">
        <v>16.16</v>
      </c>
      <c r="T288" s="161">
        <f t="shared" si="67"/>
        <v>125523.65000000001</v>
      </c>
      <c r="U288" s="161">
        <f t="shared" si="68"/>
        <v>54575.5</v>
      </c>
      <c r="V288" s="161">
        <f t="shared" si="69"/>
        <v>0</v>
      </c>
      <c r="W288" s="161">
        <f t="shared" si="70"/>
        <v>0</v>
      </c>
    </row>
    <row r="289" spans="1:23" ht="12.75" customHeight="1">
      <c r="A289" s="118">
        <v>288</v>
      </c>
      <c r="B289" s="128">
        <v>3</v>
      </c>
      <c r="C289" s="156">
        <v>37834</v>
      </c>
      <c r="D289" s="157" t="s">
        <v>51</v>
      </c>
      <c r="E289" s="8">
        <v>2003</v>
      </c>
      <c r="F289" s="158">
        <f t="shared" si="66"/>
        <v>272</v>
      </c>
      <c r="G289" s="158">
        <f t="shared" si="65"/>
        <v>1</v>
      </c>
      <c r="H289" s="162">
        <v>37562</v>
      </c>
      <c r="I289" s="163">
        <v>545386</v>
      </c>
      <c r="J289" s="173">
        <v>0</v>
      </c>
      <c r="K289" s="173">
        <v>0.43</v>
      </c>
      <c r="L289" s="173">
        <v>0.3</v>
      </c>
      <c r="O289" s="173">
        <v>0</v>
      </c>
      <c r="Q289" s="11">
        <v>11.63</v>
      </c>
      <c r="R289" s="11">
        <v>18.87</v>
      </c>
      <c r="T289" s="161">
        <f t="shared" si="67"/>
        <v>234515.98</v>
      </c>
      <c r="U289" s="161">
        <f t="shared" si="68"/>
        <v>163615.79999999999</v>
      </c>
      <c r="V289" s="161">
        <f t="shared" si="69"/>
        <v>0</v>
      </c>
      <c r="W289" s="161">
        <f t="shared" si="70"/>
        <v>0</v>
      </c>
    </row>
    <row r="290" spans="1:23" ht="12.75" customHeight="1">
      <c r="A290" s="118">
        <v>289</v>
      </c>
      <c r="B290" s="128">
        <v>3</v>
      </c>
      <c r="C290" s="156">
        <v>37865</v>
      </c>
      <c r="D290" s="157" t="s">
        <v>52</v>
      </c>
      <c r="E290" s="8">
        <v>2003</v>
      </c>
      <c r="F290" s="158">
        <f t="shared" si="66"/>
        <v>303</v>
      </c>
      <c r="G290" s="158">
        <f t="shared" si="65"/>
        <v>1</v>
      </c>
      <c r="H290" s="162">
        <v>37562</v>
      </c>
      <c r="I290" s="163">
        <v>544952</v>
      </c>
      <c r="J290" s="173"/>
      <c r="K290" s="165">
        <f>(K289+K291)/2</f>
        <v>0.35</v>
      </c>
      <c r="L290" s="165">
        <f>(L289+L291)/2</f>
        <v>0.25</v>
      </c>
      <c r="N290" s="528">
        <v>1</v>
      </c>
      <c r="O290" s="165">
        <f>(O289+O291)/2</f>
        <v>2.5000000000000001E-2</v>
      </c>
      <c r="Q290" s="11">
        <v>10.87</v>
      </c>
      <c r="R290" s="11">
        <v>20.5</v>
      </c>
      <c r="T290" s="161">
        <f t="shared" si="67"/>
        <v>190733.19999999998</v>
      </c>
      <c r="U290" s="161">
        <f t="shared" si="68"/>
        <v>136238</v>
      </c>
      <c r="V290" s="161">
        <f t="shared" si="69"/>
        <v>13623.800000000001</v>
      </c>
      <c r="W290" s="161">
        <f t="shared" si="70"/>
        <v>5449.52</v>
      </c>
    </row>
    <row r="291" spans="1:23" ht="12.75" customHeight="1">
      <c r="A291" s="118">
        <v>290</v>
      </c>
      <c r="B291" s="128">
        <v>3</v>
      </c>
      <c r="C291" s="156">
        <v>37895</v>
      </c>
      <c r="D291" s="157" t="s">
        <v>53</v>
      </c>
      <c r="E291" s="8">
        <v>2003</v>
      </c>
      <c r="F291" s="158">
        <f t="shared" si="66"/>
        <v>333</v>
      </c>
      <c r="G291" s="158">
        <f t="shared" si="65"/>
        <v>1</v>
      </c>
      <c r="H291" s="162">
        <v>37562</v>
      </c>
      <c r="I291" s="163">
        <v>544458</v>
      </c>
      <c r="J291" s="15">
        <v>0.08</v>
      </c>
      <c r="K291" s="15">
        <v>0.27</v>
      </c>
      <c r="L291" s="15">
        <v>0.2</v>
      </c>
      <c r="O291" s="15">
        <v>0.05</v>
      </c>
      <c r="Q291" s="11">
        <v>9.4</v>
      </c>
      <c r="T291" s="161">
        <f t="shared" si="67"/>
        <v>147003.66</v>
      </c>
      <c r="U291" s="161">
        <f t="shared" si="68"/>
        <v>108891.6</v>
      </c>
      <c r="V291" s="161">
        <f t="shared" si="69"/>
        <v>27222.9</v>
      </c>
      <c r="W291" s="161">
        <f t="shared" si="70"/>
        <v>10889.160000000002</v>
      </c>
    </row>
    <row r="292" spans="1:23" ht="12.75" customHeight="1">
      <c r="A292" s="118">
        <v>291</v>
      </c>
      <c r="B292" s="128">
        <v>3</v>
      </c>
      <c r="C292" s="156">
        <v>37926</v>
      </c>
      <c r="D292" s="157" t="s">
        <v>54</v>
      </c>
      <c r="E292" s="8">
        <v>2003</v>
      </c>
      <c r="F292" s="158">
        <f t="shared" si="66"/>
        <v>364</v>
      </c>
      <c r="G292" s="158">
        <f t="shared" si="65"/>
        <v>1</v>
      </c>
      <c r="H292" s="162">
        <v>37562</v>
      </c>
      <c r="I292" s="163">
        <v>556797</v>
      </c>
      <c r="J292" s="15">
        <v>0</v>
      </c>
      <c r="K292" s="15">
        <v>0.45</v>
      </c>
      <c r="L292" s="15">
        <v>0.13</v>
      </c>
      <c r="M292" s="174">
        <v>0</v>
      </c>
      <c r="O292" s="15">
        <v>0.03</v>
      </c>
      <c r="Q292" s="11">
        <v>8.4</v>
      </c>
      <c r="R292" s="11">
        <v>30</v>
      </c>
      <c r="T292" s="161">
        <f t="shared" si="67"/>
        <v>250558.65</v>
      </c>
      <c r="U292" s="161">
        <f t="shared" si="68"/>
        <v>72383.61</v>
      </c>
      <c r="V292" s="161">
        <f t="shared" si="69"/>
        <v>16703.91</v>
      </c>
      <c r="W292" s="161">
        <f t="shared" si="70"/>
        <v>6681.5640000000003</v>
      </c>
    </row>
    <row r="293" spans="1:23" ht="12.75" customHeight="1">
      <c r="A293" s="118">
        <v>292</v>
      </c>
      <c r="B293" s="128">
        <v>3</v>
      </c>
      <c r="C293" s="156">
        <v>37956</v>
      </c>
      <c r="D293" s="157" t="s">
        <v>55</v>
      </c>
      <c r="E293" s="8">
        <v>2003</v>
      </c>
      <c r="F293" s="158">
        <f t="shared" si="66"/>
        <v>394</v>
      </c>
      <c r="G293" s="158">
        <f t="shared" si="65"/>
        <v>2</v>
      </c>
      <c r="H293" s="162">
        <v>37562</v>
      </c>
      <c r="I293" s="163">
        <v>556103</v>
      </c>
      <c r="J293" s="15">
        <v>0</v>
      </c>
      <c r="K293" s="15">
        <v>0.14000000000000001</v>
      </c>
      <c r="L293" s="15">
        <v>0.06</v>
      </c>
      <c r="M293" s="174">
        <v>0</v>
      </c>
      <c r="O293" s="15">
        <v>0</v>
      </c>
      <c r="Q293" s="11">
        <v>6.9</v>
      </c>
      <c r="R293" s="11">
        <v>30</v>
      </c>
      <c r="T293" s="161">
        <f t="shared" si="67"/>
        <v>77854.420000000013</v>
      </c>
      <c r="U293" s="161">
        <f t="shared" si="68"/>
        <v>33366.18</v>
      </c>
      <c r="V293" s="161">
        <f t="shared" si="69"/>
        <v>0</v>
      </c>
      <c r="W293" s="161">
        <f t="shared" si="70"/>
        <v>0</v>
      </c>
    </row>
    <row r="294" spans="1:23" ht="12.75" customHeight="1">
      <c r="A294" s="118">
        <v>293</v>
      </c>
      <c r="B294" s="128">
        <v>3</v>
      </c>
      <c r="C294" s="156">
        <v>37987</v>
      </c>
      <c r="D294" s="157" t="s">
        <v>44</v>
      </c>
      <c r="E294" s="8">
        <v>2004</v>
      </c>
      <c r="F294" s="158">
        <f t="shared" si="66"/>
        <v>425</v>
      </c>
      <c r="G294" s="158">
        <f t="shared" si="65"/>
        <v>2</v>
      </c>
      <c r="H294" s="162">
        <v>37562</v>
      </c>
      <c r="I294" s="163">
        <v>556103</v>
      </c>
      <c r="J294" s="15">
        <v>0.02</v>
      </c>
      <c r="K294" s="15">
        <v>0.33</v>
      </c>
      <c r="L294" s="15">
        <v>0.15</v>
      </c>
      <c r="M294" s="174">
        <v>0</v>
      </c>
      <c r="O294" s="15">
        <v>7.0000000000000007E-2</v>
      </c>
      <c r="Q294" s="11">
        <v>6.24</v>
      </c>
      <c r="R294" s="11">
        <v>32.119999999999997</v>
      </c>
      <c r="T294" s="161">
        <f t="shared" si="67"/>
        <v>183513.99000000002</v>
      </c>
      <c r="U294" s="161">
        <f t="shared" si="68"/>
        <v>83415.45</v>
      </c>
      <c r="V294" s="161">
        <f t="shared" si="69"/>
        <v>38927.210000000006</v>
      </c>
      <c r="W294" s="161">
        <f t="shared" si="70"/>
        <v>15570.884000000004</v>
      </c>
    </row>
    <row r="295" spans="1:23" ht="12.75" customHeight="1">
      <c r="A295" s="118">
        <v>294</v>
      </c>
      <c r="B295" s="128">
        <v>3</v>
      </c>
      <c r="C295" s="156">
        <v>38018</v>
      </c>
      <c r="D295" s="157" t="s">
        <v>45</v>
      </c>
      <c r="E295" s="8">
        <v>2004</v>
      </c>
      <c r="F295" s="158">
        <f t="shared" si="66"/>
        <v>456</v>
      </c>
      <c r="G295" s="158">
        <f t="shared" si="65"/>
        <v>2</v>
      </c>
      <c r="H295" s="162">
        <v>37562</v>
      </c>
      <c r="I295" s="163">
        <v>556103</v>
      </c>
      <c r="J295" s="15">
        <v>0.3</v>
      </c>
      <c r="K295" s="15">
        <v>2.5</v>
      </c>
      <c r="L295" s="15">
        <v>1.3</v>
      </c>
      <c r="M295" s="174">
        <v>0</v>
      </c>
      <c r="O295" s="15">
        <v>0</v>
      </c>
      <c r="Q295" s="11">
        <v>6.63</v>
      </c>
      <c r="R295" s="11">
        <v>32.43</v>
      </c>
      <c r="T295" s="161">
        <f t="shared" si="67"/>
        <v>1390257.5</v>
      </c>
      <c r="U295" s="161">
        <f t="shared" si="68"/>
        <v>722933.9</v>
      </c>
      <c r="V295" s="161">
        <f t="shared" si="69"/>
        <v>0</v>
      </c>
      <c r="W295" s="161">
        <f t="shared" si="70"/>
        <v>0</v>
      </c>
    </row>
    <row r="296" spans="1:23" ht="12.75" customHeight="1">
      <c r="A296" s="118">
        <v>295</v>
      </c>
      <c r="B296" s="128">
        <v>3</v>
      </c>
      <c r="C296" s="156">
        <v>38047</v>
      </c>
      <c r="D296" s="157" t="s">
        <v>46</v>
      </c>
      <c r="E296" s="8">
        <v>2004</v>
      </c>
      <c r="F296" s="158">
        <f t="shared" si="66"/>
        <v>485</v>
      </c>
      <c r="G296" s="158">
        <f t="shared" si="65"/>
        <v>2</v>
      </c>
      <c r="H296" s="162">
        <v>37562</v>
      </c>
      <c r="I296" s="194">
        <v>553816</v>
      </c>
      <c r="J296" s="15">
        <v>0.7</v>
      </c>
      <c r="K296" s="15">
        <v>4.0999999999999996</v>
      </c>
      <c r="L296" s="15">
        <v>2.1</v>
      </c>
      <c r="M296" s="174">
        <v>0</v>
      </c>
      <c r="O296" s="15">
        <v>0</v>
      </c>
      <c r="Q296" s="11">
        <v>7.31</v>
      </c>
      <c r="R296" s="11">
        <v>29.44</v>
      </c>
      <c r="T296" s="161">
        <f t="shared" si="67"/>
        <v>2270645.5999999996</v>
      </c>
      <c r="U296" s="161">
        <f t="shared" si="68"/>
        <v>1163013.6000000001</v>
      </c>
      <c r="V296" s="161">
        <f t="shared" si="69"/>
        <v>0</v>
      </c>
      <c r="W296" s="161">
        <f t="shared" si="70"/>
        <v>0</v>
      </c>
    </row>
    <row r="297" spans="1:23" ht="12.75" customHeight="1">
      <c r="A297" s="118">
        <v>296</v>
      </c>
      <c r="B297" s="128">
        <v>3</v>
      </c>
      <c r="C297" s="156">
        <v>38078</v>
      </c>
      <c r="D297" s="157" t="s">
        <v>47</v>
      </c>
      <c r="E297" s="8">
        <v>2004</v>
      </c>
      <c r="F297" s="158">
        <f t="shared" si="66"/>
        <v>516</v>
      </c>
      <c r="G297" s="158">
        <f t="shared" si="65"/>
        <v>2</v>
      </c>
      <c r="H297" s="162">
        <v>37562</v>
      </c>
      <c r="I297" s="194">
        <v>552829</v>
      </c>
      <c r="J297" s="15">
        <v>1.89</v>
      </c>
      <c r="K297" s="15">
        <v>17.43</v>
      </c>
      <c r="L297" s="15">
        <v>4.6500000000000004</v>
      </c>
      <c r="M297" s="174">
        <v>0</v>
      </c>
      <c r="O297" s="15">
        <v>0.14000000000000001</v>
      </c>
      <c r="Q297" s="11">
        <v>8.4</v>
      </c>
      <c r="R297" s="11">
        <v>27.3</v>
      </c>
      <c r="T297" s="161">
        <f t="shared" si="67"/>
        <v>9635809.4700000007</v>
      </c>
      <c r="U297" s="161">
        <f t="shared" si="68"/>
        <v>2570654.85</v>
      </c>
      <c r="V297" s="161">
        <f t="shared" si="69"/>
        <v>77396.060000000012</v>
      </c>
      <c r="W297" s="161">
        <f t="shared" si="70"/>
        <v>30958.424000000006</v>
      </c>
    </row>
    <row r="298" spans="1:23" ht="12.75" customHeight="1">
      <c r="A298" s="118">
        <v>297</v>
      </c>
      <c r="B298" s="128">
        <v>3</v>
      </c>
      <c r="C298" s="156">
        <v>38108</v>
      </c>
      <c r="D298" s="157" t="s">
        <v>48</v>
      </c>
      <c r="E298" s="8">
        <v>2004</v>
      </c>
      <c r="F298" s="158">
        <f t="shared" si="66"/>
        <v>546</v>
      </c>
      <c r="G298" s="158">
        <f t="shared" si="65"/>
        <v>2</v>
      </c>
      <c r="H298" s="162">
        <v>37562</v>
      </c>
      <c r="I298" s="194">
        <v>473021</v>
      </c>
      <c r="J298" s="15">
        <v>1.45</v>
      </c>
      <c r="K298" s="15">
        <v>22.5</v>
      </c>
      <c r="L298" s="15">
        <v>13.2</v>
      </c>
      <c r="M298" s="174">
        <v>2</v>
      </c>
      <c r="O298" s="15">
        <v>0.15</v>
      </c>
      <c r="P298" s="8">
        <v>1</v>
      </c>
      <c r="Q298" s="11">
        <v>9.66</v>
      </c>
      <c r="R298" s="11">
        <v>23.68</v>
      </c>
      <c r="T298" s="161">
        <f t="shared" si="67"/>
        <v>10642972.5</v>
      </c>
      <c r="U298" s="161">
        <f t="shared" si="68"/>
        <v>6243877.1999999993</v>
      </c>
      <c r="V298" s="161">
        <f t="shared" si="69"/>
        <v>70953.149999999994</v>
      </c>
      <c r="W298" s="161">
        <f t="shared" si="70"/>
        <v>28381.26</v>
      </c>
    </row>
    <row r="299" spans="1:23" ht="12.75" customHeight="1">
      <c r="A299" s="118">
        <v>298</v>
      </c>
      <c r="B299" s="128">
        <v>3</v>
      </c>
      <c r="C299" s="156">
        <v>38139</v>
      </c>
      <c r="D299" s="157" t="s">
        <v>49</v>
      </c>
      <c r="E299" s="8">
        <v>2004</v>
      </c>
      <c r="F299" s="158">
        <f t="shared" si="66"/>
        <v>577</v>
      </c>
      <c r="G299" s="158">
        <f t="shared" si="65"/>
        <v>2</v>
      </c>
      <c r="H299" s="162">
        <v>37562</v>
      </c>
      <c r="I299" s="194">
        <v>326518</v>
      </c>
      <c r="J299" s="15">
        <v>0.2</v>
      </c>
      <c r="K299" s="15">
        <v>3.4</v>
      </c>
      <c r="L299" s="15">
        <v>1.8</v>
      </c>
      <c r="M299" s="174">
        <v>0</v>
      </c>
      <c r="O299" s="15">
        <v>0</v>
      </c>
      <c r="Q299" s="11">
        <v>10.67</v>
      </c>
      <c r="R299" s="11">
        <v>18.53</v>
      </c>
      <c r="T299" s="161">
        <f t="shared" si="67"/>
        <v>1110161.2</v>
      </c>
      <c r="U299" s="161">
        <f t="shared" si="68"/>
        <v>587732.4</v>
      </c>
      <c r="V299" s="161">
        <f t="shared" si="69"/>
        <v>0</v>
      </c>
      <c r="W299" s="161">
        <f t="shared" si="70"/>
        <v>0</v>
      </c>
    </row>
    <row r="300" spans="1:23" ht="12.75" customHeight="1">
      <c r="A300" s="118">
        <v>299</v>
      </c>
      <c r="B300" s="128">
        <v>3</v>
      </c>
      <c r="C300" s="156">
        <v>38169</v>
      </c>
      <c r="D300" s="157" t="s">
        <v>50</v>
      </c>
      <c r="E300" s="8">
        <v>2004</v>
      </c>
      <c r="F300" s="158">
        <f t="shared" si="66"/>
        <v>607</v>
      </c>
      <c r="G300" s="158">
        <f t="shared" si="65"/>
        <v>2</v>
      </c>
      <c r="H300" s="162">
        <v>37562</v>
      </c>
      <c r="I300" s="194">
        <v>325063</v>
      </c>
      <c r="J300" s="15">
        <v>0.1</v>
      </c>
      <c r="K300" s="15">
        <v>2.7</v>
      </c>
      <c r="L300" s="15">
        <v>1.4</v>
      </c>
      <c r="M300" s="174">
        <v>0</v>
      </c>
      <c r="O300" s="15">
        <v>0</v>
      </c>
      <c r="Q300" s="11">
        <v>11.71</v>
      </c>
      <c r="R300" s="11">
        <v>17.059999999999999</v>
      </c>
      <c r="T300" s="161">
        <f t="shared" si="67"/>
        <v>877670.10000000009</v>
      </c>
      <c r="U300" s="161">
        <f t="shared" si="68"/>
        <v>455088.19999999995</v>
      </c>
      <c r="V300" s="161">
        <f t="shared" si="69"/>
        <v>0</v>
      </c>
      <c r="W300" s="161">
        <f t="shared" si="70"/>
        <v>0</v>
      </c>
    </row>
    <row r="301" spans="1:23" ht="12.75" customHeight="1">
      <c r="A301" s="118">
        <v>300</v>
      </c>
      <c r="B301" s="128">
        <v>3</v>
      </c>
      <c r="C301" s="156">
        <v>38200</v>
      </c>
      <c r="D301" s="157" t="s">
        <v>51</v>
      </c>
      <c r="E301" s="8">
        <v>2004</v>
      </c>
      <c r="F301" s="158">
        <f t="shared" si="66"/>
        <v>638</v>
      </c>
      <c r="G301" s="158">
        <f t="shared" si="65"/>
        <v>2</v>
      </c>
      <c r="H301" s="162">
        <v>37562</v>
      </c>
      <c r="I301" s="198">
        <v>150000</v>
      </c>
      <c r="J301" s="15">
        <v>0.21</v>
      </c>
      <c r="K301" s="15">
        <v>1.94</v>
      </c>
      <c r="L301" s="15">
        <v>0.54</v>
      </c>
      <c r="O301" s="15">
        <v>0</v>
      </c>
      <c r="Q301" s="11">
        <v>12.49</v>
      </c>
      <c r="R301" s="11">
        <v>15.68</v>
      </c>
      <c r="T301" s="161">
        <f t="shared" si="67"/>
        <v>291000</v>
      </c>
      <c r="U301" s="161">
        <f t="shared" si="68"/>
        <v>81000</v>
      </c>
      <c r="V301" s="161">
        <f t="shared" si="69"/>
        <v>0</v>
      </c>
      <c r="W301" s="161">
        <f t="shared" si="70"/>
        <v>0</v>
      </c>
    </row>
    <row r="302" spans="1:23" ht="12.75" customHeight="1">
      <c r="A302" s="118">
        <v>301</v>
      </c>
      <c r="B302" s="128">
        <v>3</v>
      </c>
      <c r="C302" s="156">
        <v>38231</v>
      </c>
      <c r="D302" s="157" t="s">
        <v>52</v>
      </c>
      <c r="E302" s="8">
        <v>2004</v>
      </c>
      <c r="F302" s="158">
        <f t="shared" si="66"/>
        <v>669</v>
      </c>
      <c r="G302" s="158">
        <f t="shared" si="65"/>
        <v>2</v>
      </c>
      <c r="H302" s="162">
        <v>37562</v>
      </c>
      <c r="I302" s="198">
        <v>50000</v>
      </c>
      <c r="L302" s="165">
        <v>0.25</v>
      </c>
      <c r="N302" s="528" t="s">
        <v>795</v>
      </c>
      <c r="O302" s="165">
        <v>0</v>
      </c>
      <c r="U302" s="161">
        <f>$I302*L302</f>
        <v>12500</v>
      </c>
      <c r="V302" s="161">
        <f t="shared" si="69"/>
        <v>0</v>
      </c>
      <c r="W302" s="161">
        <f t="shared" si="70"/>
        <v>0</v>
      </c>
    </row>
    <row r="303" spans="1:23" ht="12.75" customHeight="1">
      <c r="A303" s="118">
        <v>302</v>
      </c>
      <c r="B303" s="128">
        <v>3</v>
      </c>
      <c r="C303" s="156">
        <v>38261</v>
      </c>
      <c r="D303" s="157" t="s">
        <v>53</v>
      </c>
      <c r="E303" s="8">
        <v>2004</v>
      </c>
      <c r="F303" s="158"/>
      <c r="H303" s="162"/>
      <c r="I303" s="194"/>
    </row>
    <row r="304" spans="1:23" ht="12.75" customHeight="1">
      <c r="A304" s="118">
        <v>303</v>
      </c>
      <c r="B304" s="128">
        <v>3</v>
      </c>
      <c r="C304" s="156">
        <v>38292</v>
      </c>
      <c r="D304" s="157" t="s">
        <v>54</v>
      </c>
      <c r="E304" s="8">
        <v>2004</v>
      </c>
      <c r="F304" s="158"/>
      <c r="H304" s="162"/>
      <c r="I304" s="194"/>
    </row>
    <row r="305" spans="1:23" ht="12.75" customHeight="1">
      <c r="A305" s="118">
        <v>304</v>
      </c>
      <c r="B305" s="128">
        <v>3</v>
      </c>
      <c r="C305" s="156">
        <v>38322</v>
      </c>
      <c r="D305" s="157" t="s">
        <v>55</v>
      </c>
      <c r="E305" s="8">
        <v>2004</v>
      </c>
      <c r="F305" s="158"/>
      <c r="H305" s="162"/>
      <c r="I305" s="194"/>
    </row>
    <row r="306" spans="1:23" ht="12.75" customHeight="1">
      <c r="A306" s="118">
        <v>305</v>
      </c>
      <c r="B306" s="128">
        <v>3</v>
      </c>
      <c r="C306" s="156">
        <v>38353</v>
      </c>
      <c r="D306" s="157" t="s">
        <v>44</v>
      </c>
      <c r="E306" s="8">
        <v>2005</v>
      </c>
      <c r="F306" s="158">
        <f t="shared" ref="F306:F322" si="71">C306-H306</f>
        <v>31</v>
      </c>
      <c r="G306" s="158">
        <f t="shared" ref="G306:G322" si="72">IF(F306&lt;365,1,2)</f>
        <v>1</v>
      </c>
      <c r="H306" s="162">
        <v>38322</v>
      </c>
      <c r="I306" s="198">
        <v>660000</v>
      </c>
      <c r="J306" s="15">
        <v>0.13</v>
      </c>
      <c r="K306" s="15">
        <v>0.57999999999999996</v>
      </c>
      <c r="L306" s="15">
        <v>0.15</v>
      </c>
      <c r="O306" s="15">
        <v>0</v>
      </c>
      <c r="Q306" s="11">
        <v>8</v>
      </c>
      <c r="R306" s="11">
        <v>24</v>
      </c>
      <c r="T306" s="161">
        <f t="shared" ref="T306:T322" si="73">$I306*K306</f>
        <v>382800</v>
      </c>
      <c r="U306" s="161">
        <f t="shared" ref="U306:U322" si="74">$I306*L306</f>
        <v>99000</v>
      </c>
      <c r="V306" s="161">
        <f t="shared" ref="V306:V322" si="75">$I306*O306</f>
        <v>0</v>
      </c>
      <c r="W306" s="161">
        <f t="shared" ref="W306:W322" si="76">V306*0.4</f>
        <v>0</v>
      </c>
    </row>
    <row r="307" spans="1:23" ht="12.75" customHeight="1">
      <c r="A307" s="118">
        <v>306</v>
      </c>
      <c r="B307" s="128">
        <v>3</v>
      </c>
      <c r="C307" s="156">
        <v>38384</v>
      </c>
      <c r="D307" s="157" t="s">
        <v>45</v>
      </c>
      <c r="E307" s="8">
        <v>2005</v>
      </c>
      <c r="F307" s="158">
        <f t="shared" si="71"/>
        <v>62</v>
      </c>
      <c r="G307" s="158">
        <f t="shared" si="72"/>
        <v>1</v>
      </c>
      <c r="H307" s="162">
        <v>38322</v>
      </c>
      <c r="I307" s="198">
        <v>656000</v>
      </c>
      <c r="J307" s="15">
        <v>0.15</v>
      </c>
      <c r="K307" s="15">
        <v>0.98</v>
      </c>
      <c r="L307" s="15">
        <v>0.28000000000000003</v>
      </c>
      <c r="M307" s="174">
        <v>0</v>
      </c>
      <c r="O307" s="15">
        <v>0</v>
      </c>
      <c r="Q307" s="11">
        <v>9</v>
      </c>
      <c r="R307" s="11">
        <v>22</v>
      </c>
      <c r="T307" s="161">
        <f t="shared" si="73"/>
        <v>642880</v>
      </c>
      <c r="U307" s="161">
        <f t="shared" si="74"/>
        <v>183680.00000000003</v>
      </c>
      <c r="V307" s="161">
        <f t="shared" si="75"/>
        <v>0</v>
      </c>
      <c r="W307" s="161">
        <f t="shared" si="76"/>
        <v>0</v>
      </c>
    </row>
    <row r="308" spans="1:23" ht="12.75" customHeight="1">
      <c r="A308" s="118">
        <v>307</v>
      </c>
      <c r="B308" s="128">
        <v>3</v>
      </c>
      <c r="C308" s="156">
        <v>38412</v>
      </c>
      <c r="D308" s="157" t="s">
        <v>46</v>
      </c>
      <c r="E308" s="8">
        <v>2005</v>
      </c>
      <c r="F308" s="158">
        <f t="shared" si="71"/>
        <v>90</v>
      </c>
      <c r="G308" s="158">
        <f t="shared" si="72"/>
        <v>1</v>
      </c>
      <c r="H308" s="162">
        <v>38322</v>
      </c>
      <c r="I308" s="194">
        <v>653851</v>
      </c>
      <c r="J308" s="15">
        <v>1.38</v>
      </c>
      <c r="K308" s="15">
        <v>1.48</v>
      </c>
      <c r="L308" s="15">
        <v>0.27</v>
      </c>
      <c r="M308" s="174">
        <v>0</v>
      </c>
      <c r="O308" s="15">
        <v>1.42</v>
      </c>
      <c r="Q308" s="11">
        <v>9</v>
      </c>
      <c r="R308" s="11">
        <v>27</v>
      </c>
      <c r="T308" s="161">
        <f t="shared" si="73"/>
        <v>967699.48</v>
      </c>
      <c r="U308" s="161">
        <f t="shared" si="74"/>
        <v>176539.77000000002</v>
      </c>
      <c r="V308" s="161">
        <f t="shared" si="75"/>
        <v>928468.41999999993</v>
      </c>
      <c r="W308" s="161">
        <f t="shared" si="76"/>
        <v>371387.36800000002</v>
      </c>
    </row>
    <row r="309" spans="1:23" ht="12.75" customHeight="1">
      <c r="A309" s="118">
        <v>308</v>
      </c>
      <c r="B309" s="128">
        <v>3</v>
      </c>
      <c r="C309" s="156">
        <v>38443</v>
      </c>
      <c r="D309" s="157" t="s">
        <v>47</v>
      </c>
      <c r="E309" s="8">
        <v>2005</v>
      </c>
      <c r="F309" s="158">
        <f t="shared" si="71"/>
        <v>121</v>
      </c>
      <c r="G309" s="158">
        <f t="shared" si="72"/>
        <v>1</v>
      </c>
      <c r="H309" s="162">
        <v>38322</v>
      </c>
      <c r="I309" s="194">
        <v>652347</v>
      </c>
      <c r="J309" s="15">
        <v>0.48</v>
      </c>
      <c r="K309" s="15">
        <v>1.08</v>
      </c>
      <c r="L309" s="15">
        <v>0.41</v>
      </c>
      <c r="M309" s="174">
        <v>1</v>
      </c>
      <c r="O309" s="15">
        <v>0.42</v>
      </c>
      <c r="Q309" s="11">
        <v>9</v>
      </c>
      <c r="R309" s="11">
        <v>25</v>
      </c>
      <c r="T309" s="161">
        <f t="shared" si="73"/>
        <v>704534.76</v>
      </c>
      <c r="U309" s="161">
        <f t="shared" si="74"/>
        <v>267462.26999999996</v>
      </c>
      <c r="V309" s="161">
        <f t="shared" si="75"/>
        <v>273985.74</v>
      </c>
      <c r="W309" s="161">
        <f t="shared" si="76"/>
        <v>109594.296</v>
      </c>
    </row>
    <row r="310" spans="1:23" ht="12.75" customHeight="1">
      <c r="A310" s="118">
        <v>309</v>
      </c>
      <c r="B310" s="128">
        <v>3</v>
      </c>
      <c r="C310" s="156">
        <v>38473</v>
      </c>
      <c r="D310" s="157" t="s">
        <v>48</v>
      </c>
      <c r="E310" s="8">
        <v>2005</v>
      </c>
      <c r="F310" s="158">
        <f t="shared" si="71"/>
        <v>151</v>
      </c>
      <c r="G310" s="158">
        <f t="shared" si="72"/>
        <v>1</v>
      </c>
      <c r="H310" s="162">
        <v>38322</v>
      </c>
      <c r="I310" s="194">
        <v>649271</v>
      </c>
      <c r="J310" s="15">
        <v>0.18</v>
      </c>
      <c r="K310" s="15">
        <v>0.88</v>
      </c>
      <c r="L310" s="15">
        <v>0.3</v>
      </c>
      <c r="M310" s="174">
        <v>1</v>
      </c>
      <c r="O310" s="15">
        <v>0.02</v>
      </c>
      <c r="Q310" s="11">
        <v>11</v>
      </c>
      <c r="R310" s="11">
        <v>22</v>
      </c>
      <c r="T310" s="161">
        <f t="shared" si="73"/>
        <v>571358.48</v>
      </c>
      <c r="U310" s="161">
        <f t="shared" si="74"/>
        <v>194781.3</v>
      </c>
      <c r="V310" s="161">
        <f t="shared" si="75"/>
        <v>12985.42</v>
      </c>
      <c r="W310" s="161">
        <f t="shared" si="76"/>
        <v>5194.1680000000006</v>
      </c>
    </row>
    <row r="311" spans="1:23" ht="12.75" customHeight="1">
      <c r="A311" s="118">
        <v>310</v>
      </c>
      <c r="B311" s="128">
        <v>3</v>
      </c>
      <c r="C311" s="156">
        <v>38504</v>
      </c>
      <c r="D311" s="157" t="s">
        <v>49</v>
      </c>
      <c r="E311" s="8">
        <v>2005</v>
      </c>
      <c r="F311" s="158">
        <f t="shared" si="71"/>
        <v>182</v>
      </c>
      <c r="G311" s="158">
        <f t="shared" si="72"/>
        <v>1</v>
      </c>
      <c r="H311" s="162">
        <v>38322</v>
      </c>
      <c r="I311" s="194">
        <v>646814</v>
      </c>
      <c r="J311" s="15">
        <v>0</v>
      </c>
      <c r="K311" s="15">
        <v>1.22</v>
      </c>
      <c r="L311" s="15">
        <v>0.6</v>
      </c>
      <c r="M311" s="174">
        <v>1</v>
      </c>
      <c r="O311" s="15">
        <v>0.17</v>
      </c>
      <c r="Q311" s="11">
        <v>11</v>
      </c>
      <c r="R311" s="11">
        <v>23</v>
      </c>
      <c r="T311" s="161">
        <f t="shared" si="73"/>
        <v>789113.08</v>
      </c>
      <c r="U311" s="161">
        <f t="shared" si="74"/>
        <v>388088.39999999997</v>
      </c>
      <c r="V311" s="161">
        <f t="shared" si="75"/>
        <v>109958.38</v>
      </c>
      <c r="W311" s="161">
        <f t="shared" si="76"/>
        <v>43983.352000000006</v>
      </c>
    </row>
    <row r="312" spans="1:23" s="127" customFormat="1" ht="12.75" customHeight="1">
      <c r="A312" s="118">
        <v>311</v>
      </c>
      <c r="B312" s="128">
        <v>3</v>
      </c>
      <c r="C312" s="156">
        <v>38534</v>
      </c>
      <c r="D312" s="157" t="s">
        <v>50</v>
      </c>
      <c r="E312" s="8">
        <v>2005</v>
      </c>
      <c r="F312" s="158">
        <f t="shared" si="71"/>
        <v>212</v>
      </c>
      <c r="G312" s="158">
        <f t="shared" si="72"/>
        <v>1</v>
      </c>
      <c r="H312" s="162">
        <v>38322</v>
      </c>
      <c r="I312" s="194">
        <v>645016</v>
      </c>
      <c r="J312" s="15">
        <v>0</v>
      </c>
      <c r="K312" s="15">
        <v>0.78</v>
      </c>
      <c r="L312" s="15">
        <v>0.38</v>
      </c>
      <c r="M312" s="174">
        <v>0</v>
      </c>
      <c r="N312" s="528"/>
      <c r="O312" s="15">
        <v>0.02</v>
      </c>
      <c r="P312" s="8"/>
      <c r="Q312" s="11">
        <v>11</v>
      </c>
      <c r="R312" s="11">
        <v>21</v>
      </c>
      <c r="S312" s="155"/>
      <c r="T312" s="161">
        <f t="shared" si="73"/>
        <v>503112.48000000004</v>
      </c>
      <c r="U312" s="161">
        <f t="shared" si="74"/>
        <v>245106.08000000002</v>
      </c>
      <c r="V312" s="161">
        <f t="shared" si="75"/>
        <v>12900.32</v>
      </c>
      <c r="W312" s="161">
        <f t="shared" si="76"/>
        <v>5160.1280000000006</v>
      </c>
    </row>
    <row r="313" spans="1:23" s="127" customFormat="1" ht="12.75" customHeight="1">
      <c r="A313" s="118">
        <v>312</v>
      </c>
      <c r="B313" s="128">
        <v>3</v>
      </c>
      <c r="C313" s="156">
        <v>38565</v>
      </c>
      <c r="D313" s="157" t="s">
        <v>51</v>
      </c>
      <c r="E313" s="8">
        <v>2005</v>
      </c>
      <c r="F313" s="158">
        <f t="shared" si="71"/>
        <v>243</v>
      </c>
      <c r="G313" s="158">
        <f t="shared" si="72"/>
        <v>1</v>
      </c>
      <c r="H313" s="162">
        <v>38322</v>
      </c>
      <c r="I313" s="250">
        <v>642498.9</v>
      </c>
      <c r="J313" s="15">
        <v>0</v>
      </c>
      <c r="K313" s="15">
        <v>0.88</v>
      </c>
      <c r="L313" s="15">
        <v>0.33</v>
      </c>
      <c r="M313" s="174">
        <v>0</v>
      </c>
      <c r="N313" s="528"/>
      <c r="O313" s="15">
        <v>0</v>
      </c>
      <c r="P313" s="8"/>
      <c r="Q313" s="11">
        <v>13</v>
      </c>
      <c r="R313" s="11">
        <v>20</v>
      </c>
      <c r="S313" s="155"/>
      <c r="T313" s="161">
        <f t="shared" si="73"/>
        <v>565399.03200000001</v>
      </c>
      <c r="U313" s="161">
        <f t="shared" si="74"/>
        <v>212024.63700000002</v>
      </c>
      <c r="V313" s="161">
        <f t="shared" si="75"/>
        <v>0</v>
      </c>
      <c r="W313" s="161">
        <f t="shared" si="76"/>
        <v>0</v>
      </c>
    </row>
    <row r="314" spans="1:23" s="127" customFormat="1" ht="12.75" customHeight="1">
      <c r="A314" s="118">
        <v>313</v>
      </c>
      <c r="B314" s="128">
        <v>3</v>
      </c>
      <c r="C314" s="156">
        <v>38596</v>
      </c>
      <c r="D314" s="157" t="s">
        <v>52</v>
      </c>
      <c r="E314" s="8">
        <v>2005</v>
      </c>
      <c r="F314" s="158">
        <f t="shared" si="71"/>
        <v>274</v>
      </c>
      <c r="G314" s="158">
        <f t="shared" si="72"/>
        <v>1</v>
      </c>
      <c r="H314" s="162">
        <v>38322</v>
      </c>
      <c r="I314" s="250">
        <v>640178.6</v>
      </c>
      <c r="J314" s="15">
        <v>0.02</v>
      </c>
      <c r="K314" s="15">
        <v>2.6</v>
      </c>
      <c r="L314" s="15">
        <v>1.57</v>
      </c>
      <c r="M314" s="174">
        <v>0</v>
      </c>
      <c r="N314" s="528"/>
      <c r="O314" s="15">
        <v>0.08</v>
      </c>
      <c r="P314" s="8"/>
      <c r="Q314" s="11">
        <v>11</v>
      </c>
      <c r="R314" s="11">
        <v>23</v>
      </c>
      <c r="S314" s="155"/>
      <c r="T314" s="161">
        <f t="shared" si="73"/>
        <v>1664464.36</v>
      </c>
      <c r="U314" s="161">
        <f t="shared" si="74"/>
        <v>1005080.402</v>
      </c>
      <c r="V314" s="161">
        <f t="shared" si="75"/>
        <v>51214.288</v>
      </c>
      <c r="W314" s="161">
        <f t="shared" si="76"/>
        <v>20485.715200000002</v>
      </c>
    </row>
    <row r="315" spans="1:23" s="127" customFormat="1" ht="12.75" customHeight="1">
      <c r="A315" s="118">
        <v>314</v>
      </c>
      <c r="B315" s="128">
        <v>3</v>
      </c>
      <c r="C315" s="156">
        <v>38626</v>
      </c>
      <c r="D315" s="157" t="s">
        <v>53</v>
      </c>
      <c r="E315" s="8">
        <v>2005</v>
      </c>
      <c r="F315" s="158">
        <f t="shared" si="71"/>
        <v>304</v>
      </c>
      <c r="G315" s="158">
        <f t="shared" si="72"/>
        <v>1</v>
      </c>
      <c r="H315" s="162">
        <v>38322</v>
      </c>
      <c r="I315" s="250">
        <v>637858.30000000005</v>
      </c>
      <c r="J315" s="15">
        <v>0.1</v>
      </c>
      <c r="K315" s="15">
        <v>3.42</v>
      </c>
      <c r="L315" s="15">
        <v>2.52</v>
      </c>
      <c r="M315" s="174">
        <v>0</v>
      </c>
      <c r="N315" s="528"/>
      <c r="O315" s="15">
        <v>0.03</v>
      </c>
      <c r="P315" s="8"/>
      <c r="Q315" s="11">
        <v>10</v>
      </c>
      <c r="R315" s="11">
        <v>23</v>
      </c>
      <c r="S315" s="155"/>
      <c r="T315" s="161">
        <f t="shared" si="73"/>
        <v>2181475.3859999999</v>
      </c>
      <c r="U315" s="161">
        <f t="shared" si="74"/>
        <v>1607402.9160000002</v>
      </c>
      <c r="V315" s="161">
        <f t="shared" si="75"/>
        <v>19135.749</v>
      </c>
      <c r="W315" s="161">
        <f t="shared" si="76"/>
        <v>7654.2996000000003</v>
      </c>
    </row>
    <row r="316" spans="1:23" s="127" customFormat="1">
      <c r="A316" s="118">
        <v>315</v>
      </c>
      <c r="B316" s="128">
        <v>3</v>
      </c>
      <c r="C316" s="156">
        <v>38657</v>
      </c>
      <c r="D316" s="157" t="s">
        <v>54</v>
      </c>
      <c r="E316" s="8">
        <v>2005</v>
      </c>
      <c r="F316" s="158">
        <f t="shared" si="71"/>
        <v>335</v>
      </c>
      <c r="G316" s="158">
        <f t="shared" si="72"/>
        <v>1</v>
      </c>
      <c r="H316" s="162">
        <v>38322</v>
      </c>
      <c r="I316" s="250">
        <v>635538</v>
      </c>
      <c r="J316" s="15">
        <v>0.3</v>
      </c>
      <c r="K316" s="15">
        <v>6.27</v>
      </c>
      <c r="L316" s="15">
        <v>3.2</v>
      </c>
      <c r="M316" s="174">
        <v>0</v>
      </c>
      <c r="N316" s="528"/>
      <c r="O316" s="15">
        <v>0</v>
      </c>
      <c r="P316" s="8"/>
      <c r="Q316" s="11">
        <v>8</v>
      </c>
      <c r="R316" s="11">
        <v>27</v>
      </c>
      <c r="S316" s="155"/>
      <c r="T316" s="161">
        <f t="shared" si="73"/>
        <v>3984823.26</v>
      </c>
      <c r="U316" s="161">
        <f t="shared" si="74"/>
        <v>2033721.6</v>
      </c>
      <c r="V316" s="161">
        <f t="shared" si="75"/>
        <v>0</v>
      </c>
      <c r="W316" s="161">
        <f t="shared" si="76"/>
        <v>0</v>
      </c>
    </row>
    <row r="317" spans="1:23" s="127" customFormat="1" ht="12.75" customHeight="1">
      <c r="A317" s="118">
        <v>316</v>
      </c>
      <c r="B317" s="128">
        <v>3</v>
      </c>
      <c r="C317" s="156">
        <v>38687</v>
      </c>
      <c r="D317" s="157" t="s">
        <v>55</v>
      </c>
      <c r="E317" s="8">
        <v>2005</v>
      </c>
      <c r="F317" s="158">
        <f t="shared" si="71"/>
        <v>365</v>
      </c>
      <c r="G317" s="158">
        <f t="shared" si="72"/>
        <v>2</v>
      </c>
      <c r="H317" s="162">
        <v>38322</v>
      </c>
      <c r="I317" s="250">
        <v>633217.69999999995</v>
      </c>
      <c r="J317" s="15">
        <v>0</v>
      </c>
      <c r="K317" s="15">
        <v>5.6</v>
      </c>
      <c r="L317" s="15">
        <v>3.62</v>
      </c>
      <c r="M317" s="174">
        <v>0</v>
      </c>
      <c r="N317" s="528"/>
      <c r="O317" s="15">
        <v>0.03</v>
      </c>
      <c r="P317" s="8"/>
      <c r="Q317" s="11">
        <v>7</v>
      </c>
      <c r="R317" s="11">
        <v>27</v>
      </c>
      <c r="S317" s="155"/>
      <c r="T317" s="161">
        <f t="shared" si="73"/>
        <v>3546019.1199999996</v>
      </c>
      <c r="U317" s="161">
        <f t="shared" si="74"/>
        <v>2292248.074</v>
      </c>
      <c r="V317" s="161">
        <f t="shared" si="75"/>
        <v>18996.530999999999</v>
      </c>
      <c r="W317" s="161">
        <f t="shared" si="76"/>
        <v>7598.6124</v>
      </c>
    </row>
    <row r="318" spans="1:23" s="127" customFormat="1">
      <c r="A318" s="118">
        <v>317</v>
      </c>
      <c r="B318" s="128">
        <v>3</v>
      </c>
      <c r="C318" s="156">
        <v>38718</v>
      </c>
      <c r="D318" s="157" t="s">
        <v>44</v>
      </c>
      <c r="E318" s="8">
        <v>2006</v>
      </c>
      <c r="F318" s="158">
        <f t="shared" si="71"/>
        <v>396</v>
      </c>
      <c r="G318" s="158">
        <f t="shared" si="72"/>
        <v>2</v>
      </c>
      <c r="H318" s="162">
        <v>38322</v>
      </c>
      <c r="I318" s="250">
        <v>630897.4</v>
      </c>
      <c r="J318" s="15">
        <v>3.23</v>
      </c>
      <c r="K318" s="15">
        <v>13.18</v>
      </c>
      <c r="L318" s="15">
        <v>4.3499999999999996</v>
      </c>
      <c r="M318" s="174">
        <v>0</v>
      </c>
      <c r="N318" s="528"/>
      <c r="O318" s="15">
        <v>0.53</v>
      </c>
      <c r="P318" s="8">
        <v>0.5</v>
      </c>
      <c r="Q318" s="11">
        <v>7</v>
      </c>
      <c r="R318" s="11">
        <v>26</v>
      </c>
      <c r="S318" s="155" t="s">
        <v>70</v>
      </c>
      <c r="T318" s="161">
        <f t="shared" si="73"/>
        <v>8315227.7319999998</v>
      </c>
      <c r="U318" s="161">
        <f t="shared" si="74"/>
        <v>2744403.69</v>
      </c>
      <c r="V318" s="161">
        <f t="shared" si="75"/>
        <v>334375.62200000003</v>
      </c>
      <c r="W318" s="161">
        <f t="shared" si="76"/>
        <v>133750.24880000003</v>
      </c>
    </row>
    <row r="319" spans="1:23" s="127" customFormat="1">
      <c r="A319" s="118">
        <v>318</v>
      </c>
      <c r="B319" s="128">
        <v>3</v>
      </c>
      <c r="C319" s="156">
        <v>38749</v>
      </c>
      <c r="D319" s="157" t="s">
        <v>45</v>
      </c>
      <c r="E319" s="8">
        <v>2006</v>
      </c>
      <c r="F319" s="158">
        <f t="shared" si="71"/>
        <v>427</v>
      </c>
      <c r="G319" s="158">
        <f t="shared" si="72"/>
        <v>2</v>
      </c>
      <c r="H319" s="162">
        <v>38322</v>
      </c>
      <c r="I319" s="250">
        <v>628577.1</v>
      </c>
      <c r="J319" s="15">
        <v>0.02</v>
      </c>
      <c r="K319" s="15">
        <v>15.65</v>
      </c>
      <c r="L319" s="15">
        <v>8.3699999999999992</v>
      </c>
      <c r="M319" s="174">
        <v>2</v>
      </c>
      <c r="N319" s="528"/>
      <c r="O319" s="15">
        <v>0.35</v>
      </c>
      <c r="P319" s="8">
        <v>0.5</v>
      </c>
      <c r="Q319" s="11">
        <v>7</v>
      </c>
      <c r="R319" s="11">
        <v>28</v>
      </c>
      <c r="S319" s="155" t="s">
        <v>70</v>
      </c>
      <c r="T319" s="161">
        <f t="shared" si="73"/>
        <v>9837231.6150000002</v>
      </c>
      <c r="U319" s="161">
        <f t="shared" si="74"/>
        <v>5261190.3269999996</v>
      </c>
      <c r="V319" s="161">
        <f t="shared" si="75"/>
        <v>220001.98499999999</v>
      </c>
      <c r="W319" s="161">
        <f t="shared" si="76"/>
        <v>88000.793999999994</v>
      </c>
    </row>
    <row r="320" spans="1:23" s="127" customFormat="1">
      <c r="A320" s="118">
        <v>319</v>
      </c>
      <c r="B320" s="128">
        <v>3</v>
      </c>
      <c r="C320" s="156">
        <v>38777</v>
      </c>
      <c r="D320" s="157" t="s">
        <v>46</v>
      </c>
      <c r="E320" s="8">
        <v>2006</v>
      </c>
      <c r="F320" s="158">
        <f t="shared" si="71"/>
        <v>455</v>
      </c>
      <c r="G320" s="158">
        <f t="shared" si="72"/>
        <v>2</v>
      </c>
      <c r="H320" s="162">
        <v>38322</v>
      </c>
      <c r="I320" s="194">
        <v>575387</v>
      </c>
      <c r="J320" s="15">
        <v>0</v>
      </c>
      <c r="K320" s="15">
        <v>0.82</v>
      </c>
      <c r="L320" s="15">
        <v>0.48</v>
      </c>
      <c r="M320" s="174">
        <v>0</v>
      </c>
      <c r="N320" s="528"/>
      <c r="O320" s="15">
        <v>0.05</v>
      </c>
      <c r="P320" s="8"/>
      <c r="Q320" s="11">
        <v>7</v>
      </c>
      <c r="R320" s="11">
        <v>29</v>
      </c>
      <c r="S320" s="155" t="s">
        <v>7</v>
      </c>
      <c r="T320" s="161">
        <f t="shared" si="73"/>
        <v>471817.33999999997</v>
      </c>
      <c r="U320" s="161">
        <f t="shared" si="74"/>
        <v>276185.76</v>
      </c>
      <c r="V320" s="161">
        <f t="shared" si="75"/>
        <v>28769.350000000002</v>
      </c>
      <c r="W320" s="161">
        <f t="shared" si="76"/>
        <v>11507.740000000002</v>
      </c>
    </row>
    <row r="321" spans="1:23" s="127" customFormat="1">
      <c r="A321" s="118">
        <v>320</v>
      </c>
      <c r="B321" s="128">
        <v>3</v>
      </c>
      <c r="C321" s="156">
        <v>38808</v>
      </c>
      <c r="D321" s="157" t="s">
        <v>47</v>
      </c>
      <c r="E321" s="8">
        <v>2006</v>
      </c>
      <c r="F321" s="158">
        <f t="shared" si="71"/>
        <v>486</v>
      </c>
      <c r="G321" s="158">
        <f t="shared" si="72"/>
        <v>2</v>
      </c>
      <c r="H321" s="162">
        <v>38322</v>
      </c>
      <c r="I321" s="194">
        <v>395022</v>
      </c>
      <c r="J321" s="15">
        <v>0</v>
      </c>
      <c r="K321" s="15">
        <v>0.18</v>
      </c>
      <c r="L321" s="15">
        <v>0.03</v>
      </c>
      <c r="M321" s="174">
        <v>2</v>
      </c>
      <c r="N321" s="528"/>
      <c r="O321" s="15">
        <v>0</v>
      </c>
      <c r="P321" s="8"/>
      <c r="Q321" s="11">
        <v>9</v>
      </c>
      <c r="R321" s="11">
        <v>29</v>
      </c>
      <c r="S321" s="155" t="s">
        <v>7</v>
      </c>
      <c r="T321" s="161">
        <f t="shared" si="73"/>
        <v>71103.959999999992</v>
      </c>
      <c r="U321" s="161">
        <f t="shared" si="74"/>
        <v>11850.66</v>
      </c>
      <c r="V321" s="161">
        <f t="shared" si="75"/>
        <v>0</v>
      </c>
      <c r="W321" s="161">
        <f t="shared" si="76"/>
        <v>0</v>
      </c>
    </row>
    <row r="322" spans="1:23" s="127" customFormat="1">
      <c r="A322" s="118">
        <v>321</v>
      </c>
      <c r="B322" s="128">
        <v>3</v>
      </c>
      <c r="C322" s="156">
        <v>38838</v>
      </c>
      <c r="D322" s="157" t="s">
        <v>48</v>
      </c>
      <c r="E322" s="8">
        <v>2006</v>
      </c>
      <c r="F322" s="158">
        <f t="shared" si="71"/>
        <v>516</v>
      </c>
      <c r="G322" s="158">
        <f t="shared" si="72"/>
        <v>2</v>
      </c>
      <c r="H322" s="162">
        <v>38322</v>
      </c>
      <c r="I322" s="194">
        <v>359375</v>
      </c>
      <c r="J322" s="15">
        <v>0.02</v>
      </c>
      <c r="K322" s="15">
        <v>1.07</v>
      </c>
      <c r="L322" s="15">
        <v>0.72</v>
      </c>
      <c r="M322" s="174"/>
      <c r="N322" s="528"/>
      <c r="O322" s="15">
        <v>0</v>
      </c>
      <c r="P322" s="8"/>
      <c r="Q322" s="11">
        <v>9</v>
      </c>
      <c r="R322" s="11">
        <v>27</v>
      </c>
      <c r="S322" s="155" t="s">
        <v>7</v>
      </c>
      <c r="T322" s="161">
        <f t="shared" si="73"/>
        <v>384531.25</v>
      </c>
      <c r="U322" s="161">
        <f t="shared" si="74"/>
        <v>258750</v>
      </c>
      <c r="V322" s="161">
        <f t="shared" si="75"/>
        <v>0</v>
      </c>
      <c r="W322" s="161">
        <f t="shared" si="76"/>
        <v>0</v>
      </c>
    </row>
    <row r="323" spans="1:23" s="127" customFormat="1">
      <c r="A323" s="118">
        <v>322</v>
      </c>
      <c r="B323" s="128">
        <v>3</v>
      </c>
      <c r="C323" s="156">
        <v>38869</v>
      </c>
      <c r="D323" s="157" t="s">
        <v>49</v>
      </c>
      <c r="E323" s="8">
        <v>2006</v>
      </c>
      <c r="F323" s="158"/>
      <c r="G323" s="11"/>
      <c r="H323" s="162"/>
      <c r="I323" s="194"/>
      <c r="J323" s="15"/>
      <c r="K323" s="15"/>
      <c r="L323" s="15"/>
      <c r="M323" s="174"/>
      <c r="N323" s="528"/>
      <c r="O323" s="15"/>
      <c r="P323" s="8"/>
      <c r="Q323" s="11"/>
      <c r="R323" s="11"/>
      <c r="S323" s="155"/>
      <c r="T323" s="15"/>
      <c r="U323" s="161"/>
      <c r="V323" s="15"/>
      <c r="W323" s="15"/>
    </row>
    <row r="324" spans="1:23">
      <c r="A324" s="118">
        <v>323</v>
      </c>
      <c r="B324" s="128">
        <v>3</v>
      </c>
      <c r="C324" s="156">
        <v>38899</v>
      </c>
      <c r="D324" s="157" t="s">
        <v>50</v>
      </c>
      <c r="E324" s="8">
        <v>2006</v>
      </c>
      <c r="F324" s="158"/>
      <c r="H324" s="162"/>
      <c r="I324" s="194"/>
    </row>
    <row r="325" spans="1:23">
      <c r="A325" s="118">
        <v>324</v>
      </c>
      <c r="B325" s="128">
        <v>3</v>
      </c>
      <c r="C325" s="156">
        <v>38930</v>
      </c>
      <c r="D325" s="157" t="s">
        <v>51</v>
      </c>
      <c r="E325" s="8">
        <v>2006</v>
      </c>
      <c r="F325" s="158"/>
      <c r="H325" s="162"/>
      <c r="I325" s="194"/>
    </row>
    <row r="326" spans="1:23">
      <c r="A326" s="118">
        <v>325</v>
      </c>
      <c r="B326" s="128">
        <v>3</v>
      </c>
      <c r="C326" s="156">
        <v>38961</v>
      </c>
      <c r="D326" s="157" t="s">
        <v>52</v>
      </c>
      <c r="E326" s="8">
        <v>2006</v>
      </c>
      <c r="F326" s="158"/>
      <c r="H326" s="162"/>
      <c r="I326" s="194"/>
    </row>
    <row r="327" spans="1:23">
      <c r="A327" s="118">
        <v>326</v>
      </c>
      <c r="B327" s="128">
        <v>3</v>
      </c>
      <c r="C327" s="156">
        <v>38991</v>
      </c>
      <c r="D327" s="157" t="s">
        <v>53</v>
      </c>
      <c r="E327" s="8">
        <v>2006</v>
      </c>
      <c r="F327" s="158"/>
      <c r="H327" s="162"/>
      <c r="I327" s="194"/>
    </row>
    <row r="328" spans="1:23">
      <c r="A328" s="118">
        <v>327</v>
      </c>
      <c r="B328" s="128">
        <v>3</v>
      </c>
      <c r="C328" s="156">
        <v>39022</v>
      </c>
      <c r="D328" s="157" t="s">
        <v>54</v>
      </c>
      <c r="E328" s="8">
        <v>2006</v>
      </c>
      <c r="F328" s="158">
        <v>0</v>
      </c>
      <c r="G328" s="158">
        <f t="shared" ref="G328:G347" si="77">IF(F328&lt;365,1,2)</f>
        <v>1</v>
      </c>
      <c r="H328" s="159">
        <v>39035</v>
      </c>
      <c r="I328" s="198">
        <v>550000</v>
      </c>
      <c r="L328" s="165">
        <v>0</v>
      </c>
      <c r="N328" s="528" t="s">
        <v>794</v>
      </c>
      <c r="O328" s="165">
        <v>0</v>
      </c>
      <c r="U328" s="161">
        <f t="shared" ref="U328:U347" si="78">$I328*L328</f>
        <v>0</v>
      </c>
      <c r="V328" s="161">
        <f t="shared" ref="V328:V347" si="79">$I328*O328</f>
        <v>0</v>
      </c>
      <c r="W328" s="161">
        <f t="shared" ref="W328:W347" si="80">V328*0.4</f>
        <v>0</v>
      </c>
    </row>
    <row r="329" spans="1:23">
      <c r="A329" s="118">
        <v>328</v>
      </c>
      <c r="B329" s="128">
        <v>3</v>
      </c>
      <c r="C329" s="156">
        <v>39052</v>
      </c>
      <c r="D329" s="157" t="s">
        <v>55</v>
      </c>
      <c r="E329" s="8">
        <v>2006</v>
      </c>
      <c r="F329" s="158">
        <f t="shared" ref="F329:F347" si="81">C329-H329</f>
        <v>17</v>
      </c>
      <c r="G329" s="158">
        <f t="shared" si="77"/>
        <v>1</v>
      </c>
      <c r="H329" s="159">
        <v>39035</v>
      </c>
      <c r="I329" s="179">
        <v>550000</v>
      </c>
      <c r="L329" s="165">
        <v>0</v>
      </c>
      <c r="N329" s="528" t="s">
        <v>794</v>
      </c>
      <c r="O329" s="165">
        <v>0.09</v>
      </c>
      <c r="U329" s="161">
        <f t="shared" si="78"/>
        <v>0</v>
      </c>
      <c r="V329" s="161">
        <f t="shared" si="79"/>
        <v>49500</v>
      </c>
      <c r="W329" s="161">
        <f t="shared" si="80"/>
        <v>19800</v>
      </c>
    </row>
    <row r="330" spans="1:23" ht="12.75" customHeight="1">
      <c r="A330" s="118">
        <v>329</v>
      </c>
      <c r="B330" s="128">
        <v>3</v>
      </c>
      <c r="C330" s="156">
        <v>39083</v>
      </c>
      <c r="D330" s="157" t="s">
        <v>44</v>
      </c>
      <c r="E330" s="8">
        <v>2007</v>
      </c>
      <c r="F330" s="158">
        <f t="shared" si="81"/>
        <v>48</v>
      </c>
      <c r="G330" s="158">
        <f t="shared" si="77"/>
        <v>1</v>
      </c>
      <c r="H330" s="175">
        <v>39035</v>
      </c>
      <c r="I330" s="160">
        <v>615818</v>
      </c>
      <c r="J330" s="191">
        <v>1.66666E-2</v>
      </c>
      <c r="K330" s="191">
        <v>0.15</v>
      </c>
      <c r="L330" s="191">
        <v>0</v>
      </c>
      <c r="M330" s="193"/>
      <c r="N330" s="529"/>
      <c r="O330" s="191">
        <v>0.1666666</v>
      </c>
      <c r="P330" s="192"/>
      <c r="Q330" s="127">
        <v>6</v>
      </c>
      <c r="R330" s="127">
        <v>25</v>
      </c>
      <c r="S330" s="235"/>
      <c r="T330" s="161">
        <f t="shared" ref="T330:T347" si="82">$I330*K330</f>
        <v>92372.7</v>
      </c>
      <c r="U330" s="161">
        <f t="shared" si="78"/>
        <v>0</v>
      </c>
      <c r="V330" s="161">
        <f t="shared" si="79"/>
        <v>102636.2922788</v>
      </c>
      <c r="W330" s="161">
        <f t="shared" si="80"/>
        <v>41054.516911520004</v>
      </c>
    </row>
    <row r="331" spans="1:23" ht="12.75" customHeight="1">
      <c r="A331" s="118">
        <v>330</v>
      </c>
      <c r="B331" s="128">
        <v>3</v>
      </c>
      <c r="C331" s="156">
        <v>39114</v>
      </c>
      <c r="D331" s="157" t="s">
        <v>45</v>
      </c>
      <c r="E331" s="8">
        <v>2007</v>
      </c>
      <c r="F331" s="158">
        <f t="shared" si="81"/>
        <v>79</v>
      </c>
      <c r="G331" s="158">
        <f t="shared" si="77"/>
        <v>1</v>
      </c>
      <c r="H331" s="175">
        <v>39035</v>
      </c>
      <c r="I331" s="160">
        <v>597717</v>
      </c>
      <c r="J331" s="191">
        <v>0.13</v>
      </c>
      <c r="K331" s="191">
        <v>0.15</v>
      </c>
      <c r="L331" s="191">
        <v>0</v>
      </c>
      <c r="M331" s="193">
        <v>0</v>
      </c>
      <c r="N331" s="529"/>
      <c r="O331" s="191">
        <v>0.3</v>
      </c>
      <c r="P331" s="192"/>
      <c r="Q331" s="127">
        <v>7</v>
      </c>
      <c r="R331" s="127">
        <v>26</v>
      </c>
      <c r="S331" s="235"/>
      <c r="T331" s="161">
        <f t="shared" si="82"/>
        <v>89657.55</v>
      </c>
      <c r="U331" s="161">
        <f t="shared" si="78"/>
        <v>0</v>
      </c>
      <c r="V331" s="161">
        <f t="shared" si="79"/>
        <v>179315.1</v>
      </c>
      <c r="W331" s="161">
        <f t="shared" si="80"/>
        <v>71726.040000000008</v>
      </c>
    </row>
    <row r="332" spans="1:23" ht="12.75" customHeight="1">
      <c r="A332" s="118">
        <v>331</v>
      </c>
      <c r="B332" s="128">
        <v>3</v>
      </c>
      <c r="C332" s="156">
        <v>39142</v>
      </c>
      <c r="D332" s="157" t="s">
        <v>46</v>
      </c>
      <c r="E332" s="8">
        <v>2007</v>
      </c>
      <c r="F332" s="158">
        <f t="shared" si="81"/>
        <v>107</v>
      </c>
      <c r="G332" s="158">
        <f t="shared" si="77"/>
        <v>1</v>
      </c>
      <c r="H332" s="175">
        <v>39035</v>
      </c>
      <c r="I332" s="160">
        <v>596465</v>
      </c>
      <c r="J332" s="191">
        <v>0.68</v>
      </c>
      <c r="K332" s="191">
        <v>0.18</v>
      </c>
      <c r="L332" s="191">
        <v>0</v>
      </c>
      <c r="M332" s="193">
        <v>0</v>
      </c>
      <c r="N332" s="529"/>
      <c r="O332" s="191">
        <v>7.0000000000000007E-2</v>
      </c>
      <c r="P332" s="192"/>
      <c r="Q332" s="127">
        <v>7</v>
      </c>
      <c r="R332" s="127">
        <v>25</v>
      </c>
      <c r="S332" s="235"/>
      <c r="T332" s="161">
        <f t="shared" si="82"/>
        <v>107363.7</v>
      </c>
      <c r="U332" s="161">
        <f t="shared" si="78"/>
        <v>0</v>
      </c>
      <c r="V332" s="161">
        <f t="shared" si="79"/>
        <v>41752.550000000003</v>
      </c>
      <c r="W332" s="161">
        <f t="shared" si="80"/>
        <v>16701.02</v>
      </c>
    </row>
    <row r="333" spans="1:23" ht="12.75" customHeight="1">
      <c r="A333" s="118">
        <v>332</v>
      </c>
      <c r="B333" s="128">
        <v>3</v>
      </c>
      <c r="C333" s="156">
        <v>39173</v>
      </c>
      <c r="D333" s="157" t="s">
        <v>47</v>
      </c>
      <c r="E333" s="8">
        <v>2007</v>
      </c>
      <c r="F333" s="158">
        <f t="shared" si="81"/>
        <v>138</v>
      </c>
      <c r="G333" s="158">
        <f t="shared" si="77"/>
        <v>1</v>
      </c>
      <c r="H333" s="175">
        <v>39035</v>
      </c>
      <c r="I333" s="160">
        <v>612555</v>
      </c>
      <c r="J333" s="191">
        <v>0.2</v>
      </c>
      <c r="K333" s="191">
        <v>0.1</v>
      </c>
      <c r="L333" s="191">
        <v>0</v>
      </c>
      <c r="M333" s="193">
        <v>0</v>
      </c>
      <c r="N333" s="529"/>
      <c r="O333" s="191">
        <v>0.5</v>
      </c>
      <c r="P333" s="192"/>
      <c r="Q333" s="127">
        <v>8</v>
      </c>
      <c r="R333" s="127">
        <v>26</v>
      </c>
      <c r="S333" s="235"/>
      <c r="T333" s="161">
        <f t="shared" si="82"/>
        <v>61255.5</v>
      </c>
      <c r="U333" s="161">
        <f t="shared" si="78"/>
        <v>0</v>
      </c>
      <c r="V333" s="161">
        <f t="shared" si="79"/>
        <v>306277.5</v>
      </c>
      <c r="W333" s="161">
        <f t="shared" si="80"/>
        <v>122511</v>
      </c>
    </row>
    <row r="334" spans="1:23" ht="12.75" customHeight="1">
      <c r="A334" s="118">
        <v>333</v>
      </c>
      <c r="B334" s="128">
        <v>3</v>
      </c>
      <c r="C334" s="156">
        <v>39203</v>
      </c>
      <c r="D334" s="157" t="s">
        <v>48</v>
      </c>
      <c r="E334" s="8">
        <v>2007</v>
      </c>
      <c r="F334" s="158">
        <f t="shared" si="81"/>
        <v>168</v>
      </c>
      <c r="G334" s="158">
        <f t="shared" si="77"/>
        <v>1</v>
      </c>
      <c r="H334" s="175">
        <v>39035</v>
      </c>
      <c r="I334" s="160">
        <v>610782</v>
      </c>
      <c r="J334" s="191">
        <v>0.05</v>
      </c>
      <c r="K334" s="191">
        <v>0.18</v>
      </c>
      <c r="L334" s="191">
        <v>0</v>
      </c>
      <c r="M334" s="193">
        <v>0</v>
      </c>
      <c r="N334" s="529"/>
      <c r="O334" s="191">
        <v>0.08</v>
      </c>
      <c r="P334" s="192"/>
      <c r="Q334" s="127">
        <v>9</v>
      </c>
      <c r="R334" s="127">
        <v>23</v>
      </c>
      <c r="S334" s="235"/>
      <c r="T334" s="161">
        <f t="shared" si="82"/>
        <v>109940.76</v>
      </c>
      <c r="U334" s="161">
        <f t="shared" si="78"/>
        <v>0</v>
      </c>
      <c r="V334" s="161">
        <f t="shared" si="79"/>
        <v>48862.559999999998</v>
      </c>
      <c r="W334" s="161">
        <f t="shared" si="80"/>
        <v>19545.024000000001</v>
      </c>
    </row>
    <row r="335" spans="1:23" ht="12.75" customHeight="1">
      <c r="A335" s="118">
        <v>334</v>
      </c>
      <c r="B335" s="128">
        <v>3</v>
      </c>
      <c r="C335" s="156">
        <v>39234</v>
      </c>
      <c r="D335" s="157" t="s">
        <v>49</v>
      </c>
      <c r="E335" s="8">
        <v>2007</v>
      </c>
      <c r="F335" s="158">
        <f t="shared" si="81"/>
        <v>199</v>
      </c>
      <c r="G335" s="158">
        <f t="shared" si="77"/>
        <v>1</v>
      </c>
      <c r="H335" s="175">
        <v>39035</v>
      </c>
      <c r="I335" s="160">
        <v>609303</v>
      </c>
      <c r="J335" s="191">
        <v>0</v>
      </c>
      <c r="K335" s="191">
        <v>0.15</v>
      </c>
      <c r="L335" s="191">
        <v>0</v>
      </c>
      <c r="M335" s="193">
        <v>0</v>
      </c>
      <c r="N335" s="529"/>
      <c r="O335" s="191">
        <v>0</v>
      </c>
      <c r="P335" s="192"/>
      <c r="Q335" s="127">
        <v>11</v>
      </c>
      <c r="R335" s="127">
        <v>15</v>
      </c>
      <c r="S335" s="235"/>
      <c r="T335" s="161">
        <f t="shared" si="82"/>
        <v>91395.45</v>
      </c>
      <c r="U335" s="161">
        <f t="shared" si="78"/>
        <v>0</v>
      </c>
      <c r="V335" s="161">
        <f t="shared" si="79"/>
        <v>0</v>
      </c>
      <c r="W335" s="161">
        <f t="shared" si="80"/>
        <v>0</v>
      </c>
    </row>
    <row r="336" spans="1:23" ht="12.75" customHeight="1">
      <c r="A336" s="118">
        <v>335</v>
      </c>
      <c r="B336" s="128">
        <v>3</v>
      </c>
      <c r="C336" s="156">
        <v>39264</v>
      </c>
      <c r="D336" s="157" t="s">
        <v>50</v>
      </c>
      <c r="E336" s="8">
        <v>2007</v>
      </c>
      <c r="F336" s="158">
        <f t="shared" si="81"/>
        <v>229</v>
      </c>
      <c r="G336" s="158">
        <f t="shared" si="77"/>
        <v>1</v>
      </c>
      <c r="H336" s="175">
        <v>39035</v>
      </c>
      <c r="I336" s="160">
        <v>605054</v>
      </c>
      <c r="J336" s="191">
        <v>0</v>
      </c>
      <c r="K336" s="191">
        <v>0.02</v>
      </c>
      <c r="L336" s="191">
        <v>0</v>
      </c>
      <c r="M336" s="193">
        <v>0</v>
      </c>
      <c r="N336" s="529"/>
      <c r="O336" s="191">
        <v>0.02</v>
      </c>
      <c r="P336" s="192"/>
      <c r="Q336" s="127">
        <v>12</v>
      </c>
      <c r="R336" s="127">
        <v>15</v>
      </c>
      <c r="S336" s="235"/>
      <c r="T336" s="161">
        <f t="shared" si="82"/>
        <v>12101.08</v>
      </c>
      <c r="U336" s="161">
        <f t="shared" si="78"/>
        <v>0</v>
      </c>
      <c r="V336" s="161">
        <f t="shared" si="79"/>
        <v>12101.08</v>
      </c>
      <c r="W336" s="161">
        <f t="shared" si="80"/>
        <v>4840.4319999999998</v>
      </c>
    </row>
    <row r="337" spans="1:23" ht="12.75" customHeight="1">
      <c r="A337" s="118">
        <v>336</v>
      </c>
      <c r="B337" s="128">
        <v>3</v>
      </c>
      <c r="C337" s="156">
        <v>39295</v>
      </c>
      <c r="D337" s="157" t="s">
        <v>51</v>
      </c>
      <c r="E337" s="8">
        <v>2007</v>
      </c>
      <c r="F337" s="158">
        <f t="shared" si="81"/>
        <v>260</v>
      </c>
      <c r="G337" s="158">
        <f t="shared" si="77"/>
        <v>1</v>
      </c>
      <c r="H337" s="175">
        <v>39035</v>
      </c>
      <c r="I337" s="160">
        <v>603752</v>
      </c>
      <c r="J337" s="191">
        <v>0</v>
      </c>
      <c r="K337" s="191">
        <v>0</v>
      </c>
      <c r="L337" s="191">
        <v>0</v>
      </c>
      <c r="M337" s="193">
        <v>0</v>
      </c>
      <c r="N337" s="529"/>
      <c r="O337" s="191">
        <v>0.02</v>
      </c>
      <c r="P337" s="192"/>
      <c r="Q337" s="127">
        <v>11</v>
      </c>
      <c r="R337" s="127">
        <v>16</v>
      </c>
      <c r="S337" s="235"/>
      <c r="T337" s="161">
        <f t="shared" si="82"/>
        <v>0</v>
      </c>
      <c r="U337" s="161">
        <f t="shared" si="78"/>
        <v>0</v>
      </c>
      <c r="V337" s="161">
        <f t="shared" si="79"/>
        <v>12075.04</v>
      </c>
      <c r="W337" s="161">
        <f t="shared" si="80"/>
        <v>4830.0160000000005</v>
      </c>
    </row>
    <row r="338" spans="1:23" ht="12.75" customHeight="1">
      <c r="A338" s="118">
        <v>337</v>
      </c>
      <c r="B338" s="128">
        <v>3</v>
      </c>
      <c r="C338" s="156">
        <v>39326</v>
      </c>
      <c r="D338" s="157" t="s">
        <v>52</v>
      </c>
      <c r="E338" s="8">
        <v>2007</v>
      </c>
      <c r="F338" s="158">
        <f t="shared" si="81"/>
        <v>291</v>
      </c>
      <c r="G338" s="158">
        <f t="shared" si="77"/>
        <v>1</v>
      </c>
      <c r="H338" s="175">
        <v>39035</v>
      </c>
      <c r="I338" s="160">
        <v>602654</v>
      </c>
      <c r="J338" s="191">
        <v>0</v>
      </c>
      <c r="K338" s="191">
        <v>0</v>
      </c>
      <c r="L338" s="191">
        <v>0</v>
      </c>
      <c r="M338" s="193">
        <v>0</v>
      </c>
      <c r="N338" s="529"/>
      <c r="O338" s="191">
        <v>0</v>
      </c>
      <c r="P338" s="192"/>
      <c r="Q338" s="127">
        <v>11</v>
      </c>
      <c r="R338" s="127">
        <v>23</v>
      </c>
      <c r="S338" s="235"/>
      <c r="T338" s="161">
        <f t="shared" si="82"/>
        <v>0</v>
      </c>
      <c r="U338" s="161">
        <f t="shared" si="78"/>
        <v>0</v>
      </c>
      <c r="V338" s="161">
        <f t="shared" si="79"/>
        <v>0</v>
      </c>
      <c r="W338" s="161">
        <f t="shared" si="80"/>
        <v>0</v>
      </c>
    </row>
    <row r="339" spans="1:23" ht="12.75" customHeight="1">
      <c r="A339" s="118">
        <v>338</v>
      </c>
      <c r="B339" s="128">
        <v>3</v>
      </c>
      <c r="C339" s="156">
        <v>39356</v>
      </c>
      <c r="D339" s="157" t="s">
        <v>53</v>
      </c>
      <c r="E339" s="8">
        <v>2007</v>
      </c>
      <c r="F339" s="158">
        <f t="shared" si="81"/>
        <v>321</v>
      </c>
      <c r="G339" s="158">
        <f t="shared" si="77"/>
        <v>1</v>
      </c>
      <c r="H339" s="175">
        <v>39035</v>
      </c>
      <c r="I339" s="160">
        <v>601749</v>
      </c>
      <c r="J339" s="191">
        <v>0</v>
      </c>
      <c r="K339" s="191">
        <v>0</v>
      </c>
      <c r="L339" s="191">
        <v>0</v>
      </c>
      <c r="M339" s="193">
        <v>0</v>
      </c>
      <c r="N339" s="529"/>
      <c r="O339" s="191">
        <v>0.02</v>
      </c>
      <c r="P339" s="192"/>
      <c r="Q339" s="127">
        <v>9</v>
      </c>
      <c r="R339" s="127">
        <v>20</v>
      </c>
      <c r="S339" s="235"/>
      <c r="T339" s="161">
        <f t="shared" si="82"/>
        <v>0</v>
      </c>
      <c r="U339" s="161">
        <f t="shared" si="78"/>
        <v>0</v>
      </c>
      <c r="V339" s="161">
        <f t="shared" si="79"/>
        <v>12034.98</v>
      </c>
      <c r="W339" s="161">
        <f t="shared" si="80"/>
        <v>4813.9920000000002</v>
      </c>
    </row>
    <row r="340" spans="1:23" ht="12.75" customHeight="1">
      <c r="A340" s="118">
        <v>339</v>
      </c>
      <c r="B340" s="128">
        <v>3</v>
      </c>
      <c r="C340" s="156">
        <v>39387</v>
      </c>
      <c r="D340" s="157" t="s">
        <v>54</v>
      </c>
      <c r="E340" s="8">
        <v>2007</v>
      </c>
      <c r="F340" s="158">
        <f t="shared" si="81"/>
        <v>352</v>
      </c>
      <c r="G340" s="158">
        <f t="shared" si="77"/>
        <v>1</v>
      </c>
      <c r="H340" s="175">
        <v>39035</v>
      </c>
      <c r="I340" s="160">
        <v>596465</v>
      </c>
      <c r="J340" s="191">
        <v>0.08</v>
      </c>
      <c r="K340" s="191">
        <v>0.02</v>
      </c>
      <c r="L340" s="191">
        <v>0</v>
      </c>
      <c r="M340" s="193">
        <v>0</v>
      </c>
      <c r="N340" s="529"/>
      <c r="O340" s="191">
        <v>0.13</v>
      </c>
      <c r="P340" s="192"/>
      <c r="Q340" s="127">
        <v>8</v>
      </c>
      <c r="R340" s="127">
        <v>21</v>
      </c>
      <c r="S340" s="235"/>
      <c r="T340" s="161">
        <f t="shared" si="82"/>
        <v>11929.300000000001</v>
      </c>
      <c r="U340" s="161">
        <f t="shared" si="78"/>
        <v>0</v>
      </c>
      <c r="V340" s="161">
        <f t="shared" si="79"/>
        <v>77540.45</v>
      </c>
      <c r="W340" s="161">
        <f t="shared" si="80"/>
        <v>31016.18</v>
      </c>
    </row>
    <row r="341" spans="1:23" ht="12.75" customHeight="1">
      <c r="A341" s="118">
        <v>340</v>
      </c>
      <c r="B341" s="128">
        <v>3</v>
      </c>
      <c r="C341" s="156">
        <v>39417</v>
      </c>
      <c r="D341" s="157" t="s">
        <v>55</v>
      </c>
      <c r="E341" s="8">
        <v>2007</v>
      </c>
      <c r="F341" s="158">
        <f t="shared" si="81"/>
        <v>382</v>
      </c>
      <c r="G341" s="158">
        <f t="shared" si="77"/>
        <v>2</v>
      </c>
      <c r="H341" s="175">
        <v>39035</v>
      </c>
      <c r="I341" s="160">
        <v>600076</v>
      </c>
      <c r="J341" s="191">
        <v>0.27</v>
      </c>
      <c r="K341" s="191">
        <v>0.35</v>
      </c>
      <c r="L341" s="191">
        <v>0.02</v>
      </c>
      <c r="M341" s="193">
        <v>0</v>
      </c>
      <c r="N341" s="529"/>
      <c r="O341" s="191">
        <v>0.17</v>
      </c>
      <c r="P341" s="192"/>
      <c r="Q341" s="127">
        <v>7</v>
      </c>
      <c r="R341" s="127">
        <v>23</v>
      </c>
      <c r="S341" s="235"/>
      <c r="T341" s="161">
        <f t="shared" si="82"/>
        <v>210026.59999999998</v>
      </c>
      <c r="U341" s="161">
        <f t="shared" si="78"/>
        <v>12001.52</v>
      </c>
      <c r="V341" s="161">
        <f t="shared" si="79"/>
        <v>102012.92000000001</v>
      </c>
      <c r="W341" s="161">
        <f t="shared" si="80"/>
        <v>40805.168000000005</v>
      </c>
    </row>
    <row r="342" spans="1:23" ht="12.75" customHeight="1">
      <c r="A342" s="118">
        <v>341</v>
      </c>
      <c r="B342" s="128">
        <v>3</v>
      </c>
      <c r="C342" s="156">
        <v>39448</v>
      </c>
      <c r="D342" s="157" t="s">
        <v>44</v>
      </c>
      <c r="E342" s="127">
        <v>2008</v>
      </c>
      <c r="F342" s="158">
        <f t="shared" si="81"/>
        <v>413</v>
      </c>
      <c r="G342" s="158">
        <f t="shared" si="77"/>
        <v>2</v>
      </c>
      <c r="H342" s="175">
        <v>39035</v>
      </c>
      <c r="I342" s="168">
        <v>599262</v>
      </c>
      <c r="J342" s="118">
        <v>0.47</v>
      </c>
      <c r="K342" s="118">
        <v>0.33</v>
      </c>
      <c r="L342" s="118">
        <v>7.0000000000000007E-2</v>
      </c>
      <c r="M342" s="193">
        <v>0</v>
      </c>
      <c r="N342" s="529"/>
      <c r="O342" s="118">
        <v>0.37</v>
      </c>
      <c r="P342" s="192"/>
      <c r="Q342" s="193"/>
      <c r="R342" s="193"/>
      <c r="S342" s="235"/>
      <c r="T342" s="161">
        <f t="shared" si="82"/>
        <v>197756.46000000002</v>
      </c>
      <c r="U342" s="161">
        <f t="shared" si="78"/>
        <v>41948.340000000004</v>
      </c>
      <c r="V342" s="161">
        <f t="shared" si="79"/>
        <v>221726.94</v>
      </c>
      <c r="W342" s="161">
        <f t="shared" si="80"/>
        <v>88690.776000000013</v>
      </c>
    </row>
    <row r="343" spans="1:23" ht="12.75" customHeight="1">
      <c r="A343" s="118">
        <v>342</v>
      </c>
      <c r="B343" s="128">
        <v>3</v>
      </c>
      <c r="C343" s="156">
        <v>39479</v>
      </c>
      <c r="D343" s="157" t="s">
        <v>45</v>
      </c>
      <c r="E343" s="127">
        <v>2008</v>
      </c>
      <c r="F343" s="158">
        <f t="shared" si="81"/>
        <v>444</v>
      </c>
      <c r="G343" s="158">
        <f t="shared" si="77"/>
        <v>2</v>
      </c>
      <c r="H343" s="175">
        <v>39035</v>
      </c>
      <c r="I343" s="168">
        <v>598331</v>
      </c>
      <c r="J343" s="118">
        <v>0.85</v>
      </c>
      <c r="K343" s="118">
        <v>0.7</v>
      </c>
      <c r="L343" s="118">
        <v>0.15</v>
      </c>
      <c r="M343" s="193">
        <v>1</v>
      </c>
      <c r="N343" s="529"/>
      <c r="O343" s="118">
        <v>0.35</v>
      </c>
      <c r="P343" s="192">
        <v>1</v>
      </c>
      <c r="Q343" s="193"/>
      <c r="R343" s="193"/>
      <c r="S343" s="235"/>
      <c r="T343" s="161">
        <f t="shared" si="82"/>
        <v>418831.69999999995</v>
      </c>
      <c r="U343" s="161">
        <f t="shared" si="78"/>
        <v>89749.65</v>
      </c>
      <c r="V343" s="161">
        <f t="shared" si="79"/>
        <v>209415.84999999998</v>
      </c>
      <c r="W343" s="161">
        <f t="shared" si="80"/>
        <v>83766.34</v>
      </c>
    </row>
    <row r="344" spans="1:23" ht="12.75" customHeight="1">
      <c r="A344" s="118">
        <v>343</v>
      </c>
      <c r="B344" s="128">
        <v>3</v>
      </c>
      <c r="C344" s="156">
        <v>39508</v>
      </c>
      <c r="D344" s="157" t="s">
        <v>46</v>
      </c>
      <c r="E344" s="127">
        <v>2008</v>
      </c>
      <c r="F344" s="158">
        <f t="shared" si="81"/>
        <v>473</v>
      </c>
      <c r="G344" s="158">
        <f t="shared" si="77"/>
        <v>2</v>
      </c>
      <c r="H344" s="175">
        <v>39035</v>
      </c>
      <c r="I344" s="168">
        <v>595970</v>
      </c>
      <c r="J344" s="191">
        <v>0.6</v>
      </c>
      <c r="K344" s="191">
        <v>0.1</v>
      </c>
      <c r="L344" s="191">
        <v>0</v>
      </c>
      <c r="M344" s="193">
        <v>0</v>
      </c>
      <c r="N344" s="529"/>
      <c r="O344" s="191">
        <v>0.1</v>
      </c>
      <c r="P344" s="192"/>
      <c r="Q344" s="193"/>
      <c r="R344" s="193"/>
      <c r="S344" s="235" t="s">
        <v>352</v>
      </c>
      <c r="T344" s="161">
        <f t="shared" si="82"/>
        <v>59597</v>
      </c>
      <c r="U344" s="161">
        <f t="shared" si="78"/>
        <v>0</v>
      </c>
      <c r="V344" s="161">
        <f t="shared" si="79"/>
        <v>59597</v>
      </c>
      <c r="W344" s="161">
        <f t="shared" si="80"/>
        <v>23838.800000000003</v>
      </c>
    </row>
    <row r="345" spans="1:23" ht="12.75" customHeight="1">
      <c r="A345" s="118">
        <v>344</v>
      </c>
      <c r="B345" s="128">
        <v>3</v>
      </c>
      <c r="C345" s="156">
        <v>39539</v>
      </c>
      <c r="D345" s="157" t="s">
        <v>47</v>
      </c>
      <c r="E345" s="127">
        <v>2008</v>
      </c>
      <c r="F345" s="158">
        <f t="shared" si="81"/>
        <v>504</v>
      </c>
      <c r="G345" s="158">
        <f t="shared" si="77"/>
        <v>2</v>
      </c>
      <c r="H345" s="175">
        <v>39035</v>
      </c>
      <c r="I345" s="168">
        <v>595408</v>
      </c>
      <c r="J345" s="118">
        <v>0.03</v>
      </c>
      <c r="K345" s="118">
        <v>0</v>
      </c>
      <c r="L345" s="118">
        <v>0</v>
      </c>
      <c r="M345" s="193">
        <v>0</v>
      </c>
      <c r="N345" s="529"/>
      <c r="O345" s="118">
        <v>0</v>
      </c>
      <c r="P345" s="192"/>
      <c r="Q345" s="193"/>
      <c r="R345" s="193"/>
      <c r="S345" s="235"/>
      <c r="T345" s="161">
        <f t="shared" si="82"/>
        <v>0</v>
      </c>
      <c r="U345" s="161">
        <f t="shared" si="78"/>
        <v>0</v>
      </c>
      <c r="V345" s="161">
        <f t="shared" si="79"/>
        <v>0</v>
      </c>
      <c r="W345" s="161">
        <f t="shared" si="80"/>
        <v>0</v>
      </c>
    </row>
    <row r="346" spans="1:23" ht="12.75" customHeight="1">
      <c r="A346" s="118">
        <v>345</v>
      </c>
      <c r="B346" s="128">
        <v>3</v>
      </c>
      <c r="C346" s="156">
        <v>39569</v>
      </c>
      <c r="D346" s="157" t="s">
        <v>48</v>
      </c>
      <c r="E346" s="127">
        <v>2008</v>
      </c>
      <c r="F346" s="158">
        <f t="shared" si="81"/>
        <v>534</v>
      </c>
      <c r="G346" s="158">
        <f t="shared" si="77"/>
        <v>2</v>
      </c>
      <c r="H346" s="175">
        <v>39035</v>
      </c>
      <c r="I346" s="160">
        <v>557369</v>
      </c>
      <c r="J346" s="164">
        <v>1.6666666666666666E-2</v>
      </c>
      <c r="K346" s="164">
        <v>3.3333333333333333E-2</v>
      </c>
      <c r="L346" s="164">
        <v>0</v>
      </c>
      <c r="M346" s="193">
        <v>0</v>
      </c>
      <c r="N346" s="529"/>
      <c r="O346" s="164">
        <v>1.6666666666666666E-2</v>
      </c>
      <c r="P346" s="192"/>
      <c r="Q346" s="193">
        <v>8</v>
      </c>
      <c r="R346" s="193">
        <v>30</v>
      </c>
      <c r="S346" s="235" t="s">
        <v>101</v>
      </c>
      <c r="T346" s="161">
        <f t="shared" si="82"/>
        <v>18578.966666666667</v>
      </c>
      <c r="U346" s="161">
        <f t="shared" si="78"/>
        <v>0</v>
      </c>
      <c r="V346" s="161">
        <f t="shared" si="79"/>
        <v>9289.4833333333336</v>
      </c>
      <c r="W346" s="161">
        <f t="shared" si="80"/>
        <v>3715.7933333333335</v>
      </c>
    </row>
    <row r="347" spans="1:23" ht="12.75" customHeight="1">
      <c r="A347" s="118">
        <v>346</v>
      </c>
      <c r="B347" s="128">
        <v>3</v>
      </c>
      <c r="C347" s="156">
        <v>39600</v>
      </c>
      <c r="D347" s="157" t="s">
        <v>49</v>
      </c>
      <c r="E347" s="127">
        <v>2008</v>
      </c>
      <c r="F347" s="158">
        <f t="shared" si="81"/>
        <v>565</v>
      </c>
      <c r="G347" s="158">
        <f t="shared" si="77"/>
        <v>2</v>
      </c>
      <c r="H347" s="175">
        <v>39035</v>
      </c>
      <c r="I347" s="160">
        <v>201910</v>
      </c>
      <c r="J347" s="164">
        <v>3.3333333333333333E-2</v>
      </c>
      <c r="K347" s="164">
        <v>0.13333333333333333</v>
      </c>
      <c r="L347" s="164">
        <v>1.6666666666666666E-2</v>
      </c>
      <c r="M347" s="193"/>
      <c r="N347" s="529"/>
      <c r="O347" s="164">
        <v>8.3333333333333329E-2</v>
      </c>
      <c r="P347" s="192"/>
      <c r="Q347" s="193"/>
      <c r="R347" s="193"/>
      <c r="S347" s="140"/>
      <c r="T347" s="161">
        <f t="shared" si="82"/>
        <v>26921.333333333332</v>
      </c>
      <c r="U347" s="161">
        <f t="shared" si="78"/>
        <v>3365.1666666666665</v>
      </c>
      <c r="V347" s="161">
        <f t="shared" si="79"/>
        <v>16825.833333333332</v>
      </c>
      <c r="W347" s="161">
        <f t="shared" si="80"/>
        <v>6730.333333333333</v>
      </c>
    </row>
    <row r="348" spans="1:23" ht="12.75" customHeight="1">
      <c r="A348" s="118">
        <v>347</v>
      </c>
      <c r="B348" s="128">
        <v>3</v>
      </c>
      <c r="C348" s="156">
        <v>39630</v>
      </c>
      <c r="D348" s="176" t="s">
        <v>50</v>
      </c>
      <c r="E348" s="127">
        <v>2008</v>
      </c>
      <c r="F348" s="127"/>
      <c r="G348" s="127"/>
      <c r="H348" s="175"/>
      <c r="I348" s="160"/>
      <c r="J348" s="164"/>
      <c r="K348" s="164"/>
      <c r="L348" s="164"/>
      <c r="M348" s="193"/>
      <c r="N348" s="529"/>
      <c r="O348" s="164"/>
      <c r="P348" s="127"/>
      <c r="Q348" s="127"/>
      <c r="R348" s="193"/>
      <c r="S348" s="240"/>
      <c r="T348" s="128"/>
      <c r="U348" s="128"/>
      <c r="V348" s="127"/>
      <c r="W348" s="127"/>
    </row>
    <row r="349" spans="1:23" ht="12.75" customHeight="1">
      <c r="A349" s="118">
        <v>348</v>
      </c>
      <c r="B349" s="128">
        <v>3</v>
      </c>
      <c r="C349" s="156">
        <v>39661</v>
      </c>
      <c r="D349" s="176" t="s">
        <v>51</v>
      </c>
      <c r="E349" s="127">
        <v>2008</v>
      </c>
      <c r="F349" s="127"/>
      <c r="G349" s="127"/>
      <c r="H349" s="175"/>
      <c r="I349" s="160"/>
      <c r="J349" s="164"/>
      <c r="K349" s="164"/>
      <c r="L349" s="164"/>
      <c r="M349" s="193"/>
      <c r="N349" s="529"/>
      <c r="O349" s="164"/>
      <c r="P349" s="127"/>
      <c r="Q349" s="127"/>
      <c r="R349" s="193"/>
      <c r="S349" s="240"/>
      <c r="T349" s="128"/>
      <c r="U349" s="128"/>
      <c r="V349" s="127"/>
      <c r="W349" s="127"/>
    </row>
    <row r="350" spans="1:23" ht="12.75" customHeight="1">
      <c r="A350" s="118">
        <v>349</v>
      </c>
      <c r="B350" s="128">
        <v>3</v>
      </c>
      <c r="C350" s="156">
        <v>39692</v>
      </c>
      <c r="D350" s="176" t="s">
        <v>52</v>
      </c>
      <c r="E350" s="127">
        <v>2008</v>
      </c>
      <c r="F350" s="127"/>
      <c r="G350" s="127"/>
      <c r="H350" s="175"/>
      <c r="I350" s="160"/>
      <c r="J350" s="164"/>
      <c r="K350" s="164"/>
      <c r="L350" s="164"/>
      <c r="M350" s="193"/>
      <c r="N350" s="529"/>
      <c r="O350" s="164"/>
      <c r="P350" s="127"/>
      <c r="Q350" s="127"/>
      <c r="R350" s="193"/>
      <c r="S350" s="240"/>
      <c r="T350" s="128"/>
      <c r="U350" s="128"/>
      <c r="V350" s="127"/>
      <c r="W350" s="127"/>
    </row>
    <row r="351" spans="1:23" ht="12.75" customHeight="1">
      <c r="A351" s="118">
        <v>350</v>
      </c>
      <c r="B351" s="128">
        <v>3</v>
      </c>
      <c r="C351" s="156">
        <v>39722</v>
      </c>
      <c r="D351" s="176" t="s">
        <v>53</v>
      </c>
      <c r="E351" s="127">
        <v>2008</v>
      </c>
      <c r="F351" s="127"/>
      <c r="G351" s="127"/>
      <c r="H351" s="175"/>
      <c r="I351" s="160"/>
      <c r="J351" s="164"/>
      <c r="K351" s="164"/>
      <c r="L351" s="164"/>
      <c r="M351" s="193"/>
      <c r="N351" s="529"/>
      <c r="O351" s="164"/>
      <c r="P351" s="127"/>
      <c r="Q351" s="127"/>
      <c r="R351" s="193"/>
      <c r="S351" s="240"/>
      <c r="T351" s="128"/>
      <c r="U351" s="128"/>
      <c r="V351" s="127"/>
      <c r="W351" s="127"/>
    </row>
    <row r="352" spans="1:23" ht="12.75" customHeight="1">
      <c r="A352" s="118">
        <v>351</v>
      </c>
      <c r="B352" s="128">
        <v>3</v>
      </c>
      <c r="C352" s="156">
        <v>39753</v>
      </c>
      <c r="D352" s="176" t="s">
        <v>54</v>
      </c>
      <c r="E352" s="127">
        <v>2008</v>
      </c>
      <c r="F352" s="158">
        <f t="shared" ref="F352:F377" si="83">C352-H352</f>
        <v>0</v>
      </c>
      <c r="G352" s="158">
        <f t="shared" ref="G352:G377" si="84">IF(F352&lt;365,1,2)</f>
        <v>1</v>
      </c>
      <c r="H352" s="162">
        <v>39753</v>
      </c>
      <c r="I352" s="160">
        <v>350000</v>
      </c>
      <c r="J352" s="191"/>
      <c r="K352" s="177">
        <v>0</v>
      </c>
      <c r="L352" s="177">
        <v>0</v>
      </c>
      <c r="M352" s="193"/>
      <c r="N352" s="529" t="s">
        <v>794</v>
      </c>
      <c r="O352" s="177">
        <v>0</v>
      </c>
      <c r="P352" s="127"/>
      <c r="Q352" s="127"/>
      <c r="R352" s="193"/>
      <c r="S352" s="240" t="s">
        <v>245</v>
      </c>
      <c r="T352" s="161">
        <f t="shared" ref="T352:U359" si="85">$I352*K352</f>
        <v>0</v>
      </c>
      <c r="U352" s="161">
        <f t="shared" si="85"/>
        <v>0</v>
      </c>
      <c r="V352" s="161">
        <f t="shared" ref="V352:V359" si="86">$I352*O352</f>
        <v>0</v>
      </c>
      <c r="W352" s="161">
        <f t="shared" ref="W352:W359" si="87">V352*0.4</f>
        <v>0</v>
      </c>
    </row>
    <row r="353" spans="1:23" ht="12.75" customHeight="1">
      <c r="A353" s="118">
        <v>352</v>
      </c>
      <c r="B353" s="128">
        <v>3</v>
      </c>
      <c r="C353" s="156">
        <v>39783</v>
      </c>
      <c r="D353" s="176" t="s">
        <v>55</v>
      </c>
      <c r="E353" s="127">
        <v>2008</v>
      </c>
      <c r="F353" s="158">
        <f t="shared" si="83"/>
        <v>30</v>
      </c>
      <c r="G353" s="158">
        <f t="shared" si="84"/>
        <v>1</v>
      </c>
      <c r="H353" s="162">
        <v>39753</v>
      </c>
      <c r="I353" s="160">
        <v>280000</v>
      </c>
      <c r="J353" s="164">
        <v>0.6333333333333333</v>
      </c>
      <c r="K353" s="164">
        <v>0.45</v>
      </c>
      <c r="L353" s="164">
        <v>0.15</v>
      </c>
      <c r="M353" s="193"/>
      <c r="N353" s="529"/>
      <c r="O353" s="164">
        <v>0.23333333333333336</v>
      </c>
      <c r="P353" s="127"/>
      <c r="Q353" s="127"/>
      <c r="R353" s="193"/>
      <c r="S353" s="240"/>
      <c r="T353" s="161">
        <f t="shared" si="85"/>
        <v>126000</v>
      </c>
      <c r="U353" s="161">
        <f t="shared" si="85"/>
        <v>42000</v>
      </c>
      <c r="V353" s="161">
        <f t="shared" si="86"/>
        <v>65333.333333333343</v>
      </c>
      <c r="W353" s="161">
        <f t="shared" si="87"/>
        <v>26133.333333333339</v>
      </c>
    </row>
    <row r="354" spans="1:23" ht="12.75" customHeight="1">
      <c r="A354" s="118">
        <v>353</v>
      </c>
      <c r="B354" s="128">
        <v>3</v>
      </c>
      <c r="C354" s="156">
        <v>39814</v>
      </c>
      <c r="D354" s="157" t="s">
        <v>44</v>
      </c>
      <c r="E354" s="127">
        <v>2009</v>
      </c>
      <c r="F354" s="158">
        <f t="shared" si="83"/>
        <v>61</v>
      </c>
      <c r="G354" s="158">
        <f t="shared" si="84"/>
        <v>1</v>
      </c>
      <c r="H354" s="175">
        <v>39753</v>
      </c>
      <c r="I354" s="125">
        <v>283233</v>
      </c>
      <c r="J354" s="164">
        <v>0</v>
      </c>
      <c r="K354" s="164">
        <v>1.2833333333333334</v>
      </c>
      <c r="L354" s="164">
        <v>1.1499999999999999</v>
      </c>
      <c r="M354" s="193">
        <v>2</v>
      </c>
      <c r="N354" s="529"/>
      <c r="O354" s="164">
        <v>1.1833333333333333</v>
      </c>
      <c r="P354" s="118"/>
      <c r="Q354" s="118"/>
      <c r="R354" s="118"/>
      <c r="S354" s="221"/>
      <c r="T354" s="161">
        <f t="shared" si="85"/>
        <v>363482.35000000003</v>
      </c>
      <c r="U354" s="161">
        <f t="shared" si="85"/>
        <v>325717.94999999995</v>
      </c>
      <c r="V354" s="161">
        <f t="shared" si="86"/>
        <v>335159.05</v>
      </c>
      <c r="W354" s="161">
        <f t="shared" si="87"/>
        <v>134063.62</v>
      </c>
    </row>
    <row r="355" spans="1:23" ht="12.75" customHeight="1">
      <c r="A355" s="118">
        <v>354</v>
      </c>
      <c r="B355" s="128">
        <v>3</v>
      </c>
      <c r="C355" s="156">
        <v>39845</v>
      </c>
      <c r="D355" s="157" t="s">
        <v>45</v>
      </c>
      <c r="E355" s="127">
        <v>2009</v>
      </c>
      <c r="F355" s="158">
        <f t="shared" si="83"/>
        <v>92</v>
      </c>
      <c r="G355" s="158">
        <f t="shared" si="84"/>
        <v>1</v>
      </c>
      <c r="H355" s="175">
        <v>39753</v>
      </c>
      <c r="I355" s="125">
        <v>282705</v>
      </c>
      <c r="J355" s="164">
        <v>0</v>
      </c>
      <c r="K355" s="164">
        <v>1.6333333333333335</v>
      </c>
      <c r="L355" s="164">
        <v>0.65</v>
      </c>
      <c r="M355" s="193">
        <v>0</v>
      </c>
      <c r="N355" s="529"/>
      <c r="O355" s="164">
        <v>0.83333333333333337</v>
      </c>
      <c r="P355" s="118">
        <v>1</v>
      </c>
      <c r="Q355" s="118"/>
      <c r="R355" s="118"/>
      <c r="S355" s="221"/>
      <c r="T355" s="161">
        <f t="shared" si="85"/>
        <v>461751.50000000006</v>
      </c>
      <c r="U355" s="161">
        <f t="shared" si="85"/>
        <v>183758.25</v>
      </c>
      <c r="V355" s="161">
        <f t="shared" si="86"/>
        <v>235587.5</v>
      </c>
      <c r="W355" s="161">
        <f t="shared" si="87"/>
        <v>94235</v>
      </c>
    </row>
    <row r="356" spans="1:23" ht="12.75" customHeight="1">
      <c r="A356" s="118">
        <v>355</v>
      </c>
      <c r="B356" s="128">
        <v>3</v>
      </c>
      <c r="C356" s="156">
        <v>39873</v>
      </c>
      <c r="D356" s="157" t="s">
        <v>46</v>
      </c>
      <c r="E356" s="127">
        <v>2009</v>
      </c>
      <c r="F356" s="158">
        <f t="shared" si="83"/>
        <v>120</v>
      </c>
      <c r="G356" s="158">
        <f t="shared" si="84"/>
        <v>1</v>
      </c>
      <c r="H356" s="175">
        <v>39753</v>
      </c>
      <c r="I356" s="125">
        <v>281989</v>
      </c>
      <c r="J356" s="164">
        <v>0</v>
      </c>
      <c r="K356" s="164">
        <v>0.56666666666666654</v>
      </c>
      <c r="L356" s="164">
        <v>0.33333333333333331</v>
      </c>
      <c r="M356" s="193">
        <v>0</v>
      </c>
      <c r="N356" s="529"/>
      <c r="O356" s="164">
        <v>0</v>
      </c>
      <c r="T356" s="161">
        <f t="shared" si="85"/>
        <v>159793.76666666663</v>
      </c>
      <c r="U356" s="161">
        <f t="shared" si="85"/>
        <v>93996.333333333328</v>
      </c>
      <c r="V356" s="161">
        <f t="shared" si="86"/>
        <v>0</v>
      </c>
      <c r="W356" s="161">
        <f t="shared" si="87"/>
        <v>0</v>
      </c>
    </row>
    <row r="357" spans="1:23" ht="12.75" customHeight="1">
      <c r="A357" s="118">
        <v>356</v>
      </c>
      <c r="B357" s="128">
        <v>3</v>
      </c>
      <c r="C357" s="156">
        <v>39904</v>
      </c>
      <c r="D357" s="157" t="s">
        <v>47</v>
      </c>
      <c r="E357" s="127">
        <v>2009</v>
      </c>
      <c r="F357" s="158">
        <f t="shared" si="83"/>
        <v>151</v>
      </c>
      <c r="G357" s="158">
        <f t="shared" si="84"/>
        <v>1</v>
      </c>
      <c r="H357" s="175">
        <v>39753</v>
      </c>
      <c r="I357" s="125">
        <v>281319</v>
      </c>
      <c r="J357" s="164">
        <v>0.05</v>
      </c>
      <c r="K357" s="164">
        <v>0</v>
      </c>
      <c r="L357" s="164">
        <v>0</v>
      </c>
      <c r="M357" s="193">
        <v>0</v>
      </c>
      <c r="N357" s="529"/>
      <c r="O357" s="164">
        <v>0.02</v>
      </c>
      <c r="P357" s="118"/>
      <c r="Q357" s="118"/>
      <c r="R357" s="118"/>
      <c r="S357" s="221"/>
      <c r="T357" s="161">
        <f t="shared" si="85"/>
        <v>0</v>
      </c>
      <c r="U357" s="161">
        <f t="shared" si="85"/>
        <v>0</v>
      </c>
      <c r="V357" s="161">
        <f t="shared" si="86"/>
        <v>5626.38</v>
      </c>
      <c r="W357" s="161">
        <f t="shared" si="87"/>
        <v>2250.5520000000001</v>
      </c>
    </row>
    <row r="358" spans="1:23" ht="12.75" customHeight="1">
      <c r="A358" s="118">
        <v>357</v>
      </c>
      <c r="B358" s="128">
        <v>3</v>
      </c>
      <c r="C358" s="156">
        <v>39934</v>
      </c>
      <c r="D358" s="157" t="s">
        <v>48</v>
      </c>
      <c r="E358" s="127">
        <v>2009</v>
      </c>
      <c r="F358" s="158">
        <f t="shared" si="83"/>
        <v>181</v>
      </c>
      <c r="G358" s="158">
        <f t="shared" si="84"/>
        <v>1</v>
      </c>
      <c r="H358" s="175">
        <v>39753</v>
      </c>
      <c r="I358" s="125">
        <v>280660</v>
      </c>
      <c r="J358" s="164">
        <v>0</v>
      </c>
      <c r="K358" s="164">
        <v>0</v>
      </c>
      <c r="L358" s="164">
        <v>0</v>
      </c>
      <c r="M358" s="193">
        <v>0</v>
      </c>
      <c r="N358" s="529"/>
      <c r="O358" s="164">
        <v>0</v>
      </c>
      <c r="P358" s="118"/>
      <c r="Q358" s="118"/>
      <c r="R358" s="118"/>
      <c r="S358" s="221"/>
      <c r="T358" s="161">
        <f t="shared" si="85"/>
        <v>0</v>
      </c>
      <c r="U358" s="161">
        <f t="shared" si="85"/>
        <v>0</v>
      </c>
      <c r="V358" s="161">
        <f t="shared" si="86"/>
        <v>0</v>
      </c>
      <c r="W358" s="161">
        <f t="shared" si="87"/>
        <v>0</v>
      </c>
    </row>
    <row r="359" spans="1:23" ht="12.75" customHeight="1">
      <c r="A359" s="118">
        <v>358</v>
      </c>
      <c r="B359" s="128">
        <v>3</v>
      </c>
      <c r="C359" s="156">
        <v>39965</v>
      </c>
      <c r="D359" s="157" t="s">
        <v>49</v>
      </c>
      <c r="E359" s="127">
        <v>2009</v>
      </c>
      <c r="F359" s="158">
        <f t="shared" si="83"/>
        <v>212</v>
      </c>
      <c r="G359" s="158">
        <f t="shared" si="84"/>
        <v>1</v>
      </c>
      <c r="H359" s="175">
        <v>39753</v>
      </c>
      <c r="I359" s="125">
        <v>236009</v>
      </c>
      <c r="J359" s="164">
        <v>2.5000000000000001E-2</v>
      </c>
      <c r="K359" s="164">
        <v>0</v>
      </c>
      <c r="L359" s="164">
        <v>0</v>
      </c>
      <c r="M359" s="193">
        <v>0</v>
      </c>
      <c r="N359" s="529"/>
      <c r="O359" s="164">
        <v>0</v>
      </c>
      <c r="P359" s="118"/>
      <c r="Q359" s="118"/>
      <c r="R359" s="118"/>
      <c r="S359" s="221"/>
      <c r="T359" s="161">
        <f t="shared" si="85"/>
        <v>0</v>
      </c>
      <c r="U359" s="161">
        <f t="shared" si="85"/>
        <v>0</v>
      </c>
      <c r="V359" s="161">
        <f t="shared" si="86"/>
        <v>0</v>
      </c>
      <c r="W359" s="161">
        <f t="shared" si="87"/>
        <v>0</v>
      </c>
    </row>
    <row r="360" spans="1:23" ht="12.75" customHeight="1">
      <c r="A360" s="118">
        <v>359</v>
      </c>
      <c r="B360" s="128">
        <v>3</v>
      </c>
      <c r="C360" s="156">
        <v>39995</v>
      </c>
      <c r="D360" s="157" t="s">
        <v>50</v>
      </c>
      <c r="E360" s="127">
        <v>2009</v>
      </c>
      <c r="F360" s="158">
        <f t="shared" si="83"/>
        <v>242</v>
      </c>
      <c r="G360" s="158">
        <f t="shared" si="84"/>
        <v>1</v>
      </c>
      <c r="H360" s="175">
        <v>39753</v>
      </c>
      <c r="I360" s="125">
        <v>223597</v>
      </c>
      <c r="J360" s="164">
        <v>0</v>
      </c>
      <c r="K360" s="164">
        <v>0</v>
      </c>
      <c r="L360" s="164">
        <v>0</v>
      </c>
      <c r="M360" s="193">
        <v>0</v>
      </c>
      <c r="N360" s="529"/>
      <c r="O360" s="164">
        <v>0</v>
      </c>
      <c r="P360" s="118"/>
      <c r="Q360" s="118"/>
      <c r="R360" s="118"/>
      <c r="S360" s="221"/>
      <c r="T360" s="161">
        <f t="shared" ref="T360:T361" si="88">$I360*K360</f>
        <v>0</v>
      </c>
      <c r="U360" s="161">
        <f t="shared" ref="U360:U361" si="89">$I360*L360</f>
        <v>0</v>
      </c>
      <c r="V360" s="161">
        <f t="shared" ref="V360:V361" si="90">$I360*O360</f>
        <v>0</v>
      </c>
      <c r="W360" s="161">
        <f t="shared" ref="W360:W361" si="91">V360*0.4</f>
        <v>0</v>
      </c>
    </row>
    <row r="361" spans="1:23" ht="12.75" customHeight="1">
      <c r="A361" s="118">
        <v>360</v>
      </c>
      <c r="B361" s="128">
        <v>3</v>
      </c>
      <c r="C361" s="156">
        <v>40026</v>
      </c>
      <c r="D361" s="157" t="s">
        <v>51</v>
      </c>
      <c r="E361" s="127">
        <v>2009</v>
      </c>
      <c r="F361" s="158">
        <f t="shared" si="83"/>
        <v>273</v>
      </c>
      <c r="G361" s="158">
        <f t="shared" si="84"/>
        <v>1</v>
      </c>
      <c r="H361" s="175">
        <v>39753</v>
      </c>
      <c r="I361" s="125">
        <v>152470</v>
      </c>
      <c r="J361" s="164">
        <v>0</v>
      </c>
      <c r="K361" s="164">
        <v>6.7000000000000004E-2</v>
      </c>
      <c r="L361" s="164">
        <v>0.05</v>
      </c>
      <c r="M361" s="193"/>
      <c r="N361" s="529"/>
      <c r="O361" s="164">
        <v>0</v>
      </c>
      <c r="P361" s="118"/>
      <c r="Q361" s="118"/>
      <c r="R361" s="118"/>
      <c r="S361" s="221"/>
      <c r="T361" s="161">
        <f t="shared" si="88"/>
        <v>10215.49</v>
      </c>
      <c r="U361" s="161">
        <f t="shared" si="89"/>
        <v>7623.5</v>
      </c>
      <c r="V361" s="161">
        <f t="shared" si="90"/>
        <v>0</v>
      </c>
      <c r="W361" s="161">
        <f t="shared" si="91"/>
        <v>0</v>
      </c>
    </row>
    <row r="362" spans="1:23" ht="12.75" customHeight="1">
      <c r="A362" s="118">
        <v>361</v>
      </c>
      <c r="B362" s="128">
        <v>3</v>
      </c>
      <c r="C362" s="156">
        <v>40057</v>
      </c>
      <c r="D362" s="157" t="s">
        <v>52</v>
      </c>
      <c r="E362" s="127">
        <v>2009</v>
      </c>
      <c r="F362" s="158">
        <f t="shared" si="83"/>
        <v>304</v>
      </c>
      <c r="G362" s="158">
        <f t="shared" si="84"/>
        <v>1</v>
      </c>
      <c r="H362" s="175">
        <v>39753</v>
      </c>
      <c r="I362" s="125">
        <v>78962</v>
      </c>
      <c r="J362" s="164"/>
      <c r="K362" s="164"/>
      <c r="L362" s="177">
        <v>0.1</v>
      </c>
      <c r="M362" s="193"/>
      <c r="N362" s="529" t="s">
        <v>795</v>
      </c>
      <c r="O362" s="177">
        <v>0</v>
      </c>
      <c r="P362" s="118"/>
      <c r="Q362" s="118"/>
      <c r="R362" s="118"/>
      <c r="S362" s="2" t="s">
        <v>408</v>
      </c>
      <c r="T362" s="161"/>
      <c r="U362" s="161">
        <f t="shared" ref="U362" si="92">$I362*L362</f>
        <v>7896.2000000000007</v>
      </c>
      <c r="V362" s="161">
        <f t="shared" ref="V362" si="93">$I362*O362</f>
        <v>0</v>
      </c>
      <c r="W362" s="161">
        <f t="shared" ref="W362" si="94">V362*0.4</f>
        <v>0</v>
      </c>
    </row>
    <row r="363" spans="1:23" ht="12.75" customHeight="1">
      <c r="A363" s="118">
        <v>362</v>
      </c>
      <c r="B363" s="128">
        <v>3</v>
      </c>
      <c r="C363" s="156">
        <v>40087</v>
      </c>
      <c r="D363" s="157" t="s">
        <v>53</v>
      </c>
      <c r="E363" s="127">
        <v>2009</v>
      </c>
      <c r="F363" s="158"/>
      <c r="G363" s="158"/>
      <c r="H363" s="175"/>
      <c r="I363" s="125"/>
      <c r="J363" s="164"/>
      <c r="K363" s="164"/>
      <c r="L363" s="164"/>
      <c r="M363" s="193"/>
      <c r="N363" s="529"/>
      <c r="O363" s="164"/>
      <c r="P363" s="118"/>
      <c r="Q363" s="118"/>
      <c r="R363" s="118"/>
      <c r="S363" s="221"/>
      <c r="T363" s="161"/>
      <c r="V363" s="161"/>
      <c r="W363" s="161"/>
    </row>
    <row r="364" spans="1:23" ht="12.75" customHeight="1">
      <c r="A364" s="118">
        <v>363</v>
      </c>
      <c r="B364" s="128">
        <v>3</v>
      </c>
      <c r="C364" s="156">
        <v>40118</v>
      </c>
      <c r="D364" s="157" t="s">
        <v>54</v>
      </c>
      <c r="E364" s="127">
        <v>2009</v>
      </c>
      <c r="F364" s="158"/>
      <c r="G364" s="158"/>
      <c r="H364" s="175"/>
      <c r="I364" s="125"/>
      <c r="J364" s="164"/>
      <c r="K364" s="164"/>
      <c r="L364" s="164"/>
      <c r="M364" s="193"/>
      <c r="N364" s="529"/>
      <c r="O364" s="164"/>
      <c r="P364" s="118"/>
      <c r="Q364" s="118"/>
      <c r="R364" s="118"/>
      <c r="S364" s="221"/>
      <c r="T364" s="161"/>
      <c r="V364" s="161"/>
      <c r="W364" s="161"/>
    </row>
    <row r="365" spans="1:23" ht="12.75" customHeight="1">
      <c r="A365" s="118">
        <v>364</v>
      </c>
      <c r="B365" s="128">
        <v>3</v>
      </c>
      <c r="C365" s="156">
        <v>40148</v>
      </c>
      <c r="D365" s="157" t="s">
        <v>55</v>
      </c>
      <c r="E365" s="127">
        <v>2009</v>
      </c>
      <c r="F365" s="158"/>
      <c r="G365" s="158"/>
      <c r="H365" s="175"/>
      <c r="I365" s="125"/>
      <c r="J365" s="164"/>
      <c r="K365" s="164"/>
      <c r="L365" s="164"/>
      <c r="M365" s="193"/>
      <c r="N365" s="529"/>
      <c r="O365" s="164"/>
      <c r="P365" s="118"/>
      <c r="Q365" s="118"/>
      <c r="R365" s="118"/>
      <c r="S365" s="221"/>
      <c r="T365" s="161"/>
      <c r="V365" s="161"/>
      <c r="W365" s="161"/>
    </row>
    <row r="366" spans="1:23" ht="12.75" customHeight="1">
      <c r="A366" s="118">
        <v>365</v>
      </c>
      <c r="B366" s="128">
        <v>4</v>
      </c>
      <c r="C366" s="156">
        <v>36526</v>
      </c>
      <c r="D366" s="157" t="s">
        <v>44</v>
      </c>
      <c r="E366" s="8">
        <v>2000</v>
      </c>
      <c r="F366" s="158">
        <f t="shared" si="83"/>
        <v>365</v>
      </c>
      <c r="G366" s="158">
        <f t="shared" si="84"/>
        <v>2</v>
      </c>
      <c r="H366" s="190">
        <v>36161</v>
      </c>
      <c r="I366" s="160">
        <v>398185</v>
      </c>
      <c r="J366" s="11"/>
      <c r="K366" s="11"/>
      <c r="L366" s="11"/>
      <c r="O366" s="11"/>
      <c r="T366" s="11"/>
      <c r="V366" s="11"/>
      <c r="W366" s="11"/>
    </row>
    <row r="367" spans="1:23" ht="12.75" customHeight="1">
      <c r="A367" s="118">
        <v>366</v>
      </c>
      <c r="B367" s="128">
        <v>4</v>
      </c>
      <c r="C367" s="156">
        <v>36557</v>
      </c>
      <c r="D367" s="157" t="s">
        <v>45</v>
      </c>
      <c r="E367" s="8">
        <v>2000</v>
      </c>
      <c r="F367" s="158">
        <f t="shared" si="83"/>
        <v>396</v>
      </c>
      <c r="G367" s="158">
        <f t="shared" si="84"/>
        <v>2</v>
      </c>
      <c r="H367" s="190">
        <v>36161</v>
      </c>
      <c r="I367" s="160">
        <v>397892</v>
      </c>
      <c r="J367" s="11"/>
      <c r="K367" s="11"/>
      <c r="L367" s="11"/>
      <c r="O367" s="11"/>
      <c r="T367" s="11"/>
      <c r="V367" s="11"/>
      <c r="W367" s="11"/>
    </row>
    <row r="368" spans="1:23" ht="12.75" customHeight="1">
      <c r="A368" s="118">
        <v>367</v>
      </c>
      <c r="B368" s="128">
        <v>4</v>
      </c>
      <c r="C368" s="156">
        <v>36586</v>
      </c>
      <c r="D368" s="157" t="s">
        <v>46</v>
      </c>
      <c r="E368" s="8">
        <v>2000</v>
      </c>
      <c r="F368" s="158">
        <f t="shared" si="83"/>
        <v>425</v>
      </c>
      <c r="G368" s="158">
        <f t="shared" si="84"/>
        <v>2</v>
      </c>
      <c r="H368" s="190">
        <v>36161</v>
      </c>
      <c r="I368" s="160">
        <v>397673</v>
      </c>
      <c r="J368" s="11"/>
      <c r="K368" s="11"/>
      <c r="L368" s="11"/>
      <c r="O368" s="11"/>
      <c r="T368" s="11"/>
      <c r="V368" s="11"/>
      <c r="W368" s="11"/>
    </row>
    <row r="369" spans="1:23" ht="12.75" customHeight="1">
      <c r="A369" s="118">
        <v>368</v>
      </c>
      <c r="B369" s="128">
        <v>4</v>
      </c>
      <c r="C369" s="156">
        <v>36617</v>
      </c>
      <c r="D369" s="157" t="s">
        <v>47</v>
      </c>
      <c r="E369" s="8">
        <v>2000</v>
      </c>
      <c r="F369" s="158">
        <f t="shared" si="83"/>
        <v>456</v>
      </c>
      <c r="G369" s="158">
        <f t="shared" si="84"/>
        <v>2</v>
      </c>
      <c r="H369" s="190">
        <v>36161</v>
      </c>
      <c r="I369" s="160">
        <v>397434</v>
      </c>
      <c r="J369" s="15">
        <v>2.4</v>
      </c>
      <c r="K369" s="15">
        <v>21.612500000000001</v>
      </c>
      <c r="L369" s="15">
        <v>6.65</v>
      </c>
      <c r="O369" s="15">
        <v>0.90500000000000003</v>
      </c>
      <c r="T369" s="161">
        <f t="shared" ref="T369:U373" si="95">$I369*K369</f>
        <v>8589542.3250000011</v>
      </c>
      <c r="U369" s="161">
        <f t="shared" si="95"/>
        <v>2642936.1</v>
      </c>
      <c r="V369" s="161">
        <f t="shared" ref="V369:V373" si="96">$I369*O369</f>
        <v>359677.77</v>
      </c>
      <c r="W369" s="161">
        <f>V369*0.4</f>
        <v>143871.10800000001</v>
      </c>
    </row>
    <row r="370" spans="1:23" ht="12.75" customHeight="1">
      <c r="A370" s="118">
        <v>369</v>
      </c>
      <c r="B370" s="128">
        <v>4</v>
      </c>
      <c r="C370" s="156">
        <v>36647</v>
      </c>
      <c r="D370" s="157" t="s">
        <v>48</v>
      </c>
      <c r="E370" s="8">
        <v>2000</v>
      </c>
      <c r="F370" s="158">
        <f t="shared" si="83"/>
        <v>486</v>
      </c>
      <c r="G370" s="158">
        <f t="shared" si="84"/>
        <v>2</v>
      </c>
      <c r="H370" s="190">
        <v>36161</v>
      </c>
      <c r="I370" s="160">
        <v>396894</v>
      </c>
      <c r="J370" s="15">
        <v>1.1487499999999999</v>
      </c>
      <c r="K370" s="15">
        <v>14.9825</v>
      </c>
      <c r="L370" s="15">
        <v>5.5737500000000004</v>
      </c>
      <c r="M370" s="174">
        <v>1</v>
      </c>
      <c r="O370" s="15">
        <v>0.45750000000000002</v>
      </c>
      <c r="T370" s="161">
        <f t="shared" si="95"/>
        <v>5946464.3549999995</v>
      </c>
      <c r="U370" s="161">
        <f t="shared" si="95"/>
        <v>2212187.9325000001</v>
      </c>
      <c r="V370" s="161">
        <f t="shared" si="96"/>
        <v>181579.005</v>
      </c>
      <c r="W370" s="161">
        <f>V370*0.4</f>
        <v>72631.601999999999</v>
      </c>
    </row>
    <row r="371" spans="1:23" ht="12.75" customHeight="1">
      <c r="A371" s="118">
        <v>370</v>
      </c>
      <c r="B371" s="128">
        <v>4</v>
      </c>
      <c r="C371" s="156">
        <v>36678</v>
      </c>
      <c r="D371" s="157" t="s">
        <v>49</v>
      </c>
      <c r="E371" s="8">
        <v>2000</v>
      </c>
      <c r="F371" s="158">
        <f t="shared" si="83"/>
        <v>517</v>
      </c>
      <c r="G371" s="158">
        <f t="shared" si="84"/>
        <v>2</v>
      </c>
      <c r="H371" s="190">
        <v>36161</v>
      </c>
      <c r="I371" s="160">
        <v>379585</v>
      </c>
      <c r="J371" s="15">
        <v>1.0666666666666669</v>
      </c>
      <c r="K371" s="15">
        <v>24.31111111111111</v>
      </c>
      <c r="L371" s="15">
        <v>12.722222222222221</v>
      </c>
      <c r="M371" s="174">
        <v>2</v>
      </c>
      <c r="O371" s="15">
        <v>4.4444444444444439E-2</v>
      </c>
      <c r="P371" s="192">
        <v>1</v>
      </c>
      <c r="S371" s="241" t="s">
        <v>353</v>
      </c>
      <c r="T371" s="161">
        <f t="shared" si="95"/>
        <v>9228133.1111111101</v>
      </c>
      <c r="U371" s="161">
        <f t="shared" si="95"/>
        <v>4829164.722222222</v>
      </c>
      <c r="V371" s="161">
        <f t="shared" si="96"/>
        <v>16870.444444444442</v>
      </c>
      <c r="W371" s="161">
        <f>V371*0.4</f>
        <v>6748.177777777777</v>
      </c>
    </row>
    <row r="372" spans="1:23" ht="12.75" customHeight="1">
      <c r="A372" s="118">
        <v>371</v>
      </c>
      <c r="B372" s="128">
        <v>4</v>
      </c>
      <c r="C372" s="156">
        <v>36708</v>
      </c>
      <c r="D372" s="157" t="s">
        <v>50</v>
      </c>
      <c r="E372" s="8">
        <v>2000</v>
      </c>
      <c r="F372" s="158">
        <f t="shared" si="83"/>
        <v>547</v>
      </c>
      <c r="G372" s="158">
        <f t="shared" si="84"/>
        <v>2</v>
      </c>
      <c r="H372" s="190">
        <v>36161</v>
      </c>
      <c r="I372" s="160">
        <v>346405</v>
      </c>
      <c r="J372" s="15">
        <v>0.88749999999999996</v>
      </c>
      <c r="K372" s="15">
        <v>16.162500000000001</v>
      </c>
      <c r="L372" s="15">
        <v>9.5625</v>
      </c>
      <c r="M372" s="174">
        <v>0</v>
      </c>
      <c r="O372" s="15">
        <v>1.2500000000000001E-2</v>
      </c>
      <c r="S372" s="180"/>
      <c r="T372" s="161">
        <f t="shared" si="95"/>
        <v>5598770.8125000009</v>
      </c>
      <c r="U372" s="161">
        <f t="shared" si="95"/>
        <v>3312497.8125</v>
      </c>
      <c r="V372" s="161">
        <f t="shared" si="96"/>
        <v>4330.0625</v>
      </c>
      <c r="W372" s="161">
        <f>V372*0.4</f>
        <v>1732.0250000000001</v>
      </c>
    </row>
    <row r="373" spans="1:23" ht="12.75" customHeight="1">
      <c r="A373" s="118">
        <v>372</v>
      </c>
      <c r="B373" s="128">
        <v>4</v>
      </c>
      <c r="C373" s="156">
        <v>36739</v>
      </c>
      <c r="D373" s="157" t="s">
        <v>51</v>
      </c>
      <c r="E373" s="8">
        <v>2000</v>
      </c>
      <c r="F373" s="158">
        <f t="shared" si="83"/>
        <v>578</v>
      </c>
      <c r="G373" s="158">
        <f t="shared" si="84"/>
        <v>2</v>
      </c>
      <c r="H373" s="190">
        <v>36161</v>
      </c>
      <c r="I373" s="160">
        <v>299839</v>
      </c>
      <c r="J373" s="15">
        <v>0.12</v>
      </c>
      <c r="K373" s="15">
        <v>3.11</v>
      </c>
      <c r="L373" s="15">
        <v>1.88</v>
      </c>
      <c r="O373" s="15">
        <v>0</v>
      </c>
      <c r="S373" s="155" t="s">
        <v>21</v>
      </c>
      <c r="T373" s="161">
        <f t="shared" si="95"/>
        <v>932499.28999999992</v>
      </c>
      <c r="U373" s="161">
        <f t="shared" si="95"/>
        <v>563697.31999999995</v>
      </c>
      <c r="V373" s="161">
        <f t="shared" si="96"/>
        <v>0</v>
      </c>
      <c r="W373" s="161">
        <f>V373*0.4</f>
        <v>0</v>
      </c>
    </row>
    <row r="374" spans="1:23" ht="12.75" customHeight="1">
      <c r="A374" s="118">
        <v>373</v>
      </c>
      <c r="B374" s="128">
        <v>4</v>
      </c>
      <c r="C374" s="156">
        <v>36770</v>
      </c>
      <c r="D374" s="157" t="s">
        <v>52</v>
      </c>
      <c r="E374" s="8">
        <v>2000</v>
      </c>
      <c r="F374" s="158">
        <f t="shared" si="83"/>
        <v>609</v>
      </c>
      <c r="G374" s="158">
        <f t="shared" si="84"/>
        <v>2</v>
      </c>
      <c r="H374" s="190">
        <v>36161</v>
      </c>
      <c r="I374" s="160">
        <v>281891</v>
      </c>
      <c r="J374" s="11"/>
      <c r="K374" s="11"/>
      <c r="L374" s="11"/>
      <c r="O374" s="11"/>
      <c r="T374" s="11"/>
      <c r="V374" s="11"/>
      <c r="W374" s="11"/>
    </row>
    <row r="375" spans="1:23" ht="12.75" customHeight="1">
      <c r="A375" s="118">
        <v>374</v>
      </c>
      <c r="B375" s="128">
        <v>4</v>
      </c>
      <c r="C375" s="156">
        <v>36800</v>
      </c>
      <c r="D375" s="157" t="s">
        <v>53</v>
      </c>
      <c r="E375" s="8">
        <v>2000</v>
      </c>
      <c r="F375" s="158">
        <f t="shared" si="83"/>
        <v>639</v>
      </c>
      <c r="G375" s="158">
        <f t="shared" si="84"/>
        <v>2</v>
      </c>
      <c r="H375" s="190">
        <v>36161</v>
      </c>
      <c r="I375" s="160">
        <v>230314</v>
      </c>
      <c r="J375" s="11"/>
      <c r="K375" s="11"/>
      <c r="L375" s="11"/>
      <c r="O375" s="11"/>
      <c r="T375" s="11"/>
      <c r="V375" s="11"/>
      <c r="W375" s="11"/>
    </row>
    <row r="376" spans="1:23" ht="12.75" customHeight="1">
      <c r="A376" s="118">
        <v>375</v>
      </c>
      <c r="B376" s="128">
        <v>4</v>
      </c>
      <c r="C376" s="156">
        <v>36831</v>
      </c>
      <c r="D376" s="157" t="s">
        <v>54</v>
      </c>
      <c r="E376" s="8">
        <v>2000</v>
      </c>
      <c r="F376" s="158">
        <f t="shared" si="83"/>
        <v>670</v>
      </c>
      <c r="G376" s="158">
        <f t="shared" si="84"/>
        <v>2</v>
      </c>
      <c r="H376" s="190">
        <v>36161</v>
      </c>
      <c r="I376" s="160">
        <v>172138</v>
      </c>
      <c r="J376" s="11"/>
      <c r="K376" s="11"/>
      <c r="L376" s="11"/>
      <c r="O376" s="11"/>
      <c r="T376" s="11"/>
      <c r="V376" s="11"/>
      <c r="W376" s="11"/>
    </row>
    <row r="377" spans="1:23" ht="12.75" customHeight="1">
      <c r="A377" s="118">
        <v>376</v>
      </c>
      <c r="B377" s="128">
        <v>4</v>
      </c>
      <c r="C377" s="156">
        <v>36861</v>
      </c>
      <c r="D377" s="157" t="s">
        <v>55</v>
      </c>
      <c r="E377" s="8">
        <v>2000</v>
      </c>
      <c r="F377" s="158">
        <f t="shared" si="83"/>
        <v>700</v>
      </c>
      <c r="G377" s="158">
        <f t="shared" si="84"/>
        <v>2</v>
      </c>
      <c r="H377" s="190">
        <v>36161</v>
      </c>
      <c r="I377" s="160">
        <v>9856</v>
      </c>
      <c r="J377" s="11"/>
      <c r="K377" s="11"/>
      <c r="L377" s="11"/>
      <c r="O377" s="11"/>
      <c r="T377" s="11"/>
      <c r="V377" s="11"/>
      <c r="W377" s="11"/>
    </row>
    <row r="378" spans="1:23" ht="12.75" customHeight="1">
      <c r="A378" s="118">
        <v>377</v>
      </c>
      <c r="B378" s="128">
        <v>4</v>
      </c>
      <c r="C378" s="156">
        <v>36892</v>
      </c>
      <c r="D378" s="157" t="s">
        <v>44</v>
      </c>
      <c r="E378" s="8">
        <v>2001</v>
      </c>
      <c r="F378" s="158"/>
      <c r="G378" s="162"/>
      <c r="J378" s="11"/>
      <c r="K378" s="11"/>
      <c r="L378" s="11"/>
      <c r="O378" s="11"/>
      <c r="T378" s="11"/>
      <c r="V378" s="11"/>
      <c r="W378" s="11"/>
    </row>
    <row r="379" spans="1:23" ht="12.75" customHeight="1">
      <c r="A379" s="118">
        <v>378</v>
      </c>
      <c r="B379" s="128">
        <v>4</v>
      </c>
      <c r="C379" s="156">
        <v>36923</v>
      </c>
      <c r="D379" s="157" t="s">
        <v>45</v>
      </c>
      <c r="E379" s="8">
        <v>2001</v>
      </c>
      <c r="F379" s="158"/>
      <c r="G379" s="162"/>
      <c r="J379" s="11"/>
      <c r="K379" s="11"/>
      <c r="L379" s="11"/>
      <c r="O379" s="11"/>
      <c r="T379" s="11"/>
      <c r="V379" s="11"/>
      <c r="W379" s="11"/>
    </row>
    <row r="380" spans="1:23" ht="12.75" customHeight="1">
      <c r="A380" s="118">
        <v>379</v>
      </c>
      <c r="B380" s="128">
        <v>4</v>
      </c>
      <c r="C380" s="156">
        <v>36951</v>
      </c>
      <c r="D380" s="157" t="s">
        <v>46</v>
      </c>
      <c r="E380" s="8">
        <v>2001</v>
      </c>
      <c r="F380" s="158"/>
      <c r="G380" s="162"/>
      <c r="J380" s="11"/>
      <c r="K380" s="11"/>
      <c r="L380" s="11"/>
      <c r="O380" s="11"/>
      <c r="T380" s="11"/>
      <c r="V380" s="11"/>
      <c r="W380" s="11"/>
    </row>
    <row r="381" spans="1:23" ht="12.75" customHeight="1">
      <c r="A381" s="118">
        <v>380</v>
      </c>
      <c r="B381" s="128">
        <v>4</v>
      </c>
      <c r="C381" s="156">
        <v>36982</v>
      </c>
      <c r="D381" s="157" t="s">
        <v>47</v>
      </c>
      <c r="E381" s="8">
        <v>2001</v>
      </c>
      <c r="F381" s="158"/>
      <c r="G381" s="162"/>
      <c r="J381" s="11"/>
      <c r="K381" s="11"/>
      <c r="L381" s="11"/>
      <c r="O381" s="11"/>
      <c r="T381" s="11"/>
      <c r="V381" s="11"/>
      <c r="W381" s="11"/>
    </row>
    <row r="382" spans="1:23" ht="12.75" customHeight="1">
      <c r="A382" s="118">
        <v>381</v>
      </c>
      <c r="B382" s="128">
        <v>4</v>
      </c>
      <c r="C382" s="156">
        <v>37012</v>
      </c>
      <c r="D382" s="157" t="s">
        <v>48</v>
      </c>
      <c r="E382" s="8">
        <v>2001</v>
      </c>
      <c r="F382" s="158"/>
      <c r="G382" s="162"/>
      <c r="J382" s="11"/>
      <c r="K382" s="11"/>
      <c r="L382" s="11"/>
      <c r="O382" s="11"/>
      <c r="T382" s="11"/>
      <c r="V382" s="11"/>
      <c r="W382" s="11"/>
    </row>
    <row r="383" spans="1:23" ht="12.75" customHeight="1">
      <c r="A383" s="118">
        <v>382</v>
      </c>
      <c r="B383" s="128">
        <v>4</v>
      </c>
      <c r="C383" s="156">
        <v>37043</v>
      </c>
      <c r="D383" s="157" t="s">
        <v>49</v>
      </c>
      <c r="E383" s="8">
        <v>2001</v>
      </c>
      <c r="F383" s="158"/>
      <c r="G383" s="162"/>
      <c r="J383" s="11"/>
      <c r="K383" s="11"/>
      <c r="L383" s="11"/>
      <c r="O383" s="11"/>
      <c r="T383" s="11"/>
      <c r="V383" s="11"/>
      <c r="W383" s="11"/>
    </row>
    <row r="384" spans="1:23" ht="12.75" customHeight="1">
      <c r="A384" s="118">
        <v>383</v>
      </c>
      <c r="B384" s="128">
        <v>4</v>
      </c>
      <c r="C384" s="156">
        <v>37073</v>
      </c>
      <c r="D384" s="157" t="s">
        <v>50</v>
      </c>
      <c r="E384" s="8">
        <v>2001</v>
      </c>
      <c r="F384" s="158">
        <f t="shared" ref="F384:F421" si="97">C384-H384</f>
        <v>273</v>
      </c>
      <c r="G384" s="158">
        <f t="shared" ref="G384:G421" si="98">IF(F384&lt;365,1,2)</f>
        <v>1</v>
      </c>
      <c r="H384" s="172">
        <v>36800</v>
      </c>
      <c r="I384" s="160">
        <v>510023</v>
      </c>
      <c r="J384" s="11"/>
      <c r="K384" s="11"/>
      <c r="L384" s="11"/>
      <c r="O384" s="11"/>
      <c r="S384" s="155" t="s">
        <v>303</v>
      </c>
      <c r="T384" s="11"/>
      <c r="V384" s="11"/>
      <c r="W384" s="11"/>
    </row>
    <row r="385" spans="1:23" ht="12.75" customHeight="1">
      <c r="A385" s="118">
        <v>384</v>
      </c>
      <c r="B385" s="128">
        <v>4</v>
      </c>
      <c r="C385" s="156">
        <v>37104</v>
      </c>
      <c r="D385" s="157" t="s">
        <v>51</v>
      </c>
      <c r="E385" s="8">
        <v>2001</v>
      </c>
      <c r="F385" s="158">
        <f t="shared" si="97"/>
        <v>304</v>
      </c>
      <c r="G385" s="158">
        <f t="shared" si="98"/>
        <v>1</v>
      </c>
      <c r="H385" s="172">
        <v>36800</v>
      </c>
      <c r="I385" s="160">
        <v>509810</v>
      </c>
      <c r="J385" s="15">
        <v>0</v>
      </c>
      <c r="K385" s="15">
        <v>1.45</v>
      </c>
      <c r="L385" s="15">
        <v>0.3</v>
      </c>
      <c r="O385" s="15">
        <v>0</v>
      </c>
      <c r="T385" s="161">
        <f t="shared" ref="T385:T393" si="99">$I385*K385</f>
        <v>739224.5</v>
      </c>
      <c r="U385" s="161">
        <f t="shared" ref="U385:U393" si="100">$I385*L385</f>
        <v>152943</v>
      </c>
      <c r="V385" s="161">
        <f t="shared" ref="V385:V393" si="101">$I385*O385</f>
        <v>0</v>
      </c>
      <c r="W385" s="161">
        <f t="shared" ref="W385:W393" si="102">V385*0.4</f>
        <v>0</v>
      </c>
    </row>
    <row r="386" spans="1:23" ht="12.75" customHeight="1">
      <c r="A386" s="118">
        <v>385</v>
      </c>
      <c r="B386" s="128">
        <v>4</v>
      </c>
      <c r="C386" s="156">
        <v>37135</v>
      </c>
      <c r="D386" s="157" t="s">
        <v>52</v>
      </c>
      <c r="E386" s="8">
        <v>2001</v>
      </c>
      <c r="F386" s="158">
        <f t="shared" si="97"/>
        <v>335</v>
      </c>
      <c r="G386" s="158">
        <f t="shared" si="98"/>
        <v>1</v>
      </c>
      <c r="H386" s="172">
        <v>36800</v>
      </c>
      <c r="I386" s="160">
        <v>509383</v>
      </c>
      <c r="J386" s="15">
        <v>2.5000000000000001E-2</v>
      </c>
      <c r="K386" s="15">
        <v>1.65</v>
      </c>
      <c r="L386" s="15">
        <v>0.3</v>
      </c>
      <c r="M386" s="174">
        <v>0</v>
      </c>
      <c r="O386" s="15">
        <v>0</v>
      </c>
      <c r="T386" s="161">
        <f t="shared" si="99"/>
        <v>840481.95</v>
      </c>
      <c r="U386" s="161">
        <f t="shared" si="100"/>
        <v>152814.9</v>
      </c>
      <c r="V386" s="161">
        <f t="shared" si="101"/>
        <v>0</v>
      </c>
      <c r="W386" s="161">
        <f t="shared" si="102"/>
        <v>0</v>
      </c>
    </row>
    <row r="387" spans="1:23" ht="12.75" customHeight="1">
      <c r="A387" s="118">
        <v>386</v>
      </c>
      <c r="B387" s="128">
        <v>4</v>
      </c>
      <c r="C387" s="156">
        <v>37165</v>
      </c>
      <c r="D387" s="157" t="s">
        <v>53</v>
      </c>
      <c r="E387" s="8">
        <v>2001</v>
      </c>
      <c r="F387" s="158">
        <f t="shared" si="97"/>
        <v>365</v>
      </c>
      <c r="G387" s="158">
        <f t="shared" si="98"/>
        <v>2</v>
      </c>
      <c r="H387" s="172">
        <v>36800</v>
      </c>
      <c r="I387" s="160">
        <v>508670</v>
      </c>
      <c r="J387" s="15">
        <v>0.125</v>
      </c>
      <c r="K387" s="15">
        <v>1.675</v>
      </c>
      <c r="L387" s="15">
        <v>0.57499999999999996</v>
      </c>
      <c r="M387" s="174">
        <v>0</v>
      </c>
      <c r="O387" s="15">
        <v>2.5000000000000001E-2</v>
      </c>
      <c r="T387" s="161">
        <f t="shared" si="99"/>
        <v>852022.25</v>
      </c>
      <c r="U387" s="161">
        <f t="shared" si="100"/>
        <v>292485.25</v>
      </c>
      <c r="V387" s="161">
        <f t="shared" si="101"/>
        <v>12716.75</v>
      </c>
      <c r="W387" s="161">
        <f t="shared" si="102"/>
        <v>5086.7000000000007</v>
      </c>
    </row>
    <row r="388" spans="1:23" ht="12.75" customHeight="1">
      <c r="A388" s="118">
        <v>387</v>
      </c>
      <c r="B388" s="128">
        <v>4</v>
      </c>
      <c r="C388" s="156">
        <v>37196</v>
      </c>
      <c r="D388" s="157" t="s">
        <v>54</v>
      </c>
      <c r="E388" s="8">
        <v>2001</v>
      </c>
      <c r="F388" s="158">
        <f t="shared" si="97"/>
        <v>396</v>
      </c>
      <c r="G388" s="158">
        <f t="shared" si="98"/>
        <v>2</v>
      </c>
      <c r="H388" s="172">
        <v>36800</v>
      </c>
      <c r="I388" s="160">
        <v>508312</v>
      </c>
      <c r="J388" s="15">
        <v>0.32500000000000001</v>
      </c>
      <c r="K388" s="15">
        <v>3.4</v>
      </c>
      <c r="L388" s="15">
        <v>0.8</v>
      </c>
      <c r="M388" s="174">
        <v>0</v>
      </c>
      <c r="O388" s="15">
        <v>0.17499999999999999</v>
      </c>
      <c r="T388" s="161">
        <f t="shared" si="99"/>
        <v>1728260.8</v>
      </c>
      <c r="U388" s="161">
        <f t="shared" si="100"/>
        <v>406649.60000000003</v>
      </c>
      <c r="V388" s="161">
        <f t="shared" si="101"/>
        <v>88954.599999999991</v>
      </c>
      <c r="W388" s="161">
        <f t="shared" si="102"/>
        <v>35581.839999999997</v>
      </c>
    </row>
    <row r="389" spans="1:23" ht="12.75" customHeight="1">
      <c r="A389" s="118">
        <v>388</v>
      </c>
      <c r="B389" s="128">
        <v>4</v>
      </c>
      <c r="C389" s="156">
        <v>37226</v>
      </c>
      <c r="D389" s="157" t="s">
        <v>55</v>
      </c>
      <c r="E389" s="8">
        <v>2001</v>
      </c>
      <c r="F389" s="158">
        <f t="shared" si="97"/>
        <v>426</v>
      </c>
      <c r="G389" s="158">
        <f t="shared" si="98"/>
        <v>2</v>
      </c>
      <c r="H389" s="172">
        <v>36800</v>
      </c>
      <c r="I389" s="160">
        <v>492600</v>
      </c>
      <c r="J389" s="173"/>
      <c r="K389" s="165">
        <f>(K388+K390)/2</f>
        <v>3.875</v>
      </c>
      <c r="L389" s="165">
        <f>(L388+L390)/2</f>
        <v>1.0625</v>
      </c>
      <c r="M389" s="174">
        <v>0</v>
      </c>
      <c r="N389" s="528">
        <v>1</v>
      </c>
      <c r="O389" s="165">
        <f>(O388+O390)/2</f>
        <v>0.26249999999999996</v>
      </c>
      <c r="T389" s="161">
        <f t="shared" si="99"/>
        <v>1908825</v>
      </c>
      <c r="U389" s="161">
        <f t="shared" si="100"/>
        <v>523387.5</v>
      </c>
      <c r="V389" s="161">
        <f t="shared" si="101"/>
        <v>129307.49999999997</v>
      </c>
      <c r="W389" s="161">
        <f t="shared" si="102"/>
        <v>51722.999999999993</v>
      </c>
    </row>
    <row r="390" spans="1:23" ht="12.75" customHeight="1">
      <c r="A390" s="118">
        <v>389</v>
      </c>
      <c r="B390" s="128">
        <v>4</v>
      </c>
      <c r="C390" s="156">
        <v>37257</v>
      </c>
      <c r="D390" s="157" t="s">
        <v>44</v>
      </c>
      <c r="E390" s="8">
        <v>2002</v>
      </c>
      <c r="F390" s="158">
        <f t="shared" si="97"/>
        <v>457</v>
      </c>
      <c r="G390" s="158">
        <f t="shared" si="98"/>
        <v>2</v>
      </c>
      <c r="H390" s="172">
        <v>36800</v>
      </c>
      <c r="I390" s="160">
        <v>489295</v>
      </c>
      <c r="J390" s="15">
        <v>3.5667</v>
      </c>
      <c r="K390" s="15">
        <v>4.3499999999999996</v>
      </c>
      <c r="L390" s="15">
        <v>1.325</v>
      </c>
      <c r="M390" s="174">
        <v>0</v>
      </c>
      <c r="O390" s="15">
        <v>0.35</v>
      </c>
      <c r="T390" s="161">
        <f t="shared" si="99"/>
        <v>2128433.25</v>
      </c>
      <c r="U390" s="161">
        <f t="shared" si="100"/>
        <v>648315.875</v>
      </c>
      <c r="V390" s="161">
        <f t="shared" si="101"/>
        <v>171253.25</v>
      </c>
      <c r="W390" s="161">
        <f t="shared" si="102"/>
        <v>68501.3</v>
      </c>
    </row>
    <row r="391" spans="1:23" ht="12.75" customHeight="1">
      <c r="A391" s="118">
        <v>390</v>
      </c>
      <c r="B391" s="128">
        <v>4</v>
      </c>
      <c r="C391" s="156">
        <v>37288</v>
      </c>
      <c r="D391" s="157" t="s">
        <v>45</v>
      </c>
      <c r="E391" s="8">
        <v>2002</v>
      </c>
      <c r="F391" s="158">
        <f t="shared" si="97"/>
        <v>488</v>
      </c>
      <c r="G391" s="158">
        <f t="shared" si="98"/>
        <v>2</v>
      </c>
      <c r="H391" s="172">
        <v>36800</v>
      </c>
      <c r="I391" s="160">
        <v>488714</v>
      </c>
      <c r="J391" s="15">
        <v>5.2477666666666671</v>
      </c>
      <c r="K391" s="15">
        <v>11.450999999999999</v>
      </c>
      <c r="L391" s="15">
        <v>2.1088999999999998</v>
      </c>
      <c r="M391" s="174">
        <v>0</v>
      </c>
      <c r="O391" s="15">
        <v>4.4433333333333332E-2</v>
      </c>
      <c r="T391" s="161">
        <f t="shared" si="99"/>
        <v>5596264.0139999995</v>
      </c>
      <c r="U391" s="161">
        <f t="shared" si="100"/>
        <v>1030648.9545999999</v>
      </c>
      <c r="V391" s="161">
        <f t="shared" si="101"/>
        <v>21715.192066666667</v>
      </c>
      <c r="W391" s="161">
        <f t="shared" si="102"/>
        <v>8686.0768266666673</v>
      </c>
    </row>
    <row r="392" spans="1:23" ht="12.75" customHeight="1">
      <c r="A392" s="118">
        <v>391</v>
      </c>
      <c r="B392" s="128">
        <v>4</v>
      </c>
      <c r="C392" s="156">
        <v>37316</v>
      </c>
      <c r="D392" s="157" t="s">
        <v>46</v>
      </c>
      <c r="E392" s="8">
        <v>2002</v>
      </c>
      <c r="F392" s="158">
        <f t="shared" si="97"/>
        <v>516</v>
      </c>
      <c r="G392" s="158">
        <f t="shared" si="98"/>
        <v>2</v>
      </c>
      <c r="H392" s="172">
        <v>36800</v>
      </c>
      <c r="I392" s="160">
        <v>483799</v>
      </c>
      <c r="J392" s="11">
        <v>4.8</v>
      </c>
      <c r="K392" s="11">
        <v>27.7</v>
      </c>
      <c r="L392" s="15">
        <v>7.1749999999999998</v>
      </c>
      <c r="M392" s="174">
        <v>2</v>
      </c>
      <c r="O392" s="11">
        <v>0</v>
      </c>
      <c r="P392" s="170">
        <v>1</v>
      </c>
      <c r="S392" s="155" t="s">
        <v>2</v>
      </c>
      <c r="T392" s="161">
        <f t="shared" si="99"/>
        <v>13401232.299999999</v>
      </c>
      <c r="U392" s="161">
        <f t="shared" si="100"/>
        <v>3471257.8249999997</v>
      </c>
      <c r="V392" s="161">
        <f t="shared" si="101"/>
        <v>0</v>
      </c>
      <c r="W392" s="161">
        <f t="shared" si="102"/>
        <v>0</v>
      </c>
    </row>
    <row r="393" spans="1:23" ht="12.75" customHeight="1">
      <c r="A393" s="118">
        <v>392</v>
      </c>
      <c r="B393" s="259">
        <v>4</v>
      </c>
      <c r="C393" s="156">
        <v>37347</v>
      </c>
      <c r="D393" s="157" t="s">
        <v>47</v>
      </c>
      <c r="E393" s="8">
        <v>2002</v>
      </c>
      <c r="F393" s="158">
        <f t="shared" si="97"/>
        <v>547</v>
      </c>
      <c r="G393" s="158">
        <f t="shared" si="98"/>
        <v>2</v>
      </c>
      <c r="H393" s="172">
        <v>36800</v>
      </c>
      <c r="I393" s="160">
        <v>451412</v>
      </c>
      <c r="J393" s="11">
        <v>1.66</v>
      </c>
      <c r="K393" s="11">
        <v>9.24</v>
      </c>
      <c r="L393" s="11">
        <v>1.66</v>
      </c>
      <c r="O393" s="11">
        <v>0</v>
      </c>
      <c r="S393" s="155" t="s">
        <v>24</v>
      </c>
      <c r="T393" s="161">
        <f t="shared" si="99"/>
        <v>4171046.88</v>
      </c>
      <c r="U393" s="161">
        <f t="shared" si="100"/>
        <v>749343.91999999993</v>
      </c>
      <c r="V393" s="161">
        <f t="shared" si="101"/>
        <v>0</v>
      </c>
      <c r="W393" s="161">
        <f t="shared" si="102"/>
        <v>0</v>
      </c>
    </row>
    <row r="394" spans="1:23" ht="12.75" customHeight="1">
      <c r="A394" s="118">
        <v>393</v>
      </c>
      <c r="B394" s="128">
        <v>4</v>
      </c>
      <c r="C394" s="156">
        <v>37377</v>
      </c>
      <c r="D394" s="157" t="s">
        <v>48</v>
      </c>
      <c r="E394" s="8">
        <v>2002</v>
      </c>
      <c r="F394" s="158">
        <f t="shared" si="97"/>
        <v>577</v>
      </c>
      <c r="G394" s="158">
        <f t="shared" si="98"/>
        <v>2</v>
      </c>
      <c r="H394" s="172">
        <v>36800</v>
      </c>
      <c r="I394" s="160">
        <v>360658</v>
      </c>
      <c r="S394" s="155" t="s">
        <v>24</v>
      </c>
    </row>
    <row r="395" spans="1:23" ht="12.75" customHeight="1">
      <c r="A395" s="118">
        <v>394</v>
      </c>
      <c r="B395" s="260">
        <v>4</v>
      </c>
      <c r="C395" s="156">
        <v>37408</v>
      </c>
      <c r="D395" s="157" t="s">
        <v>49</v>
      </c>
      <c r="E395" s="8">
        <v>2002</v>
      </c>
      <c r="F395" s="158">
        <f t="shared" si="97"/>
        <v>608</v>
      </c>
      <c r="G395" s="158">
        <f t="shared" si="98"/>
        <v>2</v>
      </c>
      <c r="H395" s="172">
        <v>36800</v>
      </c>
      <c r="I395" s="160">
        <v>252978</v>
      </c>
      <c r="S395" s="155" t="s">
        <v>24</v>
      </c>
    </row>
    <row r="396" spans="1:23" ht="12.75" customHeight="1">
      <c r="A396" s="118">
        <v>395</v>
      </c>
      <c r="B396" s="260">
        <v>4</v>
      </c>
      <c r="C396" s="156">
        <v>37438</v>
      </c>
      <c r="D396" s="157" t="s">
        <v>50</v>
      </c>
      <c r="E396" s="8">
        <v>2002</v>
      </c>
      <c r="F396" s="158">
        <f t="shared" si="97"/>
        <v>638</v>
      </c>
      <c r="G396" s="158">
        <f t="shared" si="98"/>
        <v>2</v>
      </c>
      <c r="H396" s="172">
        <v>36800</v>
      </c>
      <c r="I396" s="160">
        <v>103725</v>
      </c>
      <c r="S396" s="155" t="s">
        <v>24</v>
      </c>
    </row>
    <row r="397" spans="1:23" ht="12.75" customHeight="1">
      <c r="A397" s="118">
        <v>396</v>
      </c>
      <c r="B397" s="260">
        <v>4</v>
      </c>
      <c r="C397" s="156">
        <v>37469</v>
      </c>
      <c r="D397" s="157" t="s">
        <v>51</v>
      </c>
      <c r="E397" s="8">
        <v>2002</v>
      </c>
      <c r="F397" s="158">
        <f t="shared" si="97"/>
        <v>669</v>
      </c>
      <c r="G397" s="158">
        <f t="shared" si="98"/>
        <v>2</v>
      </c>
      <c r="H397" s="172">
        <v>36800</v>
      </c>
      <c r="I397" s="160">
        <v>56538</v>
      </c>
    </row>
    <row r="398" spans="1:23" ht="12.75" customHeight="1">
      <c r="A398" s="118">
        <v>397</v>
      </c>
      <c r="B398" s="128">
        <v>4</v>
      </c>
      <c r="C398" s="156">
        <v>37500</v>
      </c>
      <c r="D398" s="157" t="s">
        <v>52</v>
      </c>
      <c r="E398" s="8">
        <v>2002</v>
      </c>
      <c r="F398" s="158">
        <f t="shared" si="97"/>
        <v>0</v>
      </c>
      <c r="G398" s="158">
        <f t="shared" si="98"/>
        <v>1</v>
      </c>
      <c r="H398" s="162">
        <v>37500</v>
      </c>
      <c r="I398" s="163">
        <v>89610</v>
      </c>
      <c r="L398" s="173"/>
      <c r="O398" s="173"/>
      <c r="S398" s="155" t="s">
        <v>11</v>
      </c>
      <c r="V398" s="161"/>
      <c r="W398" s="161"/>
    </row>
    <row r="399" spans="1:23" ht="12.75" customHeight="1">
      <c r="A399" s="118">
        <v>398</v>
      </c>
      <c r="B399" s="128">
        <v>4</v>
      </c>
      <c r="C399" s="156">
        <v>37530</v>
      </c>
      <c r="D399" s="157" t="s">
        <v>53</v>
      </c>
      <c r="E399" s="8">
        <v>2002</v>
      </c>
      <c r="F399" s="158">
        <f t="shared" si="97"/>
        <v>30</v>
      </c>
      <c r="G399" s="158">
        <f t="shared" si="98"/>
        <v>1</v>
      </c>
      <c r="H399" s="162">
        <v>37500</v>
      </c>
      <c r="I399" s="163">
        <v>599859</v>
      </c>
      <c r="J399" s="166"/>
      <c r="K399" s="11"/>
      <c r="L399" s="173"/>
      <c r="O399" s="128"/>
      <c r="S399" s="155" t="s">
        <v>11</v>
      </c>
      <c r="T399" s="11"/>
      <c r="V399" s="161"/>
      <c r="W399" s="161"/>
    </row>
    <row r="400" spans="1:23" ht="12.75" customHeight="1">
      <c r="A400" s="118">
        <v>399</v>
      </c>
      <c r="B400" s="128">
        <v>4</v>
      </c>
      <c r="C400" s="156">
        <v>37561</v>
      </c>
      <c r="D400" s="157" t="s">
        <v>54</v>
      </c>
      <c r="E400" s="8">
        <v>2002</v>
      </c>
      <c r="F400" s="158">
        <f t="shared" si="97"/>
        <v>61</v>
      </c>
      <c r="G400" s="158">
        <f t="shared" si="98"/>
        <v>1</v>
      </c>
      <c r="H400" s="162">
        <v>37500</v>
      </c>
      <c r="I400" s="163">
        <v>895249</v>
      </c>
      <c r="J400" s="11"/>
      <c r="K400" s="11"/>
      <c r="L400" s="173"/>
      <c r="O400" s="128"/>
      <c r="T400" s="11"/>
      <c r="V400" s="161"/>
      <c r="W400" s="161"/>
    </row>
    <row r="401" spans="1:23" ht="12.75" customHeight="1">
      <c r="A401" s="118">
        <v>400</v>
      </c>
      <c r="B401" s="259">
        <v>4</v>
      </c>
      <c r="C401" s="156">
        <v>37591</v>
      </c>
      <c r="D401" s="157" t="s">
        <v>55</v>
      </c>
      <c r="E401" s="8">
        <v>2002</v>
      </c>
      <c r="F401" s="158">
        <f t="shared" si="97"/>
        <v>91</v>
      </c>
      <c r="G401" s="158">
        <f t="shared" si="98"/>
        <v>1</v>
      </c>
      <c r="H401" s="162">
        <v>37500</v>
      </c>
      <c r="I401" s="163">
        <v>889246</v>
      </c>
      <c r="J401" s="11">
        <v>0.55000000000000004</v>
      </c>
      <c r="K401" s="11">
        <v>0.1</v>
      </c>
      <c r="L401" s="11">
        <v>0</v>
      </c>
      <c r="O401" s="11">
        <v>0.15</v>
      </c>
      <c r="T401" s="161">
        <f t="shared" ref="T401:T421" si="103">$I401*K401</f>
        <v>88924.6</v>
      </c>
      <c r="U401" s="161">
        <f t="shared" ref="U401:U421" si="104">$I401*L401</f>
        <v>0</v>
      </c>
      <c r="V401" s="161">
        <f t="shared" ref="V401:V421" si="105">$I401*O401</f>
        <v>133386.9</v>
      </c>
      <c r="W401" s="161">
        <f t="shared" ref="W401:W421" si="106">V401*0.4</f>
        <v>53354.76</v>
      </c>
    </row>
    <row r="402" spans="1:23" ht="12.75" customHeight="1">
      <c r="A402" s="118">
        <v>401</v>
      </c>
      <c r="B402" s="128">
        <v>4</v>
      </c>
      <c r="C402" s="156">
        <v>37622</v>
      </c>
      <c r="D402" s="157" t="s">
        <v>44</v>
      </c>
      <c r="E402" s="8">
        <v>2003</v>
      </c>
      <c r="F402" s="158">
        <f t="shared" si="97"/>
        <v>122</v>
      </c>
      <c r="G402" s="158">
        <f t="shared" si="98"/>
        <v>1</v>
      </c>
      <c r="H402" s="162">
        <v>37500</v>
      </c>
      <c r="I402" s="163">
        <v>888130</v>
      </c>
      <c r="J402" s="11">
        <v>2.0499999999999998</v>
      </c>
      <c r="K402" s="15">
        <v>0.92500000000000004</v>
      </c>
      <c r="L402" s="15">
        <v>0.21249999999999999</v>
      </c>
      <c r="M402" s="174">
        <v>0</v>
      </c>
      <c r="O402" s="11">
        <v>0</v>
      </c>
      <c r="T402" s="161">
        <f t="shared" si="103"/>
        <v>821520.25</v>
      </c>
      <c r="U402" s="161">
        <f t="shared" si="104"/>
        <v>188727.625</v>
      </c>
      <c r="V402" s="161">
        <f t="shared" si="105"/>
        <v>0</v>
      </c>
      <c r="W402" s="161">
        <f t="shared" si="106"/>
        <v>0</v>
      </c>
    </row>
    <row r="403" spans="1:23" ht="12.75" customHeight="1">
      <c r="A403" s="118">
        <v>402</v>
      </c>
      <c r="B403" s="128">
        <v>4</v>
      </c>
      <c r="C403" s="156">
        <v>37653</v>
      </c>
      <c r="D403" s="157" t="s">
        <v>45</v>
      </c>
      <c r="E403" s="8">
        <v>2003</v>
      </c>
      <c r="F403" s="158">
        <f t="shared" si="97"/>
        <v>153</v>
      </c>
      <c r="G403" s="158">
        <f t="shared" si="98"/>
        <v>1</v>
      </c>
      <c r="H403" s="162">
        <v>37500</v>
      </c>
      <c r="I403" s="163">
        <v>886491</v>
      </c>
      <c r="J403" s="15">
        <v>1.3333333333333333</v>
      </c>
      <c r="K403" s="15">
        <v>1.3</v>
      </c>
      <c r="L403" s="15">
        <v>0.29583333333333334</v>
      </c>
      <c r="M403" s="174">
        <v>1</v>
      </c>
      <c r="O403" s="15">
        <v>4.1666666666666664E-2</v>
      </c>
      <c r="T403" s="161">
        <f t="shared" si="103"/>
        <v>1152438.3</v>
      </c>
      <c r="U403" s="161">
        <f t="shared" si="104"/>
        <v>262253.58750000002</v>
      </c>
      <c r="V403" s="161">
        <f t="shared" si="105"/>
        <v>36937.125</v>
      </c>
      <c r="W403" s="161">
        <f t="shared" si="106"/>
        <v>14774.85</v>
      </c>
    </row>
    <row r="404" spans="1:23" ht="12.75" customHeight="1">
      <c r="A404" s="118">
        <v>403</v>
      </c>
      <c r="B404" s="128">
        <v>4</v>
      </c>
      <c r="C404" s="156">
        <v>37681</v>
      </c>
      <c r="D404" s="157" t="s">
        <v>46</v>
      </c>
      <c r="E404" s="8">
        <v>2003</v>
      </c>
      <c r="F404" s="158">
        <f t="shared" si="97"/>
        <v>181</v>
      </c>
      <c r="G404" s="158">
        <f t="shared" si="98"/>
        <v>1</v>
      </c>
      <c r="H404" s="162">
        <v>37500</v>
      </c>
      <c r="I404" s="163">
        <v>882540</v>
      </c>
      <c r="J404" s="15">
        <v>1.08</v>
      </c>
      <c r="K404" s="15">
        <v>1.21</v>
      </c>
      <c r="L404" s="15">
        <v>0.06</v>
      </c>
      <c r="M404" s="174">
        <v>0</v>
      </c>
      <c r="O404" s="15">
        <v>0.11</v>
      </c>
      <c r="Q404" s="11">
        <v>7.45</v>
      </c>
      <c r="R404" s="11">
        <v>28.71</v>
      </c>
      <c r="T404" s="161">
        <f t="shared" si="103"/>
        <v>1067873.3999999999</v>
      </c>
      <c r="U404" s="161">
        <f t="shared" si="104"/>
        <v>52952.4</v>
      </c>
      <c r="V404" s="161">
        <f t="shared" si="105"/>
        <v>97079.4</v>
      </c>
      <c r="W404" s="161">
        <f t="shared" si="106"/>
        <v>38831.760000000002</v>
      </c>
    </row>
    <row r="405" spans="1:23" ht="12.75" customHeight="1">
      <c r="A405" s="118">
        <v>404</v>
      </c>
      <c r="B405" s="128">
        <v>4</v>
      </c>
      <c r="C405" s="156">
        <v>37712</v>
      </c>
      <c r="D405" s="157" t="s">
        <v>47</v>
      </c>
      <c r="E405" s="8">
        <v>2003</v>
      </c>
      <c r="F405" s="158">
        <f t="shared" si="97"/>
        <v>212</v>
      </c>
      <c r="G405" s="158">
        <f t="shared" si="98"/>
        <v>1</v>
      </c>
      <c r="H405" s="162">
        <v>37500</v>
      </c>
      <c r="I405" s="163">
        <v>879785</v>
      </c>
      <c r="J405" s="15">
        <v>0.86</v>
      </c>
      <c r="K405" s="15">
        <v>1.1599999999999999</v>
      </c>
      <c r="L405" s="15">
        <v>0.05</v>
      </c>
      <c r="M405" s="174">
        <v>0</v>
      </c>
      <c r="O405" s="15">
        <v>0.05</v>
      </c>
      <c r="Q405" s="11">
        <v>8.39</v>
      </c>
      <c r="R405" s="11">
        <v>26.97</v>
      </c>
      <c r="T405" s="161">
        <f t="shared" si="103"/>
        <v>1020550.6</v>
      </c>
      <c r="U405" s="161">
        <f t="shared" si="104"/>
        <v>43989.25</v>
      </c>
      <c r="V405" s="161">
        <f t="shared" si="105"/>
        <v>43989.25</v>
      </c>
      <c r="W405" s="161">
        <f t="shared" si="106"/>
        <v>17595.7</v>
      </c>
    </row>
    <row r="406" spans="1:23" ht="12.75" customHeight="1">
      <c r="A406" s="118">
        <v>405</v>
      </c>
      <c r="B406" s="128">
        <v>4</v>
      </c>
      <c r="C406" s="156">
        <v>37742</v>
      </c>
      <c r="D406" s="157" t="s">
        <v>48</v>
      </c>
      <c r="E406" s="8">
        <v>2003</v>
      </c>
      <c r="F406" s="158">
        <f t="shared" si="97"/>
        <v>242</v>
      </c>
      <c r="G406" s="158">
        <f t="shared" si="98"/>
        <v>1</v>
      </c>
      <c r="H406" s="162">
        <v>37500</v>
      </c>
      <c r="I406" s="163">
        <v>877308</v>
      </c>
      <c r="J406" s="15">
        <v>0.31</v>
      </c>
      <c r="K406" s="15">
        <v>0.36</v>
      </c>
      <c r="L406" s="15">
        <v>0.02</v>
      </c>
      <c r="M406" s="174">
        <v>0</v>
      </c>
      <c r="O406" s="15">
        <v>0.69</v>
      </c>
      <c r="Q406" s="11">
        <v>9.77</v>
      </c>
      <c r="R406" s="11">
        <v>24.19</v>
      </c>
      <c r="T406" s="161">
        <f t="shared" si="103"/>
        <v>315830.88</v>
      </c>
      <c r="U406" s="161">
        <f t="shared" si="104"/>
        <v>17546.16</v>
      </c>
      <c r="V406" s="161">
        <f t="shared" si="105"/>
        <v>605342.5199999999</v>
      </c>
      <c r="W406" s="161">
        <f t="shared" si="106"/>
        <v>242137.00799999997</v>
      </c>
    </row>
    <row r="407" spans="1:23" ht="12.75" customHeight="1">
      <c r="A407" s="118">
        <v>406</v>
      </c>
      <c r="B407" s="128">
        <v>4</v>
      </c>
      <c r="C407" s="156">
        <v>37773</v>
      </c>
      <c r="D407" s="157" t="s">
        <v>49</v>
      </c>
      <c r="E407" s="8">
        <v>2003</v>
      </c>
      <c r="F407" s="158">
        <f t="shared" si="97"/>
        <v>273</v>
      </c>
      <c r="G407" s="158">
        <f t="shared" si="98"/>
        <v>1</v>
      </c>
      <c r="H407" s="162">
        <v>37500</v>
      </c>
      <c r="I407" s="163">
        <v>876049</v>
      </c>
      <c r="J407" s="15">
        <v>0.08</v>
      </c>
      <c r="K407" s="15">
        <v>0.22</v>
      </c>
      <c r="L407" s="15">
        <v>0.01</v>
      </c>
      <c r="M407" s="174">
        <v>0</v>
      </c>
      <c r="O407" s="15">
        <v>0.06</v>
      </c>
      <c r="Q407" s="11">
        <v>11.23</v>
      </c>
      <c r="R407" s="11">
        <v>19.07</v>
      </c>
      <c r="T407" s="161">
        <f t="shared" si="103"/>
        <v>192730.78</v>
      </c>
      <c r="U407" s="161">
        <f t="shared" si="104"/>
        <v>8760.49</v>
      </c>
      <c r="V407" s="161">
        <f t="shared" si="105"/>
        <v>52562.939999999995</v>
      </c>
      <c r="W407" s="161">
        <f t="shared" si="106"/>
        <v>21025.175999999999</v>
      </c>
    </row>
    <row r="408" spans="1:23" ht="12.75" customHeight="1">
      <c r="A408" s="118">
        <v>407</v>
      </c>
      <c r="B408" s="128">
        <v>4</v>
      </c>
      <c r="C408" s="156">
        <v>37803</v>
      </c>
      <c r="D408" s="157" t="s">
        <v>50</v>
      </c>
      <c r="E408" s="8">
        <v>2003</v>
      </c>
      <c r="F408" s="158">
        <f t="shared" si="97"/>
        <v>303</v>
      </c>
      <c r="G408" s="158">
        <f t="shared" si="98"/>
        <v>1</v>
      </c>
      <c r="H408" s="162">
        <v>37500</v>
      </c>
      <c r="I408" s="163">
        <v>874433</v>
      </c>
      <c r="J408" s="15">
        <v>0.03</v>
      </c>
      <c r="K408" s="15">
        <v>0.18</v>
      </c>
      <c r="L408" s="15">
        <v>0</v>
      </c>
      <c r="M408" s="174">
        <v>0</v>
      </c>
      <c r="O408" s="15">
        <v>0.02</v>
      </c>
      <c r="Q408" s="11">
        <v>11.88</v>
      </c>
      <c r="R408" s="11">
        <v>17.47</v>
      </c>
      <c r="T408" s="161">
        <f t="shared" si="103"/>
        <v>157397.94</v>
      </c>
      <c r="U408" s="161">
        <f t="shared" si="104"/>
        <v>0</v>
      </c>
      <c r="V408" s="161">
        <f t="shared" si="105"/>
        <v>17488.66</v>
      </c>
      <c r="W408" s="161">
        <f t="shared" si="106"/>
        <v>6995.4639999999999</v>
      </c>
    </row>
    <row r="409" spans="1:23" ht="12.75" customHeight="1">
      <c r="A409" s="118">
        <v>408</v>
      </c>
      <c r="B409" s="128">
        <v>4</v>
      </c>
      <c r="C409" s="156">
        <v>37834</v>
      </c>
      <c r="D409" s="157" t="s">
        <v>51</v>
      </c>
      <c r="E409" s="8">
        <v>2003</v>
      </c>
      <c r="F409" s="158">
        <f t="shared" si="97"/>
        <v>334</v>
      </c>
      <c r="G409" s="158">
        <f t="shared" si="98"/>
        <v>1</v>
      </c>
      <c r="H409" s="162">
        <v>37500</v>
      </c>
      <c r="I409" s="163">
        <v>873611</v>
      </c>
      <c r="J409" s="15">
        <v>0.03</v>
      </c>
      <c r="K409" s="15">
        <v>0.27</v>
      </c>
      <c r="L409" s="15">
        <v>0.02</v>
      </c>
      <c r="O409" s="15">
        <v>0.02</v>
      </c>
      <c r="Q409" s="11">
        <v>12.18</v>
      </c>
      <c r="R409" s="11">
        <v>20.059999999999999</v>
      </c>
      <c r="T409" s="161">
        <f t="shared" si="103"/>
        <v>235874.97</v>
      </c>
      <c r="U409" s="161">
        <f t="shared" si="104"/>
        <v>17472.22</v>
      </c>
      <c r="V409" s="161">
        <f t="shared" si="105"/>
        <v>17472.22</v>
      </c>
      <c r="W409" s="161">
        <f t="shared" si="106"/>
        <v>6988.8880000000008</v>
      </c>
    </row>
    <row r="410" spans="1:23" ht="12.75" customHeight="1">
      <c r="A410" s="118">
        <v>409</v>
      </c>
      <c r="B410" s="128">
        <v>4</v>
      </c>
      <c r="C410" s="156">
        <v>37865</v>
      </c>
      <c r="D410" s="157" t="s">
        <v>52</v>
      </c>
      <c r="E410" s="8">
        <v>2003</v>
      </c>
      <c r="F410" s="158">
        <f t="shared" si="97"/>
        <v>365</v>
      </c>
      <c r="G410" s="158">
        <f t="shared" si="98"/>
        <v>2</v>
      </c>
      <c r="H410" s="162">
        <v>37500</v>
      </c>
      <c r="I410" s="163">
        <v>872918</v>
      </c>
      <c r="J410" s="173"/>
      <c r="K410" s="165">
        <f>(K409+K411)/2</f>
        <v>0.17500000000000002</v>
      </c>
      <c r="L410" s="165">
        <f>(L409+L411)/2</f>
        <v>2.5000000000000001E-2</v>
      </c>
      <c r="N410" s="528">
        <v>1</v>
      </c>
      <c r="O410" s="165">
        <f>(O409+O411)/2</f>
        <v>0.02</v>
      </c>
      <c r="T410" s="161">
        <f t="shared" si="103"/>
        <v>152760.65000000002</v>
      </c>
      <c r="U410" s="161">
        <f t="shared" si="104"/>
        <v>21822.95</v>
      </c>
      <c r="V410" s="161">
        <f t="shared" si="105"/>
        <v>17458.36</v>
      </c>
      <c r="W410" s="161">
        <f t="shared" si="106"/>
        <v>6983.344000000001</v>
      </c>
    </row>
    <row r="411" spans="1:23" ht="12.75" customHeight="1">
      <c r="A411" s="118">
        <v>410</v>
      </c>
      <c r="B411" s="128">
        <v>4</v>
      </c>
      <c r="C411" s="156">
        <v>37895</v>
      </c>
      <c r="D411" s="157" t="s">
        <v>53</v>
      </c>
      <c r="E411" s="8">
        <v>2003</v>
      </c>
      <c r="F411" s="158">
        <f t="shared" si="97"/>
        <v>395</v>
      </c>
      <c r="G411" s="158">
        <f t="shared" si="98"/>
        <v>2</v>
      </c>
      <c r="H411" s="162">
        <v>37500</v>
      </c>
      <c r="I411" s="163">
        <v>872107</v>
      </c>
      <c r="J411" s="15">
        <v>0</v>
      </c>
      <c r="K411" s="15">
        <v>0.08</v>
      </c>
      <c r="L411" s="15">
        <v>0.03</v>
      </c>
      <c r="O411" s="15">
        <v>0.02</v>
      </c>
      <c r="Q411" s="11">
        <v>10.3</v>
      </c>
      <c r="T411" s="161">
        <f t="shared" si="103"/>
        <v>69768.56</v>
      </c>
      <c r="U411" s="161">
        <f t="shared" si="104"/>
        <v>26163.21</v>
      </c>
      <c r="V411" s="161">
        <f t="shared" si="105"/>
        <v>17442.14</v>
      </c>
      <c r="W411" s="161">
        <f t="shared" si="106"/>
        <v>6976.8559999999998</v>
      </c>
    </row>
    <row r="412" spans="1:23" ht="12.75" customHeight="1">
      <c r="A412" s="118">
        <v>411</v>
      </c>
      <c r="B412" s="128">
        <v>4</v>
      </c>
      <c r="C412" s="156">
        <v>37926</v>
      </c>
      <c r="D412" s="157" t="s">
        <v>54</v>
      </c>
      <c r="E412" s="8">
        <v>2003</v>
      </c>
      <c r="F412" s="158">
        <f t="shared" si="97"/>
        <v>426</v>
      </c>
      <c r="G412" s="158">
        <f t="shared" si="98"/>
        <v>2</v>
      </c>
      <c r="H412" s="162">
        <v>37500</v>
      </c>
      <c r="I412" s="163">
        <v>871044</v>
      </c>
      <c r="J412" s="15">
        <v>0.02</v>
      </c>
      <c r="K412" s="15">
        <v>0.28999999999999998</v>
      </c>
      <c r="L412" s="15">
        <v>0.11</v>
      </c>
      <c r="M412" s="174">
        <v>0</v>
      </c>
      <c r="O412" s="15">
        <v>0.11</v>
      </c>
      <c r="Q412" s="11">
        <v>7.8</v>
      </c>
      <c r="R412" s="11">
        <v>26</v>
      </c>
      <c r="T412" s="161">
        <f t="shared" si="103"/>
        <v>252602.75999999998</v>
      </c>
      <c r="U412" s="161">
        <f t="shared" si="104"/>
        <v>95814.84</v>
      </c>
      <c r="V412" s="161">
        <f t="shared" si="105"/>
        <v>95814.84</v>
      </c>
      <c r="W412" s="161">
        <f t="shared" si="106"/>
        <v>38325.936000000002</v>
      </c>
    </row>
    <row r="413" spans="1:23" ht="12.75" customHeight="1">
      <c r="A413" s="118">
        <v>412</v>
      </c>
      <c r="B413" s="128">
        <v>4</v>
      </c>
      <c r="C413" s="156">
        <v>37956</v>
      </c>
      <c r="D413" s="157" t="s">
        <v>55</v>
      </c>
      <c r="E413" s="8">
        <v>2003</v>
      </c>
      <c r="F413" s="158">
        <f t="shared" si="97"/>
        <v>456</v>
      </c>
      <c r="G413" s="158">
        <f t="shared" si="98"/>
        <v>2</v>
      </c>
      <c r="H413" s="162">
        <v>37500</v>
      </c>
      <c r="I413" s="163">
        <v>690868</v>
      </c>
      <c r="J413" s="15">
        <v>0.08</v>
      </c>
      <c r="K413" s="15">
        <v>0.57999999999999996</v>
      </c>
      <c r="L413" s="15">
        <v>0.3</v>
      </c>
      <c r="M413" s="174">
        <v>0</v>
      </c>
      <c r="O413" s="15">
        <v>0.05</v>
      </c>
      <c r="Q413" s="11">
        <v>6.7</v>
      </c>
      <c r="R413" s="11">
        <v>28</v>
      </c>
      <c r="S413" s="155" t="s">
        <v>298</v>
      </c>
      <c r="T413" s="161">
        <f t="shared" si="103"/>
        <v>400703.43999999994</v>
      </c>
      <c r="U413" s="161">
        <f t="shared" si="104"/>
        <v>207260.4</v>
      </c>
      <c r="V413" s="161">
        <f t="shared" si="105"/>
        <v>34543.4</v>
      </c>
      <c r="W413" s="161">
        <f t="shared" si="106"/>
        <v>13817.36</v>
      </c>
    </row>
    <row r="414" spans="1:23" ht="12.75" customHeight="1">
      <c r="A414" s="118">
        <v>413</v>
      </c>
      <c r="B414" s="128">
        <v>4</v>
      </c>
      <c r="C414" s="156">
        <v>37987</v>
      </c>
      <c r="D414" s="157" t="s">
        <v>44</v>
      </c>
      <c r="E414" s="8">
        <v>2004</v>
      </c>
      <c r="F414" s="158">
        <f t="shared" si="97"/>
        <v>487</v>
      </c>
      <c r="G414" s="158">
        <f t="shared" si="98"/>
        <v>2</v>
      </c>
      <c r="H414" s="162">
        <v>37500</v>
      </c>
      <c r="I414" s="194">
        <v>566149</v>
      </c>
      <c r="J414" s="15">
        <v>0.4</v>
      </c>
      <c r="K414" s="15">
        <v>1.74</v>
      </c>
      <c r="L414" s="15">
        <v>0.76</v>
      </c>
      <c r="M414" s="174">
        <v>0</v>
      </c>
      <c r="O414" s="15">
        <v>0.02</v>
      </c>
      <c r="Q414" s="11">
        <v>6.48</v>
      </c>
      <c r="R414" s="11">
        <v>29</v>
      </c>
      <c r="T414" s="161">
        <f t="shared" si="103"/>
        <v>985099.26</v>
      </c>
      <c r="U414" s="161">
        <f t="shared" si="104"/>
        <v>430273.24</v>
      </c>
      <c r="V414" s="161">
        <f t="shared" si="105"/>
        <v>11322.98</v>
      </c>
      <c r="W414" s="161">
        <f t="shared" si="106"/>
        <v>4529.192</v>
      </c>
    </row>
    <row r="415" spans="1:23" ht="12.75" customHeight="1">
      <c r="A415" s="118">
        <v>414</v>
      </c>
      <c r="B415" s="128">
        <v>4</v>
      </c>
      <c r="C415" s="156">
        <v>38018</v>
      </c>
      <c r="D415" s="157" t="s">
        <v>45</v>
      </c>
      <c r="E415" s="8">
        <v>2004</v>
      </c>
      <c r="F415" s="158">
        <f t="shared" si="97"/>
        <v>518</v>
      </c>
      <c r="G415" s="158">
        <f t="shared" si="98"/>
        <v>2</v>
      </c>
      <c r="H415" s="162">
        <v>37500</v>
      </c>
      <c r="I415" s="194">
        <v>566149</v>
      </c>
      <c r="J415" s="15">
        <v>0.8</v>
      </c>
      <c r="K415" s="15">
        <v>1.4</v>
      </c>
      <c r="L415" s="15">
        <v>0.6</v>
      </c>
      <c r="M415" s="174">
        <v>1</v>
      </c>
      <c r="O415" s="15">
        <v>0.2</v>
      </c>
      <c r="Q415" s="11">
        <v>6.8</v>
      </c>
      <c r="R415" s="11">
        <v>29.64</v>
      </c>
      <c r="T415" s="161">
        <f t="shared" si="103"/>
        <v>792608.6</v>
      </c>
      <c r="U415" s="161">
        <f t="shared" si="104"/>
        <v>339689.39999999997</v>
      </c>
      <c r="V415" s="161">
        <f t="shared" si="105"/>
        <v>113229.8</v>
      </c>
      <c r="W415" s="161">
        <f t="shared" si="106"/>
        <v>45291.920000000006</v>
      </c>
    </row>
    <row r="416" spans="1:23" ht="12.75" customHeight="1">
      <c r="A416" s="118">
        <v>415</v>
      </c>
      <c r="B416" s="128">
        <v>4</v>
      </c>
      <c r="C416" s="156">
        <v>38047</v>
      </c>
      <c r="D416" s="157" t="s">
        <v>46</v>
      </c>
      <c r="E416" s="8">
        <v>2004</v>
      </c>
      <c r="F416" s="158">
        <f t="shared" si="97"/>
        <v>547</v>
      </c>
      <c r="G416" s="158">
        <f t="shared" si="98"/>
        <v>2</v>
      </c>
      <c r="H416" s="162">
        <v>37500</v>
      </c>
      <c r="I416" s="194">
        <v>566149</v>
      </c>
      <c r="J416" s="15">
        <v>0.4</v>
      </c>
      <c r="K416" s="15">
        <v>2</v>
      </c>
      <c r="L416" s="15">
        <v>1.2</v>
      </c>
      <c r="M416" s="174">
        <v>0</v>
      </c>
      <c r="O416" s="15">
        <v>0.2</v>
      </c>
      <c r="Q416" s="11">
        <v>7.37</v>
      </c>
      <c r="R416" s="11">
        <v>28.93</v>
      </c>
      <c r="T416" s="161">
        <f t="shared" si="103"/>
        <v>1132298</v>
      </c>
      <c r="U416" s="161">
        <f t="shared" si="104"/>
        <v>679378.79999999993</v>
      </c>
      <c r="V416" s="161">
        <f t="shared" si="105"/>
        <v>113229.8</v>
      </c>
      <c r="W416" s="161">
        <f t="shared" si="106"/>
        <v>45291.920000000006</v>
      </c>
    </row>
    <row r="417" spans="1:23" ht="12.75" customHeight="1">
      <c r="A417" s="118">
        <v>416</v>
      </c>
      <c r="B417" s="128">
        <v>4</v>
      </c>
      <c r="C417" s="156">
        <v>38078</v>
      </c>
      <c r="D417" s="157" t="s">
        <v>47</v>
      </c>
      <c r="E417" s="8">
        <v>2004</v>
      </c>
      <c r="F417" s="158">
        <f t="shared" si="97"/>
        <v>578</v>
      </c>
      <c r="G417" s="158">
        <f t="shared" si="98"/>
        <v>2</v>
      </c>
      <c r="H417" s="162">
        <v>37500</v>
      </c>
      <c r="I417" s="194">
        <v>563662</v>
      </c>
      <c r="J417" s="15">
        <v>3.17</v>
      </c>
      <c r="K417" s="15">
        <v>12.98</v>
      </c>
      <c r="L417" s="15">
        <v>2.5299999999999998</v>
      </c>
      <c r="M417" s="174">
        <v>0</v>
      </c>
      <c r="O417" s="15">
        <v>0.02</v>
      </c>
      <c r="Q417" s="11">
        <v>9.1</v>
      </c>
      <c r="R417" s="11">
        <v>26.4</v>
      </c>
      <c r="T417" s="161">
        <f t="shared" si="103"/>
        <v>7316332.7599999998</v>
      </c>
      <c r="U417" s="161">
        <f t="shared" si="104"/>
        <v>1426064.8599999999</v>
      </c>
      <c r="V417" s="161">
        <f t="shared" si="105"/>
        <v>11273.24</v>
      </c>
      <c r="W417" s="161">
        <f t="shared" si="106"/>
        <v>4509.2960000000003</v>
      </c>
    </row>
    <row r="418" spans="1:23" ht="12.75" customHeight="1">
      <c r="A418" s="118">
        <v>417</v>
      </c>
      <c r="B418" s="128">
        <v>4</v>
      </c>
      <c r="C418" s="156">
        <v>38108</v>
      </c>
      <c r="D418" s="157" t="s">
        <v>48</v>
      </c>
      <c r="E418" s="8">
        <v>2004</v>
      </c>
      <c r="F418" s="158">
        <f t="shared" si="97"/>
        <v>608</v>
      </c>
      <c r="G418" s="158">
        <f t="shared" si="98"/>
        <v>2</v>
      </c>
      <c r="H418" s="162">
        <v>37500</v>
      </c>
      <c r="I418" s="194">
        <v>553745</v>
      </c>
      <c r="J418" s="15">
        <v>3.7</v>
      </c>
      <c r="K418" s="15">
        <v>34.75</v>
      </c>
      <c r="L418" s="15">
        <v>22.45</v>
      </c>
      <c r="M418" s="174">
        <v>2</v>
      </c>
      <c r="O418" s="15">
        <v>0.15</v>
      </c>
      <c r="P418" s="170">
        <v>1</v>
      </c>
      <c r="Q418" s="11">
        <v>9.93</v>
      </c>
      <c r="R418" s="11">
        <v>23.45</v>
      </c>
      <c r="T418" s="161">
        <f t="shared" si="103"/>
        <v>19242638.75</v>
      </c>
      <c r="U418" s="161">
        <f t="shared" si="104"/>
        <v>12431575.25</v>
      </c>
      <c r="V418" s="161">
        <f t="shared" si="105"/>
        <v>83061.75</v>
      </c>
      <c r="W418" s="161">
        <f t="shared" si="106"/>
        <v>33224.700000000004</v>
      </c>
    </row>
    <row r="419" spans="1:23" ht="12.75" customHeight="1">
      <c r="A419" s="118">
        <v>418</v>
      </c>
      <c r="B419" s="128">
        <v>4</v>
      </c>
      <c r="C419" s="156">
        <v>38139</v>
      </c>
      <c r="D419" s="157" t="s">
        <v>49</v>
      </c>
      <c r="E419" s="8">
        <v>2004</v>
      </c>
      <c r="F419" s="158">
        <f t="shared" si="97"/>
        <v>639</v>
      </c>
      <c r="G419" s="158">
        <f t="shared" si="98"/>
        <v>2</v>
      </c>
      <c r="H419" s="162">
        <v>37500</v>
      </c>
      <c r="I419" s="194">
        <v>426032</v>
      </c>
      <c r="J419" s="15">
        <v>0.1</v>
      </c>
      <c r="K419" s="15">
        <v>25.35</v>
      </c>
      <c r="L419" s="15">
        <v>12.55</v>
      </c>
      <c r="M419" s="174">
        <v>0</v>
      </c>
      <c r="O419" s="15">
        <v>0.65</v>
      </c>
      <c r="Q419" s="11">
        <v>10.63</v>
      </c>
      <c r="R419" s="11">
        <v>21.83</v>
      </c>
      <c r="T419" s="161">
        <f t="shared" si="103"/>
        <v>10799911.200000001</v>
      </c>
      <c r="U419" s="161">
        <f t="shared" si="104"/>
        <v>5346701.6000000006</v>
      </c>
      <c r="V419" s="161">
        <f t="shared" si="105"/>
        <v>276920.8</v>
      </c>
      <c r="W419" s="161">
        <f t="shared" si="106"/>
        <v>110768.32000000001</v>
      </c>
    </row>
    <row r="420" spans="1:23" ht="12.75" customHeight="1">
      <c r="A420" s="118">
        <v>419</v>
      </c>
      <c r="B420" s="128">
        <v>4</v>
      </c>
      <c r="C420" s="156">
        <v>38169</v>
      </c>
      <c r="D420" s="157" t="s">
        <v>50</v>
      </c>
      <c r="E420" s="8">
        <v>2004</v>
      </c>
      <c r="F420" s="158">
        <f t="shared" si="97"/>
        <v>669</v>
      </c>
      <c r="G420" s="158">
        <f t="shared" si="98"/>
        <v>2</v>
      </c>
      <c r="H420" s="162">
        <v>37500</v>
      </c>
      <c r="I420" s="194">
        <v>372204</v>
      </c>
      <c r="J420" s="15">
        <v>0</v>
      </c>
      <c r="K420" s="15">
        <v>1.8</v>
      </c>
      <c r="L420" s="15">
        <v>0.8</v>
      </c>
      <c r="M420" s="174">
        <v>0</v>
      </c>
      <c r="O420" s="15">
        <v>0</v>
      </c>
      <c r="Q420" s="11">
        <v>12.15</v>
      </c>
      <c r="R420" s="11">
        <v>19.46</v>
      </c>
      <c r="T420" s="161">
        <f t="shared" si="103"/>
        <v>669967.20000000007</v>
      </c>
      <c r="U420" s="161">
        <f t="shared" si="104"/>
        <v>297763.20000000001</v>
      </c>
      <c r="V420" s="161">
        <f t="shared" si="105"/>
        <v>0</v>
      </c>
      <c r="W420" s="161">
        <f t="shared" si="106"/>
        <v>0</v>
      </c>
    </row>
    <row r="421" spans="1:23" ht="12.75" customHeight="1">
      <c r="A421" s="118">
        <v>420</v>
      </c>
      <c r="B421" s="128">
        <v>4</v>
      </c>
      <c r="C421" s="156">
        <v>38200</v>
      </c>
      <c r="D421" s="157" t="s">
        <v>51</v>
      </c>
      <c r="E421" s="8">
        <v>2004</v>
      </c>
      <c r="F421" s="158">
        <f t="shared" si="97"/>
        <v>700</v>
      </c>
      <c r="G421" s="158">
        <f t="shared" si="98"/>
        <v>2</v>
      </c>
      <c r="H421" s="162">
        <v>37500</v>
      </c>
      <c r="I421" s="198">
        <v>120000</v>
      </c>
      <c r="J421" s="15">
        <v>0.25</v>
      </c>
      <c r="K421" s="15">
        <v>0.83</v>
      </c>
      <c r="L421" s="15">
        <v>0.25</v>
      </c>
      <c r="O421" s="15">
        <v>0.05</v>
      </c>
      <c r="Q421" s="11">
        <v>11.29</v>
      </c>
      <c r="R421" s="11">
        <v>17.059999999999999</v>
      </c>
      <c r="S421" s="155" t="s">
        <v>7</v>
      </c>
      <c r="T421" s="161">
        <f t="shared" si="103"/>
        <v>99600</v>
      </c>
      <c r="U421" s="161">
        <f t="shared" si="104"/>
        <v>30000</v>
      </c>
      <c r="V421" s="161">
        <f t="shared" si="105"/>
        <v>6000</v>
      </c>
      <c r="W421" s="161">
        <f t="shared" si="106"/>
        <v>2400</v>
      </c>
    </row>
    <row r="422" spans="1:23" ht="12.75" customHeight="1">
      <c r="A422" s="118">
        <v>421</v>
      </c>
      <c r="B422" s="128">
        <v>4</v>
      </c>
      <c r="C422" s="156">
        <v>38231</v>
      </c>
      <c r="D422" s="157" t="s">
        <v>52</v>
      </c>
      <c r="E422" s="8">
        <v>2004</v>
      </c>
      <c r="F422" s="158"/>
      <c r="H422" s="162"/>
      <c r="I422" s="194"/>
    </row>
    <row r="423" spans="1:23" ht="12.75" customHeight="1">
      <c r="A423" s="118">
        <v>422</v>
      </c>
      <c r="B423" s="128">
        <v>4</v>
      </c>
      <c r="C423" s="156">
        <v>38261</v>
      </c>
      <c r="D423" s="157" t="s">
        <v>53</v>
      </c>
      <c r="E423" s="8">
        <v>2004</v>
      </c>
      <c r="F423" s="158">
        <f t="shared" ref="F423:F443" si="107">C423-H423</f>
        <v>0</v>
      </c>
      <c r="G423" s="158">
        <f t="shared" ref="G423:G443" si="108">IF(F423&lt;365,1,2)</f>
        <v>1</v>
      </c>
      <c r="H423" s="162">
        <v>38261</v>
      </c>
      <c r="I423" s="198">
        <v>50000</v>
      </c>
      <c r="L423" s="165">
        <v>0</v>
      </c>
      <c r="N423" s="528" t="s">
        <v>794</v>
      </c>
      <c r="O423" s="165">
        <v>0</v>
      </c>
      <c r="U423" s="161">
        <f t="shared" ref="U423:U443" si="109">$I423*L423</f>
        <v>0</v>
      </c>
      <c r="V423" s="161">
        <f t="shared" ref="V423:V443" si="110">$I423*O423</f>
        <v>0</v>
      </c>
      <c r="W423" s="161">
        <f t="shared" ref="W423:W443" si="111">V423*0.4</f>
        <v>0</v>
      </c>
    </row>
    <row r="424" spans="1:23" ht="12.75" customHeight="1">
      <c r="A424" s="118">
        <v>423</v>
      </c>
      <c r="B424" s="128">
        <v>4</v>
      </c>
      <c r="C424" s="156">
        <v>38292</v>
      </c>
      <c r="D424" s="157" t="s">
        <v>54</v>
      </c>
      <c r="E424" s="8">
        <v>2004</v>
      </c>
      <c r="F424" s="158">
        <f t="shared" si="107"/>
        <v>31</v>
      </c>
      <c r="G424" s="158">
        <f t="shared" si="108"/>
        <v>1</v>
      </c>
      <c r="H424" s="162">
        <v>38261</v>
      </c>
      <c r="I424" s="198">
        <v>650000</v>
      </c>
      <c r="L424" s="165">
        <v>0.05</v>
      </c>
      <c r="N424" s="528" t="s">
        <v>794</v>
      </c>
      <c r="O424" s="165">
        <v>0.25</v>
      </c>
      <c r="U424" s="161">
        <f t="shared" si="109"/>
        <v>32500</v>
      </c>
      <c r="V424" s="161">
        <f t="shared" si="110"/>
        <v>162500</v>
      </c>
      <c r="W424" s="161">
        <f t="shared" si="111"/>
        <v>65000</v>
      </c>
    </row>
    <row r="425" spans="1:23" ht="12.75" customHeight="1">
      <c r="A425" s="118">
        <v>424</v>
      </c>
      <c r="B425" s="128">
        <v>4</v>
      </c>
      <c r="C425" s="156">
        <v>38322</v>
      </c>
      <c r="D425" s="157" t="s">
        <v>55</v>
      </c>
      <c r="E425" s="8">
        <v>2004</v>
      </c>
      <c r="F425" s="158">
        <f t="shared" si="107"/>
        <v>61</v>
      </c>
      <c r="G425" s="158">
        <f t="shared" si="108"/>
        <v>1</v>
      </c>
      <c r="H425" s="162">
        <v>38261</v>
      </c>
      <c r="I425" s="198">
        <v>649000</v>
      </c>
      <c r="L425" s="165">
        <v>0.1</v>
      </c>
      <c r="N425" s="528" t="s">
        <v>794</v>
      </c>
      <c r="O425" s="165">
        <v>0.5</v>
      </c>
      <c r="U425" s="161">
        <f t="shared" si="109"/>
        <v>64900</v>
      </c>
      <c r="V425" s="161">
        <f t="shared" si="110"/>
        <v>324500</v>
      </c>
      <c r="W425" s="161">
        <f t="shared" si="111"/>
        <v>129800</v>
      </c>
    </row>
    <row r="426" spans="1:23" ht="12.75" customHeight="1">
      <c r="A426" s="118">
        <v>425</v>
      </c>
      <c r="B426" s="128">
        <v>4</v>
      </c>
      <c r="C426" s="156">
        <v>38353</v>
      </c>
      <c r="D426" s="157" t="s">
        <v>44</v>
      </c>
      <c r="E426" s="8">
        <v>2005</v>
      </c>
      <c r="F426" s="158">
        <f t="shared" si="107"/>
        <v>92</v>
      </c>
      <c r="G426" s="158">
        <f t="shared" si="108"/>
        <v>1</v>
      </c>
      <c r="H426" s="162">
        <v>38261</v>
      </c>
      <c r="I426" s="198">
        <v>648000</v>
      </c>
      <c r="J426" s="15">
        <v>0.02</v>
      </c>
      <c r="K426" s="15">
        <v>1.3</v>
      </c>
      <c r="L426" s="15">
        <v>0.15</v>
      </c>
      <c r="O426" s="15">
        <v>0.7</v>
      </c>
      <c r="Q426" s="11">
        <v>6</v>
      </c>
      <c r="R426" s="11">
        <v>28</v>
      </c>
      <c r="T426" s="161">
        <f t="shared" ref="T426:T441" si="112">$I426*K426</f>
        <v>842400</v>
      </c>
      <c r="U426" s="161">
        <f t="shared" si="109"/>
        <v>97200</v>
      </c>
      <c r="V426" s="161">
        <f t="shared" si="110"/>
        <v>453600</v>
      </c>
      <c r="W426" s="161">
        <f t="shared" si="111"/>
        <v>181440</v>
      </c>
    </row>
    <row r="427" spans="1:23" ht="12.75" customHeight="1">
      <c r="A427" s="118">
        <v>426</v>
      </c>
      <c r="B427" s="128">
        <v>4</v>
      </c>
      <c r="C427" s="156">
        <v>38384</v>
      </c>
      <c r="D427" s="157" t="s">
        <v>45</v>
      </c>
      <c r="E427" s="8">
        <v>2005</v>
      </c>
      <c r="F427" s="158">
        <f t="shared" si="107"/>
        <v>123</v>
      </c>
      <c r="G427" s="158">
        <f t="shared" si="108"/>
        <v>1</v>
      </c>
      <c r="H427" s="162">
        <v>38261</v>
      </c>
      <c r="I427" s="198">
        <v>647000</v>
      </c>
      <c r="J427" s="15">
        <v>0</v>
      </c>
      <c r="K427" s="15">
        <v>1.1200000000000001</v>
      </c>
      <c r="L427" s="15">
        <v>0.15</v>
      </c>
      <c r="M427" s="174">
        <v>0</v>
      </c>
      <c r="O427" s="15">
        <v>0.42</v>
      </c>
      <c r="Q427" s="11">
        <v>7</v>
      </c>
      <c r="R427" s="11">
        <v>26</v>
      </c>
      <c r="T427" s="161">
        <f t="shared" si="112"/>
        <v>724640.00000000012</v>
      </c>
      <c r="U427" s="161">
        <f t="shared" si="109"/>
        <v>97050</v>
      </c>
      <c r="V427" s="161">
        <f t="shared" si="110"/>
        <v>271740</v>
      </c>
      <c r="W427" s="161">
        <f t="shared" si="111"/>
        <v>108696</v>
      </c>
    </row>
    <row r="428" spans="1:23" ht="12.75" customHeight="1">
      <c r="A428" s="118">
        <v>427</v>
      </c>
      <c r="B428" s="128">
        <v>4</v>
      </c>
      <c r="C428" s="156">
        <v>38412</v>
      </c>
      <c r="D428" s="157" t="s">
        <v>46</v>
      </c>
      <c r="E428" s="8">
        <v>2005</v>
      </c>
      <c r="F428" s="158">
        <f t="shared" si="107"/>
        <v>151</v>
      </c>
      <c r="G428" s="158">
        <f t="shared" si="108"/>
        <v>1</v>
      </c>
      <c r="H428" s="162">
        <v>38261</v>
      </c>
      <c r="I428" s="194">
        <v>645884</v>
      </c>
      <c r="J428" s="15">
        <v>0</v>
      </c>
      <c r="K428" s="15">
        <v>0.78</v>
      </c>
      <c r="L428" s="15">
        <v>0.17</v>
      </c>
      <c r="M428" s="174">
        <v>0</v>
      </c>
      <c r="O428" s="15">
        <v>0.62</v>
      </c>
      <c r="Q428" s="11">
        <v>8</v>
      </c>
      <c r="R428" s="11">
        <v>27</v>
      </c>
      <c r="T428" s="161">
        <f t="shared" si="112"/>
        <v>503789.52</v>
      </c>
      <c r="U428" s="161">
        <f t="shared" si="109"/>
        <v>109800.28000000001</v>
      </c>
      <c r="V428" s="161">
        <f t="shared" si="110"/>
        <v>400448.08</v>
      </c>
      <c r="W428" s="161">
        <f t="shared" si="111"/>
        <v>160179.23200000002</v>
      </c>
    </row>
    <row r="429" spans="1:23" ht="12.75" customHeight="1">
      <c r="A429" s="118">
        <v>428</v>
      </c>
      <c r="B429" s="128">
        <v>4</v>
      </c>
      <c r="C429" s="156">
        <v>38443</v>
      </c>
      <c r="D429" s="157" t="s">
        <v>47</v>
      </c>
      <c r="E429" s="8">
        <v>2005</v>
      </c>
      <c r="F429" s="158">
        <f t="shared" si="107"/>
        <v>182</v>
      </c>
      <c r="G429" s="158">
        <f t="shared" si="108"/>
        <v>1</v>
      </c>
      <c r="H429" s="162">
        <v>38261</v>
      </c>
      <c r="I429" s="194">
        <v>643333</v>
      </c>
      <c r="J429" s="15">
        <v>0.32</v>
      </c>
      <c r="K429" s="15">
        <v>1.25</v>
      </c>
      <c r="L429" s="15">
        <v>0.25</v>
      </c>
      <c r="M429" s="174">
        <v>0</v>
      </c>
      <c r="O429" s="15">
        <v>1.82</v>
      </c>
      <c r="Q429" s="11">
        <v>9</v>
      </c>
      <c r="R429" s="11">
        <v>30</v>
      </c>
      <c r="T429" s="161">
        <f t="shared" si="112"/>
        <v>804166.25</v>
      </c>
      <c r="U429" s="161">
        <f t="shared" si="109"/>
        <v>160833.25</v>
      </c>
      <c r="V429" s="161">
        <f t="shared" si="110"/>
        <v>1170866.06</v>
      </c>
      <c r="W429" s="161">
        <f t="shared" si="111"/>
        <v>468346.42400000006</v>
      </c>
    </row>
    <row r="430" spans="1:23" ht="12.75" customHeight="1">
      <c r="A430" s="118">
        <v>429</v>
      </c>
      <c r="B430" s="128">
        <v>4</v>
      </c>
      <c r="C430" s="156">
        <v>38473</v>
      </c>
      <c r="D430" s="157" t="s">
        <v>48</v>
      </c>
      <c r="E430" s="8">
        <v>2005</v>
      </c>
      <c r="F430" s="158">
        <f t="shared" si="107"/>
        <v>212</v>
      </c>
      <c r="G430" s="158">
        <f t="shared" si="108"/>
        <v>1</v>
      </c>
      <c r="H430" s="162">
        <v>38261</v>
      </c>
      <c r="I430" s="194">
        <v>639849</v>
      </c>
      <c r="J430" s="15">
        <v>0.12</v>
      </c>
      <c r="K430" s="15">
        <v>1.02</v>
      </c>
      <c r="L430" s="15">
        <v>0.55000000000000004</v>
      </c>
      <c r="M430" s="174">
        <v>1</v>
      </c>
      <c r="O430" s="15">
        <v>0.12</v>
      </c>
      <c r="Q430" s="11">
        <v>11</v>
      </c>
      <c r="R430" s="11">
        <v>20</v>
      </c>
      <c r="T430" s="161">
        <f t="shared" si="112"/>
        <v>652645.98</v>
      </c>
      <c r="U430" s="161">
        <f t="shared" si="109"/>
        <v>351916.95</v>
      </c>
      <c r="V430" s="161">
        <f t="shared" si="110"/>
        <v>76781.87999999999</v>
      </c>
      <c r="W430" s="161">
        <f t="shared" si="111"/>
        <v>30712.751999999997</v>
      </c>
    </row>
    <row r="431" spans="1:23" ht="12.75" customHeight="1">
      <c r="A431" s="118">
        <v>430</v>
      </c>
      <c r="B431" s="128">
        <v>4</v>
      </c>
      <c r="C431" s="156">
        <v>38504</v>
      </c>
      <c r="D431" s="157" t="s">
        <v>49</v>
      </c>
      <c r="E431" s="8">
        <v>2005</v>
      </c>
      <c r="F431" s="158">
        <f t="shared" si="107"/>
        <v>243</v>
      </c>
      <c r="G431" s="158">
        <f t="shared" si="108"/>
        <v>1</v>
      </c>
      <c r="H431" s="162">
        <v>38261</v>
      </c>
      <c r="I431" s="194">
        <v>637414</v>
      </c>
      <c r="J431" s="15">
        <v>7.0000000000000007E-2</v>
      </c>
      <c r="K431" s="15">
        <v>1.22</v>
      </c>
      <c r="L431" s="15">
        <v>0.38</v>
      </c>
      <c r="M431" s="174">
        <v>0</v>
      </c>
      <c r="O431" s="15">
        <v>0.23</v>
      </c>
      <c r="Q431" s="11">
        <v>12</v>
      </c>
      <c r="R431" s="11">
        <v>20</v>
      </c>
      <c r="T431" s="161">
        <f t="shared" si="112"/>
        <v>777645.08</v>
      </c>
      <c r="U431" s="161">
        <f t="shared" si="109"/>
        <v>242217.32</v>
      </c>
      <c r="V431" s="161">
        <f t="shared" si="110"/>
        <v>146605.22</v>
      </c>
      <c r="W431" s="161">
        <f t="shared" si="111"/>
        <v>58642.088000000003</v>
      </c>
    </row>
    <row r="432" spans="1:23" s="127" customFormat="1" ht="12.75" customHeight="1">
      <c r="A432" s="118">
        <v>431</v>
      </c>
      <c r="B432" s="128">
        <v>4</v>
      </c>
      <c r="C432" s="156">
        <v>38534</v>
      </c>
      <c r="D432" s="157" t="s">
        <v>50</v>
      </c>
      <c r="E432" s="8">
        <v>2005</v>
      </c>
      <c r="F432" s="158">
        <f t="shared" si="107"/>
        <v>273</v>
      </c>
      <c r="G432" s="158">
        <f t="shared" si="108"/>
        <v>1</v>
      </c>
      <c r="H432" s="162">
        <v>38261</v>
      </c>
      <c r="I432" s="194">
        <v>636130</v>
      </c>
      <c r="J432" s="15">
        <v>0.03</v>
      </c>
      <c r="K432" s="15">
        <v>1.2</v>
      </c>
      <c r="L432" s="15">
        <v>0.47</v>
      </c>
      <c r="M432" s="174"/>
      <c r="N432" s="528"/>
      <c r="O432" s="15">
        <v>0.02</v>
      </c>
      <c r="P432" s="8"/>
      <c r="Q432" s="11">
        <v>12</v>
      </c>
      <c r="R432" s="11">
        <v>15</v>
      </c>
      <c r="S432" s="155"/>
      <c r="T432" s="161">
        <f t="shared" si="112"/>
        <v>763356</v>
      </c>
      <c r="U432" s="161">
        <f t="shared" si="109"/>
        <v>298981.09999999998</v>
      </c>
      <c r="V432" s="161">
        <f t="shared" si="110"/>
        <v>12722.6</v>
      </c>
      <c r="W432" s="161">
        <f t="shared" si="111"/>
        <v>5089.0400000000009</v>
      </c>
    </row>
    <row r="433" spans="1:23" s="127" customFormat="1" ht="12.75" customHeight="1">
      <c r="A433" s="118">
        <v>432</v>
      </c>
      <c r="B433" s="128">
        <v>4</v>
      </c>
      <c r="C433" s="156">
        <v>38565</v>
      </c>
      <c r="D433" s="157" t="s">
        <v>51</v>
      </c>
      <c r="E433" s="8">
        <v>2005</v>
      </c>
      <c r="F433" s="158">
        <f t="shared" si="107"/>
        <v>304</v>
      </c>
      <c r="G433" s="158">
        <f t="shared" si="108"/>
        <v>1</v>
      </c>
      <c r="H433" s="162">
        <v>38261</v>
      </c>
      <c r="I433" s="250">
        <v>634078.66666666698</v>
      </c>
      <c r="J433" s="173"/>
      <c r="K433" s="165">
        <f>(K432+K434)/2</f>
        <v>1.29</v>
      </c>
      <c r="L433" s="165">
        <f>(L432+L434)/2</f>
        <v>0.57499999999999996</v>
      </c>
      <c r="M433" s="174"/>
      <c r="N433" s="528">
        <v>1</v>
      </c>
      <c r="O433" s="165">
        <f>(O432+O434)/2</f>
        <v>6.0000000000000005E-2</v>
      </c>
      <c r="P433" s="8"/>
      <c r="Q433" s="11"/>
      <c r="R433" s="11"/>
      <c r="S433" s="155"/>
      <c r="T433" s="161">
        <f t="shared" si="112"/>
        <v>817961.48000000045</v>
      </c>
      <c r="U433" s="161">
        <f t="shared" si="109"/>
        <v>364595.23333333351</v>
      </c>
      <c r="V433" s="161">
        <f t="shared" si="110"/>
        <v>38044.720000000023</v>
      </c>
      <c r="W433" s="161">
        <f t="shared" si="111"/>
        <v>15217.88800000001</v>
      </c>
    </row>
    <row r="434" spans="1:23" s="127" customFormat="1" ht="12.75" customHeight="1">
      <c r="A434" s="118">
        <v>433</v>
      </c>
      <c r="B434" s="128">
        <v>4</v>
      </c>
      <c r="C434" s="156">
        <v>38596</v>
      </c>
      <c r="D434" s="157" t="s">
        <v>52</v>
      </c>
      <c r="E434" s="8">
        <v>2005</v>
      </c>
      <c r="F434" s="158">
        <f t="shared" si="107"/>
        <v>335</v>
      </c>
      <c r="G434" s="158">
        <f t="shared" si="108"/>
        <v>1</v>
      </c>
      <c r="H434" s="162">
        <v>38261</v>
      </c>
      <c r="I434" s="250">
        <v>632219.16666666698</v>
      </c>
      <c r="J434" s="15">
        <v>0</v>
      </c>
      <c r="K434" s="15">
        <v>1.38</v>
      </c>
      <c r="L434" s="15">
        <v>0.68</v>
      </c>
      <c r="M434" s="174"/>
      <c r="N434" s="528"/>
      <c r="O434" s="15">
        <v>0.1</v>
      </c>
      <c r="P434" s="8"/>
      <c r="Q434" s="11">
        <v>11</v>
      </c>
      <c r="R434" s="11">
        <v>20</v>
      </c>
      <c r="S434" s="155"/>
      <c r="T434" s="161">
        <f t="shared" si="112"/>
        <v>872462.45000000042</v>
      </c>
      <c r="U434" s="161">
        <f t="shared" si="109"/>
        <v>429909.03333333356</v>
      </c>
      <c r="V434" s="161">
        <f t="shared" si="110"/>
        <v>63221.916666666701</v>
      </c>
      <c r="W434" s="161">
        <f t="shared" si="111"/>
        <v>25288.766666666681</v>
      </c>
    </row>
    <row r="435" spans="1:23" s="127" customFormat="1" ht="12.75" customHeight="1">
      <c r="A435" s="118">
        <v>434</v>
      </c>
      <c r="B435" s="128">
        <v>4</v>
      </c>
      <c r="C435" s="156">
        <v>38626</v>
      </c>
      <c r="D435" s="157" t="s">
        <v>53</v>
      </c>
      <c r="E435" s="8">
        <v>2005</v>
      </c>
      <c r="F435" s="158">
        <f t="shared" si="107"/>
        <v>365</v>
      </c>
      <c r="G435" s="158">
        <f t="shared" si="108"/>
        <v>2</v>
      </c>
      <c r="H435" s="162">
        <v>38261</v>
      </c>
      <c r="I435" s="250">
        <v>630359.66666666698</v>
      </c>
      <c r="J435" s="15">
        <v>0</v>
      </c>
      <c r="K435" s="15">
        <v>2.75</v>
      </c>
      <c r="L435" s="15">
        <v>1.73</v>
      </c>
      <c r="M435" s="174">
        <v>0</v>
      </c>
      <c r="N435" s="528"/>
      <c r="O435" s="15">
        <v>0</v>
      </c>
      <c r="P435" s="8"/>
      <c r="Q435" s="11">
        <v>10</v>
      </c>
      <c r="R435" s="11">
        <v>22</v>
      </c>
      <c r="S435" s="155"/>
      <c r="T435" s="161">
        <f t="shared" si="112"/>
        <v>1733489.0833333342</v>
      </c>
      <c r="U435" s="161">
        <f t="shared" si="109"/>
        <v>1090522.2233333339</v>
      </c>
      <c r="V435" s="161">
        <f t="shared" si="110"/>
        <v>0</v>
      </c>
      <c r="W435" s="161">
        <f t="shared" si="111"/>
        <v>0</v>
      </c>
    </row>
    <row r="436" spans="1:23" s="127" customFormat="1">
      <c r="A436" s="118">
        <v>435</v>
      </c>
      <c r="B436" s="128">
        <v>4</v>
      </c>
      <c r="C436" s="156">
        <v>38657</v>
      </c>
      <c r="D436" s="157" t="s">
        <v>54</v>
      </c>
      <c r="E436" s="8">
        <v>2005</v>
      </c>
      <c r="F436" s="158">
        <f t="shared" si="107"/>
        <v>396</v>
      </c>
      <c r="G436" s="158">
        <f t="shared" si="108"/>
        <v>2</v>
      </c>
      <c r="H436" s="162">
        <v>38261</v>
      </c>
      <c r="I436" s="250">
        <v>628500.16666666698</v>
      </c>
      <c r="J436" s="15">
        <v>0</v>
      </c>
      <c r="K436" s="15">
        <v>3.4</v>
      </c>
      <c r="L436" s="15">
        <v>2.52</v>
      </c>
      <c r="M436" s="174">
        <v>0</v>
      </c>
      <c r="N436" s="528"/>
      <c r="O436" s="15">
        <v>0.08</v>
      </c>
      <c r="P436" s="8"/>
      <c r="Q436" s="11">
        <v>8</v>
      </c>
      <c r="R436" s="11">
        <v>25</v>
      </c>
      <c r="S436" s="155"/>
      <c r="T436" s="161">
        <f t="shared" si="112"/>
        <v>2136900.5666666678</v>
      </c>
      <c r="U436" s="161">
        <f t="shared" si="109"/>
        <v>1583820.4200000009</v>
      </c>
      <c r="V436" s="161">
        <f t="shared" si="110"/>
        <v>50280.013333333358</v>
      </c>
      <c r="W436" s="161">
        <f t="shared" si="111"/>
        <v>20112.005333333345</v>
      </c>
    </row>
    <row r="437" spans="1:23" s="127" customFormat="1" ht="12.75" customHeight="1">
      <c r="A437" s="118">
        <v>436</v>
      </c>
      <c r="B437" s="128">
        <v>4</v>
      </c>
      <c r="C437" s="156">
        <v>38687</v>
      </c>
      <c r="D437" s="157" t="s">
        <v>55</v>
      </c>
      <c r="E437" s="8">
        <v>2005</v>
      </c>
      <c r="F437" s="158">
        <f t="shared" si="107"/>
        <v>426</v>
      </c>
      <c r="G437" s="158">
        <f t="shared" si="108"/>
        <v>2</v>
      </c>
      <c r="H437" s="162">
        <v>38261</v>
      </c>
      <c r="I437" s="250">
        <v>626640.66666666698</v>
      </c>
      <c r="J437" s="15">
        <v>0.48</v>
      </c>
      <c r="K437" s="15">
        <v>6.1</v>
      </c>
      <c r="L437" s="15">
        <v>3.42</v>
      </c>
      <c r="M437" s="174">
        <v>0</v>
      </c>
      <c r="N437" s="528"/>
      <c r="O437" s="15">
        <v>0.1</v>
      </c>
      <c r="P437" s="8"/>
      <c r="Q437" s="11">
        <v>7</v>
      </c>
      <c r="R437" s="11">
        <v>27</v>
      </c>
      <c r="S437" s="155"/>
      <c r="T437" s="161">
        <f t="shared" si="112"/>
        <v>3822508.0666666683</v>
      </c>
      <c r="U437" s="161">
        <f t="shared" si="109"/>
        <v>2143111.080000001</v>
      </c>
      <c r="V437" s="161">
        <f t="shared" si="110"/>
        <v>62664.066666666702</v>
      </c>
      <c r="W437" s="161">
        <f t="shared" si="111"/>
        <v>25065.626666666682</v>
      </c>
    </row>
    <row r="438" spans="1:23" s="127" customFormat="1">
      <c r="A438" s="118">
        <v>437</v>
      </c>
      <c r="B438" s="128">
        <v>4</v>
      </c>
      <c r="C438" s="156">
        <v>38718</v>
      </c>
      <c r="D438" s="157" t="s">
        <v>44</v>
      </c>
      <c r="E438" s="8">
        <v>2006</v>
      </c>
      <c r="F438" s="158">
        <f t="shared" si="107"/>
        <v>457</v>
      </c>
      <c r="G438" s="158">
        <f t="shared" si="108"/>
        <v>2</v>
      </c>
      <c r="H438" s="162">
        <v>38261</v>
      </c>
      <c r="I438" s="250">
        <v>624781.16666666698</v>
      </c>
      <c r="J438" s="15">
        <v>0.12</v>
      </c>
      <c r="K438" s="15">
        <v>8.83</v>
      </c>
      <c r="L438" s="15">
        <v>4.05</v>
      </c>
      <c r="M438" s="174">
        <v>2</v>
      </c>
      <c r="N438" s="528"/>
      <c r="O438" s="15">
        <v>0.62</v>
      </c>
      <c r="P438" s="8">
        <v>1</v>
      </c>
      <c r="Q438" s="11">
        <v>7</v>
      </c>
      <c r="R438" s="11">
        <v>28</v>
      </c>
      <c r="S438" s="155" t="s">
        <v>70</v>
      </c>
      <c r="T438" s="161">
        <f t="shared" si="112"/>
        <v>5516817.701666669</v>
      </c>
      <c r="U438" s="161">
        <f t="shared" si="109"/>
        <v>2530363.725000001</v>
      </c>
      <c r="V438" s="161">
        <f t="shared" si="110"/>
        <v>387364.32333333354</v>
      </c>
      <c r="W438" s="161">
        <f t="shared" si="111"/>
        <v>154945.72933333341</v>
      </c>
    </row>
    <row r="439" spans="1:23" s="127" customFormat="1">
      <c r="A439" s="118">
        <v>438</v>
      </c>
      <c r="B439" s="128">
        <v>4</v>
      </c>
      <c r="C439" s="156">
        <v>38749</v>
      </c>
      <c r="D439" s="157" t="s">
        <v>45</v>
      </c>
      <c r="E439" s="8">
        <v>2006</v>
      </c>
      <c r="F439" s="158">
        <f t="shared" si="107"/>
        <v>488</v>
      </c>
      <c r="G439" s="158">
        <f t="shared" si="108"/>
        <v>2</v>
      </c>
      <c r="H439" s="162">
        <v>38261</v>
      </c>
      <c r="I439" s="198">
        <v>500000</v>
      </c>
      <c r="J439" s="15">
        <v>0</v>
      </c>
      <c r="K439" s="15">
        <v>6.62</v>
      </c>
      <c r="L439" s="15">
        <v>4</v>
      </c>
      <c r="M439" s="174">
        <v>0</v>
      </c>
      <c r="N439" s="528"/>
      <c r="O439" s="15">
        <v>0.27</v>
      </c>
      <c r="P439" s="8"/>
      <c r="Q439" s="11">
        <v>7</v>
      </c>
      <c r="R439" s="11">
        <v>29</v>
      </c>
      <c r="S439" s="155"/>
      <c r="T439" s="161">
        <f t="shared" si="112"/>
        <v>3310000</v>
      </c>
      <c r="U439" s="161">
        <f t="shared" si="109"/>
        <v>2000000</v>
      </c>
      <c r="V439" s="161">
        <f t="shared" si="110"/>
        <v>135000</v>
      </c>
      <c r="W439" s="161">
        <f t="shared" si="111"/>
        <v>54000</v>
      </c>
    </row>
    <row r="440" spans="1:23" s="127" customFormat="1">
      <c r="A440" s="118">
        <v>439</v>
      </c>
      <c r="B440" s="128">
        <v>4</v>
      </c>
      <c r="C440" s="156">
        <v>38777</v>
      </c>
      <c r="D440" s="157" t="s">
        <v>46</v>
      </c>
      <c r="E440" s="8">
        <v>2006</v>
      </c>
      <c r="F440" s="158">
        <f t="shared" si="107"/>
        <v>516</v>
      </c>
      <c r="G440" s="158">
        <f t="shared" si="108"/>
        <v>2</v>
      </c>
      <c r="H440" s="162">
        <v>38261</v>
      </c>
      <c r="I440" s="194">
        <v>409421</v>
      </c>
      <c r="J440" s="15">
        <v>0</v>
      </c>
      <c r="K440" s="15">
        <v>0.82</v>
      </c>
      <c r="L440" s="15">
        <v>0.35</v>
      </c>
      <c r="M440" s="174">
        <v>0</v>
      </c>
      <c r="N440" s="528"/>
      <c r="O440" s="15">
        <v>0</v>
      </c>
      <c r="P440" s="8"/>
      <c r="Q440" s="11">
        <v>7</v>
      </c>
      <c r="R440" s="11">
        <v>30</v>
      </c>
      <c r="S440" s="155"/>
      <c r="T440" s="161">
        <f t="shared" si="112"/>
        <v>335725.22</v>
      </c>
      <c r="U440" s="161">
        <f t="shared" si="109"/>
        <v>143297.34999999998</v>
      </c>
      <c r="V440" s="161">
        <f t="shared" si="110"/>
        <v>0</v>
      </c>
      <c r="W440" s="161">
        <f t="shared" si="111"/>
        <v>0</v>
      </c>
    </row>
    <row r="441" spans="1:23" s="127" customFormat="1">
      <c r="A441" s="118">
        <v>440</v>
      </c>
      <c r="B441" s="128">
        <v>4</v>
      </c>
      <c r="C441" s="156">
        <v>38808</v>
      </c>
      <c r="D441" s="157" t="s">
        <v>47</v>
      </c>
      <c r="E441" s="8">
        <v>2006</v>
      </c>
      <c r="F441" s="158">
        <f t="shared" si="107"/>
        <v>547</v>
      </c>
      <c r="G441" s="158">
        <f t="shared" si="108"/>
        <v>2</v>
      </c>
      <c r="H441" s="162">
        <v>38261</v>
      </c>
      <c r="I441" s="194">
        <v>293456</v>
      </c>
      <c r="J441" s="15">
        <v>0</v>
      </c>
      <c r="K441" s="15">
        <v>0.63</v>
      </c>
      <c r="L441" s="15">
        <v>0.2</v>
      </c>
      <c r="M441" s="174"/>
      <c r="N441" s="528"/>
      <c r="O441" s="15">
        <v>0</v>
      </c>
      <c r="P441" s="8"/>
      <c r="Q441" s="11">
        <v>9</v>
      </c>
      <c r="R441" s="11">
        <v>29</v>
      </c>
      <c r="S441" s="155"/>
      <c r="T441" s="161">
        <f t="shared" si="112"/>
        <v>184877.28</v>
      </c>
      <c r="U441" s="161">
        <f t="shared" si="109"/>
        <v>58691.200000000004</v>
      </c>
      <c r="V441" s="161">
        <f t="shared" si="110"/>
        <v>0</v>
      </c>
      <c r="W441" s="161">
        <f t="shared" si="111"/>
        <v>0</v>
      </c>
    </row>
    <row r="442" spans="1:23" s="127" customFormat="1">
      <c r="A442" s="118">
        <v>441</v>
      </c>
      <c r="B442" s="128">
        <v>4</v>
      </c>
      <c r="C442" s="156">
        <v>38838</v>
      </c>
      <c r="D442" s="157" t="s">
        <v>48</v>
      </c>
      <c r="E442" s="8">
        <v>2006</v>
      </c>
      <c r="F442" s="158">
        <f t="shared" si="107"/>
        <v>577</v>
      </c>
      <c r="G442" s="158">
        <f t="shared" si="108"/>
        <v>2</v>
      </c>
      <c r="H442" s="162">
        <v>38261</v>
      </c>
      <c r="I442" s="248">
        <v>146700</v>
      </c>
      <c r="J442" s="15"/>
      <c r="K442" s="15"/>
      <c r="L442" s="165">
        <v>0.2</v>
      </c>
      <c r="M442" s="174"/>
      <c r="N442" s="528" t="s">
        <v>795</v>
      </c>
      <c r="O442" s="165">
        <v>0.1</v>
      </c>
      <c r="P442" s="8"/>
      <c r="Q442" s="11"/>
      <c r="R442" s="11"/>
      <c r="S442" s="242" t="s">
        <v>354</v>
      </c>
      <c r="T442" s="15"/>
      <c r="U442" s="161">
        <f t="shared" si="109"/>
        <v>29340</v>
      </c>
      <c r="V442" s="161">
        <f t="shared" si="110"/>
        <v>14670</v>
      </c>
      <c r="W442" s="161">
        <f t="shared" si="111"/>
        <v>5868</v>
      </c>
    </row>
    <row r="443" spans="1:23" s="127" customFormat="1">
      <c r="A443" s="118">
        <v>442</v>
      </c>
      <c r="B443" s="128">
        <v>4</v>
      </c>
      <c r="C443" s="156">
        <v>38869</v>
      </c>
      <c r="D443" s="157" t="s">
        <v>49</v>
      </c>
      <c r="E443" s="8">
        <v>2006</v>
      </c>
      <c r="F443" s="158">
        <f t="shared" si="107"/>
        <v>608</v>
      </c>
      <c r="G443" s="158">
        <f t="shared" si="108"/>
        <v>2</v>
      </c>
      <c r="H443" s="162">
        <v>38261</v>
      </c>
      <c r="I443" s="248">
        <v>97800</v>
      </c>
      <c r="J443" s="15"/>
      <c r="K443" s="15"/>
      <c r="L443" s="165">
        <v>0.2</v>
      </c>
      <c r="M443" s="174"/>
      <c r="N443" s="528" t="s">
        <v>795</v>
      </c>
      <c r="O443" s="165">
        <v>0.2</v>
      </c>
      <c r="P443" s="8"/>
      <c r="Q443" s="11"/>
      <c r="R443" s="11"/>
      <c r="S443" s="242" t="s">
        <v>354</v>
      </c>
      <c r="T443" s="15"/>
      <c r="U443" s="161">
        <f t="shared" si="109"/>
        <v>19560</v>
      </c>
      <c r="V443" s="161">
        <f t="shared" si="110"/>
        <v>19560</v>
      </c>
      <c r="W443" s="161">
        <f t="shared" si="111"/>
        <v>7824</v>
      </c>
    </row>
    <row r="444" spans="1:23">
      <c r="A444" s="118">
        <v>443</v>
      </c>
      <c r="B444" s="128">
        <v>4</v>
      </c>
      <c r="C444" s="156">
        <v>38899</v>
      </c>
      <c r="D444" s="157" t="s">
        <v>50</v>
      </c>
      <c r="E444" s="8">
        <v>2006</v>
      </c>
      <c r="F444" s="158"/>
      <c r="H444" s="162"/>
      <c r="I444" s="194"/>
    </row>
    <row r="445" spans="1:23">
      <c r="A445" s="118">
        <v>444</v>
      </c>
      <c r="B445" s="128">
        <v>4</v>
      </c>
      <c r="C445" s="156">
        <v>38930</v>
      </c>
      <c r="D445" s="157" t="s">
        <v>51</v>
      </c>
      <c r="E445" s="8">
        <v>2006</v>
      </c>
      <c r="F445" s="158"/>
      <c r="H445" s="162"/>
      <c r="I445" s="194"/>
    </row>
    <row r="446" spans="1:23">
      <c r="A446" s="118">
        <v>445</v>
      </c>
      <c r="B446" s="128">
        <v>4</v>
      </c>
      <c r="C446" s="156">
        <v>38961</v>
      </c>
      <c r="D446" s="157" t="s">
        <v>52</v>
      </c>
      <c r="E446" s="8">
        <v>2006</v>
      </c>
      <c r="F446" s="158">
        <f t="shared" ref="F446:F466" si="113">C446-H446</f>
        <v>0</v>
      </c>
      <c r="G446" s="158">
        <f t="shared" ref="G446:G466" si="114">IF(F446&lt;365,1,2)</f>
        <v>1</v>
      </c>
      <c r="H446" s="162">
        <v>38961</v>
      </c>
      <c r="I446" s="194">
        <v>158716</v>
      </c>
      <c r="L446" s="165">
        <v>0</v>
      </c>
      <c r="N446" s="528" t="s">
        <v>794</v>
      </c>
      <c r="O446" s="165">
        <v>0</v>
      </c>
      <c r="S446" s="155" t="s">
        <v>11</v>
      </c>
      <c r="U446" s="161">
        <f t="shared" ref="U446:U466" si="115">$I446*L446</f>
        <v>0</v>
      </c>
      <c r="V446" s="161">
        <f t="shared" ref="V446:V466" si="116">$I446*O446</f>
        <v>0</v>
      </c>
      <c r="W446" s="161">
        <f t="shared" ref="W446:W466" si="117">V446*0.4</f>
        <v>0</v>
      </c>
    </row>
    <row r="447" spans="1:23">
      <c r="A447" s="118">
        <v>446</v>
      </c>
      <c r="B447" s="128">
        <v>4</v>
      </c>
      <c r="C447" s="156">
        <v>38991</v>
      </c>
      <c r="D447" s="157" t="s">
        <v>53</v>
      </c>
      <c r="E447" s="8">
        <v>2006</v>
      </c>
      <c r="F447" s="158">
        <f t="shared" si="113"/>
        <v>30</v>
      </c>
      <c r="G447" s="158">
        <f t="shared" si="114"/>
        <v>1</v>
      </c>
      <c r="H447" s="162">
        <v>38961</v>
      </c>
      <c r="I447" s="194">
        <v>612968</v>
      </c>
      <c r="L447" s="165">
        <v>0</v>
      </c>
      <c r="N447" s="528" t="s">
        <v>794</v>
      </c>
      <c r="O447" s="165">
        <v>0.04</v>
      </c>
      <c r="U447" s="161">
        <f t="shared" si="115"/>
        <v>0</v>
      </c>
      <c r="V447" s="161">
        <f t="shared" si="116"/>
        <v>24518.720000000001</v>
      </c>
      <c r="W447" s="161">
        <f t="shared" si="117"/>
        <v>9807.4880000000012</v>
      </c>
    </row>
    <row r="448" spans="1:23">
      <c r="A448" s="118">
        <v>447</v>
      </c>
      <c r="B448" s="128">
        <v>4</v>
      </c>
      <c r="C448" s="156">
        <v>39022</v>
      </c>
      <c r="D448" s="157" t="s">
        <v>54</v>
      </c>
      <c r="E448" s="8">
        <v>2006</v>
      </c>
      <c r="F448" s="158">
        <f t="shared" si="113"/>
        <v>61</v>
      </c>
      <c r="G448" s="158">
        <f t="shared" si="114"/>
        <v>1</v>
      </c>
      <c r="H448" s="162">
        <v>38961</v>
      </c>
      <c r="I448" s="194">
        <v>610469</v>
      </c>
      <c r="J448" s="15">
        <v>0.56666660000000002</v>
      </c>
      <c r="K448" s="15">
        <v>0.15</v>
      </c>
      <c r="L448" s="15">
        <v>0</v>
      </c>
      <c r="O448" s="15">
        <v>8.3333299999999999E-2</v>
      </c>
      <c r="Q448" s="11">
        <v>8</v>
      </c>
      <c r="R448" s="11">
        <v>19</v>
      </c>
      <c r="T448" s="161">
        <f t="shared" ref="T448:T465" si="118">$I448*K448</f>
        <v>91570.349999999991</v>
      </c>
      <c r="U448" s="161">
        <f t="shared" si="115"/>
        <v>0</v>
      </c>
      <c r="V448" s="161">
        <f t="shared" si="116"/>
        <v>50872.396317699997</v>
      </c>
      <c r="W448" s="161">
        <f t="shared" si="117"/>
        <v>20348.958527080002</v>
      </c>
    </row>
    <row r="449" spans="1:23">
      <c r="A449" s="118">
        <v>448</v>
      </c>
      <c r="B449" s="128">
        <v>4</v>
      </c>
      <c r="C449" s="156">
        <v>39052</v>
      </c>
      <c r="D449" s="157" t="s">
        <v>55</v>
      </c>
      <c r="E449" s="8">
        <v>2006</v>
      </c>
      <c r="F449" s="158">
        <f t="shared" si="113"/>
        <v>91</v>
      </c>
      <c r="G449" s="158">
        <f t="shared" si="114"/>
        <v>1</v>
      </c>
      <c r="H449" s="162">
        <v>38961</v>
      </c>
      <c r="I449" s="194">
        <v>609500</v>
      </c>
      <c r="J449" s="15">
        <v>2.65</v>
      </c>
      <c r="K449" s="15">
        <v>7.0000000000000007E-2</v>
      </c>
      <c r="L449" s="15">
        <v>0</v>
      </c>
      <c r="M449" s="174">
        <v>0</v>
      </c>
      <c r="O449" s="15">
        <v>0.18</v>
      </c>
      <c r="Q449" s="11">
        <v>7</v>
      </c>
      <c r="R449" s="11">
        <v>25</v>
      </c>
      <c r="T449" s="161">
        <f t="shared" si="118"/>
        <v>42665.000000000007</v>
      </c>
      <c r="U449" s="161">
        <f t="shared" si="115"/>
        <v>0</v>
      </c>
      <c r="V449" s="161">
        <f t="shared" si="116"/>
        <v>109710</v>
      </c>
      <c r="W449" s="161">
        <f t="shared" si="117"/>
        <v>43884</v>
      </c>
    </row>
    <row r="450" spans="1:23" ht="12.75" customHeight="1">
      <c r="A450" s="118">
        <v>449</v>
      </c>
      <c r="B450" s="128">
        <v>4</v>
      </c>
      <c r="C450" s="156">
        <v>39083</v>
      </c>
      <c r="D450" s="157" t="s">
        <v>44</v>
      </c>
      <c r="E450" s="8">
        <v>2007</v>
      </c>
      <c r="F450" s="158">
        <f t="shared" si="113"/>
        <v>122</v>
      </c>
      <c r="G450" s="158">
        <f t="shared" si="114"/>
        <v>1</v>
      </c>
      <c r="H450" s="175">
        <v>38961</v>
      </c>
      <c r="I450" s="160">
        <v>606970</v>
      </c>
      <c r="J450" s="191">
        <v>0.71666660000000004</v>
      </c>
      <c r="K450" s="191">
        <v>1.85</v>
      </c>
      <c r="L450" s="191">
        <v>0.55000000000000004</v>
      </c>
      <c r="M450" s="193">
        <v>1</v>
      </c>
      <c r="N450" s="529"/>
      <c r="O450" s="191">
        <v>3.3333300000000003E-2</v>
      </c>
      <c r="P450" s="192"/>
      <c r="Q450" s="127">
        <v>6</v>
      </c>
      <c r="R450" s="127">
        <v>25</v>
      </c>
      <c r="S450" s="243"/>
      <c r="T450" s="161">
        <f t="shared" si="118"/>
        <v>1122894.5</v>
      </c>
      <c r="U450" s="161">
        <f t="shared" si="115"/>
        <v>333833.5</v>
      </c>
      <c r="V450" s="161">
        <f t="shared" si="116"/>
        <v>20232.313101000003</v>
      </c>
      <c r="W450" s="161">
        <f t="shared" si="117"/>
        <v>8092.9252404000017</v>
      </c>
    </row>
    <row r="451" spans="1:23" ht="12.75" customHeight="1">
      <c r="A451" s="118">
        <v>450</v>
      </c>
      <c r="B451" s="128">
        <v>4</v>
      </c>
      <c r="C451" s="156">
        <v>39114</v>
      </c>
      <c r="D451" s="157" t="s">
        <v>45</v>
      </c>
      <c r="E451" s="8">
        <v>2007</v>
      </c>
      <c r="F451" s="158">
        <f t="shared" si="113"/>
        <v>153</v>
      </c>
      <c r="G451" s="158">
        <f t="shared" si="114"/>
        <v>1</v>
      </c>
      <c r="H451" s="175">
        <v>38961</v>
      </c>
      <c r="I451" s="160">
        <v>603136</v>
      </c>
      <c r="J451" s="191">
        <v>0.45</v>
      </c>
      <c r="K451" s="191">
        <v>1.2</v>
      </c>
      <c r="L451" s="191">
        <v>0.12</v>
      </c>
      <c r="M451" s="193">
        <v>1</v>
      </c>
      <c r="N451" s="529"/>
      <c r="O451" s="191">
        <v>0.02</v>
      </c>
      <c r="P451" s="192"/>
      <c r="Q451" s="127">
        <v>7</v>
      </c>
      <c r="R451" s="127">
        <v>24</v>
      </c>
      <c r="S451" s="243"/>
      <c r="T451" s="161">
        <f t="shared" si="118"/>
        <v>723763.19999999995</v>
      </c>
      <c r="U451" s="161">
        <f t="shared" si="115"/>
        <v>72376.319999999992</v>
      </c>
      <c r="V451" s="161">
        <f t="shared" si="116"/>
        <v>12062.72</v>
      </c>
      <c r="W451" s="161">
        <f t="shared" si="117"/>
        <v>4825.0879999999997</v>
      </c>
    </row>
    <row r="452" spans="1:23" ht="12.75" customHeight="1">
      <c r="A452" s="118">
        <v>451</v>
      </c>
      <c r="B452" s="128">
        <v>4</v>
      </c>
      <c r="C452" s="156">
        <v>39142</v>
      </c>
      <c r="D452" s="157" t="s">
        <v>46</v>
      </c>
      <c r="E452" s="8">
        <v>2007</v>
      </c>
      <c r="F452" s="158">
        <f t="shared" si="113"/>
        <v>181</v>
      </c>
      <c r="G452" s="158">
        <f t="shared" si="114"/>
        <v>1</v>
      </c>
      <c r="H452" s="175">
        <v>38961</v>
      </c>
      <c r="I452" s="160">
        <v>590474</v>
      </c>
      <c r="J452" s="191">
        <v>0.52</v>
      </c>
      <c r="K452" s="191">
        <v>0.68</v>
      </c>
      <c r="L452" s="191">
        <v>0.45</v>
      </c>
      <c r="M452" s="193">
        <v>1</v>
      </c>
      <c r="N452" s="529"/>
      <c r="O452" s="191">
        <v>0</v>
      </c>
      <c r="P452" s="192"/>
      <c r="Q452" s="127">
        <v>8</v>
      </c>
      <c r="R452" s="127">
        <v>23</v>
      </c>
      <c r="S452" s="243"/>
      <c r="T452" s="161">
        <f t="shared" si="118"/>
        <v>401522.32</v>
      </c>
      <c r="U452" s="161">
        <f t="shared" si="115"/>
        <v>265713.3</v>
      </c>
      <c r="V452" s="161">
        <f t="shared" si="116"/>
        <v>0</v>
      </c>
      <c r="W452" s="161">
        <f t="shared" si="117"/>
        <v>0</v>
      </c>
    </row>
    <row r="453" spans="1:23" ht="12.75" customHeight="1">
      <c r="A453" s="118">
        <v>452</v>
      </c>
      <c r="B453" s="128">
        <v>4</v>
      </c>
      <c r="C453" s="156">
        <v>39173</v>
      </c>
      <c r="D453" s="157" t="s">
        <v>47</v>
      </c>
      <c r="E453" s="8">
        <v>2007</v>
      </c>
      <c r="F453" s="158">
        <f t="shared" si="113"/>
        <v>212</v>
      </c>
      <c r="G453" s="158">
        <f t="shared" si="114"/>
        <v>1</v>
      </c>
      <c r="H453" s="175">
        <v>38961</v>
      </c>
      <c r="I453" s="160">
        <v>582965</v>
      </c>
      <c r="J453" s="191">
        <v>0.4</v>
      </c>
      <c r="K453" s="191">
        <v>0.9</v>
      </c>
      <c r="L453" s="191">
        <v>0.3</v>
      </c>
      <c r="M453" s="193">
        <v>0</v>
      </c>
      <c r="N453" s="529"/>
      <c r="O453" s="191">
        <v>0</v>
      </c>
      <c r="P453" s="192"/>
      <c r="Q453" s="127">
        <v>8</v>
      </c>
      <c r="R453" s="127">
        <v>25</v>
      </c>
      <c r="S453" s="243"/>
      <c r="T453" s="161">
        <f t="shared" si="118"/>
        <v>524668.5</v>
      </c>
      <c r="U453" s="161">
        <f t="shared" si="115"/>
        <v>174889.5</v>
      </c>
      <c r="V453" s="161">
        <f t="shared" si="116"/>
        <v>0</v>
      </c>
      <c r="W453" s="161">
        <f t="shared" si="117"/>
        <v>0</v>
      </c>
    </row>
    <row r="454" spans="1:23" ht="12.75" customHeight="1">
      <c r="A454" s="118">
        <v>453</v>
      </c>
      <c r="B454" s="128">
        <v>4</v>
      </c>
      <c r="C454" s="156">
        <v>39203</v>
      </c>
      <c r="D454" s="157" t="s">
        <v>48</v>
      </c>
      <c r="E454" s="8">
        <v>2007</v>
      </c>
      <c r="F454" s="158">
        <f t="shared" si="113"/>
        <v>242</v>
      </c>
      <c r="G454" s="158">
        <f t="shared" si="114"/>
        <v>1</v>
      </c>
      <c r="H454" s="175">
        <v>38961</v>
      </c>
      <c r="I454" s="160">
        <v>579647</v>
      </c>
      <c r="J454" s="191">
        <v>0.12</v>
      </c>
      <c r="K454" s="191">
        <v>0.47</v>
      </c>
      <c r="L454" s="191">
        <v>0.23</v>
      </c>
      <c r="M454" s="193">
        <v>0</v>
      </c>
      <c r="N454" s="529"/>
      <c r="O454" s="191">
        <v>0</v>
      </c>
      <c r="P454" s="192"/>
      <c r="Q454" s="127">
        <v>9</v>
      </c>
      <c r="R454" s="127">
        <v>21</v>
      </c>
      <c r="S454" s="243"/>
      <c r="T454" s="161">
        <f t="shared" si="118"/>
        <v>272434.08999999997</v>
      </c>
      <c r="U454" s="161">
        <f t="shared" si="115"/>
        <v>133318.81</v>
      </c>
      <c r="V454" s="161">
        <f t="shared" si="116"/>
        <v>0</v>
      </c>
      <c r="W454" s="161">
        <f t="shared" si="117"/>
        <v>0</v>
      </c>
    </row>
    <row r="455" spans="1:23" ht="12.75" customHeight="1">
      <c r="A455" s="118">
        <v>454</v>
      </c>
      <c r="B455" s="128">
        <v>4</v>
      </c>
      <c r="C455" s="156">
        <v>39234</v>
      </c>
      <c r="D455" s="157" t="s">
        <v>49</v>
      </c>
      <c r="E455" s="8">
        <v>2007</v>
      </c>
      <c r="F455" s="158">
        <f t="shared" si="113"/>
        <v>273</v>
      </c>
      <c r="G455" s="158">
        <f t="shared" si="114"/>
        <v>1</v>
      </c>
      <c r="H455" s="175">
        <v>38961</v>
      </c>
      <c r="I455" s="160">
        <v>577762</v>
      </c>
      <c r="J455" s="191">
        <v>0</v>
      </c>
      <c r="K455" s="191">
        <v>0.1</v>
      </c>
      <c r="L455" s="191">
        <v>0.02</v>
      </c>
      <c r="M455" s="193">
        <v>0</v>
      </c>
      <c r="N455" s="529"/>
      <c r="O455" s="191">
        <v>0</v>
      </c>
      <c r="P455" s="192"/>
      <c r="Q455" s="127">
        <v>11</v>
      </c>
      <c r="R455" s="127">
        <v>17</v>
      </c>
      <c r="S455" s="243"/>
      <c r="T455" s="161">
        <f t="shared" si="118"/>
        <v>57776.200000000004</v>
      </c>
      <c r="U455" s="161">
        <f t="shared" si="115"/>
        <v>11555.24</v>
      </c>
      <c r="V455" s="161">
        <f t="shared" si="116"/>
        <v>0</v>
      </c>
      <c r="W455" s="161">
        <f t="shared" si="117"/>
        <v>0</v>
      </c>
    </row>
    <row r="456" spans="1:23" ht="12.75" customHeight="1">
      <c r="A456" s="118">
        <v>455</v>
      </c>
      <c r="B456" s="128">
        <v>4</v>
      </c>
      <c r="C456" s="156">
        <v>39264</v>
      </c>
      <c r="D456" s="157" t="s">
        <v>50</v>
      </c>
      <c r="E456" s="8">
        <v>2007</v>
      </c>
      <c r="F456" s="158">
        <f t="shared" si="113"/>
        <v>303</v>
      </c>
      <c r="G456" s="158">
        <f t="shared" si="114"/>
        <v>1</v>
      </c>
      <c r="H456" s="175">
        <v>38961</v>
      </c>
      <c r="I456" s="160">
        <v>575618</v>
      </c>
      <c r="J456" s="191">
        <v>0</v>
      </c>
      <c r="K456" s="191">
        <v>0</v>
      </c>
      <c r="L456" s="191">
        <v>0</v>
      </c>
      <c r="M456" s="193">
        <v>0</v>
      </c>
      <c r="N456" s="529"/>
      <c r="O456" s="191">
        <v>0.02</v>
      </c>
      <c r="P456" s="192"/>
      <c r="Q456" s="127">
        <v>12</v>
      </c>
      <c r="R456" s="127">
        <v>15</v>
      </c>
      <c r="S456" s="243"/>
      <c r="T456" s="161">
        <f t="shared" si="118"/>
        <v>0</v>
      </c>
      <c r="U456" s="161">
        <f t="shared" si="115"/>
        <v>0</v>
      </c>
      <c r="V456" s="161">
        <f t="shared" si="116"/>
        <v>11512.36</v>
      </c>
      <c r="W456" s="161">
        <f t="shared" si="117"/>
        <v>4604.9440000000004</v>
      </c>
    </row>
    <row r="457" spans="1:23" ht="12.75" customHeight="1">
      <c r="A457" s="118">
        <v>456</v>
      </c>
      <c r="B457" s="128">
        <v>4</v>
      </c>
      <c r="C457" s="156">
        <v>39295</v>
      </c>
      <c r="D457" s="157" t="s">
        <v>51</v>
      </c>
      <c r="E457" s="8">
        <v>2007</v>
      </c>
      <c r="F457" s="158">
        <f t="shared" si="113"/>
        <v>334</v>
      </c>
      <c r="G457" s="158">
        <f t="shared" si="114"/>
        <v>1</v>
      </c>
      <c r="H457" s="175">
        <v>38961</v>
      </c>
      <c r="I457" s="160">
        <v>574496</v>
      </c>
      <c r="J457" s="191">
        <v>0</v>
      </c>
      <c r="K457" s="191">
        <v>0</v>
      </c>
      <c r="L457" s="191">
        <v>0</v>
      </c>
      <c r="M457" s="193">
        <v>0</v>
      </c>
      <c r="N457" s="529"/>
      <c r="O457" s="191">
        <v>0</v>
      </c>
      <c r="P457" s="192"/>
      <c r="Q457" s="127">
        <v>12</v>
      </c>
      <c r="R457" s="127">
        <v>16</v>
      </c>
      <c r="S457" s="243"/>
      <c r="T457" s="161">
        <f t="shared" si="118"/>
        <v>0</v>
      </c>
      <c r="U457" s="161">
        <f t="shared" si="115"/>
        <v>0</v>
      </c>
      <c r="V457" s="161">
        <f t="shared" si="116"/>
        <v>0</v>
      </c>
      <c r="W457" s="161">
        <f t="shared" si="117"/>
        <v>0</v>
      </c>
    </row>
    <row r="458" spans="1:23" ht="12.75" customHeight="1">
      <c r="A458" s="118">
        <v>457</v>
      </c>
      <c r="B458" s="128">
        <v>4</v>
      </c>
      <c r="C458" s="156">
        <v>39326</v>
      </c>
      <c r="D458" s="157" t="s">
        <v>52</v>
      </c>
      <c r="E458" s="8">
        <v>2007</v>
      </c>
      <c r="F458" s="158">
        <f t="shared" si="113"/>
        <v>365</v>
      </c>
      <c r="G458" s="158">
        <f t="shared" si="114"/>
        <v>2</v>
      </c>
      <c r="H458" s="175">
        <v>38961</v>
      </c>
      <c r="I458" s="160">
        <v>573110</v>
      </c>
      <c r="J458" s="191">
        <v>0</v>
      </c>
      <c r="K458" s="191">
        <v>0</v>
      </c>
      <c r="L458" s="191">
        <v>0</v>
      </c>
      <c r="M458" s="193">
        <v>0</v>
      </c>
      <c r="N458" s="529"/>
      <c r="O458" s="191">
        <v>0</v>
      </c>
      <c r="P458" s="192"/>
      <c r="Q458" s="127">
        <v>11</v>
      </c>
      <c r="R458" s="127">
        <v>21</v>
      </c>
      <c r="S458" s="243"/>
      <c r="T458" s="161">
        <f t="shared" si="118"/>
        <v>0</v>
      </c>
      <c r="U458" s="161">
        <f t="shared" si="115"/>
        <v>0</v>
      </c>
      <c r="V458" s="161">
        <f t="shared" si="116"/>
        <v>0</v>
      </c>
      <c r="W458" s="161">
        <f t="shared" si="117"/>
        <v>0</v>
      </c>
    </row>
    <row r="459" spans="1:23" ht="12.75" customHeight="1">
      <c r="A459" s="118">
        <v>458</v>
      </c>
      <c r="B459" s="128">
        <v>4</v>
      </c>
      <c r="C459" s="156">
        <v>39356</v>
      </c>
      <c r="D459" s="157" t="s">
        <v>53</v>
      </c>
      <c r="E459" s="8">
        <v>2007</v>
      </c>
      <c r="F459" s="158">
        <f t="shared" si="113"/>
        <v>395</v>
      </c>
      <c r="G459" s="158">
        <f t="shared" si="114"/>
        <v>2</v>
      </c>
      <c r="H459" s="175">
        <v>38961</v>
      </c>
      <c r="I459" s="160">
        <v>571713</v>
      </c>
      <c r="J459" s="191">
        <v>0</v>
      </c>
      <c r="K459" s="191">
        <v>0</v>
      </c>
      <c r="L459" s="191">
        <v>0</v>
      </c>
      <c r="M459" s="193">
        <v>0</v>
      </c>
      <c r="N459" s="529"/>
      <c r="O459" s="191">
        <v>0</v>
      </c>
      <c r="P459" s="192"/>
      <c r="Q459" s="127">
        <v>10</v>
      </c>
      <c r="R459" s="127">
        <v>22</v>
      </c>
      <c r="S459" s="243"/>
      <c r="T459" s="161">
        <f t="shared" si="118"/>
        <v>0</v>
      </c>
      <c r="U459" s="161">
        <f t="shared" si="115"/>
        <v>0</v>
      </c>
      <c r="V459" s="161">
        <f t="shared" si="116"/>
        <v>0</v>
      </c>
      <c r="W459" s="161">
        <f t="shared" si="117"/>
        <v>0</v>
      </c>
    </row>
    <row r="460" spans="1:23" ht="12.75" customHeight="1">
      <c r="A460" s="118">
        <v>459</v>
      </c>
      <c r="B460" s="128">
        <v>4</v>
      </c>
      <c r="C460" s="156">
        <v>39387</v>
      </c>
      <c r="D460" s="157" t="s">
        <v>54</v>
      </c>
      <c r="E460" s="8">
        <v>2007</v>
      </c>
      <c r="F460" s="158">
        <f t="shared" si="113"/>
        <v>426</v>
      </c>
      <c r="G460" s="158">
        <f t="shared" si="114"/>
        <v>2</v>
      </c>
      <c r="H460" s="175">
        <v>38961</v>
      </c>
      <c r="I460" s="160">
        <v>570922</v>
      </c>
      <c r="J460" s="191">
        <v>0</v>
      </c>
      <c r="K460" s="191">
        <v>0.05</v>
      </c>
      <c r="L460" s="191">
        <v>0</v>
      </c>
      <c r="M460" s="193">
        <v>0</v>
      </c>
      <c r="N460" s="529"/>
      <c r="O460" s="191">
        <v>0</v>
      </c>
      <c r="P460" s="192"/>
      <c r="Q460" s="127">
        <v>8</v>
      </c>
      <c r="R460" s="127">
        <v>22</v>
      </c>
      <c r="S460" s="243"/>
      <c r="T460" s="161">
        <f t="shared" si="118"/>
        <v>28546.100000000002</v>
      </c>
      <c r="U460" s="161">
        <f t="shared" si="115"/>
        <v>0</v>
      </c>
      <c r="V460" s="161">
        <f t="shared" si="116"/>
        <v>0</v>
      </c>
      <c r="W460" s="161">
        <f t="shared" si="117"/>
        <v>0</v>
      </c>
    </row>
    <row r="461" spans="1:23" ht="12.75" customHeight="1">
      <c r="A461" s="118">
        <v>460</v>
      </c>
      <c r="B461" s="128">
        <v>4</v>
      </c>
      <c r="C461" s="156">
        <v>39417</v>
      </c>
      <c r="D461" s="157" t="s">
        <v>55</v>
      </c>
      <c r="E461" s="8">
        <v>2007</v>
      </c>
      <c r="F461" s="158">
        <f t="shared" si="113"/>
        <v>456</v>
      </c>
      <c r="G461" s="158">
        <f t="shared" si="114"/>
        <v>2</v>
      </c>
      <c r="H461" s="175">
        <v>38961</v>
      </c>
      <c r="I461" s="160">
        <v>570028</v>
      </c>
      <c r="J461" s="191">
        <v>0</v>
      </c>
      <c r="K461" s="191">
        <v>0.05</v>
      </c>
      <c r="L461" s="191">
        <v>0</v>
      </c>
      <c r="M461" s="193">
        <v>0</v>
      </c>
      <c r="N461" s="529"/>
      <c r="O461" s="191">
        <v>0</v>
      </c>
      <c r="P461" s="192"/>
      <c r="Q461" s="127">
        <v>7</v>
      </c>
      <c r="R461" s="127">
        <v>26</v>
      </c>
      <c r="S461" s="243"/>
      <c r="T461" s="161">
        <f t="shared" si="118"/>
        <v>28501.4</v>
      </c>
      <c r="U461" s="161">
        <f t="shared" si="115"/>
        <v>0</v>
      </c>
      <c r="V461" s="161">
        <f t="shared" si="116"/>
        <v>0</v>
      </c>
      <c r="W461" s="161">
        <f t="shared" si="117"/>
        <v>0</v>
      </c>
    </row>
    <row r="462" spans="1:23" ht="12.75" customHeight="1">
      <c r="A462" s="118">
        <v>461</v>
      </c>
      <c r="B462" s="128">
        <v>4</v>
      </c>
      <c r="C462" s="156">
        <v>39448</v>
      </c>
      <c r="D462" s="157" t="s">
        <v>44</v>
      </c>
      <c r="E462" s="127">
        <v>2008</v>
      </c>
      <c r="F462" s="158">
        <f t="shared" si="113"/>
        <v>487</v>
      </c>
      <c r="G462" s="158">
        <f t="shared" si="114"/>
        <v>2</v>
      </c>
      <c r="H462" s="175">
        <v>38961</v>
      </c>
      <c r="I462" s="168">
        <v>569904</v>
      </c>
      <c r="J462" s="164">
        <v>0</v>
      </c>
      <c r="K462" s="164">
        <v>7.0000000000000007E-2</v>
      </c>
      <c r="L462" s="164">
        <v>0</v>
      </c>
      <c r="M462" s="193">
        <v>0</v>
      </c>
      <c r="N462" s="529"/>
      <c r="O462" s="164">
        <v>0.4</v>
      </c>
      <c r="P462" s="192"/>
      <c r="Q462" s="193"/>
      <c r="R462" s="193"/>
      <c r="S462" s="243"/>
      <c r="T462" s="161">
        <f t="shared" si="118"/>
        <v>39893.280000000006</v>
      </c>
      <c r="U462" s="161">
        <f t="shared" si="115"/>
        <v>0</v>
      </c>
      <c r="V462" s="161">
        <f t="shared" si="116"/>
        <v>227961.60000000001</v>
      </c>
      <c r="W462" s="161">
        <f t="shared" si="117"/>
        <v>91184.640000000014</v>
      </c>
    </row>
    <row r="463" spans="1:23" ht="12.75" customHeight="1">
      <c r="A463" s="118">
        <v>462</v>
      </c>
      <c r="B463" s="128">
        <v>4</v>
      </c>
      <c r="C463" s="156">
        <v>39479</v>
      </c>
      <c r="D463" s="157" t="s">
        <v>45</v>
      </c>
      <c r="E463" s="127">
        <v>2008</v>
      </c>
      <c r="F463" s="158">
        <f t="shared" si="113"/>
        <v>518</v>
      </c>
      <c r="G463" s="158">
        <f t="shared" si="114"/>
        <v>2</v>
      </c>
      <c r="H463" s="175">
        <v>38961</v>
      </c>
      <c r="I463" s="168">
        <v>569450</v>
      </c>
      <c r="J463" s="164">
        <v>0</v>
      </c>
      <c r="K463" s="164">
        <v>0.36666660000000001</v>
      </c>
      <c r="L463" s="164">
        <v>0.1</v>
      </c>
      <c r="M463" s="193">
        <v>0</v>
      </c>
      <c r="N463" s="529"/>
      <c r="O463" s="164">
        <v>0.1166666</v>
      </c>
      <c r="P463" s="192"/>
      <c r="Q463" s="193"/>
      <c r="R463" s="193"/>
      <c r="S463" s="243"/>
      <c r="T463" s="161">
        <f t="shared" si="118"/>
        <v>208798.29537000001</v>
      </c>
      <c r="U463" s="161">
        <f t="shared" si="115"/>
        <v>56945</v>
      </c>
      <c r="V463" s="161">
        <f t="shared" si="116"/>
        <v>66435.795369999993</v>
      </c>
      <c r="W463" s="161">
        <f t="shared" si="117"/>
        <v>26574.318147999998</v>
      </c>
    </row>
    <row r="464" spans="1:23" ht="12.75" customHeight="1">
      <c r="A464" s="118">
        <v>463</v>
      </c>
      <c r="B464" s="128">
        <v>4</v>
      </c>
      <c r="C464" s="156">
        <v>39508</v>
      </c>
      <c r="D464" s="157" t="s">
        <v>46</v>
      </c>
      <c r="E464" s="127">
        <v>2008</v>
      </c>
      <c r="F464" s="158">
        <f t="shared" si="113"/>
        <v>547</v>
      </c>
      <c r="G464" s="158">
        <f t="shared" si="114"/>
        <v>2</v>
      </c>
      <c r="H464" s="175">
        <v>38961</v>
      </c>
      <c r="I464" s="168">
        <v>526869</v>
      </c>
      <c r="J464" s="164">
        <v>0.02</v>
      </c>
      <c r="K464" s="164">
        <v>0.52</v>
      </c>
      <c r="L464" s="164">
        <v>0.2</v>
      </c>
      <c r="M464" s="193">
        <v>0</v>
      </c>
      <c r="N464" s="529"/>
      <c r="O464" s="164">
        <v>0.15</v>
      </c>
      <c r="P464" s="192"/>
      <c r="Q464" s="193"/>
      <c r="R464" s="193"/>
      <c r="S464" s="243"/>
      <c r="T464" s="161">
        <f t="shared" si="118"/>
        <v>273971.88</v>
      </c>
      <c r="U464" s="161">
        <f t="shared" si="115"/>
        <v>105373.8</v>
      </c>
      <c r="V464" s="161">
        <f t="shared" si="116"/>
        <v>79030.349999999991</v>
      </c>
      <c r="W464" s="161">
        <f t="shared" si="117"/>
        <v>31612.14</v>
      </c>
    </row>
    <row r="465" spans="1:23" ht="12.75" customHeight="1">
      <c r="A465" s="118">
        <v>464</v>
      </c>
      <c r="B465" s="128">
        <v>4</v>
      </c>
      <c r="C465" s="156">
        <v>39539</v>
      </c>
      <c r="D465" s="157" t="s">
        <v>47</v>
      </c>
      <c r="E465" s="127">
        <v>2008</v>
      </c>
      <c r="F465" s="158">
        <f t="shared" si="113"/>
        <v>578</v>
      </c>
      <c r="G465" s="158">
        <f t="shared" si="114"/>
        <v>2</v>
      </c>
      <c r="H465" s="175">
        <v>38961</v>
      </c>
      <c r="I465" s="168">
        <v>412573</v>
      </c>
      <c r="J465" s="164">
        <v>0.42</v>
      </c>
      <c r="K465" s="164">
        <v>0.22</v>
      </c>
      <c r="L465" s="164">
        <v>0.08</v>
      </c>
      <c r="M465" s="193"/>
      <c r="N465" s="529"/>
      <c r="O465" s="164">
        <v>0</v>
      </c>
      <c r="P465" s="192"/>
      <c r="Q465" s="193"/>
      <c r="R465" s="193"/>
      <c r="S465" s="243"/>
      <c r="T465" s="161">
        <f t="shared" si="118"/>
        <v>90766.06</v>
      </c>
      <c r="U465" s="161">
        <f t="shared" si="115"/>
        <v>33005.840000000004</v>
      </c>
      <c r="V465" s="161">
        <f t="shared" si="116"/>
        <v>0</v>
      </c>
      <c r="W465" s="161">
        <f t="shared" si="117"/>
        <v>0</v>
      </c>
    </row>
    <row r="466" spans="1:23" ht="12.75" customHeight="1">
      <c r="A466" s="118">
        <v>465</v>
      </c>
      <c r="B466" s="128">
        <v>4</v>
      </c>
      <c r="C466" s="156">
        <v>39569</v>
      </c>
      <c r="D466" s="157" t="s">
        <v>48</v>
      </c>
      <c r="E466" s="127">
        <v>2008</v>
      </c>
      <c r="F466" s="158">
        <f t="shared" si="113"/>
        <v>608</v>
      </c>
      <c r="G466" s="158">
        <f t="shared" si="114"/>
        <v>2</v>
      </c>
      <c r="H466" s="175">
        <v>38961</v>
      </c>
      <c r="I466" s="160">
        <v>193094</v>
      </c>
      <c r="J466" s="191"/>
      <c r="K466" s="191"/>
      <c r="L466" s="195">
        <v>0.08</v>
      </c>
      <c r="M466" s="193"/>
      <c r="N466" s="529" t="s">
        <v>795</v>
      </c>
      <c r="O466" s="195">
        <v>0</v>
      </c>
      <c r="P466" s="192"/>
      <c r="Q466" s="193"/>
      <c r="R466" s="193"/>
      <c r="S466" s="243" t="s">
        <v>7</v>
      </c>
      <c r="T466" s="161"/>
      <c r="U466" s="161">
        <f t="shared" si="115"/>
        <v>15447.52</v>
      </c>
      <c r="V466" s="161">
        <f t="shared" si="116"/>
        <v>0</v>
      </c>
      <c r="W466" s="161">
        <f t="shared" si="117"/>
        <v>0</v>
      </c>
    </row>
    <row r="467" spans="1:23" ht="12.75" customHeight="1">
      <c r="A467" s="118">
        <v>466</v>
      </c>
      <c r="B467" s="128">
        <v>4</v>
      </c>
      <c r="C467" s="156">
        <v>39600</v>
      </c>
      <c r="D467" s="157" t="s">
        <v>49</v>
      </c>
      <c r="E467" s="127">
        <v>2008</v>
      </c>
      <c r="F467" s="127"/>
      <c r="G467" s="127"/>
      <c r="H467" s="175"/>
      <c r="I467" s="160"/>
      <c r="J467" s="191"/>
      <c r="K467" s="191"/>
      <c r="L467" s="191"/>
      <c r="M467" s="193"/>
      <c r="N467" s="529"/>
      <c r="O467" s="191"/>
      <c r="P467" s="192"/>
      <c r="Q467" s="193"/>
      <c r="R467" s="193"/>
      <c r="S467" s="243"/>
      <c r="T467" s="128"/>
      <c r="U467" s="127"/>
      <c r="V467" s="127"/>
      <c r="W467" s="127"/>
    </row>
    <row r="468" spans="1:23" ht="12.75" customHeight="1">
      <c r="A468" s="118">
        <v>467</v>
      </c>
      <c r="B468" s="128">
        <v>4</v>
      </c>
      <c r="C468" s="156">
        <v>39630</v>
      </c>
      <c r="D468" s="176" t="s">
        <v>50</v>
      </c>
      <c r="E468" s="127">
        <v>2008</v>
      </c>
      <c r="F468" s="127"/>
      <c r="G468" s="127"/>
      <c r="H468" s="175"/>
      <c r="I468" s="160"/>
      <c r="J468" s="191"/>
      <c r="K468" s="191"/>
      <c r="L468" s="191"/>
      <c r="M468" s="193"/>
      <c r="N468" s="529"/>
      <c r="O468" s="191"/>
      <c r="P468" s="127"/>
      <c r="Q468" s="193"/>
      <c r="R468" s="193"/>
      <c r="S468" s="243"/>
      <c r="T468" s="128"/>
      <c r="U468" s="128"/>
      <c r="V468" s="127"/>
      <c r="W468" s="127"/>
    </row>
    <row r="469" spans="1:23" ht="12.75" customHeight="1">
      <c r="A469" s="118">
        <v>468</v>
      </c>
      <c r="B469" s="128">
        <v>4</v>
      </c>
      <c r="C469" s="156">
        <v>39661</v>
      </c>
      <c r="D469" s="176" t="s">
        <v>51</v>
      </c>
      <c r="E469" s="127">
        <v>2008</v>
      </c>
      <c r="F469" s="127"/>
      <c r="G469" s="127"/>
      <c r="H469" s="175"/>
      <c r="I469" s="160"/>
      <c r="J469" s="191"/>
      <c r="K469" s="191"/>
      <c r="L469" s="191"/>
      <c r="M469" s="193"/>
      <c r="N469" s="529"/>
      <c r="O469" s="191"/>
      <c r="P469" s="127"/>
      <c r="Q469" s="193"/>
      <c r="R469" s="193"/>
      <c r="S469" s="243"/>
      <c r="T469" s="128"/>
      <c r="U469" s="128"/>
      <c r="V469" s="127"/>
      <c r="W469" s="127"/>
    </row>
    <row r="470" spans="1:23" ht="12.75" customHeight="1">
      <c r="A470" s="118">
        <v>469</v>
      </c>
      <c r="B470" s="128">
        <v>4</v>
      </c>
      <c r="C470" s="156">
        <v>39692</v>
      </c>
      <c r="D470" s="176" t="s">
        <v>52</v>
      </c>
      <c r="E470" s="127">
        <v>2008</v>
      </c>
      <c r="F470" s="127"/>
      <c r="G470" s="127"/>
      <c r="H470" s="175"/>
      <c r="I470" s="160"/>
      <c r="J470" s="191"/>
      <c r="K470" s="191"/>
      <c r="L470" s="191"/>
      <c r="M470" s="193"/>
      <c r="N470" s="529"/>
      <c r="O470" s="191"/>
      <c r="P470" s="127"/>
      <c r="Q470" s="193"/>
      <c r="R470" s="193"/>
      <c r="S470" s="243"/>
      <c r="T470" s="128"/>
      <c r="U470" s="128"/>
      <c r="V470" s="127"/>
      <c r="W470" s="127"/>
    </row>
    <row r="471" spans="1:23" ht="12.75" customHeight="1">
      <c r="A471" s="118">
        <v>470</v>
      </c>
      <c r="B471" s="128">
        <v>4</v>
      </c>
      <c r="C471" s="156">
        <v>39722</v>
      </c>
      <c r="D471" s="176" t="s">
        <v>53</v>
      </c>
      <c r="E471" s="127">
        <v>2008</v>
      </c>
      <c r="F471" s="127"/>
      <c r="G471" s="127"/>
      <c r="H471" s="175"/>
      <c r="I471" s="160"/>
      <c r="J471" s="191"/>
      <c r="K471" s="191"/>
      <c r="L471" s="191"/>
      <c r="M471" s="193"/>
      <c r="N471" s="529"/>
      <c r="O471" s="191"/>
      <c r="P471" s="127"/>
      <c r="Q471" s="193"/>
      <c r="R471" s="193"/>
      <c r="S471" s="243"/>
      <c r="T471" s="128"/>
      <c r="U471" s="128"/>
      <c r="V471" s="127"/>
      <c r="W471" s="127"/>
    </row>
    <row r="472" spans="1:23" ht="12.75" customHeight="1">
      <c r="A472" s="118">
        <v>471</v>
      </c>
      <c r="B472" s="128">
        <v>4</v>
      </c>
      <c r="C472" s="156">
        <v>39753</v>
      </c>
      <c r="D472" s="176" t="s">
        <v>54</v>
      </c>
      <c r="E472" s="127">
        <v>2008</v>
      </c>
      <c r="F472" s="127"/>
      <c r="G472" s="127"/>
      <c r="H472" s="175"/>
      <c r="I472" s="160"/>
      <c r="J472" s="191"/>
      <c r="K472" s="191"/>
      <c r="L472" s="191"/>
      <c r="M472" s="193"/>
      <c r="N472" s="529"/>
      <c r="O472" s="191"/>
      <c r="P472" s="127"/>
      <c r="Q472" s="193"/>
      <c r="R472" s="193"/>
      <c r="S472" s="243"/>
      <c r="T472" s="128"/>
      <c r="U472" s="128"/>
      <c r="V472" s="127"/>
      <c r="W472" s="127"/>
    </row>
    <row r="473" spans="1:23" ht="12.75" customHeight="1">
      <c r="A473" s="118">
        <v>472</v>
      </c>
      <c r="B473" s="128">
        <v>4</v>
      </c>
      <c r="C473" s="156">
        <v>39783</v>
      </c>
      <c r="D473" s="176" t="s">
        <v>55</v>
      </c>
      <c r="E473" s="127">
        <v>2008</v>
      </c>
      <c r="F473" s="158">
        <f t="shared" ref="F473:F480" si="119">C473-H473</f>
        <v>0</v>
      </c>
      <c r="G473" s="158">
        <f t="shared" ref="G473:G480" si="120">IF(F473&lt;365,1,2)</f>
        <v>1</v>
      </c>
      <c r="H473" s="172">
        <v>39783</v>
      </c>
      <c r="I473" s="160">
        <v>233000</v>
      </c>
      <c r="J473" s="191"/>
      <c r="K473" s="191"/>
      <c r="L473" s="177">
        <v>0</v>
      </c>
      <c r="M473" s="193"/>
      <c r="N473" s="529" t="s">
        <v>794</v>
      </c>
      <c r="O473" s="177">
        <v>0</v>
      </c>
      <c r="P473" s="127"/>
      <c r="Q473" s="193"/>
      <c r="R473" s="193"/>
      <c r="S473" s="243" t="s">
        <v>11</v>
      </c>
      <c r="T473" s="128"/>
      <c r="U473" s="161">
        <f t="shared" ref="U473:U479" si="121">$I473*L473</f>
        <v>0</v>
      </c>
      <c r="V473" s="161">
        <f t="shared" ref="V473:V479" si="122">$I473*O473</f>
        <v>0</v>
      </c>
      <c r="W473" s="161">
        <f t="shared" ref="W473:W479" si="123">V473*0.4</f>
        <v>0</v>
      </c>
    </row>
    <row r="474" spans="1:23" ht="12.75" customHeight="1">
      <c r="A474" s="118">
        <v>473</v>
      </c>
      <c r="B474" s="128">
        <v>4</v>
      </c>
      <c r="C474" s="156">
        <v>39814</v>
      </c>
      <c r="D474" s="157" t="s">
        <v>44</v>
      </c>
      <c r="E474" s="127">
        <v>2009</v>
      </c>
      <c r="F474" s="158">
        <f t="shared" si="119"/>
        <v>31</v>
      </c>
      <c r="G474" s="158">
        <f t="shared" si="120"/>
        <v>1</v>
      </c>
      <c r="H474" s="178">
        <v>39783</v>
      </c>
      <c r="I474" s="125">
        <v>278640</v>
      </c>
      <c r="J474" s="164">
        <v>2.25</v>
      </c>
      <c r="K474" s="164">
        <v>0.65</v>
      </c>
      <c r="L474" s="164">
        <v>0.22</v>
      </c>
      <c r="M474" s="193"/>
      <c r="N474" s="529"/>
      <c r="O474" s="164">
        <v>7.0000000000000007E-2</v>
      </c>
      <c r="P474" s="118"/>
      <c r="Q474" s="118"/>
      <c r="R474" s="118"/>
      <c r="S474" s="221"/>
      <c r="T474" s="161">
        <f t="shared" ref="T474:T479" si="124">$I474*K474</f>
        <v>181116</v>
      </c>
      <c r="U474" s="161">
        <f t="shared" si="121"/>
        <v>61300.800000000003</v>
      </c>
      <c r="V474" s="161">
        <f t="shared" si="122"/>
        <v>19504.800000000003</v>
      </c>
      <c r="W474" s="161">
        <f t="shared" si="123"/>
        <v>7801.9200000000019</v>
      </c>
    </row>
    <row r="475" spans="1:23" ht="12.75" customHeight="1">
      <c r="A475" s="118">
        <v>474</v>
      </c>
      <c r="B475" s="128">
        <v>4</v>
      </c>
      <c r="C475" s="156">
        <v>39845</v>
      </c>
      <c r="D475" s="157" t="s">
        <v>45</v>
      </c>
      <c r="E475" s="127">
        <v>2009</v>
      </c>
      <c r="F475" s="158">
        <f t="shared" si="119"/>
        <v>62</v>
      </c>
      <c r="G475" s="158">
        <f t="shared" si="120"/>
        <v>1</v>
      </c>
      <c r="H475" s="178">
        <v>39783</v>
      </c>
      <c r="I475" s="125">
        <v>277936</v>
      </c>
      <c r="J475" s="164">
        <v>1.0166666</v>
      </c>
      <c r="K475" s="164">
        <v>1.0833333000000001</v>
      </c>
      <c r="L475" s="164">
        <v>0.4166666</v>
      </c>
      <c r="M475" s="193">
        <v>2</v>
      </c>
      <c r="N475" s="529"/>
      <c r="O475" s="164">
        <v>0.23333329999999999</v>
      </c>
      <c r="P475" s="118">
        <v>1</v>
      </c>
      <c r="Q475" s="118"/>
      <c r="R475" s="118"/>
      <c r="S475" s="221"/>
      <c r="T475" s="161">
        <f t="shared" si="124"/>
        <v>301097.32406880002</v>
      </c>
      <c r="U475" s="161">
        <f t="shared" si="121"/>
        <v>115806.6481376</v>
      </c>
      <c r="V475" s="161">
        <f t="shared" si="122"/>
        <v>64851.724068799995</v>
      </c>
      <c r="W475" s="161">
        <f t="shared" si="123"/>
        <v>25940.689627519998</v>
      </c>
    </row>
    <row r="476" spans="1:23" ht="12.75" customHeight="1">
      <c r="A476" s="118">
        <v>475</v>
      </c>
      <c r="B476" s="128">
        <v>4</v>
      </c>
      <c r="C476" s="156">
        <v>39873</v>
      </c>
      <c r="D476" s="157" t="s">
        <v>46</v>
      </c>
      <c r="E476" s="127">
        <v>2009</v>
      </c>
      <c r="F476" s="158">
        <f t="shared" si="119"/>
        <v>90</v>
      </c>
      <c r="G476" s="158">
        <f t="shared" si="120"/>
        <v>1</v>
      </c>
      <c r="H476" s="178">
        <v>39783</v>
      </c>
      <c r="I476" s="125">
        <v>277303</v>
      </c>
      <c r="J476" s="164">
        <v>0.08</v>
      </c>
      <c r="K476" s="164">
        <v>0.62</v>
      </c>
      <c r="L476" s="164">
        <v>0.2</v>
      </c>
      <c r="M476" s="193">
        <v>0</v>
      </c>
      <c r="N476" s="529"/>
      <c r="O476" s="164">
        <v>0.03</v>
      </c>
      <c r="P476" s="118"/>
      <c r="Q476" s="118"/>
      <c r="R476" s="118"/>
      <c r="S476" s="221"/>
      <c r="T476" s="161">
        <f t="shared" si="124"/>
        <v>171927.86</v>
      </c>
      <c r="U476" s="161">
        <f t="shared" si="121"/>
        <v>55460.600000000006</v>
      </c>
      <c r="V476" s="161">
        <f t="shared" si="122"/>
        <v>8319.09</v>
      </c>
      <c r="W476" s="161">
        <f t="shared" si="123"/>
        <v>3327.6360000000004</v>
      </c>
    </row>
    <row r="477" spans="1:23" ht="12.75" customHeight="1">
      <c r="A477" s="118">
        <v>476</v>
      </c>
      <c r="B477" s="128">
        <v>4</v>
      </c>
      <c r="C477" s="156">
        <v>39904</v>
      </c>
      <c r="D477" s="157" t="s">
        <v>47</v>
      </c>
      <c r="E477" s="127">
        <v>2009</v>
      </c>
      <c r="F477" s="158">
        <f t="shared" si="119"/>
        <v>121</v>
      </c>
      <c r="G477" s="158">
        <f t="shared" si="120"/>
        <v>1</v>
      </c>
      <c r="H477" s="178">
        <v>39783</v>
      </c>
      <c r="I477" s="125">
        <v>276778</v>
      </c>
      <c r="J477" s="164">
        <v>0.02</v>
      </c>
      <c r="K477" s="164">
        <v>0.05</v>
      </c>
      <c r="L477" s="164">
        <v>0.02</v>
      </c>
      <c r="M477" s="193">
        <v>0</v>
      </c>
      <c r="N477" s="529"/>
      <c r="O477" s="164">
        <v>0</v>
      </c>
      <c r="P477" s="118"/>
      <c r="Q477" s="118"/>
      <c r="R477" s="118"/>
      <c r="S477" s="221"/>
      <c r="T477" s="161">
        <f t="shared" si="124"/>
        <v>13838.900000000001</v>
      </c>
      <c r="U477" s="161">
        <f t="shared" si="121"/>
        <v>5535.56</v>
      </c>
      <c r="V477" s="161">
        <f t="shared" si="122"/>
        <v>0</v>
      </c>
      <c r="W477" s="161">
        <f t="shared" si="123"/>
        <v>0</v>
      </c>
    </row>
    <row r="478" spans="1:23" s="127" customFormat="1" ht="12.75" customHeight="1">
      <c r="A478" s="118">
        <v>477</v>
      </c>
      <c r="B478" s="128">
        <v>4</v>
      </c>
      <c r="C478" s="156">
        <v>39934</v>
      </c>
      <c r="D478" s="157" t="s">
        <v>48</v>
      </c>
      <c r="E478" s="127">
        <v>2009</v>
      </c>
      <c r="F478" s="158">
        <f t="shared" si="119"/>
        <v>151</v>
      </c>
      <c r="G478" s="158">
        <f t="shared" si="120"/>
        <v>1</v>
      </c>
      <c r="H478" s="178">
        <v>39783</v>
      </c>
      <c r="I478" s="125">
        <v>276316</v>
      </c>
      <c r="J478" s="164">
        <v>1.66666E-2</v>
      </c>
      <c r="K478" s="164">
        <v>0</v>
      </c>
      <c r="L478" s="164">
        <v>0</v>
      </c>
      <c r="M478" s="193">
        <v>0</v>
      </c>
      <c r="N478" s="529"/>
      <c r="O478" s="164">
        <v>0</v>
      </c>
      <c r="P478" s="118"/>
      <c r="Q478" s="118"/>
      <c r="R478" s="118"/>
      <c r="S478" s="221"/>
      <c r="T478" s="161">
        <f t="shared" si="124"/>
        <v>0</v>
      </c>
      <c r="U478" s="161">
        <f t="shared" si="121"/>
        <v>0</v>
      </c>
      <c r="V478" s="161">
        <f t="shared" si="122"/>
        <v>0</v>
      </c>
      <c r="W478" s="161">
        <f t="shared" si="123"/>
        <v>0</v>
      </c>
    </row>
    <row r="479" spans="1:23" s="127" customFormat="1" ht="12.75" customHeight="1">
      <c r="A479" s="118">
        <v>478</v>
      </c>
      <c r="B479" s="128">
        <v>4</v>
      </c>
      <c r="C479" s="156">
        <v>39965</v>
      </c>
      <c r="D479" s="157" t="s">
        <v>49</v>
      </c>
      <c r="E479" s="127">
        <v>2009</v>
      </c>
      <c r="F479" s="158">
        <f t="shared" si="119"/>
        <v>182</v>
      </c>
      <c r="G479" s="158">
        <f t="shared" si="120"/>
        <v>1</v>
      </c>
      <c r="H479" s="178">
        <v>39783</v>
      </c>
      <c r="I479" s="125">
        <v>165426</v>
      </c>
      <c r="J479" s="164">
        <v>0</v>
      </c>
      <c r="K479" s="164">
        <v>0.02</v>
      </c>
      <c r="L479" s="164">
        <v>0.02</v>
      </c>
      <c r="M479" s="193">
        <v>0</v>
      </c>
      <c r="N479" s="529"/>
      <c r="O479" s="164">
        <v>0.02</v>
      </c>
      <c r="P479" s="118"/>
      <c r="Q479" s="118"/>
      <c r="R479" s="118"/>
      <c r="S479" s="221"/>
      <c r="T479" s="161">
        <f t="shared" si="124"/>
        <v>3308.52</v>
      </c>
      <c r="U479" s="161">
        <f t="shared" si="121"/>
        <v>3308.52</v>
      </c>
      <c r="V479" s="161">
        <f t="shared" si="122"/>
        <v>3308.52</v>
      </c>
      <c r="W479" s="161">
        <f t="shared" si="123"/>
        <v>1323.4080000000001</v>
      </c>
    </row>
    <row r="480" spans="1:23" s="127" customFormat="1" ht="12.75" customHeight="1">
      <c r="A480" s="118">
        <v>479</v>
      </c>
      <c r="B480" s="128">
        <v>4</v>
      </c>
      <c r="C480" s="156">
        <v>39995</v>
      </c>
      <c r="D480" s="157" t="s">
        <v>50</v>
      </c>
      <c r="E480" s="127">
        <v>2009</v>
      </c>
      <c r="F480" s="158">
        <f t="shared" si="119"/>
        <v>212</v>
      </c>
      <c r="G480" s="158">
        <f t="shared" si="120"/>
        <v>1</v>
      </c>
      <c r="H480" s="178">
        <v>39783</v>
      </c>
      <c r="I480" s="125">
        <v>93348</v>
      </c>
      <c r="J480" s="164">
        <v>0</v>
      </c>
      <c r="K480" s="164">
        <v>0</v>
      </c>
      <c r="L480" s="164">
        <v>0</v>
      </c>
      <c r="M480" s="193"/>
      <c r="N480" s="529"/>
      <c r="O480" s="164">
        <v>0</v>
      </c>
      <c r="P480" s="118"/>
      <c r="Q480" s="118"/>
      <c r="R480" s="118"/>
      <c r="S480" s="127" t="s">
        <v>408</v>
      </c>
      <c r="T480" s="161">
        <f t="shared" ref="T480" si="125">$I480*K480</f>
        <v>0</v>
      </c>
      <c r="U480" s="161">
        <f t="shared" ref="U480" si="126">$I480*L480</f>
        <v>0</v>
      </c>
      <c r="V480" s="161">
        <f t="shared" ref="V480" si="127">$I480*O480</f>
        <v>0</v>
      </c>
      <c r="W480" s="161">
        <f t="shared" ref="W480" si="128">V480*0.4</f>
        <v>0</v>
      </c>
    </row>
    <row r="481" spans="1:23" s="127" customFormat="1" ht="12.75" customHeight="1">
      <c r="A481" s="118">
        <v>480</v>
      </c>
      <c r="B481" s="128">
        <v>4</v>
      </c>
      <c r="C481" s="156">
        <v>40026</v>
      </c>
      <c r="D481" s="157" t="s">
        <v>51</v>
      </c>
      <c r="E481" s="127">
        <v>2009</v>
      </c>
      <c r="F481" s="158"/>
      <c r="G481" s="158"/>
      <c r="H481" s="178"/>
      <c r="I481" s="125"/>
      <c r="J481" s="164"/>
      <c r="K481" s="164"/>
      <c r="L481" s="164"/>
      <c r="M481" s="193"/>
      <c r="N481" s="529"/>
      <c r="O481" s="164"/>
      <c r="P481" s="118"/>
      <c r="Q481" s="118"/>
      <c r="R481" s="118"/>
      <c r="S481" s="2"/>
      <c r="T481" s="161"/>
      <c r="U481" s="161"/>
      <c r="V481" s="161"/>
      <c r="W481" s="161"/>
    </row>
    <row r="482" spans="1:23" s="127" customFormat="1" ht="12.75" customHeight="1">
      <c r="A482" s="118">
        <v>481</v>
      </c>
      <c r="B482" s="128">
        <v>4</v>
      </c>
      <c r="C482" s="156">
        <v>40057</v>
      </c>
      <c r="D482" s="157" t="s">
        <v>52</v>
      </c>
      <c r="E482" s="127">
        <v>2009</v>
      </c>
      <c r="F482" s="158"/>
      <c r="G482" s="158"/>
      <c r="H482" s="178"/>
      <c r="I482" s="125"/>
      <c r="J482" s="164"/>
      <c r="K482" s="164"/>
      <c r="L482" s="164"/>
      <c r="M482" s="193"/>
      <c r="N482" s="529"/>
      <c r="O482" s="164"/>
      <c r="P482" s="118"/>
      <c r="Q482" s="118"/>
      <c r="R482" s="118"/>
      <c r="S482" s="2"/>
      <c r="T482" s="161"/>
      <c r="U482" s="161"/>
      <c r="V482" s="161"/>
      <c r="W482" s="161"/>
    </row>
    <row r="483" spans="1:23" s="127" customFormat="1" ht="12.75" customHeight="1">
      <c r="A483" s="118">
        <v>482</v>
      </c>
      <c r="B483" s="128">
        <v>4</v>
      </c>
      <c r="C483" s="156">
        <v>40087</v>
      </c>
      <c r="D483" s="157" t="s">
        <v>53</v>
      </c>
      <c r="E483" s="127">
        <v>2009</v>
      </c>
      <c r="F483" s="158"/>
      <c r="G483" s="158"/>
      <c r="H483" s="178"/>
      <c r="I483" s="125"/>
      <c r="J483" s="164"/>
      <c r="K483" s="164"/>
      <c r="L483" s="164"/>
      <c r="M483" s="193"/>
      <c r="N483" s="529"/>
      <c r="O483" s="164"/>
      <c r="P483" s="118"/>
      <c r="Q483" s="118"/>
      <c r="R483" s="118"/>
      <c r="S483" s="2"/>
      <c r="T483" s="161"/>
      <c r="U483" s="161"/>
      <c r="V483" s="161"/>
      <c r="W483" s="161"/>
    </row>
    <row r="484" spans="1:23" s="127" customFormat="1" ht="12.75" customHeight="1">
      <c r="A484" s="118">
        <v>483</v>
      </c>
      <c r="B484" s="128">
        <v>4</v>
      </c>
      <c r="C484" s="156">
        <v>40118</v>
      </c>
      <c r="D484" s="157" t="s">
        <v>54</v>
      </c>
      <c r="E484" s="127">
        <v>2009</v>
      </c>
      <c r="F484" s="158"/>
      <c r="G484" s="158"/>
      <c r="H484" s="178"/>
      <c r="I484" s="125"/>
      <c r="J484" s="164"/>
      <c r="K484" s="164"/>
      <c r="L484" s="164"/>
      <c r="M484" s="193"/>
      <c r="N484" s="529"/>
      <c r="O484" s="164"/>
      <c r="P484" s="118"/>
      <c r="Q484" s="118"/>
      <c r="R484" s="118"/>
      <c r="S484" s="2"/>
      <c r="T484" s="161"/>
      <c r="U484" s="161"/>
      <c r="V484" s="161"/>
      <c r="W484" s="161"/>
    </row>
    <row r="485" spans="1:23" s="127" customFormat="1" ht="12.75" customHeight="1">
      <c r="A485" s="118">
        <v>484</v>
      </c>
      <c r="B485" s="128">
        <v>4</v>
      </c>
      <c r="C485" s="156">
        <v>40148</v>
      </c>
      <c r="D485" s="157" t="s">
        <v>55</v>
      </c>
      <c r="E485" s="127">
        <v>2009</v>
      </c>
      <c r="F485" s="158">
        <f t="shared" ref="F485" si="129">C485-H485</f>
        <v>0</v>
      </c>
      <c r="G485" s="158">
        <f t="shared" ref="G485" si="130">IF(F485&lt;365,1,2)</f>
        <v>1</v>
      </c>
      <c r="H485" s="178">
        <v>40148</v>
      </c>
      <c r="I485" s="125">
        <v>118020</v>
      </c>
      <c r="J485" s="164"/>
      <c r="K485" s="164"/>
      <c r="L485" s="177">
        <v>0</v>
      </c>
      <c r="M485" s="193"/>
      <c r="N485" s="529" t="s">
        <v>794</v>
      </c>
      <c r="O485" s="177">
        <v>0</v>
      </c>
      <c r="P485" s="118"/>
      <c r="Q485" s="118"/>
      <c r="R485" s="118"/>
      <c r="S485" s="2" t="s">
        <v>12</v>
      </c>
      <c r="T485" s="161"/>
      <c r="U485" s="161">
        <f t="shared" ref="U485" si="131">$I485*L485</f>
        <v>0</v>
      </c>
      <c r="V485" s="161">
        <f t="shared" ref="V485" si="132">$I485*O485</f>
        <v>0</v>
      </c>
      <c r="W485" s="161">
        <f t="shared" ref="W485" si="133">V485*0.4</f>
        <v>0</v>
      </c>
    </row>
    <row r="486" spans="1:23" s="127" customFormat="1" ht="12.75" customHeight="1">
      <c r="A486" s="118">
        <v>485</v>
      </c>
      <c r="B486" s="128">
        <v>5</v>
      </c>
      <c r="C486" s="181">
        <v>36526</v>
      </c>
      <c r="D486" s="157" t="s">
        <v>44</v>
      </c>
      <c r="E486" s="8">
        <v>2000</v>
      </c>
      <c r="F486" s="196" t="s">
        <v>41</v>
      </c>
      <c r="G486" s="170">
        <v>2</v>
      </c>
      <c r="H486" s="11" t="s">
        <v>9</v>
      </c>
      <c r="I486" s="198">
        <v>20000</v>
      </c>
      <c r="J486" s="128"/>
      <c r="K486" s="128"/>
      <c r="L486" s="128"/>
      <c r="M486" s="174"/>
      <c r="N486" s="528"/>
      <c r="O486" s="128"/>
      <c r="P486" s="170"/>
      <c r="Q486" s="128"/>
      <c r="R486" s="128"/>
      <c r="S486" s="180"/>
      <c r="T486" s="128"/>
      <c r="U486" s="171"/>
      <c r="V486" s="128"/>
      <c r="W486" s="128"/>
    </row>
    <row r="487" spans="1:23" s="127" customFormat="1" ht="12.75" customHeight="1">
      <c r="A487" s="118">
        <v>486</v>
      </c>
      <c r="B487" s="128">
        <v>5</v>
      </c>
      <c r="C487" s="181">
        <v>36557</v>
      </c>
      <c r="D487" s="157" t="s">
        <v>45</v>
      </c>
      <c r="E487" s="8">
        <v>2000</v>
      </c>
      <c r="F487" s="196" t="s">
        <v>41</v>
      </c>
      <c r="G487" s="170">
        <v>2</v>
      </c>
      <c r="H487" s="11" t="s">
        <v>9</v>
      </c>
      <c r="I487" s="198">
        <v>20000</v>
      </c>
      <c r="J487" s="128"/>
      <c r="K487" s="128"/>
      <c r="L487" s="128"/>
      <c r="M487" s="174"/>
      <c r="N487" s="528"/>
      <c r="O487" s="128"/>
      <c r="P487" s="170"/>
      <c r="Q487" s="128"/>
      <c r="R487" s="128"/>
      <c r="S487" s="180"/>
      <c r="T487" s="128"/>
      <c r="U487" s="171"/>
      <c r="V487" s="128"/>
      <c r="W487" s="128"/>
    </row>
    <row r="488" spans="1:23" s="127" customFormat="1" ht="12.75" customHeight="1">
      <c r="A488" s="118">
        <v>487</v>
      </c>
      <c r="B488" s="128">
        <v>5</v>
      </c>
      <c r="C488" s="181">
        <v>36586</v>
      </c>
      <c r="D488" s="157" t="s">
        <v>46</v>
      </c>
      <c r="E488" s="8">
        <v>2000</v>
      </c>
      <c r="F488" s="196" t="s">
        <v>41</v>
      </c>
      <c r="G488" s="170">
        <v>2</v>
      </c>
      <c r="H488" s="11" t="s">
        <v>9</v>
      </c>
      <c r="I488" s="198">
        <v>20000</v>
      </c>
      <c r="J488" s="128"/>
      <c r="K488" s="128"/>
      <c r="L488" s="128"/>
      <c r="M488" s="174"/>
      <c r="N488" s="528"/>
      <c r="O488" s="128"/>
      <c r="P488" s="170"/>
      <c r="Q488" s="128"/>
      <c r="R488" s="128"/>
      <c r="S488" s="180"/>
      <c r="T488" s="128"/>
      <c r="U488" s="171"/>
      <c r="V488" s="128"/>
      <c r="W488" s="128"/>
    </row>
    <row r="489" spans="1:23" s="127" customFormat="1" ht="12.75" customHeight="1">
      <c r="A489" s="118">
        <v>488</v>
      </c>
      <c r="B489" s="260">
        <v>5</v>
      </c>
      <c r="C489" s="181">
        <v>36617</v>
      </c>
      <c r="D489" s="157" t="s">
        <v>47</v>
      </c>
      <c r="E489" s="8">
        <v>2000</v>
      </c>
      <c r="F489" s="196" t="s">
        <v>41</v>
      </c>
      <c r="G489" s="170">
        <v>2</v>
      </c>
      <c r="H489" s="11" t="s">
        <v>9</v>
      </c>
      <c r="I489" s="160">
        <v>30053</v>
      </c>
      <c r="J489" s="128"/>
      <c r="K489" s="128"/>
      <c r="L489" s="128"/>
      <c r="M489" s="174"/>
      <c r="N489" s="528"/>
      <c r="O489" s="128"/>
      <c r="P489" s="170"/>
      <c r="Q489" s="128"/>
      <c r="R489" s="128"/>
      <c r="S489" s="180"/>
      <c r="T489" s="128"/>
      <c r="U489" s="171"/>
      <c r="V489" s="128"/>
      <c r="W489" s="128"/>
    </row>
    <row r="490" spans="1:23" s="127" customFormat="1" ht="12.75" customHeight="1">
      <c r="A490" s="118">
        <v>489</v>
      </c>
      <c r="B490" s="260">
        <v>5</v>
      </c>
      <c r="C490" s="181">
        <v>36647</v>
      </c>
      <c r="D490" s="157" t="s">
        <v>48</v>
      </c>
      <c r="E490" s="8">
        <v>2000</v>
      </c>
      <c r="F490" s="196" t="s">
        <v>41</v>
      </c>
      <c r="G490" s="170">
        <v>2</v>
      </c>
      <c r="H490" s="11" t="s">
        <v>9</v>
      </c>
      <c r="I490" s="160">
        <v>18414</v>
      </c>
      <c r="J490" s="128"/>
      <c r="K490" s="128"/>
      <c r="L490" s="128"/>
      <c r="M490" s="174"/>
      <c r="N490" s="528"/>
      <c r="O490" s="128"/>
      <c r="P490" s="170"/>
      <c r="Q490" s="128"/>
      <c r="R490" s="128"/>
      <c r="S490" s="180"/>
      <c r="T490" s="128"/>
      <c r="U490" s="171"/>
      <c r="V490" s="128"/>
      <c r="W490" s="128"/>
    </row>
    <row r="491" spans="1:23" s="127" customFormat="1" ht="12.75" customHeight="1">
      <c r="A491" s="118">
        <v>490</v>
      </c>
      <c r="B491" s="260">
        <v>5</v>
      </c>
      <c r="C491" s="181">
        <v>36678</v>
      </c>
      <c r="D491" s="157" t="s">
        <v>49</v>
      </c>
      <c r="E491" s="8">
        <v>2000</v>
      </c>
      <c r="F491" s="196" t="s">
        <v>41</v>
      </c>
      <c r="G491" s="170">
        <v>2</v>
      </c>
      <c r="H491" s="11" t="s">
        <v>9</v>
      </c>
      <c r="I491" s="160">
        <v>17800</v>
      </c>
      <c r="J491" s="128"/>
      <c r="K491" s="128"/>
      <c r="L491" s="128"/>
      <c r="M491" s="174"/>
      <c r="N491" s="528"/>
      <c r="O491" s="128"/>
      <c r="P491" s="170"/>
      <c r="Q491" s="128"/>
      <c r="R491" s="128"/>
      <c r="S491" s="180"/>
      <c r="T491" s="128"/>
      <c r="U491" s="171"/>
      <c r="V491" s="128"/>
      <c r="W491" s="128"/>
    </row>
    <row r="492" spans="1:23" s="127" customFormat="1" ht="12.75" customHeight="1">
      <c r="A492" s="118">
        <v>491</v>
      </c>
      <c r="B492" s="260">
        <v>5</v>
      </c>
      <c r="C492" s="181">
        <v>36708</v>
      </c>
      <c r="D492" s="157" t="s">
        <v>50</v>
      </c>
      <c r="E492" s="8">
        <v>2000</v>
      </c>
      <c r="F492" s="196" t="s">
        <v>41</v>
      </c>
      <c r="G492" s="170">
        <v>2</v>
      </c>
      <c r="H492" s="11" t="s">
        <v>9</v>
      </c>
      <c r="I492" s="160">
        <v>17758</v>
      </c>
      <c r="J492" s="128"/>
      <c r="K492" s="128"/>
      <c r="L492" s="128"/>
      <c r="M492" s="174"/>
      <c r="N492" s="528"/>
      <c r="O492" s="128"/>
      <c r="P492" s="170"/>
      <c r="Q492" s="128"/>
      <c r="R492" s="128"/>
      <c r="S492" s="180"/>
      <c r="T492" s="128"/>
      <c r="U492" s="171"/>
      <c r="V492" s="128"/>
      <c r="W492" s="128"/>
    </row>
    <row r="493" spans="1:23" s="127" customFormat="1" ht="12.75" customHeight="1">
      <c r="A493" s="118">
        <v>492</v>
      </c>
      <c r="B493" s="260">
        <v>5</v>
      </c>
      <c r="C493" s="181">
        <v>36739</v>
      </c>
      <c r="D493" s="157" t="s">
        <v>51</v>
      </c>
      <c r="E493" s="8">
        <v>2000</v>
      </c>
      <c r="F493" s="196" t="s">
        <v>41</v>
      </c>
      <c r="G493" s="170">
        <v>2</v>
      </c>
      <c r="H493" s="11" t="s">
        <v>9</v>
      </c>
      <c r="I493" s="160">
        <v>17708</v>
      </c>
      <c r="J493" s="128"/>
      <c r="K493" s="128"/>
      <c r="L493" s="128"/>
      <c r="M493" s="174"/>
      <c r="N493" s="528"/>
      <c r="O493" s="128"/>
      <c r="P493" s="170"/>
      <c r="Q493" s="128"/>
      <c r="R493" s="128"/>
      <c r="S493" s="180"/>
      <c r="T493" s="128"/>
      <c r="U493" s="171"/>
      <c r="V493" s="128"/>
      <c r="W493" s="128"/>
    </row>
    <row r="494" spans="1:23" s="127" customFormat="1" ht="12.75" customHeight="1">
      <c r="A494" s="118">
        <v>493</v>
      </c>
      <c r="B494" s="260">
        <v>5</v>
      </c>
      <c r="C494" s="181">
        <v>36770</v>
      </c>
      <c r="D494" s="157" t="s">
        <v>52</v>
      </c>
      <c r="E494" s="8">
        <v>2000</v>
      </c>
      <c r="F494" s="196" t="s">
        <v>41</v>
      </c>
      <c r="G494" s="170">
        <v>2</v>
      </c>
      <c r="H494" s="11" t="s">
        <v>9</v>
      </c>
      <c r="I494" s="160">
        <v>17526</v>
      </c>
      <c r="J494" s="128"/>
      <c r="K494" s="128"/>
      <c r="L494" s="128"/>
      <c r="M494" s="174"/>
      <c r="N494" s="528"/>
      <c r="O494" s="128"/>
      <c r="P494" s="170"/>
      <c r="Q494" s="128"/>
      <c r="R494" s="128"/>
      <c r="S494" s="180"/>
      <c r="T494" s="128"/>
      <c r="U494" s="171"/>
      <c r="V494" s="128"/>
      <c r="W494" s="128"/>
    </row>
    <row r="495" spans="1:23" s="127" customFormat="1" ht="12.75" customHeight="1">
      <c r="A495" s="118">
        <v>494</v>
      </c>
      <c r="B495" s="260">
        <v>5</v>
      </c>
      <c r="C495" s="181">
        <v>36800</v>
      </c>
      <c r="D495" s="157" t="s">
        <v>53</v>
      </c>
      <c r="E495" s="8">
        <v>2000</v>
      </c>
      <c r="F495" s="196" t="s">
        <v>41</v>
      </c>
      <c r="G495" s="170">
        <v>2</v>
      </c>
      <c r="H495" s="11" t="s">
        <v>9</v>
      </c>
      <c r="I495" s="160">
        <v>20419</v>
      </c>
      <c r="J495" s="128"/>
      <c r="K495" s="128"/>
      <c r="L495" s="128"/>
      <c r="M495" s="174"/>
      <c r="N495" s="528"/>
      <c r="O495" s="128"/>
      <c r="P495" s="170"/>
      <c r="Q495" s="128"/>
      <c r="R495" s="128"/>
      <c r="S495" s="180"/>
      <c r="T495" s="128"/>
      <c r="U495" s="171"/>
      <c r="V495" s="128"/>
      <c r="W495" s="128"/>
    </row>
    <row r="496" spans="1:23" s="127" customFormat="1" ht="12.75" customHeight="1">
      <c r="A496" s="118">
        <v>495</v>
      </c>
      <c r="B496" s="260">
        <v>5</v>
      </c>
      <c r="C496" s="181">
        <v>36831</v>
      </c>
      <c r="D496" s="157" t="s">
        <v>54</v>
      </c>
      <c r="E496" s="8">
        <v>2000</v>
      </c>
      <c r="F496" s="196" t="s">
        <v>41</v>
      </c>
      <c r="G496" s="170">
        <v>2</v>
      </c>
      <c r="H496" s="11" t="s">
        <v>9</v>
      </c>
      <c r="I496" s="160">
        <v>18299</v>
      </c>
      <c r="J496" s="128"/>
      <c r="K496" s="128"/>
      <c r="L496" s="128"/>
      <c r="M496" s="174"/>
      <c r="N496" s="528"/>
      <c r="O496" s="128"/>
      <c r="P496" s="170"/>
      <c r="Q496" s="128"/>
      <c r="R496" s="128"/>
      <c r="S496" s="180"/>
      <c r="T496" s="128"/>
      <c r="U496" s="171"/>
      <c r="V496" s="128"/>
      <c r="W496" s="128"/>
    </row>
    <row r="497" spans="1:23" s="127" customFormat="1" ht="12.75" customHeight="1">
      <c r="A497" s="118">
        <v>496</v>
      </c>
      <c r="B497" s="260">
        <v>5</v>
      </c>
      <c r="C497" s="181">
        <v>36861</v>
      </c>
      <c r="D497" s="157" t="s">
        <v>55</v>
      </c>
      <c r="E497" s="8">
        <v>2000</v>
      </c>
      <c r="F497" s="196" t="s">
        <v>41</v>
      </c>
      <c r="G497" s="170">
        <v>2</v>
      </c>
      <c r="H497" s="11" t="s">
        <v>9</v>
      </c>
      <c r="I497" s="160">
        <v>35368</v>
      </c>
      <c r="J497" s="128"/>
      <c r="K497" s="128"/>
      <c r="L497" s="128"/>
      <c r="M497" s="174"/>
      <c r="N497" s="528"/>
      <c r="O497" s="128"/>
      <c r="P497" s="170"/>
      <c r="Q497" s="128"/>
      <c r="R497" s="128"/>
      <c r="S497" s="180"/>
      <c r="T497" s="128"/>
      <c r="U497" s="171"/>
      <c r="V497" s="128"/>
      <c r="W497" s="128"/>
    </row>
    <row r="498" spans="1:23" s="127" customFormat="1" ht="12.75" customHeight="1">
      <c r="A498" s="118">
        <v>497</v>
      </c>
      <c r="B498" s="260">
        <v>5</v>
      </c>
      <c r="C498" s="181">
        <v>36892</v>
      </c>
      <c r="D498" s="157" t="s">
        <v>44</v>
      </c>
      <c r="E498" s="8">
        <v>2001</v>
      </c>
      <c r="F498" s="196" t="s">
        <v>41</v>
      </c>
      <c r="G498" s="170">
        <v>2</v>
      </c>
      <c r="H498" s="11" t="s">
        <v>9</v>
      </c>
      <c r="I498" s="160">
        <v>31949</v>
      </c>
      <c r="J498" s="128"/>
      <c r="K498" s="128"/>
      <c r="L498" s="128"/>
      <c r="M498" s="174"/>
      <c r="N498" s="528"/>
      <c r="O498" s="128"/>
      <c r="P498" s="170"/>
      <c r="Q498" s="128"/>
      <c r="R498" s="128"/>
      <c r="S498" s="180"/>
      <c r="T498" s="128"/>
      <c r="U498" s="171"/>
      <c r="V498" s="128"/>
      <c r="W498" s="128"/>
    </row>
    <row r="499" spans="1:23" s="127" customFormat="1" ht="12.75" customHeight="1">
      <c r="A499" s="118">
        <v>498</v>
      </c>
      <c r="B499" s="260">
        <v>5</v>
      </c>
      <c r="C499" s="181">
        <v>36923</v>
      </c>
      <c r="D499" s="157" t="s">
        <v>45</v>
      </c>
      <c r="E499" s="8">
        <v>2001</v>
      </c>
      <c r="F499" s="196" t="s">
        <v>41</v>
      </c>
      <c r="G499" s="170">
        <v>2</v>
      </c>
      <c r="H499" s="11" t="s">
        <v>9</v>
      </c>
      <c r="I499" s="160">
        <v>30326</v>
      </c>
      <c r="J499" s="128"/>
      <c r="K499" s="128"/>
      <c r="L499" s="128"/>
      <c r="M499" s="174"/>
      <c r="N499" s="528"/>
      <c r="O499" s="128"/>
      <c r="P499" s="170"/>
      <c r="Q499" s="128"/>
      <c r="R499" s="128"/>
      <c r="S499" s="180"/>
      <c r="T499" s="128"/>
      <c r="U499" s="171"/>
      <c r="V499" s="128"/>
      <c r="W499" s="128"/>
    </row>
    <row r="500" spans="1:23" s="127" customFormat="1" ht="12.75" customHeight="1">
      <c r="A500" s="118">
        <v>499</v>
      </c>
      <c r="B500" s="260">
        <v>5</v>
      </c>
      <c r="C500" s="181">
        <v>36951</v>
      </c>
      <c r="D500" s="157" t="s">
        <v>46</v>
      </c>
      <c r="E500" s="8">
        <v>2001</v>
      </c>
      <c r="F500" s="196" t="s">
        <v>41</v>
      </c>
      <c r="G500" s="170">
        <v>2</v>
      </c>
      <c r="H500" s="11" t="s">
        <v>9</v>
      </c>
      <c r="I500" s="160">
        <v>39730</v>
      </c>
      <c r="J500" s="128"/>
      <c r="K500" s="128"/>
      <c r="L500" s="128"/>
      <c r="M500" s="174"/>
      <c r="N500" s="528"/>
      <c r="O500" s="128"/>
      <c r="P500" s="170"/>
      <c r="Q500" s="128"/>
      <c r="R500" s="128"/>
      <c r="S500" s="180"/>
      <c r="T500" s="128"/>
      <c r="U500" s="171"/>
      <c r="V500" s="128"/>
      <c r="W500" s="128"/>
    </row>
    <row r="501" spans="1:23" s="127" customFormat="1" ht="12.75" customHeight="1">
      <c r="A501" s="118">
        <v>500</v>
      </c>
      <c r="B501" s="260">
        <v>5</v>
      </c>
      <c r="C501" s="181">
        <v>36982</v>
      </c>
      <c r="D501" s="157" t="s">
        <v>47</v>
      </c>
      <c r="E501" s="8">
        <v>2001</v>
      </c>
      <c r="F501" s="196" t="s">
        <v>41</v>
      </c>
      <c r="G501" s="170">
        <v>2</v>
      </c>
      <c r="H501" s="11" t="s">
        <v>9</v>
      </c>
      <c r="I501" s="160">
        <v>45234</v>
      </c>
      <c r="J501" s="128"/>
      <c r="K501" s="128"/>
      <c r="L501" s="128"/>
      <c r="M501" s="174"/>
      <c r="N501" s="528"/>
      <c r="O501" s="128"/>
      <c r="P501" s="170"/>
      <c r="Q501" s="128"/>
      <c r="R501" s="128"/>
      <c r="S501" s="180"/>
      <c r="T501" s="128"/>
      <c r="U501" s="171"/>
      <c r="V501" s="128"/>
      <c r="W501" s="128"/>
    </row>
    <row r="502" spans="1:23" s="127" customFormat="1" ht="12.75" customHeight="1">
      <c r="A502" s="118">
        <v>501</v>
      </c>
      <c r="B502" s="260">
        <v>5</v>
      </c>
      <c r="C502" s="181">
        <v>37012</v>
      </c>
      <c r="D502" s="157" t="s">
        <v>48</v>
      </c>
      <c r="E502" s="8">
        <v>2001</v>
      </c>
      <c r="F502" s="196" t="s">
        <v>41</v>
      </c>
      <c r="G502" s="170">
        <v>2</v>
      </c>
      <c r="H502" s="11" t="s">
        <v>9</v>
      </c>
      <c r="I502" s="160">
        <v>30053</v>
      </c>
      <c r="J502" s="128"/>
      <c r="K502" s="128"/>
      <c r="L502" s="128"/>
      <c r="M502" s="174"/>
      <c r="N502" s="528"/>
      <c r="O502" s="128"/>
      <c r="P502" s="170"/>
      <c r="Q502" s="128"/>
      <c r="R502" s="128"/>
      <c r="S502" s="180"/>
      <c r="T502" s="128"/>
      <c r="U502" s="171"/>
      <c r="V502" s="128"/>
      <c r="W502" s="128"/>
    </row>
    <row r="503" spans="1:23" s="127" customFormat="1" ht="12.75" customHeight="1">
      <c r="A503" s="118">
        <v>502</v>
      </c>
      <c r="B503" s="260">
        <v>5</v>
      </c>
      <c r="C503" s="181">
        <v>37043</v>
      </c>
      <c r="D503" s="157" t="s">
        <v>49</v>
      </c>
      <c r="E503" s="8">
        <v>2001</v>
      </c>
      <c r="F503" s="196" t="s">
        <v>41</v>
      </c>
      <c r="G503" s="170">
        <v>2</v>
      </c>
      <c r="H503" s="11" t="s">
        <v>9</v>
      </c>
      <c r="I503" s="160">
        <v>43573</v>
      </c>
      <c r="J503" s="128"/>
      <c r="K503" s="128"/>
      <c r="L503" s="128"/>
      <c r="M503" s="174"/>
      <c r="N503" s="528"/>
      <c r="O503" s="128"/>
      <c r="P503" s="170"/>
      <c r="Q503" s="128"/>
      <c r="R503" s="128"/>
      <c r="S503" s="180"/>
      <c r="T503" s="128"/>
      <c r="U503" s="171"/>
      <c r="V503" s="128"/>
      <c r="W503" s="128"/>
    </row>
    <row r="504" spans="1:23" s="127" customFormat="1" ht="12.75" customHeight="1">
      <c r="A504" s="118">
        <v>503</v>
      </c>
      <c r="B504" s="260">
        <v>5</v>
      </c>
      <c r="C504" s="181">
        <v>37073</v>
      </c>
      <c r="D504" s="157" t="s">
        <v>50</v>
      </c>
      <c r="E504" s="8">
        <v>2001</v>
      </c>
      <c r="F504" s="196" t="s">
        <v>41</v>
      </c>
      <c r="G504" s="170">
        <v>2</v>
      </c>
      <c r="H504" s="11" t="s">
        <v>9</v>
      </c>
      <c r="I504" s="160">
        <v>42733</v>
      </c>
      <c r="J504" s="128"/>
      <c r="K504" s="128"/>
      <c r="L504" s="128"/>
      <c r="M504" s="174"/>
      <c r="N504" s="528"/>
      <c r="O504" s="128"/>
      <c r="P504" s="170"/>
      <c r="Q504" s="128"/>
      <c r="R504" s="128"/>
      <c r="S504" s="180"/>
      <c r="T504" s="128"/>
      <c r="U504" s="171"/>
      <c r="V504" s="128"/>
      <c r="W504" s="128"/>
    </row>
    <row r="505" spans="1:23" s="127" customFormat="1" ht="12.75" customHeight="1">
      <c r="A505" s="118">
        <v>504</v>
      </c>
      <c r="B505" s="260">
        <v>5</v>
      </c>
      <c r="C505" s="181">
        <v>37104</v>
      </c>
      <c r="D505" s="157" t="s">
        <v>51</v>
      </c>
      <c r="E505" s="8">
        <v>2001</v>
      </c>
      <c r="F505" s="196" t="s">
        <v>41</v>
      </c>
      <c r="G505" s="170">
        <v>2</v>
      </c>
      <c r="H505" s="11" t="s">
        <v>9</v>
      </c>
      <c r="I505" s="160">
        <v>39709</v>
      </c>
      <c r="J505" s="128"/>
      <c r="K505" s="128"/>
      <c r="L505" s="128"/>
      <c r="M505" s="174"/>
      <c r="N505" s="528"/>
      <c r="O505" s="128"/>
      <c r="P505" s="170"/>
      <c r="Q505" s="128"/>
      <c r="R505" s="128"/>
      <c r="S505" s="180"/>
      <c r="T505" s="128"/>
      <c r="U505" s="171"/>
      <c r="V505" s="128"/>
      <c r="W505" s="128"/>
    </row>
    <row r="506" spans="1:23" s="127" customFormat="1" ht="12.75" customHeight="1">
      <c r="A506" s="118">
        <v>505</v>
      </c>
      <c r="B506" s="260">
        <v>5</v>
      </c>
      <c r="C506" s="181">
        <v>37135</v>
      </c>
      <c r="D506" s="157" t="s">
        <v>52</v>
      </c>
      <c r="E506" s="8">
        <v>2001</v>
      </c>
      <c r="F506" s="196" t="s">
        <v>41</v>
      </c>
      <c r="G506" s="170">
        <v>2</v>
      </c>
      <c r="H506" s="11" t="s">
        <v>9</v>
      </c>
      <c r="I506" s="160">
        <v>40305</v>
      </c>
      <c r="J506" s="128"/>
      <c r="K506" s="128"/>
      <c r="L506" s="128"/>
      <c r="M506" s="174"/>
      <c r="N506" s="528"/>
      <c r="O506" s="128"/>
      <c r="P506" s="170"/>
      <c r="Q506" s="128"/>
      <c r="R506" s="128"/>
      <c r="S506" s="180"/>
      <c r="T506" s="128"/>
      <c r="U506" s="171"/>
      <c r="V506" s="128"/>
      <c r="W506" s="128"/>
    </row>
    <row r="507" spans="1:23" s="127" customFormat="1" ht="12.75" customHeight="1">
      <c r="A507" s="118">
        <v>506</v>
      </c>
      <c r="B507" s="260">
        <v>5</v>
      </c>
      <c r="C507" s="181">
        <v>37165</v>
      </c>
      <c r="D507" s="157" t="s">
        <v>53</v>
      </c>
      <c r="E507" s="8">
        <v>2001</v>
      </c>
      <c r="F507" s="196" t="s">
        <v>41</v>
      </c>
      <c r="G507" s="170">
        <v>2</v>
      </c>
      <c r="H507" s="11" t="s">
        <v>9</v>
      </c>
      <c r="I507" s="160">
        <v>38932</v>
      </c>
      <c r="J507" s="128"/>
      <c r="K507" s="128"/>
      <c r="L507" s="128"/>
      <c r="M507" s="174"/>
      <c r="N507" s="528"/>
      <c r="O507" s="128"/>
      <c r="P507" s="170"/>
      <c r="Q507" s="128"/>
      <c r="R507" s="128"/>
      <c r="S507" s="180"/>
      <c r="T507" s="128"/>
      <c r="U507" s="171"/>
      <c r="V507" s="128"/>
      <c r="W507" s="128"/>
    </row>
    <row r="508" spans="1:23" s="127" customFormat="1" ht="12.75" customHeight="1">
      <c r="A508" s="118">
        <v>507</v>
      </c>
      <c r="B508" s="260">
        <v>5</v>
      </c>
      <c r="C508" s="181">
        <v>37196</v>
      </c>
      <c r="D508" s="157" t="s">
        <v>54</v>
      </c>
      <c r="E508" s="8">
        <v>2001</v>
      </c>
      <c r="F508" s="196" t="s">
        <v>41</v>
      </c>
      <c r="G508" s="170">
        <v>2</v>
      </c>
      <c r="H508" s="11" t="s">
        <v>9</v>
      </c>
      <c r="I508" s="160">
        <v>37129</v>
      </c>
      <c r="J508" s="128"/>
      <c r="K508" s="128"/>
      <c r="L508" s="128"/>
      <c r="M508" s="174"/>
      <c r="N508" s="528"/>
      <c r="O508" s="128"/>
      <c r="P508" s="170"/>
      <c r="Q508" s="128"/>
      <c r="R508" s="128"/>
      <c r="S508" s="180"/>
      <c r="T508" s="128"/>
      <c r="U508" s="171"/>
      <c r="V508" s="128"/>
      <c r="W508" s="128"/>
    </row>
    <row r="509" spans="1:23" s="127" customFormat="1" ht="12.75" customHeight="1">
      <c r="A509" s="118">
        <v>508</v>
      </c>
      <c r="B509" s="260">
        <v>5</v>
      </c>
      <c r="C509" s="181">
        <v>37226</v>
      </c>
      <c r="D509" s="157" t="s">
        <v>55</v>
      </c>
      <c r="E509" s="8">
        <v>2001</v>
      </c>
      <c r="F509" s="196" t="s">
        <v>41</v>
      </c>
      <c r="G509" s="170">
        <v>2</v>
      </c>
      <c r="H509" s="11" t="s">
        <v>9</v>
      </c>
      <c r="I509" s="160">
        <v>33804</v>
      </c>
      <c r="J509" s="128"/>
      <c r="K509" s="128"/>
      <c r="L509" s="128"/>
      <c r="M509" s="174"/>
      <c r="N509" s="528"/>
      <c r="O509" s="128"/>
      <c r="P509" s="170"/>
      <c r="Q509" s="128"/>
      <c r="R509" s="128"/>
      <c r="S509" s="180"/>
      <c r="T509" s="128"/>
      <c r="U509" s="171"/>
      <c r="V509" s="128"/>
      <c r="W509" s="128"/>
    </row>
    <row r="510" spans="1:23" s="127" customFormat="1" ht="12.75" customHeight="1">
      <c r="A510" s="118">
        <v>509</v>
      </c>
      <c r="B510" s="260">
        <v>5</v>
      </c>
      <c r="C510" s="181">
        <v>37257</v>
      </c>
      <c r="D510" s="157" t="s">
        <v>44</v>
      </c>
      <c r="E510" s="8">
        <v>2002</v>
      </c>
      <c r="F510" s="196" t="s">
        <v>41</v>
      </c>
      <c r="G510" s="170">
        <v>2</v>
      </c>
      <c r="H510" s="11" t="s">
        <v>9</v>
      </c>
      <c r="I510" s="160">
        <v>45859</v>
      </c>
      <c r="J510" s="128"/>
      <c r="K510" s="128"/>
      <c r="L510" s="128"/>
      <c r="M510" s="174"/>
      <c r="N510" s="528"/>
      <c r="O510" s="128"/>
      <c r="P510" s="170"/>
      <c r="Q510" s="128"/>
      <c r="R510" s="128"/>
      <c r="S510" s="180"/>
      <c r="T510" s="128"/>
      <c r="U510" s="171"/>
      <c r="V510" s="128"/>
      <c r="W510" s="128"/>
    </row>
    <row r="511" spans="1:23" s="127" customFormat="1" ht="12.75" customHeight="1">
      <c r="A511" s="118">
        <v>510</v>
      </c>
      <c r="B511" s="260">
        <v>5</v>
      </c>
      <c r="C511" s="181">
        <v>37288</v>
      </c>
      <c r="D511" s="157" t="s">
        <v>45</v>
      </c>
      <c r="E511" s="8">
        <v>2002</v>
      </c>
      <c r="F511" s="196" t="s">
        <v>41</v>
      </c>
      <c r="G511" s="170">
        <v>2</v>
      </c>
      <c r="H511" s="11" t="s">
        <v>9</v>
      </c>
      <c r="I511" s="160">
        <v>45340</v>
      </c>
      <c r="J511" s="128"/>
      <c r="K511" s="128"/>
      <c r="L511" s="128"/>
      <c r="M511" s="174"/>
      <c r="N511" s="528"/>
      <c r="O511" s="128"/>
      <c r="P511" s="170"/>
      <c r="Q511" s="128"/>
      <c r="R511" s="128"/>
      <c r="S511" s="180"/>
      <c r="T511" s="128"/>
      <c r="U511" s="171"/>
      <c r="V511" s="128"/>
      <c r="W511" s="128"/>
    </row>
    <row r="512" spans="1:23" s="127" customFormat="1" ht="12.75" customHeight="1">
      <c r="A512" s="118">
        <v>511</v>
      </c>
      <c r="B512" s="260">
        <v>5</v>
      </c>
      <c r="C512" s="181">
        <v>37316</v>
      </c>
      <c r="D512" s="157" t="s">
        <v>46</v>
      </c>
      <c r="E512" s="8">
        <v>2002</v>
      </c>
      <c r="F512" s="196" t="s">
        <v>41</v>
      </c>
      <c r="G512" s="170">
        <v>2</v>
      </c>
      <c r="H512" s="11" t="s">
        <v>9</v>
      </c>
      <c r="I512" s="160">
        <v>34264</v>
      </c>
      <c r="J512" s="128"/>
      <c r="K512" s="128"/>
      <c r="L512" s="128"/>
      <c r="M512" s="174"/>
      <c r="N512" s="528"/>
      <c r="O512" s="128"/>
      <c r="P512" s="170"/>
      <c r="Q512" s="128"/>
      <c r="R512" s="128"/>
      <c r="S512" s="180"/>
      <c r="T512" s="128"/>
      <c r="U512" s="171"/>
      <c r="V512" s="128"/>
      <c r="W512" s="128"/>
    </row>
    <row r="513" spans="1:23" s="127" customFormat="1" ht="12.75" customHeight="1">
      <c r="A513" s="118">
        <v>512</v>
      </c>
      <c r="B513" s="260">
        <v>5</v>
      </c>
      <c r="C513" s="181">
        <v>37347</v>
      </c>
      <c r="D513" s="157" t="s">
        <v>47</v>
      </c>
      <c r="E513" s="8">
        <v>2002</v>
      </c>
      <c r="F513" s="196" t="s">
        <v>41</v>
      </c>
      <c r="G513" s="170">
        <v>2</v>
      </c>
      <c r="H513" s="11" t="s">
        <v>9</v>
      </c>
      <c r="I513" s="160">
        <v>30053</v>
      </c>
      <c r="J513" s="128"/>
      <c r="K513" s="128"/>
      <c r="L513" s="128"/>
      <c r="M513" s="174"/>
      <c r="N513" s="528"/>
      <c r="O513" s="128"/>
      <c r="P513" s="170"/>
      <c r="Q513" s="128"/>
      <c r="R513" s="128"/>
      <c r="S513" s="180"/>
      <c r="T513" s="128"/>
      <c r="U513" s="171"/>
      <c r="V513" s="128"/>
      <c r="W513" s="128"/>
    </row>
    <row r="514" spans="1:23" s="127" customFormat="1" ht="12.75" customHeight="1">
      <c r="A514" s="118">
        <v>513</v>
      </c>
      <c r="B514" s="128">
        <v>5</v>
      </c>
      <c r="C514" s="181">
        <v>37377</v>
      </c>
      <c r="D514" s="157" t="s">
        <v>48</v>
      </c>
      <c r="E514" s="8">
        <v>2002</v>
      </c>
      <c r="F514" s="196" t="s">
        <v>41</v>
      </c>
      <c r="G514" s="170">
        <v>2</v>
      </c>
      <c r="H514" s="11" t="s">
        <v>9</v>
      </c>
      <c r="I514" s="160">
        <v>33085</v>
      </c>
      <c r="J514" s="173">
        <v>4.5289999999999999</v>
      </c>
      <c r="K514" s="173">
        <v>25.513999999999999</v>
      </c>
      <c r="L514" s="173">
        <v>9.9139999999999997</v>
      </c>
      <c r="M514" s="174"/>
      <c r="N514" s="528"/>
      <c r="O514" s="173">
        <v>0.157</v>
      </c>
      <c r="P514" s="170"/>
      <c r="Q514" s="128"/>
      <c r="R514" s="128"/>
      <c r="S514" s="180"/>
      <c r="T514" s="161">
        <f>$I514*K514</f>
        <v>844130.69</v>
      </c>
      <c r="U514" s="161">
        <f>$I514*L514</f>
        <v>328004.69</v>
      </c>
      <c r="V514" s="161">
        <f>$I514*O514</f>
        <v>5194.3450000000003</v>
      </c>
      <c r="W514" s="161">
        <f>V514*0.4</f>
        <v>2077.7380000000003</v>
      </c>
    </row>
    <row r="515" spans="1:23" s="127" customFormat="1" ht="12.75" customHeight="1">
      <c r="A515" s="118">
        <v>514</v>
      </c>
      <c r="B515" s="260">
        <v>5</v>
      </c>
      <c r="C515" s="181">
        <v>37408</v>
      </c>
      <c r="D515" s="157" t="s">
        <v>49</v>
      </c>
      <c r="E515" s="8">
        <v>2002</v>
      </c>
      <c r="F515" s="196" t="s">
        <v>41</v>
      </c>
      <c r="G515" s="170">
        <v>2</v>
      </c>
      <c r="H515" s="11" t="s">
        <v>9</v>
      </c>
      <c r="I515" s="160">
        <v>33085</v>
      </c>
      <c r="J515" s="128"/>
      <c r="K515" s="128"/>
      <c r="L515" s="128"/>
      <c r="M515" s="174"/>
      <c r="N515" s="528"/>
      <c r="O515" s="128"/>
      <c r="P515" s="170"/>
      <c r="Q515" s="128"/>
      <c r="R515" s="128"/>
      <c r="S515" s="180"/>
      <c r="T515" s="128"/>
      <c r="U515" s="171"/>
      <c r="V515" s="128"/>
      <c r="W515" s="128"/>
    </row>
    <row r="516" spans="1:23" s="127" customFormat="1" ht="12.75" customHeight="1">
      <c r="A516" s="118">
        <v>515</v>
      </c>
      <c r="B516" s="260">
        <v>5</v>
      </c>
      <c r="C516" s="181">
        <v>37438</v>
      </c>
      <c r="D516" s="157" t="s">
        <v>50</v>
      </c>
      <c r="E516" s="8">
        <v>2002</v>
      </c>
      <c r="F516" s="196" t="s">
        <v>41</v>
      </c>
      <c r="G516" s="170">
        <v>2</v>
      </c>
      <c r="H516" s="11" t="s">
        <v>9</v>
      </c>
      <c r="I516" s="160">
        <v>24511</v>
      </c>
      <c r="J516" s="128"/>
      <c r="K516" s="128"/>
      <c r="L516" s="128"/>
      <c r="M516" s="174"/>
      <c r="N516" s="528"/>
      <c r="O516" s="128"/>
      <c r="P516" s="170"/>
      <c r="Q516" s="128"/>
      <c r="R516" s="128"/>
      <c r="S516" s="180"/>
      <c r="T516" s="128"/>
      <c r="U516" s="171"/>
      <c r="V516" s="128"/>
      <c r="W516" s="128"/>
    </row>
    <row r="517" spans="1:23" s="127" customFormat="1" ht="12.75" customHeight="1">
      <c r="A517" s="118">
        <v>516</v>
      </c>
      <c r="B517" s="128">
        <v>5</v>
      </c>
      <c r="C517" s="181">
        <v>37469</v>
      </c>
      <c r="D517" s="157" t="s">
        <v>51</v>
      </c>
      <c r="E517" s="8">
        <v>2002</v>
      </c>
      <c r="F517" s="196" t="s">
        <v>41</v>
      </c>
      <c r="G517" s="170">
        <v>2</v>
      </c>
      <c r="H517" s="11" t="s">
        <v>9</v>
      </c>
      <c r="I517" s="160">
        <v>24173</v>
      </c>
      <c r="J517" s="128">
        <v>0.32</v>
      </c>
      <c r="K517" s="128">
        <v>0.68</v>
      </c>
      <c r="L517" s="128">
        <v>0.24</v>
      </c>
      <c r="M517" s="174"/>
      <c r="N517" s="528"/>
      <c r="O517" s="128">
        <v>0</v>
      </c>
      <c r="P517" s="170"/>
      <c r="Q517" s="128"/>
      <c r="R517" s="128"/>
      <c r="S517" s="180"/>
      <c r="T517" s="161">
        <f>$I517*K517</f>
        <v>16437.64</v>
      </c>
      <c r="U517" s="161">
        <f>$I517*L517</f>
        <v>5801.5199999999995</v>
      </c>
      <c r="V517" s="161">
        <f>$I517*O517</f>
        <v>0</v>
      </c>
      <c r="W517" s="161">
        <f>V517*0.4</f>
        <v>0</v>
      </c>
    </row>
    <row r="518" spans="1:23" s="127" customFormat="1" ht="12.75" customHeight="1">
      <c r="A518" s="118">
        <v>517</v>
      </c>
      <c r="B518" s="260">
        <v>5</v>
      </c>
      <c r="C518" s="181">
        <v>37500</v>
      </c>
      <c r="D518" s="157" t="s">
        <v>52</v>
      </c>
      <c r="E518" s="8">
        <v>2002</v>
      </c>
      <c r="F518" s="196" t="s">
        <v>41</v>
      </c>
      <c r="G518" s="170">
        <v>2</v>
      </c>
      <c r="H518" s="11" t="s">
        <v>9</v>
      </c>
      <c r="I518" s="160">
        <v>23886</v>
      </c>
      <c r="J518" s="128"/>
      <c r="K518" s="128"/>
      <c r="L518" s="128"/>
      <c r="M518" s="174"/>
      <c r="N518" s="528"/>
      <c r="O518" s="128"/>
      <c r="P518" s="170"/>
      <c r="Q518" s="128"/>
      <c r="R518" s="128"/>
      <c r="S518" s="180"/>
      <c r="T518" s="128"/>
      <c r="U518" s="171"/>
      <c r="V518" s="128"/>
      <c r="W518" s="128"/>
    </row>
    <row r="519" spans="1:23" s="127" customFormat="1" ht="12.75" customHeight="1">
      <c r="A519" s="118">
        <v>518</v>
      </c>
      <c r="B519" s="260">
        <v>5</v>
      </c>
      <c r="C519" s="181">
        <v>37530</v>
      </c>
      <c r="D519" s="157" t="s">
        <v>53</v>
      </c>
      <c r="E519" s="8">
        <v>2002</v>
      </c>
      <c r="F519" s="196" t="s">
        <v>41</v>
      </c>
      <c r="G519" s="170">
        <v>2</v>
      </c>
      <c r="H519" s="11" t="s">
        <v>9</v>
      </c>
      <c r="I519" s="160">
        <v>22886</v>
      </c>
      <c r="J519" s="128"/>
      <c r="K519" s="128"/>
      <c r="L519" s="128"/>
      <c r="M519" s="174"/>
      <c r="N519" s="528"/>
      <c r="O519" s="128"/>
      <c r="P519" s="170"/>
      <c r="Q519" s="128"/>
      <c r="R519" s="128"/>
      <c r="S519" s="180"/>
      <c r="T519" s="128"/>
      <c r="U519" s="171"/>
      <c r="V519" s="128"/>
      <c r="W519" s="128"/>
    </row>
    <row r="520" spans="1:23" s="127" customFormat="1" ht="12.75" customHeight="1">
      <c r="A520" s="118">
        <v>519</v>
      </c>
      <c r="B520" s="260">
        <v>5</v>
      </c>
      <c r="C520" s="181">
        <v>37561</v>
      </c>
      <c r="D520" s="157" t="s">
        <v>54</v>
      </c>
      <c r="E520" s="8">
        <v>2002</v>
      </c>
      <c r="F520" s="196" t="s">
        <v>41</v>
      </c>
      <c r="G520" s="170">
        <v>2</v>
      </c>
      <c r="H520" s="11" t="s">
        <v>9</v>
      </c>
      <c r="I520" s="160">
        <v>21222</v>
      </c>
      <c r="J520" s="128"/>
      <c r="K520" s="128"/>
      <c r="L520" s="128"/>
      <c r="M520" s="174"/>
      <c r="N520" s="528"/>
      <c r="O520" s="128"/>
      <c r="P520" s="170"/>
      <c r="Q520" s="128"/>
      <c r="R520" s="128"/>
      <c r="S520" s="180"/>
      <c r="T520" s="128"/>
      <c r="U520" s="171"/>
      <c r="V520" s="128"/>
      <c r="W520" s="128"/>
    </row>
    <row r="521" spans="1:23" s="127" customFormat="1" ht="12.75" customHeight="1">
      <c r="A521" s="118">
        <v>520</v>
      </c>
      <c r="B521" s="260">
        <v>5</v>
      </c>
      <c r="C521" s="181">
        <v>37591</v>
      </c>
      <c r="D521" s="157" t="s">
        <v>55</v>
      </c>
      <c r="E521" s="8">
        <v>2002</v>
      </c>
      <c r="F521" s="196" t="s">
        <v>41</v>
      </c>
      <c r="G521" s="170">
        <v>2</v>
      </c>
      <c r="H521" s="11" t="s">
        <v>9</v>
      </c>
      <c r="I521" s="160">
        <v>30053</v>
      </c>
      <c r="J521" s="128"/>
      <c r="K521" s="128"/>
      <c r="L521" s="128"/>
      <c r="M521" s="174"/>
      <c r="N521" s="528"/>
      <c r="O521" s="128"/>
      <c r="P521" s="170"/>
      <c r="Q521" s="128"/>
      <c r="R521" s="128"/>
      <c r="S521" s="180"/>
      <c r="T521" s="128"/>
      <c r="U521" s="171"/>
      <c r="V521" s="128"/>
      <c r="W521" s="128"/>
    </row>
    <row r="522" spans="1:23" s="127" customFormat="1" ht="12.75" customHeight="1">
      <c r="A522" s="118">
        <v>521</v>
      </c>
      <c r="B522" s="128">
        <v>5</v>
      </c>
      <c r="C522" s="181">
        <v>37622</v>
      </c>
      <c r="D522" s="157" t="s">
        <v>44</v>
      </c>
      <c r="E522" s="8">
        <v>2003</v>
      </c>
      <c r="F522" s="196" t="s">
        <v>41</v>
      </c>
      <c r="G522" s="170">
        <v>2</v>
      </c>
      <c r="H522" s="11" t="s">
        <v>9</v>
      </c>
      <c r="I522" s="160">
        <v>35809</v>
      </c>
      <c r="J522" s="128"/>
      <c r="K522" s="128"/>
      <c r="L522" s="128"/>
      <c r="M522" s="174"/>
      <c r="N522" s="528"/>
      <c r="O522" s="128"/>
      <c r="P522" s="170"/>
      <c r="Q522" s="128"/>
      <c r="R522" s="128"/>
      <c r="S522" s="180"/>
      <c r="T522" s="128"/>
      <c r="U522" s="171"/>
      <c r="V522" s="128"/>
      <c r="W522" s="128"/>
    </row>
    <row r="523" spans="1:23" s="127" customFormat="1" ht="12.75" customHeight="1">
      <c r="A523" s="118">
        <v>522</v>
      </c>
      <c r="B523" s="128">
        <v>5</v>
      </c>
      <c r="C523" s="181">
        <v>37653</v>
      </c>
      <c r="D523" s="157" t="s">
        <v>45</v>
      </c>
      <c r="E523" s="8">
        <v>2003</v>
      </c>
      <c r="F523" s="196" t="s">
        <v>41</v>
      </c>
      <c r="G523" s="170">
        <v>2</v>
      </c>
      <c r="H523" s="11" t="s">
        <v>9</v>
      </c>
      <c r="I523" s="160">
        <v>36781</v>
      </c>
      <c r="J523" s="128"/>
      <c r="K523" s="128"/>
      <c r="L523" s="128"/>
      <c r="M523" s="174"/>
      <c r="N523" s="528"/>
      <c r="O523" s="128"/>
      <c r="P523" s="170"/>
      <c r="Q523" s="128"/>
      <c r="R523" s="128"/>
      <c r="S523" s="180"/>
      <c r="T523" s="128"/>
      <c r="U523" s="171"/>
      <c r="V523" s="128"/>
      <c r="W523" s="128"/>
    </row>
    <row r="524" spans="1:23" s="127" customFormat="1" ht="12.75" customHeight="1">
      <c r="A524" s="118">
        <v>523</v>
      </c>
      <c r="B524" s="128">
        <v>5</v>
      </c>
      <c r="C524" s="181">
        <v>37681</v>
      </c>
      <c r="D524" s="157" t="s">
        <v>46</v>
      </c>
      <c r="E524" s="8">
        <v>2003</v>
      </c>
      <c r="F524" s="196" t="s">
        <v>41</v>
      </c>
      <c r="G524" s="170">
        <v>2</v>
      </c>
      <c r="H524" s="11" t="s">
        <v>9</v>
      </c>
      <c r="I524" s="160">
        <v>37349</v>
      </c>
      <c r="J524" s="128"/>
      <c r="K524" s="128"/>
      <c r="L524" s="128"/>
      <c r="M524" s="174"/>
      <c r="N524" s="528"/>
      <c r="O524" s="128"/>
      <c r="P524" s="170"/>
      <c r="Q524" s="128"/>
      <c r="R524" s="128"/>
      <c r="S524" s="180"/>
      <c r="T524" s="128"/>
      <c r="U524" s="171"/>
      <c r="V524" s="128"/>
      <c r="W524" s="128"/>
    </row>
    <row r="525" spans="1:23" s="127" customFormat="1" ht="12.75" customHeight="1">
      <c r="A525" s="118">
        <v>524</v>
      </c>
      <c r="B525" s="128">
        <v>5</v>
      </c>
      <c r="C525" s="181">
        <v>37712</v>
      </c>
      <c r="D525" s="157" t="s">
        <v>47</v>
      </c>
      <c r="E525" s="8">
        <v>2003</v>
      </c>
      <c r="F525" s="158"/>
      <c r="G525" s="128"/>
      <c r="H525" s="128"/>
      <c r="I525" s="194"/>
      <c r="J525" s="173"/>
      <c r="K525" s="173"/>
      <c r="L525" s="173"/>
      <c r="M525" s="174"/>
      <c r="N525" s="528"/>
      <c r="O525" s="173"/>
      <c r="P525" s="170"/>
      <c r="Q525" s="128"/>
      <c r="R525" s="128"/>
      <c r="S525" s="180"/>
      <c r="T525" s="173"/>
      <c r="U525" s="171"/>
      <c r="V525" s="173"/>
      <c r="W525" s="173"/>
    </row>
    <row r="526" spans="1:23" s="127" customFormat="1" ht="12.75" customHeight="1">
      <c r="A526" s="118">
        <v>525</v>
      </c>
      <c r="B526" s="128">
        <v>5</v>
      </c>
      <c r="C526" s="156">
        <v>37742</v>
      </c>
      <c r="D526" s="157" t="s">
        <v>48</v>
      </c>
      <c r="E526" s="8">
        <v>2003</v>
      </c>
      <c r="F526" s="158"/>
      <c r="G526" s="11"/>
      <c r="H526" s="11"/>
      <c r="I526" s="194"/>
      <c r="J526" s="15"/>
      <c r="K526" s="15"/>
      <c r="L526" s="15"/>
      <c r="M526" s="174"/>
      <c r="N526" s="528"/>
      <c r="O526" s="15"/>
      <c r="P526" s="8"/>
      <c r="Q526" s="11"/>
      <c r="R526" s="11"/>
      <c r="S526" s="155"/>
      <c r="T526" s="15"/>
      <c r="U526" s="161"/>
      <c r="V526" s="15"/>
      <c r="W526" s="15"/>
    </row>
    <row r="527" spans="1:23" s="127" customFormat="1" ht="12.75" customHeight="1">
      <c r="A527" s="118">
        <v>526</v>
      </c>
      <c r="B527" s="128">
        <v>5</v>
      </c>
      <c r="C527" s="156">
        <v>37773</v>
      </c>
      <c r="D527" s="157" t="s">
        <v>49</v>
      </c>
      <c r="E527" s="8">
        <v>2003</v>
      </c>
      <c r="F527" s="158"/>
      <c r="G527" s="11"/>
      <c r="H527" s="11"/>
      <c r="I527" s="194"/>
      <c r="J527" s="15"/>
      <c r="K527" s="15"/>
      <c r="L527" s="15"/>
      <c r="M527" s="174"/>
      <c r="N527" s="528"/>
      <c r="O527" s="15"/>
      <c r="P527" s="8"/>
      <c r="Q527" s="11"/>
      <c r="R527" s="11"/>
      <c r="S527" s="155"/>
      <c r="T527" s="15"/>
      <c r="U527" s="161"/>
      <c r="V527" s="15"/>
      <c r="W527" s="15"/>
    </row>
    <row r="528" spans="1:23" s="127" customFormat="1" ht="12.75" customHeight="1">
      <c r="A528" s="118">
        <v>527</v>
      </c>
      <c r="B528" s="128">
        <v>5</v>
      </c>
      <c r="C528" s="156">
        <v>37803</v>
      </c>
      <c r="D528" s="157" t="s">
        <v>50</v>
      </c>
      <c r="E528" s="8">
        <v>2003</v>
      </c>
      <c r="F528" s="158"/>
      <c r="G528" s="11"/>
      <c r="H528" s="11"/>
      <c r="I528" s="194"/>
      <c r="J528" s="15"/>
      <c r="K528" s="15"/>
      <c r="L528" s="15"/>
      <c r="M528" s="174"/>
      <c r="N528" s="528"/>
      <c r="O528" s="15"/>
      <c r="P528" s="8"/>
      <c r="Q528" s="11"/>
      <c r="R528" s="11"/>
      <c r="S528" s="155"/>
      <c r="T528" s="15"/>
      <c r="U528" s="161"/>
      <c r="V528" s="15"/>
      <c r="W528" s="15"/>
    </row>
    <row r="529" spans="1:23" s="127" customFormat="1" ht="12.75" customHeight="1">
      <c r="A529" s="118">
        <v>528</v>
      </c>
      <c r="B529" s="128">
        <v>5</v>
      </c>
      <c r="C529" s="156">
        <v>37834</v>
      </c>
      <c r="D529" s="157" t="s">
        <v>51</v>
      </c>
      <c r="E529" s="8">
        <v>2003</v>
      </c>
      <c r="F529" s="158"/>
      <c r="G529" s="11"/>
      <c r="H529" s="11"/>
      <c r="I529" s="194"/>
      <c r="J529" s="15"/>
      <c r="K529" s="15"/>
      <c r="L529" s="15"/>
      <c r="M529" s="174"/>
      <c r="N529" s="528"/>
      <c r="O529" s="15"/>
      <c r="P529" s="8"/>
      <c r="Q529" s="11"/>
      <c r="R529" s="11"/>
      <c r="S529" s="155"/>
      <c r="T529" s="15"/>
      <c r="U529" s="161"/>
      <c r="V529" s="15"/>
      <c r="W529" s="15"/>
    </row>
    <row r="530" spans="1:23" s="127" customFormat="1" ht="12.75" customHeight="1">
      <c r="A530" s="118">
        <v>529</v>
      </c>
      <c r="B530" s="128">
        <v>5</v>
      </c>
      <c r="C530" s="156">
        <v>37865</v>
      </c>
      <c r="D530" s="157" t="s">
        <v>52</v>
      </c>
      <c r="E530" s="8">
        <v>2003</v>
      </c>
      <c r="F530" s="158"/>
      <c r="G530" s="11"/>
      <c r="H530" s="11"/>
      <c r="I530" s="194"/>
      <c r="J530" s="15"/>
      <c r="K530" s="15"/>
      <c r="L530" s="15"/>
      <c r="M530" s="174"/>
      <c r="N530" s="528"/>
      <c r="O530" s="15"/>
      <c r="P530" s="8"/>
      <c r="Q530" s="11"/>
      <c r="R530" s="11"/>
      <c r="S530" s="155"/>
      <c r="T530" s="15"/>
      <c r="U530" s="161"/>
      <c r="V530" s="15"/>
      <c r="W530" s="15"/>
    </row>
    <row r="531" spans="1:23" s="127" customFormat="1" ht="12.75" customHeight="1">
      <c r="A531" s="118">
        <v>530</v>
      </c>
      <c r="B531" s="128">
        <v>5</v>
      </c>
      <c r="C531" s="156">
        <v>37895</v>
      </c>
      <c r="D531" s="157" t="s">
        <v>53</v>
      </c>
      <c r="E531" s="8">
        <v>2003</v>
      </c>
      <c r="F531" s="158"/>
      <c r="G531" s="11"/>
      <c r="H531" s="11"/>
      <c r="I531" s="194"/>
      <c r="J531" s="15"/>
      <c r="K531" s="15"/>
      <c r="L531" s="15"/>
      <c r="M531" s="174"/>
      <c r="N531" s="528"/>
      <c r="O531" s="15"/>
      <c r="P531" s="8"/>
      <c r="Q531" s="11"/>
      <c r="R531" s="11"/>
      <c r="S531" s="155"/>
      <c r="T531" s="15"/>
      <c r="U531" s="161"/>
      <c r="V531" s="15"/>
      <c r="W531" s="15"/>
    </row>
    <row r="532" spans="1:23" ht="12.75" customHeight="1">
      <c r="A532" s="118">
        <v>531</v>
      </c>
      <c r="B532" s="128">
        <v>5</v>
      </c>
      <c r="C532" s="156">
        <v>37926</v>
      </c>
      <c r="D532" s="157" t="s">
        <v>54</v>
      </c>
      <c r="E532" s="8">
        <v>2003</v>
      </c>
      <c r="F532" s="196" t="s">
        <v>41</v>
      </c>
      <c r="G532" s="170">
        <v>2</v>
      </c>
      <c r="H532" s="11" t="s">
        <v>9</v>
      </c>
      <c r="I532" s="198">
        <v>20000</v>
      </c>
      <c r="J532" s="15">
        <v>0</v>
      </c>
      <c r="K532" s="15">
        <v>0</v>
      </c>
      <c r="L532" s="15">
        <v>0</v>
      </c>
      <c r="O532" s="15">
        <v>0</v>
      </c>
      <c r="Q532" s="11">
        <v>10.6</v>
      </c>
      <c r="R532" s="11">
        <v>13</v>
      </c>
      <c r="T532" s="161">
        <f t="shared" ref="T532:T563" si="134">$I532*K532</f>
        <v>0</v>
      </c>
      <c r="U532" s="161">
        <f t="shared" ref="U532:U563" si="135">$I532*L532</f>
        <v>0</v>
      </c>
      <c r="V532" s="161">
        <f t="shared" ref="V532:V563" si="136">$I532*O532</f>
        <v>0</v>
      </c>
      <c r="W532" s="161">
        <f t="shared" ref="W532:W595" si="137">V532*0.4</f>
        <v>0</v>
      </c>
    </row>
    <row r="533" spans="1:23" ht="12.75" customHeight="1">
      <c r="A533" s="118">
        <v>532</v>
      </c>
      <c r="B533" s="128">
        <v>5</v>
      </c>
      <c r="C533" s="156">
        <v>37956</v>
      </c>
      <c r="D533" s="157" t="s">
        <v>55</v>
      </c>
      <c r="E533" s="8">
        <v>2003</v>
      </c>
      <c r="F533" s="196" t="s">
        <v>41</v>
      </c>
      <c r="G533" s="170">
        <v>2</v>
      </c>
      <c r="H533" s="11" t="s">
        <v>9</v>
      </c>
      <c r="I533" s="198">
        <v>20000</v>
      </c>
      <c r="J533" s="15">
        <v>0.28000000000000003</v>
      </c>
      <c r="K533" s="15">
        <v>1</v>
      </c>
      <c r="L533" s="15">
        <v>0.73</v>
      </c>
      <c r="M533" s="174">
        <v>0</v>
      </c>
      <c r="O533" s="15">
        <v>0</v>
      </c>
      <c r="Q533" s="11">
        <v>5.0999999999999996</v>
      </c>
      <c r="R533" s="11">
        <v>31</v>
      </c>
      <c r="T533" s="161">
        <f t="shared" si="134"/>
        <v>20000</v>
      </c>
      <c r="U533" s="161">
        <f t="shared" si="135"/>
        <v>14600</v>
      </c>
      <c r="V533" s="161">
        <f t="shared" si="136"/>
        <v>0</v>
      </c>
      <c r="W533" s="161">
        <f t="shared" si="137"/>
        <v>0</v>
      </c>
    </row>
    <row r="534" spans="1:23" ht="12.75" customHeight="1">
      <c r="A534" s="118">
        <v>533</v>
      </c>
      <c r="B534" s="128">
        <v>5</v>
      </c>
      <c r="C534" s="156">
        <v>37987</v>
      </c>
      <c r="D534" s="157" t="s">
        <v>44</v>
      </c>
      <c r="E534" s="8">
        <v>2004</v>
      </c>
      <c r="F534" s="196" t="s">
        <v>41</v>
      </c>
      <c r="G534" s="170">
        <v>2</v>
      </c>
      <c r="H534" s="11" t="s">
        <v>9</v>
      </c>
      <c r="I534" s="198">
        <v>20000</v>
      </c>
      <c r="J534" s="15">
        <v>0.28000000000000003</v>
      </c>
      <c r="K534" s="15">
        <v>0.98</v>
      </c>
      <c r="L534" s="15">
        <v>0.73</v>
      </c>
      <c r="M534" s="174">
        <v>0</v>
      </c>
      <c r="O534" s="15">
        <v>0</v>
      </c>
      <c r="Q534" s="11">
        <v>6.67</v>
      </c>
      <c r="R534" s="11">
        <v>27.32</v>
      </c>
      <c r="T534" s="161">
        <f t="shared" si="134"/>
        <v>19600</v>
      </c>
      <c r="U534" s="161">
        <f t="shared" si="135"/>
        <v>14600</v>
      </c>
      <c r="V534" s="161">
        <f t="shared" si="136"/>
        <v>0</v>
      </c>
      <c r="W534" s="161">
        <f t="shared" si="137"/>
        <v>0</v>
      </c>
    </row>
    <row r="535" spans="1:23" ht="12.75" customHeight="1">
      <c r="A535" s="118">
        <v>534</v>
      </c>
      <c r="B535" s="128">
        <v>5</v>
      </c>
      <c r="C535" s="156">
        <v>38018</v>
      </c>
      <c r="D535" s="157" t="s">
        <v>45</v>
      </c>
      <c r="E535" s="8">
        <v>2004</v>
      </c>
      <c r="F535" s="196" t="s">
        <v>41</v>
      </c>
      <c r="G535" s="170">
        <v>2</v>
      </c>
      <c r="H535" s="11" t="s">
        <v>9</v>
      </c>
      <c r="I535" s="198">
        <v>20000</v>
      </c>
      <c r="J535" s="15">
        <v>0</v>
      </c>
      <c r="K535" s="15">
        <v>5.4</v>
      </c>
      <c r="L535" s="15">
        <v>3</v>
      </c>
      <c r="M535" s="174">
        <v>2</v>
      </c>
      <c r="O535" s="15">
        <v>3.8</v>
      </c>
      <c r="Q535" s="11">
        <v>6.59</v>
      </c>
      <c r="R535" s="11">
        <v>25.24</v>
      </c>
      <c r="T535" s="161">
        <f t="shared" si="134"/>
        <v>108000</v>
      </c>
      <c r="U535" s="161">
        <f t="shared" si="135"/>
        <v>60000</v>
      </c>
      <c r="V535" s="161">
        <f t="shared" si="136"/>
        <v>76000</v>
      </c>
      <c r="W535" s="161">
        <f t="shared" si="137"/>
        <v>30400</v>
      </c>
    </row>
    <row r="536" spans="1:23" ht="12.75" customHeight="1">
      <c r="A536" s="118">
        <v>535</v>
      </c>
      <c r="B536" s="128">
        <v>5</v>
      </c>
      <c r="C536" s="156">
        <v>38047</v>
      </c>
      <c r="D536" s="157" t="s">
        <v>46</v>
      </c>
      <c r="E536" s="8">
        <v>2004</v>
      </c>
      <c r="F536" s="196" t="s">
        <v>41</v>
      </c>
      <c r="G536" s="170">
        <v>2</v>
      </c>
      <c r="H536" s="11" t="s">
        <v>9</v>
      </c>
      <c r="I536" s="194">
        <v>19743</v>
      </c>
      <c r="J536" s="15">
        <v>0</v>
      </c>
      <c r="K536" s="15">
        <v>4.8</v>
      </c>
      <c r="L536" s="15">
        <v>2.1</v>
      </c>
      <c r="M536" s="174">
        <v>0</v>
      </c>
      <c r="O536" s="15">
        <v>2.4</v>
      </c>
      <c r="P536" s="8">
        <v>0.5</v>
      </c>
      <c r="Q536" s="11">
        <v>7</v>
      </c>
      <c r="R536" s="11">
        <v>22.86</v>
      </c>
      <c r="S536" s="155" t="s">
        <v>70</v>
      </c>
      <c r="T536" s="161">
        <f t="shared" si="134"/>
        <v>94766.399999999994</v>
      </c>
      <c r="U536" s="161">
        <f t="shared" si="135"/>
        <v>41460.300000000003</v>
      </c>
      <c r="V536" s="161">
        <f t="shared" si="136"/>
        <v>47383.199999999997</v>
      </c>
      <c r="W536" s="161">
        <f t="shared" si="137"/>
        <v>18953.28</v>
      </c>
    </row>
    <row r="537" spans="1:23" ht="12.75" customHeight="1">
      <c r="A537" s="118">
        <v>536</v>
      </c>
      <c r="B537" s="128">
        <v>5</v>
      </c>
      <c r="C537" s="156">
        <v>38078</v>
      </c>
      <c r="D537" s="157" t="s">
        <v>47</v>
      </c>
      <c r="E537" s="8">
        <v>2004</v>
      </c>
      <c r="F537" s="196" t="s">
        <v>41</v>
      </c>
      <c r="G537" s="170">
        <v>2</v>
      </c>
      <c r="H537" s="11" t="s">
        <v>9</v>
      </c>
      <c r="I537" s="194">
        <v>20919</v>
      </c>
      <c r="J537" s="15">
        <v>0.21</v>
      </c>
      <c r="K537" s="15">
        <v>1.26</v>
      </c>
      <c r="L537" s="15">
        <v>0.64</v>
      </c>
      <c r="M537" s="174">
        <v>0</v>
      </c>
      <c r="O537" s="15">
        <v>0</v>
      </c>
      <c r="P537" s="8">
        <v>0.5</v>
      </c>
      <c r="Q537" s="11">
        <v>8.5</v>
      </c>
      <c r="R537" s="11">
        <v>25.2</v>
      </c>
      <c r="S537" s="155" t="s">
        <v>70</v>
      </c>
      <c r="T537" s="161">
        <f t="shared" si="134"/>
        <v>26357.94</v>
      </c>
      <c r="U537" s="161">
        <f t="shared" si="135"/>
        <v>13388.16</v>
      </c>
      <c r="V537" s="161">
        <f t="shared" si="136"/>
        <v>0</v>
      </c>
      <c r="W537" s="161">
        <f t="shared" si="137"/>
        <v>0</v>
      </c>
    </row>
    <row r="538" spans="1:23" ht="12.75" customHeight="1">
      <c r="A538" s="118">
        <v>537</v>
      </c>
      <c r="B538" s="128">
        <v>5</v>
      </c>
      <c r="C538" s="156">
        <v>38108</v>
      </c>
      <c r="D538" s="157" t="s">
        <v>48</v>
      </c>
      <c r="E538" s="8">
        <v>2004</v>
      </c>
      <c r="F538" s="196" t="s">
        <v>41</v>
      </c>
      <c r="G538" s="170">
        <v>2</v>
      </c>
      <c r="H538" s="11" t="s">
        <v>9</v>
      </c>
      <c r="I538" s="194">
        <v>20707</v>
      </c>
      <c r="J538" s="15">
        <v>0.05</v>
      </c>
      <c r="K538" s="15">
        <v>0.55000000000000004</v>
      </c>
      <c r="L538" s="15">
        <v>0.2</v>
      </c>
      <c r="M538" s="174">
        <v>1</v>
      </c>
      <c r="O538" s="15">
        <v>0.05</v>
      </c>
      <c r="Q538" s="11">
        <v>10.43</v>
      </c>
      <c r="R538" s="11">
        <v>19.86</v>
      </c>
      <c r="T538" s="161">
        <f t="shared" si="134"/>
        <v>11388.85</v>
      </c>
      <c r="U538" s="161">
        <f t="shared" si="135"/>
        <v>4141.4000000000005</v>
      </c>
      <c r="V538" s="161">
        <f t="shared" si="136"/>
        <v>1035.3500000000001</v>
      </c>
      <c r="W538" s="161">
        <f t="shared" si="137"/>
        <v>414.1400000000001</v>
      </c>
    </row>
    <row r="539" spans="1:23" ht="12.75" customHeight="1">
      <c r="A539" s="118">
        <v>538</v>
      </c>
      <c r="B539" s="128">
        <v>5</v>
      </c>
      <c r="C539" s="156">
        <v>38139</v>
      </c>
      <c r="D539" s="157" t="s">
        <v>49</v>
      </c>
      <c r="E539" s="8">
        <v>2004</v>
      </c>
      <c r="F539" s="196" t="s">
        <v>41</v>
      </c>
      <c r="G539" s="170">
        <v>2</v>
      </c>
      <c r="H539" s="11" t="s">
        <v>9</v>
      </c>
      <c r="I539" s="194">
        <v>19166</v>
      </c>
      <c r="J539" s="15">
        <v>0.25</v>
      </c>
      <c r="K539" s="15">
        <v>1.05</v>
      </c>
      <c r="L539" s="15">
        <v>0.55000000000000004</v>
      </c>
      <c r="M539" s="174">
        <v>0</v>
      </c>
      <c r="O539" s="15">
        <v>0.15</v>
      </c>
      <c r="Q539" s="11">
        <v>11.06</v>
      </c>
      <c r="R539" s="11">
        <v>13.24</v>
      </c>
      <c r="T539" s="161">
        <f t="shared" si="134"/>
        <v>20124.3</v>
      </c>
      <c r="U539" s="161">
        <f t="shared" si="135"/>
        <v>10541.300000000001</v>
      </c>
      <c r="V539" s="161">
        <f t="shared" si="136"/>
        <v>2874.9</v>
      </c>
      <c r="W539" s="161">
        <f t="shared" si="137"/>
        <v>1149.96</v>
      </c>
    </row>
    <row r="540" spans="1:23" ht="12.75" customHeight="1">
      <c r="A540" s="118">
        <v>539</v>
      </c>
      <c r="B540" s="128">
        <v>5</v>
      </c>
      <c r="C540" s="156">
        <v>38169</v>
      </c>
      <c r="D540" s="157" t="s">
        <v>50</v>
      </c>
      <c r="E540" s="8">
        <v>2004</v>
      </c>
      <c r="F540" s="196" t="s">
        <v>41</v>
      </c>
      <c r="G540" s="170">
        <v>2</v>
      </c>
      <c r="H540" s="11" t="s">
        <v>9</v>
      </c>
      <c r="I540" s="194">
        <v>18784</v>
      </c>
      <c r="J540" s="15">
        <v>0.5</v>
      </c>
      <c r="K540" s="15">
        <v>1.5</v>
      </c>
      <c r="L540" s="15">
        <v>1</v>
      </c>
      <c r="M540" s="174">
        <v>0</v>
      </c>
      <c r="O540" s="15">
        <v>0</v>
      </c>
      <c r="Q540" s="11">
        <v>11.05</v>
      </c>
      <c r="R540" s="11">
        <v>7.31</v>
      </c>
      <c r="T540" s="161">
        <f t="shared" si="134"/>
        <v>28176</v>
      </c>
      <c r="U540" s="161">
        <f t="shared" si="135"/>
        <v>18784</v>
      </c>
      <c r="V540" s="161">
        <f t="shared" si="136"/>
        <v>0</v>
      </c>
      <c r="W540" s="161">
        <f t="shared" si="137"/>
        <v>0</v>
      </c>
    </row>
    <row r="541" spans="1:23" ht="12.75" customHeight="1">
      <c r="A541" s="118">
        <v>540</v>
      </c>
      <c r="B541" s="128">
        <v>5</v>
      </c>
      <c r="C541" s="156">
        <v>38200</v>
      </c>
      <c r="D541" s="157" t="s">
        <v>51</v>
      </c>
      <c r="E541" s="8">
        <v>2004</v>
      </c>
      <c r="F541" s="196" t="s">
        <v>41</v>
      </c>
      <c r="G541" s="170">
        <v>2</v>
      </c>
      <c r="H541" s="11" t="s">
        <v>9</v>
      </c>
      <c r="I541" s="198">
        <v>20000</v>
      </c>
      <c r="J541" s="15">
        <v>0.1</v>
      </c>
      <c r="K541" s="15">
        <v>2.61</v>
      </c>
      <c r="L541" s="15">
        <v>1.82</v>
      </c>
      <c r="M541" s="174">
        <v>0</v>
      </c>
      <c r="O541" s="15">
        <v>0.12</v>
      </c>
      <c r="Q541" s="11">
        <v>11.17</v>
      </c>
      <c r="R541" s="11">
        <v>8.23</v>
      </c>
      <c r="T541" s="161">
        <f t="shared" si="134"/>
        <v>52200</v>
      </c>
      <c r="U541" s="161">
        <f t="shared" si="135"/>
        <v>36400</v>
      </c>
      <c r="V541" s="161">
        <f t="shared" si="136"/>
        <v>2400</v>
      </c>
      <c r="W541" s="161">
        <f t="shared" si="137"/>
        <v>960</v>
      </c>
    </row>
    <row r="542" spans="1:23" ht="12.75" customHeight="1">
      <c r="A542" s="118">
        <v>541</v>
      </c>
      <c r="B542" s="128">
        <v>5</v>
      </c>
      <c r="C542" s="156">
        <v>38231</v>
      </c>
      <c r="D542" s="157" t="s">
        <v>52</v>
      </c>
      <c r="E542" s="8">
        <v>2004</v>
      </c>
      <c r="F542" s="196" t="s">
        <v>41</v>
      </c>
      <c r="G542" s="170">
        <v>2</v>
      </c>
      <c r="H542" s="11" t="s">
        <v>9</v>
      </c>
      <c r="I542" s="198">
        <v>22000</v>
      </c>
      <c r="J542" s="15">
        <v>0.5</v>
      </c>
      <c r="K542" s="15">
        <v>3.4</v>
      </c>
      <c r="L542" s="15">
        <v>2.4</v>
      </c>
      <c r="M542" s="174">
        <v>1</v>
      </c>
      <c r="O542" s="15">
        <v>0</v>
      </c>
      <c r="Q542" s="11">
        <v>10.99</v>
      </c>
      <c r="R542" s="11">
        <v>7.69</v>
      </c>
      <c r="T542" s="161">
        <f t="shared" si="134"/>
        <v>74800</v>
      </c>
      <c r="U542" s="161">
        <f t="shared" si="135"/>
        <v>52800</v>
      </c>
      <c r="V542" s="161">
        <f t="shared" si="136"/>
        <v>0</v>
      </c>
      <c r="W542" s="161">
        <f t="shared" si="137"/>
        <v>0</v>
      </c>
    </row>
    <row r="543" spans="1:23" ht="12.75" customHeight="1">
      <c r="A543" s="118">
        <v>542</v>
      </c>
      <c r="B543" s="128">
        <v>5</v>
      </c>
      <c r="C543" s="156">
        <v>38261</v>
      </c>
      <c r="D543" s="157" t="s">
        <v>53</v>
      </c>
      <c r="E543" s="8">
        <v>2004</v>
      </c>
      <c r="F543" s="196" t="s">
        <v>41</v>
      </c>
      <c r="G543" s="170">
        <v>2</v>
      </c>
      <c r="H543" s="11" t="s">
        <v>9</v>
      </c>
      <c r="I543" s="198">
        <v>24000</v>
      </c>
      <c r="J543" s="15">
        <v>0.43</v>
      </c>
      <c r="K543" s="15">
        <v>1.2</v>
      </c>
      <c r="L543" s="15">
        <v>0.78</v>
      </c>
      <c r="M543" s="174">
        <v>0</v>
      </c>
      <c r="O543" s="15">
        <v>0</v>
      </c>
      <c r="Q543" s="11">
        <v>10.199999999999999</v>
      </c>
      <c r="R543" s="11">
        <v>12.3</v>
      </c>
      <c r="T543" s="161">
        <f t="shared" si="134"/>
        <v>28800</v>
      </c>
      <c r="U543" s="161">
        <f t="shared" si="135"/>
        <v>18720</v>
      </c>
      <c r="V543" s="161">
        <f t="shared" si="136"/>
        <v>0</v>
      </c>
      <c r="W543" s="161">
        <f t="shared" si="137"/>
        <v>0</v>
      </c>
    </row>
    <row r="544" spans="1:23" ht="12.75" customHeight="1">
      <c r="A544" s="118">
        <v>543</v>
      </c>
      <c r="B544" s="128">
        <v>5</v>
      </c>
      <c r="C544" s="156">
        <v>38292</v>
      </c>
      <c r="D544" s="157" t="s">
        <v>54</v>
      </c>
      <c r="E544" s="8">
        <v>2004</v>
      </c>
      <c r="F544" s="196" t="s">
        <v>41</v>
      </c>
      <c r="G544" s="170">
        <v>2</v>
      </c>
      <c r="H544" s="11" t="s">
        <v>9</v>
      </c>
      <c r="I544" s="198">
        <v>26000</v>
      </c>
      <c r="J544" s="15">
        <v>0</v>
      </c>
      <c r="K544" s="15">
        <v>0.25</v>
      </c>
      <c r="L544" s="15">
        <v>0.15</v>
      </c>
      <c r="M544" s="174">
        <v>0</v>
      </c>
      <c r="O544" s="15">
        <v>0.05</v>
      </c>
      <c r="Q544" s="11">
        <v>8.3000000000000007</v>
      </c>
      <c r="R544" s="11">
        <v>14.48</v>
      </c>
      <c r="T544" s="161">
        <f t="shared" si="134"/>
        <v>6500</v>
      </c>
      <c r="U544" s="161">
        <f t="shared" si="135"/>
        <v>3900</v>
      </c>
      <c r="V544" s="161">
        <f t="shared" si="136"/>
        <v>1300</v>
      </c>
      <c r="W544" s="161">
        <f t="shared" si="137"/>
        <v>520</v>
      </c>
    </row>
    <row r="545" spans="1:23" ht="12.75" customHeight="1">
      <c r="A545" s="118">
        <v>544</v>
      </c>
      <c r="B545" s="128">
        <v>5</v>
      </c>
      <c r="C545" s="156">
        <v>38322</v>
      </c>
      <c r="D545" s="157" t="s">
        <v>55</v>
      </c>
      <c r="E545" s="8">
        <v>2004</v>
      </c>
      <c r="F545" s="196" t="s">
        <v>41</v>
      </c>
      <c r="G545" s="170">
        <v>2</v>
      </c>
      <c r="H545" s="11" t="s">
        <v>9</v>
      </c>
      <c r="I545" s="198">
        <v>28000</v>
      </c>
      <c r="J545" s="15">
        <v>0.03</v>
      </c>
      <c r="K545" s="15">
        <v>0.33</v>
      </c>
      <c r="L545" s="15">
        <v>0.03</v>
      </c>
      <c r="M545" s="174">
        <v>1</v>
      </c>
      <c r="O545" s="15">
        <v>0</v>
      </c>
      <c r="Q545" s="11">
        <v>8</v>
      </c>
      <c r="R545" s="11">
        <v>21</v>
      </c>
      <c r="T545" s="161">
        <f t="shared" si="134"/>
        <v>9240</v>
      </c>
      <c r="U545" s="161">
        <f t="shared" si="135"/>
        <v>840</v>
      </c>
      <c r="V545" s="161">
        <f t="shared" si="136"/>
        <v>0</v>
      </c>
      <c r="W545" s="161">
        <f t="shared" si="137"/>
        <v>0</v>
      </c>
    </row>
    <row r="546" spans="1:23" ht="12.75" customHeight="1">
      <c r="A546" s="118">
        <v>545</v>
      </c>
      <c r="B546" s="128">
        <v>5</v>
      </c>
      <c r="C546" s="156">
        <v>38353</v>
      </c>
      <c r="D546" s="157" t="s">
        <v>44</v>
      </c>
      <c r="E546" s="8">
        <v>2005</v>
      </c>
      <c r="F546" s="196" t="s">
        <v>41</v>
      </c>
      <c r="G546" s="170">
        <v>2</v>
      </c>
      <c r="H546" s="11" t="s">
        <v>9</v>
      </c>
      <c r="I546" s="198">
        <v>30000</v>
      </c>
      <c r="J546" s="15">
        <v>0.47</v>
      </c>
      <c r="K546" s="15">
        <v>0.3</v>
      </c>
      <c r="L546" s="15">
        <v>0.18</v>
      </c>
      <c r="M546" s="174">
        <v>0</v>
      </c>
      <c r="O546" s="15">
        <v>0</v>
      </c>
      <c r="Q546" s="11">
        <v>7</v>
      </c>
      <c r="R546" s="11">
        <v>21</v>
      </c>
      <c r="T546" s="161">
        <f t="shared" si="134"/>
        <v>9000</v>
      </c>
      <c r="U546" s="161">
        <f t="shared" si="135"/>
        <v>5400</v>
      </c>
      <c r="V546" s="161">
        <f t="shared" si="136"/>
        <v>0</v>
      </c>
      <c r="W546" s="161">
        <f t="shared" si="137"/>
        <v>0</v>
      </c>
    </row>
    <row r="547" spans="1:23" ht="12.75" customHeight="1">
      <c r="A547" s="118">
        <v>546</v>
      </c>
      <c r="B547" s="128">
        <v>5</v>
      </c>
      <c r="C547" s="156">
        <v>38384</v>
      </c>
      <c r="D547" s="157" t="s">
        <v>45</v>
      </c>
      <c r="E547" s="8">
        <v>2005</v>
      </c>
      <c r="F547" s="196" t="s">
        <v>41</v>
      </c>
      <c r="G547" s="170">
        <v>2</v>
      </c>
      <c r="H547" s="11" t="s">
        <v>9</v>
      </c>
      <c r="I547" s="198">
        <v>32000</v>
      </c>
      <c r="J547" s="15">
        <v>0.1</v>
      </c>
      <c r="K547" s="15">
        <v>0.35</v>
      </c>
      <c r="L547" s="15">
        <v>0.2</v>
      </c>
      <c r="M547" s="174">
        <v>0</v>
      </c>
      <c r="O547" s="15">
        <v>0</v>
      </c>
      <c r="Q547" s="11">
        <v>7</v>
      </c>
      <c r="R547" s="11">
        <v>17</v>
      </c>
      <c r="T547" s="161">
        <f t="shared" si="134"/>
        <v>11200</v>
      </c>
      <c r="U547" s="161">
        <f t="shared" si="135"/>
        <v>6400</v>
      </c>
      <c r="V547" s="161">
        <f t="shared" si="136"/>
        <v>0</v>
      </c>
      <c r="W547" s="161">
        <f t="shared" si="137"/>
        <v>0</v>
      </c>
    </row>
    <row r="548" spans="1:23" ht="12.75" customHeight="1">
      <c r="A548" s="118">
        <v>547</v>
      </c>
      <c r="B548" s="128">
        <v>5</v>
      </c>
      <c r="C548" s="156">
        <v>38412</v>
      </c>
      <c r="D548" s="157" t="s">
        <v>46</v>
      </c>
      <c r="E548" s="8">
        <v>2005</v>
      </c>
      <c r="F548" s="196" t="s">
        <v>41</v>
      </c>
      <c r="G548" s="170">
        <v>2</v>
      </c>
      <c r="H548" s="11" t="s">
        <v>9</v>
      </c>
      <c r="I548" s="194">
        <v>35365</v>
      </c>
      <c r="J548" s="15">
        <v>0.09</v>
      </c>
      <c r="K548" s="15">
        <v>0.24</v>
      </c>
      <c r="L548" s="15">
        <v>0.11</v>
      </c>
      <c r="M548" s="174">
        <v>0</v>
      </c>
      <c r="O548" s="15">
        <v>0</v>
      </c>
      <c r="Q548" s="11">
        <v>8</v>
      </c>
      <c r="R548" s="11">
        <v>24</v>
      </c>
      <c r="T548" s="161">
        <f t="shared" si="134"/>
        <v>8487.6</v>
      </c>
      <c r="U548" s="161">
        <f t="shared" si="135"/>
        <v>3890.15</v>
      </c>
      <c r="V548" s="161">
        <f t="shared" si="136"/>
        <v>0</v>
      </c>
      <c r="W548" s="161">
        <f t="shared" si="137"/>
        <v>0</v>
      </c>
    </row>
    <row r="549" spans="1:23" ht="12.75" customHeight="1">
      <c r="A549" s="118">
        <v>548</v>
      </c>
      <c r="B549" s="128">
        <v>5</v>
      </c>
      <c r="C549" s="156">
        <v>38443</v>
      </c>
      <c r="D549" s="157" t="s">
        <v>47</v>
      </c>
      <c r="E549" s="8">
        <v>2005</v>
      </c>
      <c r="F549" s="196" t="s">
        <v>41</v>
      </c>
      <c r="G549" s="170">
        <v>2</v>
      </c>
      <c r="H549" s="11" t="s">
        <v>9</v>
      </c>
      <c r="I549" s="194">
        <v>34467</v>
      </c>
      <c r="J549" s="15">
        <v>0.1</v>
      </c>
      <c r="K549" s="15">
        <v>0.25</v>
      </c>
      <c r="L549" s="15">
        <v>0.2</v>
      </c>
      <c r="M549" s="174">
        <v>0</v>
      </c>
      <c r="O549" s="15">
        <v>0</v>
      </c>
      <c r="Q549" s="11">
        <v>9</v>
      </c>
      <c r="R549" s="11">
        <v>25</v>
      </c>
      <c r="T549" s="161">
        <f t="shared" si="134"/>
        <v>8616.75</v>
      </c>
      <c r="U549" s="161">
        <f t="shared" si="135"/>
        <v>6893.4000000000005</v>
      </c>
      <c r="V549" s="161">
        <f t="shared" si="136"/>
        <v>0</v>
      </c>
      <c r="W549" s="161">
        <f t="shared" si="137"/>
        <v>0</v>
      </c>
    </row>
    <row r="550" spans="1:23" ht="12.75" customHeight="1">
      <c r="A550" s="118">
        <v>549</v>
      </c>
      <c r="B550" s="128">
        <v>5</v>
      </c>
      <c r="C550" s="156">
        <v>38473</v>
      </c>
      <c r="D550" s="157" t="s">
        <v>48</v>
      </c>
      <c r="E550" s="8">
        <v>2005</v>
      </c>
      <c r="F550" s="196" t="s">
        <v>41</v>
      </c>
      <c r="G550" s="170">
        <v>2</v>
      </c>
      <c r="H550" s="11" t="s">
        <v>9</v>
      </c>
      <c r="I550" s="194">
        <v>34343</v>
      </c>
      <c r="J550" s="15">
        <v>0.1</v>
      </c>
      <c r="K550" s="15">
        <v>0.75</v>
      </c>
      <c r="L550" s="15">
        <v>0.3</v>
      </c>
      <c r="M550" s="174">
        <v>0</v>
      </c>
      <c r="O550" s="15">
        <v>0</v>
      </c>
      <c r="Q550" s="11">
        <v>11</v>
      </c>
      <c r="R550" s="11">
        <v>18</v>
      </c>
      <c r="T550" s="161">
        <f t="shared" si="134"/>
        <v>25757.25</v>
      </c>
      <c r="U550" s="161">
        <f t="shared" si="135"/>
        <v>10302.9</v>
      </c>
      <c r="V550" s="161">
        <f t="shared" si="136"/>
        <v>0</v>
      </c>
      <c r="W550" s="161">
        <f t="shared" si="137"/>
        <v>0</v>
      </c>
    </row>
    <row r="551" spans="1:23" ht="12.75" customHeight="1">
      <c r="A551" s="118">
        <v>550</v>
      </c>
      <c r="B551" s="128">
        <v>5</v>
      </c>
      <c r="C551" s="156">
        <v>38504</v>
      </c>
      <c r="D551" s="157" t="s">
        <v>49</v>
      </c>
      <c r="E551" s="8">
        <v>2005</v>
      </c>
      <c r="F551" s="196" t="s">
        <v>41</v>
      </c>
      <c r="G551" s="170">
        <v>2</v>
      </c>
      <c r="H551" s="11" t="s">
        <v>9</v>
      </c>
      <c r="I551" s="194">
        <v>28484</v>
      </c>
      <c r="J551" s="15">
        <v>0</v>
      </c>
      <c r="K551" s="15">
        <v>2.93</v>
      </c>
      <c r="L551" s="15">
        <v>1.53</v>
      </c>
      <c r="M551" s="174">
        <v>1</v>
      </c>
      <c r="O551" s="15">
        <v>0.08</v>
      </c>
      <c r="Q551" s="11">
        <v>11</v>
      </c>
      <c r="R551" s="11">
        <v>13</v>
      </c>
      <c r="T551" s="161">
        <f t="shared" si="134"/>
        <v>83458.12000000001</v>
      </c>
      <c r="U551" s="161">
        <f t="shared" si="135"/>
        <v>43580.520000000004</v>
      </c>
      <c r="V551" s="161">
        <f t="shared" si="136"/>
        <v>2278.7200000000003</v>
      </c>
      <c r="W551" s="161">
        <f t="shared" si="137"/>
        <v>911.48800000000017</v>
      </c>
    </row>
    <row r="552" spans="1:23" ht="12.75" customHeight="1">
      <c r="A552" s="118">
        <v>551</v>
      </c>
      <c r="B552" s="128">
        <v>5</v>
      </c>
      <c r="C552" s="156">
        <v>38534</v>
      </c>
      <c r="D552" s="157" t="s">
        <v>50</v>
      </c>
      <c r="E552" s="8">
        <v>2005</v>
      </c>
      <c r="F552" s="196" t="s">
        <v>41</v>
      </c>
      <c r="G552" s="170">
        <v>2</v>
      </c>
      <c r="H552" s="11" t="s">
        <v>9</v>
      </c>
      <c r="I552" s="194">
        <v>26092</v>
      </c>
      <c r="J552" s="15">
        <v>0.2</v>
      </c>
      <c r="K552" s="15">
        <v>1.23</v>
      </c>
      <c r="L552" s="15">
        <v>0.9</v>
      </c>
      <c r="M552" s="174">
        <v>0</v>
      </c>
      <c r="O552" s="15">
        <v>0</v>
      </c>
      <c r="Q552" s="11">
        <v>11</v>
      </c>
      <c r="R552" s="11">
        <v>8</v>
      </c>
      <c r="T552" s="161">
        <f t="shared" si="134"/>
        <v>32093.16</v>
      </c>
      <c r="U552" s="161">
        <f t="shared" si="135"/>
        <v>23482.799999999999</v>
      </c>
      <c r="V552" s="161">
        <f t="shared" si="136"/>
        <v>0</v>
      </c>
      <c r="W552" s="161">
        <f t="shared" si="137"/>
        <v>0</v>
      </c>
    </row>
    <row r="553" spans="1:23" ht="12.75" customHeight="1">
      <c r="A553" s="118">
        <v>552</v>
      </c>
      <c r="B553" s="128">
        <v>5</v>
      </c>
      <c r="C553" s="156">
        <v>38565</v>
      </c>
      <c r="D553" s="157" t="s">
        <v>51</v>
      </c>
      <c r="E553" s="8">
        <v>2005</v>
      </c>
      <c r="F553" s="196" t="s">
        <v>41</v>
      </c>
      <c r="G553" s="170">
        <v>2</v>
      </c>
      <c r="H553" s="11" t="s">
        <v>9</v>
      </c>
      <c r="I553" s="198">
        <v>26000</v>
      </c>
      <c r="J553" s="15">
        <v>0.03</v>
      </c>
      <c r="K553" s="15">
        <v>0.28000000000000003</v>
      </c>
      <c r="L553" s="15">
        <v>0.13</v>
      </c>
      <c r="M553" s="174">
        <v>1</v>
      </c>
      <c r="O553" s="15">
        <v>0</v>
      </c>
      <c r="Q553" s="11">
        <v>12</v>
      </c>
      <c r="R553" s="11">
        <v>13</v>
      </c>
      <c r="T553" s="161">
        <f t="shared" si="134"/>
        <v>7280.0000000000009</v>
      </c>
      <c r="U553" s="161">
        <f t="shared" si="135"/>
        <v>3380</v>
      </c>
      <c r="V553" s="161">
        <f t="shared" si="136"/>
        <v>0</v>
      </c>
      <c r="W553" s="161">
        <f t="shared" si="137"/>
        <v>0</v>
      </c>
    </row>
    <row r="554" spans="1:23" ht="12.75" customHeight="1">
      <c r="A554" s="118">
        <v>553</v>
      </c>
      <c r="B554" s="128">
        <v>5</v>
      </c>
      <c r="C554" s="156">
        <v>38596</v>
      </c>
      <c r="D554" s="157" t="s">
        <v>52</v>
      </c>
      <c r="E554" s="8">
        <v>2005</v>
      </c>
      <c r="F554" s="196" t="s">
        <v>41</v>
      </c>
      <c r="G554" s="170">
        <v>2</v>
      </c>
      <c r="H554" s="11" t="s">
        <v>9</v>
      </c>
      <c r="I554" s="198">
        <v>26000</v>
      </c>
      <c r="J554" s="15">
        <v>0.1</v>
      </c>
      <c r="K554" s="15">
        <v>1.8</v>
      </c>
      <c r="L554" s="15">
        <v>0.9</v>
      </c>
      <c r="O554" s="15">
        <v>0</v>
      </c>
      <c r="Q554" s="11">
        <v>11</v>
      </c>
      <c r="R554" s="11">
        <v>14</v>
      </c>
      <c r="T554" s="161">
        <f t="shared" si="134"/>
        <v>46800</v>
      </c>
      <c r="U554" s="161">
        <f t="shared" si="135"/>
        <v>23400</v>
      </c>
      <c r="V554" s="161">
        <f t="shared" si="136"/>
        <v>0</v>
      </c>
      <c r="W554" s="161">
        <f t="shared" si="137"/>
        <v>0</v>
      </c>
    </row>
    <row r="555" spans="1:23" ht="12.75" customHeight="1">
      <c r="A555" s="118">
        <v>554</v>
      </c>
      <c r="B555" s="128">
        <v>5</v>
      </c>
      <c r="C555" s="156">
        <v>38626</v>
      </c>
      <c r="D555" s="157" t="s">
        <v>53</v>
      </c>
      <c r="E555" s="8">
        <v>2005</v>
      </c>
      <c r="F555" s="196" t="s">
        <v>41</v>
      </c>
      <c r="G555" s="170">
        <v>2</v>
      </c>
      <c r="H555" s="11" t="s">
        <v>9</v>
      </c>
      <c r="I555" s="198">
        <v>26000</v>
      </c>
      <c r="J555" s="173"/>
      <c r="K555" s="165">
        <f>(K554+K556)/2</f>
        <v>2.2149999999999999</v>
      </c>
      <c r="L555" s="165">
        <f>(L554+L556)/2</f>
        <v>1.375</v>
      </c>
      <c r="N555" s="528">
        <v>1</v>
      </c>
      <c r="O555" s="165">
        <f>(O554+O556)/2</f>
        <v>0</v>
      </c>
      <c r="T555" s="161">
        <f t="shared" si="134"/>
        <v>57589.999999999993</v>
      </c>
      <c r="U555" s="161">
        <f t="shared" si="135"/>
        <v>35750</v>
      </c>
      <c r="V555" s="161">
        <f t="shared" si="136"/>
        <v>0</v>
      </c>
      <c r="W555" s="161">
        <f t="shared" si="137"/>
        <v>0</v>
      </c>
    </row>
    <row r="556" spans="1:23">
      <c r="A556" s="118">
        <v>555</v>
      </c>
      <c r="B556" s="128">
        <v>5</v>
      </c>
      <c r="C556" s="156">
        <v>38657</v>
      </c>
      <c r="D556" s="157" t="s">
        <v>54</v>
      </c>
      <c r="E556" s="8">
        <v>2005</v>
      </c>
      <c r="F556" s="196" t="s">
        <v>41</v>
      </c>
      <c r="G556" s="170">
        <v>2</v>
      </c>
      <c r="H556" s="11" t="s">
        <v>9</v>
      </c>
      <c r="I556" s="198">
        <v>26000</v>
      </c>
      <c r="J556" s="15">
        <v>0</v>
      </c>
      <c r="K556" s="15">
        <v>2.63</v>
      </c>
      <c r="L556" s="15">
        <v>1.85</v>
      </c>
      <c r="O556" s="15">
        <v>0</v>
      </c>
      <c r="Q556" s="11">
        <v>8</v>
      </c>
      <c r="R556" s="11">
        <v>20</v>
      </c>
      <c r="T556" s="161">
        <f t="shared" si="134"/>
        <v>68380</v>
      </c>
      <c r="U556" s="161">
        <f t="shared" si="135"/>
        <v>48100</v>
      </c>
      <c r="V556" s="161">
        <f t="shared" si="136"/>
        <v>0</v>
      </c>
      <c r="W556" s="161">
        <f t="shared" si="137"/>
        <v>0</v>
      </c>
    </row>
    <row r="557" spans="1:23" ht="12.75" customHeight="1">
      <c r="A557" s="118">
        <v>556</v>
      </c>
      <c r="B557" s="128">
        <v>5</v>
      </c>
      <c r="C557" s="156">
        <v>38687</v>
      </c>
      <c r="D557" s="157" t="s">
        <v>55</v>
      </c>
      <c r="E557" s="8">
        <v>2005</v>
      </c>
      <c r="F557" s="196" t="s">
        <v>41</v>
      </c>
      <c r="G557" s="170">
        <v>2</v>
      </c>
      <c r="H557" s="11" t="s">
        <v>9</v>
      </c>
      <c r="I557" s="198">
        <v>26000</v>
      </c>
      <c r="J557" s="15">
        <v>0.38</v>
      </c>
      <c r="K557" s="15">
        <v>2.48</v>
      </c>
      <c r="L557" s="15">
        <v>1.2</v>
      </c>
      <c r="M557" s="174">
        <v>0</v>
      </c>
      <c r="O557" s="15">
        <v>0</v>
      </c>
      <c r="Q557" s="11">
        <v>7</v>
      </c>
      <c r="R557" s="11">
        <v>29</v>
      </c>
      <c r="T557" s="161">
        <f t="shared" si="134"/>
        <v>64480</v>
      </c>
      <c r="U557" s="161">
        <f t="shared" si="135"/>
        <v>31200</v>
      </c>
      <c r="V557" s="161">
        <f t="shared" si="136"/>
        <v>0</v>
      </c>
      <c r="W557" s="161">
        <f t="shared" si="137"/>
        <v>0</v>
      </c>
    </row>
    <row r="558" spans="1:23">
      <c r="A558" s="118">
        <v>557</v>
      </c>
      <c r="B558" s="128">
        <v>5</v>
      </c>
      <c r="C558" s="156">
        <v>38718</v>
      </c>
      <c r="D558" s="157" t="s">
        <v>44</v>
      </c>
      <c r="E558" s="8">
        <v>2006</v>
      </c>
      <c r="F558" s="196" t="s">
        <v>41</v>
      </c>
      <c r="G558" s="170">
        <v>2</v>
      </c>
      <c r="H558" s="11" t="s">
        <v>9</v>
      </c>
      <c r="I558" s="198">
        <v>35000</v>
      </c>
      <c r="J558" s="15">
        <v>0.33</v>
      </c>
      <c r="K558" s="15">
        <v>1.55</v>
      </c>
      <c r="L558" s="15">
        <v>0.78</v>
      </c>
      <c r="M558" s="174">
        <v>1</v>
      </c>
      <c r="O558" s="15">
        <v>0</v>
      </c>
      <c r="Q558" s="11">
        <v>7</v>
      </c>
      <c r="R558" s="11">
        <v>25</v>
      </c>
      <c r="T558" s="161">
        <f t="shared" si="134"/>
        <v>54250</v>
      </c>
      <c r="U558" s="161">
        <f t="shared" si="135"/>
        <v>27300</v>
      </c>
      <c r="V558" s="161">
        <f t="shared" si="136"/>
        <v>0</v>
      </c>
      <c r="W558" s="161">
        <f t="shared" si="137"/>
        <v>0</v>
      </c>
    </row>
    <row r="559" spans="1:23">
      <c r="A559" s="118">
        <v>558</v>
      </c>
      <c r="B559" s="128">
        <v>5</v>
      </c>
      <c r="C559" s="156">
        <v>38749</v>
      </c>
      <c r="D559" s="157" t="s">
        <v>45</v>
      </c>
      <c r="E559" s="8">
        <v>2006</v>
      </c>
      <c r="F559" s="196" t="s">
        <v>41</v>
      </c>
      <c r="G559" s="170">
        <v>2</v>
      </c>
      <c r="H559" s="11" t="s">
        <v>9</v>
      </c>
      <c r="I559" s="198">
        <v>40000</v>
      </c>
      <c r="J559" s="15">
        <v>0.95</v>
      </c>
      <c r="K559" s="15">
        <v>2.4500000000000002</v>
      </c>
      <c r="L559" s="15">
        <v>1.38</v>
      </c>
      <c r="M559" s="174">
        <v>1</v>
      </c>
      <c r="O559" s="15">
        <v>0.13</v>
      </c>
      <c r="Q559" s="11">
        <v>7</v>
      </c>
      <c r="R559" s="11">
        <v>27</v>
      </c>
      <c r="T559" s="161">
        <f t="shared" si="134"/>
        <v>98000</v>
      </c>
      <c r="U559" s="161">
        <f t="shared" si="135"/>
        <v>55199.999999999993</v>
      </c>
      <c r="V559" s="161">
        <f t="shared" si="136"/>
        <v>5200</v>
      </c>
      <c r="W559" s="161">
        <f t="shared" si="137"/>
        <v>2080</v>
      </c>
    </row>
    <row r="560" spans="1:23">
      <c r="A560" s="118">
        <v>559</v>
      </c>
      <c r="B560" s="128">
        <v>5</v>
      </c>
      <c r="C560" s="156">
        <v>38777</v>
      </c>
      <c r="D560" s="157" t="s">
        <v>46</v>
      </c>
      <c r="E560" s="8">
        <v>2006</v>
      </c>
      <c r="F560" s="196" t="s">
        <v>41</v>
      </c>
      <c r="G560" s="170">
        <v>2</v>
      </c>
      <c r="H560" s="11" t="s">
        <v>9</v>
      </c>
      <c r="I560" s="194">
        <v>39541</v>
      </c>
      <c r="J560" s="15">
        <v>0.45</v>
      </c>
      <c r="K560" s="15">
        <v>1.43</v>
      </c>
      <c r="L560" s="15">
        <v>0.8</v>
      </c>
      <c r="M560" s="174">
        <v>0</v>
      </c>
      <c r="O560" s="15">
        <v>0.1</v>
      </c>
      <c r="Q560" s="11">
        <v>7</v>
      </c>
      <c r="R560" s="11">
        <v>28</v>
      </c>
      <c r="T560" s="161">
        <f t="shared" si="134"/>
        <v>56543.63</v>
      </c>
      <c r="U560" s="161">
        <f t="shared" si="135"/>
        <v>31632.800000000003</v>
      </c>
      <c r="V560" s="161">
        <f t="shared" si="136"/>
        <v>3954.1000000000004</v>
      </c>
      <c r="W560" s="161">
        <f t="shared" si="137"/>
        <v>1581.6400000000003</v>
      </c>
    </row>
    <row r="561" spans="1:23">
      <c r="A561" s="118">
        <v>560</v>
      </c>
      <c r="B561" s="128">
        <v>5</v>
      </c>
      <c r="C561" s="156">
        <v>38808</v>
      </c>
      <c r="D561" s="157" t="s">
        <v>47</v>
      </c>
      <c r="E561" s="8">
        <v>2006</v>
      </c>
      <c r="F561" s="196" t="s">
        <v>41</v>
      </c>
      <c r="G561" s="170">
        <v>2</v>
      </c>
      <c r="H561" s="11" t="s">
        <v>9</v>
      </c>
      <c r="I561" s="194">
        <v>39104</v>
      </c>
      <c r="J561" s="15">
        <v>0.03</v>
      </c>
      <c r="K561" s="15">
        <v>6.23</v>
      </c>
      <c r="L561" s="15">
        <v>2.83</v>
      </c>
      <c r="M561" s="174">
        <v>1</v>
      </c>
      <c r="O561" s="15">
        <v>0.15</v>
      </c>
      <c r="P561" s="8">
        <v>1</v>
      </c>
      <c r="Q561" s="11">
        <v>9</v>
      </c>
      <c r="R561" s="11">
        <v>28</v>
      </c>
      <c r="T561" s="161">
        <f t="shared" si="134"/>
        <v>243617.92000000001</v>
      </c>
      <c r="U561" s="161">
        <f t="shared" si="135"/>
        <v>110664.32000000001</v>
      </c>
      <c r="V561" s="161">
        <f t="shared" si="136"/>
        <v>5865.5999999999995</v>
      </c>
      <c r="W561" s="161">
        <f t="shared" si="137"/>
        <v>2346.2399999999998</v>
      </c>
    </row>
    <row r="562" spans="1:23">
      <c r="A562" s="118">
        <v>561</v>
      </c>
      <c r="B562" s="128">
        <v>5</v>
      </c>
      <c r="C562" s="156">
        <v>38838</v>
      </c>
      <c r="D562" s="157" t="s">
        <v>48</v>
      </c>
      <c r="E562" s="8">
        <v>2006</v>
      </c>
      <c r="F562" s="196" t="s">
        <v>41</v>
      </c>
      <c r="G562" s="170">
        <v>2</v>
      </c>
      <c r="H562" s="11" t="s">
        <v>9</v>
      </c>
      <c r="I562" s="194">
        <v>38494</v>
      </c>
      <c r="J562" s="15">
        <v>0</v>
      </c>
      <c r="K562" s="15">
        <v>1.08</v>
      </c>
      <c r="L562" s="15">
        <v>0.25</v>
      </c>
      <c r="M562" s="174">
        <v>0</v>
      </c>
      <c r="O562" s="15">
        <v>0</v>
      </c>
      <c r="Q562" s="11">
        <v>10</v>
      </c>
      <c r="R562" s="11">
        <v>21</v>
      </c>
      <c r="T562" s="161">
        <f t="shared" si="134"/>
        <v>41573.520000000004</v>
      </c>
      <c r="U562" s="161">
        <f t="shared" si="135"/>
        <v>9623.5</v>
      </c>
      <c r="V562" s="161">
        <f t="shared" si="136"/>
        <v>0</v>
      </c>
      <c r="W562" s="161">
        <f t="shared" si="137"/>
        <v>0</v>
      </c>
    </row>
    <row r="563" spans="1:23">
      <c r="A563" s="118">
        <v>562</v>
      </c>
      <c r="B563" s="128">
        <v>5</v>
      </c>
      <c r="C563" s="156">
        <v>38869</v>
      </c>
      <c r="D563" s="157" t="s">
        <v>49</v>
      </c>
      <c r="E563" s="8">
        <v>2006</v>
      </c>
      <c r="F563" s="196" t="s">
        <v>41</v>
      </c>
      <c r="G563" s="170">
        <v>2</v>
      </c>
      <c r="H563" s="11" t="s">
        <v>9</v>
      </c>
      <c r="I563" s="194">
        <v>38389</v>
      </c>
      <c r="J563" s="15">
        <v>0</v>
      </c>
      <c r="K563" s="15">
        <v>0.68</v>
      </c>
      <c r="L563" s="15">
        <v>0.53</v>
      </c>
      <c r="M563" s="174">
        <v>1</v>
      </c>
      <c r="O563" s="15">
        <v>0</v>
      </c>
      <c r="Q563" s="11">
        <v>11</v>
      </c>
      <c r="R563" s="11">
        <v>10</v>
      </c>
      <c r="T563" s="161">
        <f t="shared" si="134"/>
        <v>26104.52</v>
      </c>
      <c r="U563" s="161">
        <f t="shared" si="135"/>
        <v>20346.170000000002</v>
      </c>
      <c r="V563" s="161">
        <f t="shared" si="136"/>
        <v>0</v>
      </c>
      <c r="W563" s="161">
        <f t="shared" si="137"/>
        <v>0</v>
      </c>
    </row>
    <row r="564" spans="1:23">
      <c r="A564" s="118">
        <v>563</v>
      </c>
      <c r="B564" s="128">
        <v>5</v>
      </c>
      <c r="C564" s="156">
        <v>38899</v>
      </c>
      <c r="D564" s="157" t="s">
        <v>50</v>
      </c>
      <c r="E564" s="8">
        <v>2006</v>
      </c>
      <c r="F564" s="196" t="s">
        <v>41</v>
      </c>
      <c r="G564" s="170">
        <v>2</v>
      </c>
      <c r="H564" s="11" t="s">
        <v>9</v>
      </c>
      <c r="I564" s="194">
        <v>37346</v>
      </c>
      <c r="J564" s="15">
        <v>0</v>
      </c>
      <c r="K564" s="15">
        <v>0</v>
      </c>
      <c r="L564" s="15">
        <v>0</v>
      </c>
      <c r="M564" s="174">
        <v>0</v>
      </c>
      <c r="O564" s="15">
        <v>0</v>
      </c>
      <c r="Q564" s="11">
        <v>13</v>
      </c>
      <c r="R564" s="11">
        <v>29</v>
      </c>
      <c r="T564" s="161">
        <f t="shared" ref="T564:T599" si="138">$I564*K564</f>
        <v>0</v>
      </c>
      <c r="U564" s="161">
        <f t="shared" ref="U564:U599" si="139">$I564*L564</f>
        <v>0</v>
      </c>
      <c r="V564" s="161">
        <f t="shared" ref="V564:V599" si="140">$I564*O564</f>
        <v>0</v>
      </c>
      <c r="W564" s="161">
        <f t="shared" si="137"/>
        <v>0</v>
      </c>
    </row>
    <row r="565" spans="1:23">
      <c r="A565" s="118">
        <v>564</v>
      </c>
      <c r="B565" s="128">
        <v>5</v>
      </c>
      <c r="C565" s="156">
        <v>38930</v>
      </c>
      <c r="D565" s="157" t="s">
        <v>51</v>
      </c>
      <c r="E565" s="8">
        <v>2006</v>
      </c>
      <c r="F565" s="196" t="s">
        <v>41</v>
      </c>
      <c r="G565" s="170">
        <v>2</v>
      </c>
      <c r="H565" s="11" t="s">
        <v>9</v>
      </c>
      <c r="I565" s="198">
        <v>37000</v>
      </c>
      <c r="J565" s="15">
        <v>0</v>
      </c>
      <c r="K565" s="15">
        <v>2.5000000000000001E-2</v>
      </c>
      <c r="L565" s="15">
        <v>2.5000000000000001E-2</v>
      </c>
      <c r="M565" s="174">
        <v>0</v>
      </c>
      <c r="O565" s="15">
        <v>0.05</v>
      </c>
      <c r="Q565" s="11">
        <v>12</v>
      </c>
      <c r="R565" s="11">
        <v>16</v>
      </c>
      <c r="T565" s="161">
        <f t="shared" si="138"/>
        <v>925</v>
      </c>
      <c r="U565" s="161">
        <f t="shared" si="139"/>
        <v>925</v>
      </c>
      <c r="V565" s="161">
        <f t="shared" si="140"/>
        <v>1850</v>
      </c>
      <c r="W565" s="161">
        <f t="shared" si="137"/>
        <v>740</v>
      </c>
    </row>
    <row r="566" spans="1:23">
      <c r="A566" s="118">
        <v>565</v>
      </c>
      <c r="B566" s="128">
        <v>5</v>
      </c>
      <c r="C566" s="156">
        <v>38961</v>
      </c>
      <c r="D566" s="157" t="s">
        <v>52</v>
      </c>
      <c r="E566" s="8">
        <v>2006</v>
      </c>
      <c r="F566" s="196" t="s">
        <v>41</v>
      </c>
      <c r="G566" s="170">
        <v>2</v>
      </c>
      <c r="H566" s="11" t="s">
        <v>9</v>
      </c>
      <c r="I566" s="198">
        <v>37000</v>
      </c>
      <c r="J566" s="15">
        <v>0.18</v>
      </c>
      <c r="K566" s="15">
        <v>0.5</v>
      </c>
      <c r="L566" s="15">
        <v>0.28000000000000003</v>
      </c>
      <c r="O566" s="15">
        <v>0.13</v>
      </c>
      <c r="Q566" s="11">
        <v>12</v>
      </c>
      <c r="R566" s="11">
        <v>13</v>
      </c>
      <c r="T566" s="161">
        <f t="shared" si="138"/>
        <v>18500</v>
      </c>
      <c r="U566" s="161">
        <f t="shared" si="139"/>
        <v>10360.000000000002</v>
      </c>
      <c r="V566" s="161">
        <f t="shared" si="140"/>
        <v>4810</v>
      </c>
      <c r="W566" s="161">
        <f t="shared" si="137"/>
        <v>1924</v>
      </c>
    </row>
    <row r="567" spans="1:23">
      <c r="A567" s="118">
        <v>566</v>
      </c>
      <c r="B567" s="128">
        <v>5</v>
      </c>
      <c r="C567" s="156">
        <v>38991</v>
      </c>
      <c r="D567" s="157" t="s">
        <v>53</v>
      </c>
      <c r="E567" s="8">
        <v>2006</v>
      </c>
      <c r="F567" s="196" t="s">
        <v>41</v>
      </c>
      <c r="G567" s="170">
        <v>2</v>
      </c>
      <c r="H567" s="11" t="s">
        <v>9</v>
      </c>
      <c r="I567" s="198">
        <v>37000</v>
      </c>
      <c r="J567" s="173"/>
      <c r="K567" s="165">
        <f>(K566+K568)/2</f>
        <v>0.8125</v>
      </c>
      <c r="L567" s="165">
        <f>(L566+L568)/2</f>
        <v>0.52750000000000008</v>
      </c>
      <c r="N567" s="528">
        <v>1</v>
      </c>
      <c r="O567" s="165">
        <f>(O566+O568)/2</f>
        <v>6.5000000000000002E-2</v>
      </c>
      <c r="T567" s="161">
        <f t="shared" si="138"/>
        <v>30062.5</v>
      </c>
      <c r="U567" s="161">
        <f t="shared" si="139"/>
        <v>19517.500000000004</v>
      </c>
      <c r="V567" s="161">
        <f t="shared" si="140"/>
        <v>2405</v>
      </c>
      <c r="W567" s="161">
        <f t="shared" si="137"/>
        <v>962</v>
      </c>
    </row>
    <row r="568" spans="1:23">
      <c r="A568" s="118">
        <v>567</v>
      </c>
      <c r="B568" s="128">
        <v>5</v>
      </c>
      <c r="C568" s="156">
        <v>39022</v>
      </c>
      <c r="D568" s="157" t="s">
        <v>54</v>
      </c>
      <c r="E568" s="8">
        <v>2006</v>
      </c>
      <c r="F568" s="196" t="s">
        <v>41</v>
      </c>
      <c r="G568" s="170">
        <v>2</v>
      </c>
      <c r="H568" s="11" t="s">
        <v>9</v>
      </c>
      <c r="I568" s="198">
        <v>37000</v>
      </c>
      <c r="J568" s="15">
        <v>0</v>
      </c>
      <c r="K568" s="15">
        <v>1.125</v>
      </c>
      <c r="L568" s="15">
        <v>0.77500000000000002</v>
      </c>
      <c r="O568" s="15">
        <v>0</v>
      </c>
      <c r="Q568" s="11">
        <v>8</v>
      </c>
      <c r="R568" s="11">
        <v>17</v>
      </c>
      <c r="T568" s="161">
        <f t="shared" si="138"/>
        <v>41625</v>
      </c>
      <c r="U568" s="161">
        <f t="shared" si="139"/>
        <v>28675</v>
      </c>
      <c r="V568" s="161">
        <f t="shared" si="140"/>
        <v>0</v>
      </c>
      <c r="W568" s="161">
        <f t="shared" si="137"/>
        <v>0</v>
      </c>
    </row>
    <row r="569" spans="1:23">
      <c r="A569" s="118">
        <v>568</v>
      </c>
      <c r="B569" s="128">
        <v>5</v>
      </c>
      <c r="C569" s="156">
        <v>39052</v>
      </c>
      <c r="D569" s="157" t="s">
        <v>55</v>
      </c>
      <c r="E569" s="8">
        <v>2006</v>
      </c>
      <c r="F569" s="196" t="s">
        <v>41</v>
      </c>
      <c r="G569" s="170">
        <v>2</v>
      </c>
      <c r="H569" s="11" t="s">
        <v>9</v>
      </c>
      <c r="I569" s="198">
        <v>37000</v>
      </c>
      <c r="J569" s="15">
        <v>0</v>
      </c>
      <c r="K569" s="15">
        <v>1.48</v>
      </c>
      <c r="L569" s="15">
        <v>0.63</v>
      </c>
      <c r="M569" s="174">
        <v>1</v>
      </c>
      <c r="O569" s="15">
        <v>0</v>
      </c>
      <c r="Q569" s="11">
        <v>6</v>
      </c>
      <c r="R569" s="11">
        <v>24</v>
      </c>
      <c r="T569" s="161">
        <f t="shared" si="138"/>
        <v>54760</v>
      </c>
      <c r="U569" s="161">
        <f t="shared" si="139"/>
        <v>23310</v>
      </c>
      <c r="V569" s="161">
        <f t="shared" si="140"/>
        <v>0</v>
      </c>
      <c r="W569" s="161">
        <f t="shared" si="137"/>
        <v>0</v>
      </c>
    </row>
    <row r="570" spans="1:23" ht="12.75" customHeight="1">
      <c r="A570" s="118">
        <v>569</v>
      </c>
      <c r="B570" s="128">
        <v>5</v>
      </c>
      <c r="C570" s="156">
        <v>39083</v>
      </c>
      <c r="D570" s="157" t="s">
        <v>44</v>
      </c>
      <c r="E570" s="8">
        <v>2007</v>
      </c>
      <c r="F570" s="127"/>
      <c r="G570" s="127"/>
      <c r="H570" s="127" t="s">
        <v>9</v>
      </c>
      <c r="I570" s="197">
        <v>43000</v>
      </c>
      <c r="J570" s="191">
        <v>0</v>
      </c>
      <c r="K570" s="191">
        <v>2.1</v>
      </c>
      <c r="L570" s="191">
        <v>0.97499999999999998</v>
      </c>
      <c r="M570" s="193">
        <v>0</v>
      </c>
      <c r="N570" s="529"/>
      <c r="O570" s="191">
        <v>0</v>
      </c>
      <c r="P570" s="192"/>
      <c r="Q570" s="127">
        <v>6</v>
      </c>
      <c r="R570" s="127">
        <v>25</v>
      </c>
      <c r="S570" s="243"/>
      <c r="T570" s="161">
        <f t="shared" si="138"/>
        <v>90300</v>
      </c>
      <c r="U570" s="161">
        <f t="shared" si="139"/>
        <v>41925</v>
      </c>
      <c r="V570" s="161">
        <f t="shared" si="140"/>
        <v>0</v>
      </c>
      <c r="W570" s="161">
        <f t="shared" si="137"/>
        <v>0</v>
      </c>
    </row>
    <row r="571" spans="1:23" ht="12.75" customHeight="1">
      <c r="A571" s="118">
        <v>570</v>
      </c>
      <c r="B571" s="128">
        <v>5</v>
      </c>
      <c r="C571" s="156">
        <v>39114</v>
      </c>
      <c r="D571" s="157" t="s">
        <v>45</v>
      </c>
      <c r="E571" s="8">
        <v>2007</v>
      </c>
      <c r="F571" s="127"/>
      <c r="G571" s="127"/>
      <c r="H571" s="127" t="s">
        <v>9</v>
      </c>
      <c r="I571" s="168">
        <v>42716</v>
      </c>
      <c r="J571" s="191">
        <v>0</v>
      </c>
      <c r="K571" s="191">
        <v>1.4</v>
      </c>
      <c r="L571" s="191">
        <v>0.98</v>
      </c>
      <c r="M571" s="193">
        <v>0</v>
      </c>
      <c r="N571" s="529"/>
      <c r="O571" s="191">
        <v>0</v>
      </c>
      <c r="P571" s="192"/>
      <c r="Q571" s="127">
        <v>7</v>
      </c>
      <c r="R571" s="127">
        <v>21</v>
      </c>
      <c r="S571" s="243"/>
      <c r="T571" s="161">
        <f t="shared" si="138"/>
        <v>59802.399999999994</v>
      </c>
      <c r="U571" s="161">
        <f t="shared" si="139"/>
        <v>41861.68</v>
      </c>
      <c r="V571" s="161">
        <f t="shared" si="140"/>
        <v>0</v>
      </c>
      <c r="W571" s="161">
        <f t="shared" si="137"/>
        <v>0</v>
      </c>
    </row>
    <row r="572" spans="1:23" ht="12.75" customHeight="1">
      <c r="A572" s="118">
        <v>571</v>
      </c>
      <c r="B572" s="128">
        <v>5</v>
      </c>
      <c r="C572" s="156">
        <v>39142</v>
      </c>
      <c r="D572" s="157" t="s">
        <v>46</v>
      </c>
      <c r="E572" s="8">
        <v>2007</v>
      </c>
      <c r="F572" s="127"/>
      <c r="G572" s="127"/>
      <c r="H572" s="127" t="s">
        <v>9</v>
      </c>
      <c r="I572" s="168">
        <v>42388</v>
      </c>
      <c r="J572" s="191">
        <v>0</v>
      </c>
      <c r="K572" s="191">
        <v>4.4800000000000004</v>
      </c>
      <c r="L572" s="191">
        <v>3.5</v>
      </c>
      <c r="M572" s="193">
        <v>1</v>
      </c>
      <c r="N572" s="529"/>
      <c r="O572" s="191">
        <v>0.23</v>
      </c>
      <c r="P572" s="192"/>
      <c r="Q572" s="127">
        <v>6</v>
      </c>
      <c r="R572" s="127">
        <v>18</v>
      </c>
      <c r="S572" s="243"/>
      <c r="T572" s="161">
        <f t="shared" si="138"/>
        <v>189898.24000000002</v>
      </c>
      <c r="U572" s="161">
        <f t="shared" si="139"/>
        <v>148358</v>
      </c>
      <c r="V572" s="161">
        <f t="shared" si="140"/>
        <v>9749.24</v>
      </c>
      <c r="W572" s="161">
        <f t="shared" si="137"/>
        <v>3899.6959999999999</v>
      </c>
    </row>
    <row r="573" spans="1:23" ht="12.75" customHeight="1">
      <c r="A573" s="118">
        <v>572</v>
      </c>
      <c r="B573" s="128">
        <v>5</v>
      </c>
      <c r="C573" s="156">
        <v>39173</v>
      </c>
      <c r="D573" s="157" t="s">
        <v>47</v>
      </c>
      <c r="E573" s="8">
        <v>2007</v>
      </c>
      <c r="F573" s="127"/>
      <c r="G573" s="127"/>
      <c r="H573" s="127" t="s">
        <v>9</v>
      </c>
      <c r="I573" s="168">
        <v>41584</v>
      </c>
      <c r="J573" s="191">
        <v>0</v>
      </c>
      <c r="K573" s="191">
        <v>0.8</v>
      </c>
      <c r="L573" s="191">
        <v>0.3</v>
      </c>
      <c r="M573" s="193">
        <v>1</v>
      </c>
      <c r="N573" s="529"/>
      <c r="O573" s="191">
        <v>0</v>
      </c>
      <c r="P573" s="192"/>
      <c r="Q573" s="127">
        <v>8</v>
      </c>
      <c r="R573" s="127">
        <v>18</v>
      </c>
      <c r="S573" s="243"/>
      <c r="T573" s="161">
        <f t="shared" si="138"/>
        <v>33267.200000000004</v>
      </c>
      <c r="U573" s="161">
        <f t="shared" si="139"/>
        <v>12475.199999999999</v>
      </c>
      <c r="V573" s="161">
        <f t="shared" si="140"/>
        <v>0</v>
      </c>
      <c r="W573" s="161">
        <f t="shared" si="137"/>
        <v>0</v>
      </c>
    </row>
    <row r="574" spans="1:23" ht="12.75" customHeight="1">
      <c r="A574" s="118">
        <v>573</v>
      </c>
      <c r="B574" s="128">
        <v>5</v>
      </c>
      <c r="C574" s="156">
        <v>39203</v>
      </c>
      <c r="D574" s="157" t="s">
        <v>48</v>
      </c>
      <c r="E574" s="8">
        <v>2007</v>
      </c>
      <c r="F574" s="127"/>
      <c r="G574" s="127"/>
      <c r="H574" s="127" t="s">
        <v>9</v>
      </c>
      <c r="I574" s="168">
        <v>39336</v>
      </c>
      <c r="J574" s="191">
        <v>0</v>
      </c>
      <c r="K574" s="191">
        <v>2.85</v>
      </c>
      <c r="L574" s="191">
        <v>1</v>
      </c>
      <c r="M574" s="193">
        <v>1</v>
      </c>
      <c r="N574" s="529"/>
      <c r="O574" s="191">
        <v>0</v>
      </c>
      <c r="P574" s="192"/>
      <c r="Q574" s="127">
        <v>9</v>
      </c>
      <c r="R574" s="127">
        <v>17</v>
      </c>
      <c r="S574" s="243"/>
      <c r="T574" s="161">
        <f t="shared" si="138"/>
        <v>112107.6</v>
      </c>
      <c r="U574" s="161">
        <f t="shared" si="139"/>
        <v>39336</v>
      </c>
      <c r="V574" s="161">
        <f t="shared" si="140"/>
        <v>0</v>
      </c>
      <c r="W574" s="161">
        <f t="shared" si="137"/>
        <v>0</v>
      </c>
    </row>
    <row r="575" spans="1:23" ht="12.75" customHeight="1">
      <c r="A575" s="118">
        <v>574</v>
      </c>
      <c r="B575" s="128">
        <v>5</v>
      </c>
      <c r="C575" s="156">
        <v>39234</v>
      </c>
      <c r="D575" s="157" t="s">
        <v>49</v>
      </c>
      <c r="E575" s="8">
        <v>2007</v>
      </c>
      <c r="F575" s="127"/>
      <c r="G575" s="127"/>
      <c r="H575" s="127" t="s">
        <v>9</v>
      </c>
      <c r="I575" s="160">
        <v>38702</v>
      </c>
      <c r="J575" s="191">
        <v>0.05</v>
      </c>
      <c r="K575" s="191">
        <v>0.1</v>
      </c>
      <c r="L575" s="191">
        <v>0</v>
      </c>
      <c r="M575" s="193">
        <v>0</v>
      </c>
      <c r="N575" s="529"/>
      <c r="O575" s="191">
        <v>0</v>
      </c>
      <c r="P575" s="192"/>
      <c r="Q575" s="127">
        <v>10</v>
      </c>
      <c r="R575" s="127">
        <v>10</v>
      </c>
      <c r="S575" s="243"/>
      <c r="T575" s="161">
        <f t="shared" si="138"/>
        <v>3870.2000000000003</v>
      </c>
      <c r="U575" s="161">
        <f t="shared" si="139"/>
        <v>0</v>
      </c>
      <c r="V575" s="161">
        <f t="shared" si="140"/>
        <v>0</v>
      </c>
      <c r="W575" s="161">
        <f t="shared" si="137"/>
        <v>0</v>
      </c>
    </row>
    <row r="576" spans="1:23" ht="12.75" customHeight="1">
      <c r="A576" s="118">
        <v>575</v>
      </c>
      <c r="B576" s="128">
        <v>5</v>
      </c>
      <c r="C576" s="156">
        <v>39264</v>
      </c>
      <c r="D576" s="157" t="s">
        <v>50</v>
      </c>
      <c r="E576" s="8">
        <v>2007</v>
      </c>
      <c r="F576" s="127"/>
      <c r="G576" s="127"/>
      <c r="H576" s="127" t="s">
        <v>9</v>
      </c>
      <c r="I576" s="160">
        <v>37841</v>
      </c>
      <c r="J576" s="191">
        <v>0</v>
      </c>
      <c r="K576" s="191">
        <v>0</v>
      </c>
      <c r="L576" s="191">
        <v>0</v>
      </c>
      <c r="M576" s="193">
        <v>0</v>
      </c>
      <c r="N576" s="529"/>
      <c r="O576" s="191">
        <v>0</v>
      </c>
      <c r="P576" s="192"/>
      <c r="Q576" s="127">
        <v>11</v>
      </c>
      <c r="R576" s="127">
        <v>10</v>
      </c>
      <c r="S576" s="243"/>
      <c r="T576" s="161">
        <f t="shared" si="138"/>
        <v>0</v>
      </c>
      <c r="U576" s="161">
        <f t="shared" si="139"/>
        <v>0</v>
      </c>
      <c r="V576" s="161">
        <f t="shared" si="140"/>
        <v>0</v>
      </c>
      <c r="W576" s="161">
        <f t="shared" si="137"/>
        <v>0</v>
      </c>
    </row>
    <row r="577" spans="1:23" ht="12.75" customHeight="1">
      <c r="A577" s="118">
        <v>576</v>
      </c>
      <c r="B577" s="128">
        <v>5</v>
      </c>
      <c r="C577" s="156">
        <v>39295</v>
      </c>
      <c r="D577" s="157" t="s">
        <v>51</v>
      </c>
      <c r="E577" s="8">
        <v>2007</v>
      </c>
      <c r="F577" s="127"/>
      <c r="G577" s="127"/>
      <c r="H577" s="127" t="s">
        <v>9</v>
      </c>
      <c r="I577" s="160">
        <v>37309</v>
      </c>
      <c r="J577" s="191">
        <v>0</v>
      </c>
      <c r="K577" s="191">
        <v>0</v>
      </c>
      <c r="L577" s="191">
        <v>0</v>
      </c>
      <c r="M577" s="193">
        <v>0</v>
      </c>
      <c r="N577" s="529"/>
      <c r="O577" s="191">
        <v>0</v>
      </c>
      <c r="P577" s="192"/>
      <c r="Q577" s="127">
        <v>11</v>
      </c>
      <c r="R577" s="127">
        <v>12</v>
      </c>
      <c r="S577" s="243"/>
      <c r="T577" s="161">
        <f t="shared" si="138"/>
        <v>0</v>
      </c>
      <c r="U577" s="161">
        <f t="shared" si="139"/>
        <v>0</v>
      </c>
      <c r="V577" s="161">
        <f t="shared" si="140"/>
        <v>0</v>
      </c>
      <c r="W577" s="161">
        <f t="shared" si="137"/>
        <v>0</v>
      </c>
    </row>
    <row r="578" spans="1:23" ht="12.75" customHeight="1">
      <c r="A578" s="118">
        <v>577</v>
      </c>
      <c r="B578" s="128">
        <v>5</v>
      </c>
      <c r="C578" s="156">
        <v>39326</v>
      </c>
      <c r="D578" s="157" t="s">
        <v>52</v>
      </c>
      <c r="E578" s="8">
        <v>2007</v>
      </c>
      <c r="F578" s="127"/>
      <c r="G578" s="127"/>
      <c r="H578" s="127" t="s">
        <v>9</v>
      </c>
      <c r="I578" s="160">
        <v>36976</v>
      </c>
      <c r="J578" s="191">
        <v>0</v>
      </c>
      <c r="K578" s="191">
        <v>0.03</v>
      </c>
      <c r="L578" s="191">
        <v>0.02</v>
      </c>
      <c r="M578" s="193">
        <v>0</v>
      </c>
      <c r="N578" s="529"/>
      <c r="O578" s="191">
        <v>0</v>
      </c>
      <c r="P578" s="192"/>
      <c r="Q578" s="128">
        <v>11</v>
      </c>
      <c r="R578" s="128">
        <v>17</v>
      </c>
      <c r="S578" s="243"/>
      <c r="T578" s="161">
        <f t="shared" si="138"/>
        <v>1109.28</v>
      </c>
      <c r="U578" s="161">
        <f t="shared" si="139"/>
        <v>739.52</v>
      </c>
      <c r="V578" s="161">
        <f t="shared" si="140"/>
        <v>0</v>
      </c>
      <c r="W578" s="161">
        <f t="shared" si="137"/>
        <v>0</v>
      </c>
    </row>
    <row r="579" spans="1:23" ht="12.75" customHeight="1">
      <c r="A579" s="118">
        <v>578</v>
      </c>
      <c r="B579" s="128">
        <v>5</v>
      </c>
      <c r="C579" s="156">
        <v>39356</v>
      </c>
      <c r="D579" s="157" t="s">
        <v>53</v>
      </c>
      <c r="E579" s="8">
        <v>2007</v>
      </c>
      <c r="F579" s="127"/>
      <c r="G579" s="127"/>
      <c r="H579" s="127" t="s">
        <v>9</v>
      </c>
      <c r="I579" s="160">
        <v>35994</v>
      </c>
      <c r="J579" s="191">
        <v>0</v>
      </c>
      <c r="K579" s="191">
        <v>7.0000000000000007E-2</v>
      </c>
      <c r="L579" s="191">
        <v>7.0000000000000007E-2</v>
      </c>
      <c r="M579" s="193"/>
      <c r="N579" s="529"/>
      <c r="O579" s="191">
        <v>0</v>
      </c>
      <c r="P579" s="192"/>
      <c r="Q579" s="127">
        <v>9</v>
      </c>
      <c r="R579" s="127">
        <v>19</v>
      </c>
      <c r="S579" s="243"/>
      <c r="T579" s="161">
        <f t="shared" si="138"/>
        <v>2519.5800000000004</v>
      </c>
      <c r="U579" s="161">
        <f t="shared" si="139"/>
        <v>2519.5800000000004</v>
      </c>
      <c r="V579" s="161">
        <f t="shared" si="140"/>
        <v>0</v>
      </c>
      <c r="W579" s="161">
        <f t="shared" si="137"/>
        <v>0</v>
      </c>
    </row>
    <row r="580" spans="1:23" ht="12.75" customHeight="1">
      <c r="A580" s="118">
        <v>579</v>
      </c>
      <c r="B580" s="128">
        <v>5</v>
      </c>
      <c r="C580" s="156">
        <v>39387</v>
      </c>
      <c r="D580" s="157" t="s">
        <v>54</v>
      </c>
      <c r="E580" s="8">
        <v>2007</v>
      </c>
      <c r="F580" s="127"/>
      <c r="G580" s="127"/>
      <c r="H580" s="127" t="s">
        <v>9</v>
      </c>
      <c r="I580" s="160">
        <v>33144</v>
      </c>
      <c r="J580" s="173"/>
      <c r="K580" s="165">
        <f>(K579+K581)/2</f>
        <v>0.13500000000000001</v>
      </c>
      <c r="L580" s="165">
        <f>(L579+L581)/2</f>
        <v>7.0000000000000007E-2</v>
      </c>
      <c r="N580" s="528">
        <v>1</v>
      </c>
      <c r="O580" s="165">
        <f>(O579+O581)/2</f>
        <v>2.5000000000000001E-2</v>
      </c>
      <c r="P580" s="192"/>
      <c r="Q580" s="127"/>
      <c r="R580" s="127"/>
      <c r="S580" s="243"/>
      <c r="T580" s="161">
        <f t="shared" si="138"/>
        <v>4474.4400000000005</v>
      </c>
      <c r="U580" s="161">
        <f t="shared" si="139"/>
        <v>2320.0800000000004</v>
      </c>
      <c r="V580" s="161">
        <f t="shared" si="140"/>
        <v>828.6</v>
      </c>
      <c r="W580" s="161">
        <f t="shared" si="137"/>
        <v>331.44000000000005</v>
      </c>
    </row>
    <row r="581" spans="1:23" ht="12.75" customHeight="1">
      <c r="A581" s="118">
        <v>580</v>
      </c>
      <c r="B581" s="128">
        <v>5</v>
      </c>
      <c r="C581" s="156">
        <v>39417</v>
      </c>
      <c r="D581" s="157" t="s">
        <v>55</v>
      </c>
      <c r="E581" s="8">
        <v>2007</v>
      </c>
      <c r="F581" s="127"/>
      <c r="G581" s="127"/>
      <c r="H581" s="127" t="s">
        <v>9</v>
      </c>
      <c r="I581" s="160">
        <v>31481</v>
      </c>
      <c r="J581" s="191">
        <v>0.18</v>
      </c>
      <c r="K581" s="191">
        <v>0.2</v>
      </c>
      <c r="L581" s="191">
        <v>7.0000000000000007E-2</v>
      </c>
      <c r="M581" s="193"/>
      <c r="N581" s="529"/>
      <c r="O581" s="191">
        <v>0.05</v>
      </c>
      <c r="P581" s="192"/>
      <c r="Q581" s="127">
        <v>7</v>
      </c>
      <c r="R581" s="127">
        <v>24</v>
      </c>
      <c r="S581" s="243"/>
      <c r="T581" s="161">
        <f t="shared" si="138"/>
        <v>6296.2000000000007</v>
      </c>
      <c r="U581" s="161">
        <f t="shared" si="139"/>
        <v>2203.67</v>
      </c>
      <c r="V581" s="161">
        <f t="shared" si="140"/>
        <v>1574.0500000000002</v>
      </c>
      <c r="W581" s="161">
        <f t="shared" si="137"/>
        <v>629.62000000000012</v>
      </c>
    </row>
    <row r="582" spans="1:23" ht="12.75" customHeight="1">
      <c r="A582" s="118">
        <v>581</v>
      </c>
      <c r="B582" s="128">
        <v>5</v>
      </c>
      <c r="C582" s="156">
        <v>39448</v>
      </c>
      <c r="D582" s="157" t="s">
        <v>44</v>
      </c>
      <c r="E582" s="127">
        <v>2008</v>
      </c>
      <c r="F582" s="127"/>
      <c r="G582" s="127"/>
      <c r="H582" s="127" t="s">
        <v>9</v>
      </c>
      <c r="I582" s="168">
        <v>31316</v>
      </c>
      <c r="J582" s="118">
        <v>0.1</v>
      </c>
      <c r="K582" s="118">
        <v>0.35</v>
      </c>
      <c r="L582" s="118">
        <v>0.05</v>
      </c>
      <c r="M582" s="193">
        <v>0</v>
      </c>
      <c r="N582" s="529"/>
      <c r="O582" s="118">
        <v>0</v>
      </c>
      <c r="P582" s="192"/>
      <c r="Q582" s="193"/>
      <c r="R582" s="193"/>
      <c r="S582" s="243"/>
      <c r="T582" s="161">
        <f t="shared" si="138"/>
        <v>10960.599999999999</v>
      </c>
      <c r="U582" s="161">
        <f t="shared" si="139"/>
        <v>1565.8000000000002</v>
      </c>
      <c r="V582" s="161">
        <f t="shared" si="140"/>
        <v>0</v>
      </c>
      <c r="W582" s="161">
        <f t="shared" si="137"/>
        <v>0</v>
      </c>
    </row>
    <row r="583" spans="1:23" ht="12.75" customHeight="1">
      <c r="A583" s="118">
        <v>582</v>
      </c>
      <c r="B583" s="128">
        <v>5</v>
      </c>
      <c r="C583" s="156">
        <v>39479</v>
      </c>
      <c r="D583" s="157" t="s">
        <v>45</v>
      </c>
      <c r="E583" s="127">
        <v>2008</v>
      </c>
      <c r="F583" s="127"/>
      <c r="G583" s="127"/>
      <c r="H583" s="127" t="s">
        <v>9</v>
      </c>
      <c r="I583" s="168">
        <v>37733</v>
      </c>
      <c r="J583" s="118">
        <v>0.6</v>
      </c>
      <c r="K583" s="118">
        <v>0.32500000000000001</v>
      </c>
      <c r="L583" s="118">
        <v>0.1</v>
      </c>
      <c r="M583" s="193">
        <v>0</v>
      </c>
      <c r="N583" s="529"/>
      <c r="O583" s="118">
        <v>0.15</v>
      </c>
      <c r="P583" s="192"/>
      <c r="Q583" s="193"/>
      <c r="R583" s="193"/>
      <c r="S583" s="243"/>
      <c r="T583" s="161">
        <f t="shared" si="138"/>
        <v>12263.225</v>
      </c>
      <c r="U583" s="161">
        <f t="shared" si="139"/>
        <v>3773.3</v>
      </c>
      <c r="V583" s="161">
        <f t="shared" si="140"/>
        <v>5659.95</v>
      </c>
      <c r="W583" s="161">
        <f t="shared" si="137"/>
        <v>2263.98</v>
      </c>
    </row>
    <row r="584" spans="1:23" ht="12.75" customHeight="1">
      <c r="A584" s="118">
        <v>583</v>
      </c>
      <c r="B584" s="128">
        <v>5</v>
      </c>
      <c r="C584" s="156">
        <v>39508</v>
      </c>
      <c r="D584" s="157" t="s">
        <v>46</v>
      </c>
      <c r="E584" s="127">
        <v>2008</v>
      </c>
      <c r="F584" s="127"/>
      <c r="G584" s="127"/>
      <c r="H584" s="127" t="s">
        <v>9</v>
      </c>
      <c r="I584" s="168">
        <v>36883</v>
      </c>
      <c r="J584" s="118">
        <v>0.18</v>
      </c>
      <c r="K584" s="118">
        <v>0</v>
      </c>
      <c r="L584" s="118">
        <v>0</v>
      </c>
      <c r="M584" s="193">
        <v>0</v>
      </c>
      <c r="N584" s="529"/>
      <c r="O584" s="118">
        <v>0</v>
      </c>
      <c r="P584" s="192"/>
      <c r="Q584" s="193"/>
      <c r="R584" s="193"/>
      <c r="S584" s="243"/>
      <c r="T584" s="161">
        <f t="shared" si="138"/>
        <v>0</v>
      </c>
      <c r="U584" s="161">
        <f t="shared" si="139"/>
        <v>0</v>
      </c>
      <c r="V584" s="161">
        <f t="shared" si="140"/>
        <v>0</v>
      </c>
      <c r="W584" s="161">
        <f t="shared" si="137"/>
        <v>0</v>
      </c>
    </row>
    <row r="585" spans="1:23" ht="12.75" customHeight="1">
      <c r="A585" s="118">
        <v>584</v>
      </c>
      <c r="B585" s="128">
        <v>5</v>
      </c>
      <c r="C585" s="156">
        <v>39539</v>
      </c>
      <c r="D585" s="157" t="s">
        <v>47</v>
      </c>
      <c r="E585" s="127">
        <v>2008</v>
      </c>
      <c r="F585" s="127"/>
      <c r="G585" s="127"/>
      <c r="H585" s="127" t="s">
        <v>9</v>
      </c>
      <c r="I585" s="168">
        <v>39429</v>
      </c>
      <c r="J585" s="118">
        <v>0.23</v>
      </c>
      <c r="K585" s="118">
        <v>0.38</v>
      </c>
      <c r="L585" s="118">
        <v>0.1</v>
      </c>
      <c r="M585" s="193">
        <v>0</v>
      </c>
      <c r="N585" s="529"/>
      <c r="O585" s="118">
        <v>0</v>
      </c>
      <c r="P585" s="192"/>
      <c r="Q585" s="193"/>
      <c r="R585" s="193"/>
      <c r="S585" s="243"/>
      <c r="T585" s="161">
        <f t="shared" si="138"/>
        <v>14983.02</v>
      </c>
      <c r="U585" s="161">
        <f t="shared" si="139"/>
        <v>3942.9</v>
      </c>
      <c r="V585" s="161">
        <f t="shared" si="140"/>
        <v>0</v>
      </c>
      <c r="W585" s="161">
        <f t="shared" si="137"/>
        <v>0</v>
      </c>
    </row>
    <row r="586" spans="1:23" ht="12.75" customHeight="1">
      <c r="A586" s="118">
        <v>585</v>
      </c>
      <c r="B586" s="128">
        <v>5</v>
      </c>
      <c r="C586" s="156">
        <v>39569</v>
      </c>
      <c r="D586" s="157" t="s">
        <v>48</v>
      </c>
      <c r="E586" s="127">
        <v>2008</v>
      </c>
      <c r="F586" s="127"/>
      <c r="G586" s="127"/>
      <c r="H586" s="127" t="s">
        <v>9</v>
      </c>
      <c r="I586" s="160">
        <v>38982</v>
      </c>
      <c r="J586" s="164">
        <v>0.15</v>
      </c>
      <c r="K586" s="164">
        <v>1</v>
      </c>
      <c r="L586" s="164">
        <v>0.35</v>
      </c>
      <c r="M586" s="193">
        <v>1</v>
      </c>
      <c r="N586" s="529"/>
      <c r="O586" s="164">
        <v>0</v>
      </c>
      <c r="P586" s="192"/>
      <c r="Q586" s="193">
        <v>8</v>
      </c>
      <c r="R586" s="193">
        <v>30</v>
      </c>
      <c r="S586" s="243"/>
      <c r="T586" s="161">
        <f t="shared" si="138"/>
        <v>38982</v>
      </c>
      <c r="U586" s="161">
        <f t="shared" si="139"/>
        <v>13643.699999999999</v>
      </c>
      <c r="V586" s="161">
        <f t="shared" si="140"/>
        <v>0</v>
      </c>
      <c r="W586" s="161">
        <f t="shared" si="137"/>
        <v>0</v>
      </c>
    </row>
    <row r="587" spans="1:23" ht="12.75" customHeight="1">
      <c r="A587" s="118">
        <v>586</v>
      </c>
      <c r="B587" s="128">
        <v>5</v>
      </c>
      <c r="C587" s="156">
        <v>39600</v>
      </c>
      <c r="D587" s="157" t="s">
        <v>49</v>
      </c>
      <c r="E587" s="127">
        <v>2008</v>
      </c>
      <c r="F587" s="127"/>
      <c r="G587" s="127"/>
      <c r="H587" s="127" t="s">
        <v>9</v>
      </c>
      <c r="I587" s="160">
        <v>36001</v>
      </c>
      <c r="J587" s="164">
        <v>0</v>
      </c>
      <c r="K587" s="164">
        <v>0.2</v>
      </c>
      <c r="L587" s="164">
        <v>0.05</v>
      </c>
      <c r="M587" s="193">
        <v>1</v>
      </c>
      <c r="N587" s="529"/>
      <c r="O587" s="164">
        <v>0</v>
      </c>
      <c r="P587" s="192"/>
      <c r="Q587" s="193"/>
      <c r="R587" s="193"/>
      <c r="S587" s="243"/>
      <c r="T587" s="161">
        <f t="shared" si="138"/>
        <v>7200.2000000000007</v>
      </c>
      <c r="U587" s="161">
        <f t="shared" si="139"/>
        <v>1800.0500000000002</v>
      </c>
      <c r="V587" s="161">
        <f t="shared" si="140"/>
        <v>0</v>
      </c>
      <c r="W587" s="161">
        <f t="shared" si="137"/>
        <v>0</v>
      </c>
    </row>
    <row r="588" spans="1:23" ht="12.75" customHeight="1">
      <c r="A588" s="118">
        <v>587</v>
      </c>
      <c r="B588" s="128">
        <v>5</v>
      </c>
      <c r="C588" s="156">
        <v>39630</v>
      </c>
      <c r="D588" s="176" t="s">
        <v>50</v>
      </c>
      <c r="E588" s="127">
        <v>2008</v>
      </c>
      <c r="F588" s="127"/>
      <c r="G588" s="127"/>
      <c r="H588" s="127" t="s">
        <v>9</v>
      </c>
      <c r="I588" s="160">
        <v>36000</v>
      </c>
      <c r="J588" s="164">
        <v>0</v>
      </c>
      <c r="K588" s="164">
        <v>0.35</v>
      </c>
      <c r="L588" s="164">
        <v>0.22</v>
      </c>
      <c r="M588" s="193">
        <v>1</v>
      </c>
      <c r="N588" s="529"/>
      <c r="O588" s="164">
        <v>0</v>
      </c>
      <c r="P588" s="127"/>
      <c r="Q588" s="127"/>
      <c r="R588" s="193"/>
      <c r="S588" s="240"/>
      <c r="T588" s="161">
        <f t="shared" si="138"/>
        <v>12600</v>
      </c>
      <c r="U588" s="161">
        <f t="shared" si="139"/>
        <v>7920</v>
      </c>
      <c r="V588" s="161">
        <f t="shared" si="140"/>
        <v>0</v>
      </c>
      <c r="W588" s="161">
        <f t="shared" si="137"/>
        <v>0</v>
      </c>
    </row>
    <row r="589" spans="1:23" ht="12.75" customHeight="1">
      <c r="A589" s="118">
        <v>588</v>
      </c>
      <c r="B589" s="128">
        <v>5</v>
      </c>
      <c r="C589" s="156">
        <v>39661</v>
      </c>
      <c r="D589" s="176" t="s">
        <v>51</v>
      </c>
      <c r="E589" s="127">
        <v>2008</v>
      </c>
      <c r="F589" s="127"/>
      <c r="G589" s="127"/>
      <c r="H589" s="127" t="s">
        <v>9</v>
      </c>
      <c r="I589" s="160">
        <v>32000</v>
      </c>
      <c r="J589" s="164">
        <v>0</v>
      </c>
      <c r="K589" s="164">
        <v>0.03</v>
      </c>
      <c r="L589" s="164">
        <v>0.08</v>
      </c>
      <c r="M589" s="193">
        <v>1</v>
      </c>
      <c r="N589" s="529"/>
      <c r="O589" s="164">
        <v>0</v>
      </c>
      <c r="P589" s="127"/>
      <c r="Q589" s="127"/>
      <c r="R589" s="193"/>
      <c r="S589" s="240"/>
      <c r="T589" s="161">
        <f t="shared" si="138"/>
        <v>960</v>
      </c>
      <c r="U589" s="161">
        <f t="shared" si="139"/>
        <v>2560</v>
      </c>
      <c r="V589" s="161">
        <f t="shared" si="140"/>
        <v>0</v>
      </c>
      <c r="W589" s="161">
        <f t="shared" si="137"/>
        <v>0</v>
      </c>
    </row>
    <row r="590" spans="1:23" ht="12.75" customHeight="1">
      <c r="A590" s="118">
        <v>589</v>
      </c>
      <c r="B590" s="128">
        <v>5</v>
      </c>
      <c r="C590" s="156">
        <v>39692</v>
      </c>
      <c r="D590" s="176" t="s">
        <v>52</v>
      </c>
      <c r="E590" s="127">
        <v>2008</v>
      </c>
      <c r="F590" s="127"/>
      <c r="G590" s="127"/>
      <c r="H590" s="127" t="s">
        <v>9</v>
      </c>
      <c r="I590" s="160">
        <v>32000</v>
      </c>
      <c r="J590" s="164">
        <v>0.1</v>
      </c>
      <c r="K590" s="164">
        <v>0.4</v>
      </c>
      <c r="L590" s="164">
        <v>0.4</v>
      </c>
      <c r="M590" s="193">
        <v>1</v>
      </c>
      <c r="N590" s="529"/>
      <c r="O590" s="164">
        <v>0</v>
      </c>
      <c r="P590" s="127"/>
      <c r="Q590" s="127"/>
      <c r="R590" s="193"/>
      <c r="S590" s="240"/>
      <c r="T590" s="161">
        <f t="shared" si="138"/>
        <v>12800</v>
      </c>
      <c r="U590" s="161">
        <f t="shared" si="139"/>
        <v>12800</v>
      </c>
      <c r="V590" s="161">
        <f t="shared" si="140"/>
        <v>0</v>
      </c>
      <c r="W590" s="161">
        <f t="shared" si="137"/>
        <v>0</v>
      </c>
    </row>
    <row r="591" spans="1:23" ht="12.75" customHeight="1">
      <c r="A591" s="118">
        <v>590</v>
      </c>
      <c r="B591" s="128">
        <v>5</v>
      </c>
      <c r="C591" s="156">
        <v>39722</v>
      </c>
      <c r="D591" s="176" t="s">
        <v>53</v>
      </c>
      <c r="E591" s="127">
        <v>2008</v>
      </c>
      <c r="F591" s="127"/>
      <c r="G591" s="127"/>
      <c r="H591" s="127" t="s">
        <v>9</v>
      </c>
      <c r="I591" s="160">
        <v>32000</v>
      </c>
      <c r="J591" s="164">
        <v>0.02</v>
      </c>
      <c r="K591" s="164">
        <v>0.17</v>
      </c>
      <c r="L591" s="164">
        <v>0.08</v>
      </c>
      <c r="M591" s="193">
        <v>0</v>
      </c>
      <c r="N591" s="529"/>
      <c r="O591" s="164">
        <v>0</v>
      </c>
      <c r="P591" s="127"/>
      <c r="Q591" s="127"/>
      <c r="R591" s="193"/>
      <c r="S591" s="240"/>
      <c r="T591" s="161">
        <f t="shared" si="138"/>
        <v>5440</v>
      </c>
      <c r="U591" s="161">
        <f t="shared" si="139"/>
        <v>2560</v>
      </c>
      <c r="V591" s="161">
        <f t="shared" si="140"/>
        <v>0</v>
      </c>
      <c r="W591" s="161">
        <f t="shared" si="137"/>
        <v>0</v>
      </c>
    </row>
    <row r="592" spans="1:23" ht="12.75" customHeight="1">
      <c r="A592" s="118">
        <v>591</v>
      </c>
      <c r="B592" s="128">
        <v>5</v>
      </c>
      <c r="C592" s="156">
        <v>39753</v>
      </c>
      <c r="D592" s="176" t="s">
        <v>54</v>
      </c>
      <c r="E592" s="127">
        <v>2008</v>
      </c>
      <c r="F592" s="127"/>
      <c r="G592" s="127"/>
      <c r="H592" s="127" t="s">
        <v>9</v>
      </c>
      <c r="I592" s="160">
        <v>31000</v>
      </c>
      <c r="J592" s="164">
        <v>2.5000000000000001E-2</v>
      </c>
      <c r="K592" s="164">
        <v>0.17499999999999999</v>
      </c>
      <c r="L592" s="164">
        <v>0.1</v>
      </c>
      <c r="M592" s="193">
        <v>0</v>
      </c>
      <c r="N592" s="529"/>
      <c r="O592" s="164">
        <v>0</v>
      </c>
      <c r="P592" s="127"/>
      <c r="Q592" s="127"/>
      <c r="R592" s="193"/>
      <c r="S592" s="240"/>
      <c r="T592" s="161">
        <f t="shared" si="138"/>
        <v>5425</v>
      </c>
      <c r="U592" s="161">
        <f t="shared" si="139"/>
        <v>3100</v>
      </c>
      <c r="V592" s="161">
        <f t="shared" si="140"/>
        <v>0</v>
      </c>
      <c r="W592" s="161">
        <f t="shared" si="137"/>
        <v>0</v>
      </c>
    </row>
    <row r="593" spans="1:23" ht="12.75" customHeight="1">
      <c r="A593" s="118">
        <v>592</v>
      </c>
      <c r="B593" s="128">
        <v>5</v>
      </c>
      <c r="C593" s="156">
        <v>39783</v>
      </c>
      <c r="D593" s="176" t="s">
        <v>55</v>
      </c>
      <c r="E593" s="127">
        <v>2008</v>
      </c>
      <c r="F593" s="127"/>
      <c r="G593" s="127"/>
      <c r="H593" s="127" t="s">
        <v>9</v>
      </c>
      <c r="I593" s="160">
        <v>29000</v>
      </c>
      <c r="J593" s="164">
        <v>2.5000000000000001E-2</v>
      </c>
      <c r="K593" s="164">
        <v>0.375</v>
      </c>
      <c r="L593" s="164">
        <v>0.15</v>
      </c>
      <c r="M593" s="193">
        <v>0</v>
      </c>
      <c r="N593" s="529"/>
      <c r="O593" s="164">
        <v>0</v>
      </c>
      <c r="P593" s="127"/>
      <c r="Q593" s="127"/>
      <c r="R593" s="193"/>
      <c r="S593" s="240"/>
      <c r="T593" s="161">
        <f t="shared" si="138"/>
        <v>10875</v>
      </c>
      <c r="U593" s="161">
        <f t="shared" si="139"/>
        <v>4350</v>
      </c>
      <c r="V593" s="161">
        <f t="shared" si="140"/>
        <v>0</v>
      </c>
      <c r="W593" s="161">
        <f t="shared" si="137"/>
        <v>0</v>
      </c>
    </row>
    <row r="594" spans="1:23" ht="12.75" customHeight="1">
      <c r="A594" s="118">
        <v>593</v>
      </c>
      <c r="B594" s="128">
        <v>5</v>
      </c>
      <c r="C594" s="156">
        <v>39814</v>
      </c>
      <c r="D594" s="157" t="s">
        <v>44</v>
      </c>
      <c r="E594" s="127">
        <v>2009</v>
      </c>
      <c r="F594" s="118"/>
      <c r="G594" s="118"/>
      <c r="H594" s="127" t="s">
        <v>9</v>
      </c>
      <c r="I594" s="125">
        <v>27080</v>
      </c>
      <c r="J594" s="164">
        <v>0</v>
      </c>
      <c r="K594" s="164">
        <v>0.35833333333333334</v>
      </c>
      <c r="L594" s="164">
        <v>0.17499999999999999</v>
      </c>
      <c r="M594" s="193">
        <v>0</v>
      </c>
      <c r="N594" s="529"/>
      <c r="O594" s="164">
        <v>7.4999999999999997E-2</v>
      </c>
      <c r="P594" s="118"/>
      <c r="Q594" s="118"/>
      <c r="R594" s="118"/>
      <c r="S594" s="221"/>
      <c r="T594" s="161">
        <f t="shared" si="138"/>
        <v>9703.6666666666661</v>
      </c>
      <c r="U594" s="161">
        <f t="shared" si="139"/>
        <v>4739</v>
      </c>
      <c r="V594" s="161">
        <f t="shared" si="140"/>
        <v>2031</v>
      </c>
      <c r="W594" s="161">
        <f t="shared" si="137"/>
        <v>812.40000000000009</v>
      </c>
    </row>
    <row r="595" spans="1:23" ht="12.75" customHeight="1">
      <c r="A595" s="118">
        <v>594</v>
      </c>
      <c r="B595" s="128">
        <v>5</v>
      </c>
      <c r="C595" s="156">
        <v>39845</v>
      </c>
      <c r="D595" s="157" t="s">
        <v>45</v>
      </c>
      <c r="E595" s="127">
        <v>2009</v>
      </c>
      <c r="F595" s="118"/>
      <c r="G595" s="118"/>
      <c r="H595" s="127" t="s">
        <v>9</v>
      </c>
      <c r="I595" s="125">
        <v>25640</v>
      </c>
      <c r="J595" s="164">
        <v>2.5000000000000001E-2</v>
      </c>
      <c r="K595" s="164">
        <v>0.75</v>
      </c>
      <c r="L595" s="164">
        <v>0.17499999999999999</v>
      </c>
      <c r="M595" s="193">
        <v>0</v>
      </c>
      <c r="N595" s="529"/>
      <c r="O595" s="164">
        <v>0.1</v>
      </c>
      <c r="P595" s="118"/>
      <c r="Q595" s="118"/>
      <c r="R595" s="118"/>
      <c r="S595" s="221"/>
      <c r="T595" s="161">
        <f t="shared" si="138"/>
        <v>19230</v>
      </c>
      <c r="U595" s="161">
        <f t="shared" si="139"/>
        <v>4487</v>
      </c>
      <c r="V595" s="161">
        <f t="shared" si="140"/>
        <v>2564</v>
      </c>
      <c r="W595" s="161">
        <f t="shared" si="137"/>
        <v>1025.6000000000001</v>
      </c>
    </row>
    <row r="596" spans="1:23" ht="12.75" customHeight="1">
      <c r="A596" s="118">
        <v>595</v>
      </c>
      <c r="B596" s="128">
        <v>5</v>
      </c>
      <c r="C596" s="156">
        <v>39873</v>
      </c>
      <c r="D596" s="157" t="s">
        <v>46</v>
      </c>
      <c r="E596" s="127">
        <v>2009</v>
      </c>
      <c r="F596" s="118"/>
      <c r="G596" s="118"/>
      <c r="H596" s="127" t="s">
        <v>9</v>
      </c>
      <c r="I596" s="125">
        <v>42165</v>
      </c>
      <c r="J596" s="164">
        <v>0.57499999999999996</v>
      </c>
      <c r="K596" s="164">
        <v>2.2250000000000001</v>
      </c>
      <c r="L596" s="164">
        <v>0.92500000000000004</v>
      </c>
      <c r="M596" s="193">
        <v>2</v>
      </c>
      <c r="N596" s="529"/>
      <c r="O596" s="164">
        <v>0</v>
      </c>
      <c r="P596" s="118"/>
      <c r="Q596" s="118"/>
      <c r="R596" s="118"/>
      <c r="S596" s="221"/>
      <c r="T596" s="161">
        <f t="shared" si="138"/>
        <v>93817.125</v>
      </c>
      <c r="U596" s="161">
        <f t="shared" si="139"/>
        <v>39002.625</v>
      </c>
      <c r="V596" s="161">
        <f t="shared" si="140"/>
        <v>0</v>
      </c>
      <c r="W596" s="161">
        <f t="shared" ref="W596:W599" si="141">V596*0.4</f>
        <v>0</v>
      </c>
    </row>
    <row r="597" spans="1:23" ht="12.75" customHeight="1">
      <c r="A597" s="118">
        <v>596</v>
      </c>
      <c r="B597" s="128">
        <v>5</v>
      </c>
      <c r="C597" s="156">
        <v>39904</v>
      </c>
      <c r="D597" s="157" t="s">
        <v>47</v>
      </c>
      <c r="E597" s="127">
        <v>2009</v>
      </c>
      <c r="F597" s="118"/>
      <c r="G597" s="118"/>
      <c r="H597" s="127" t="s">
        <v>9</v>
      </c>
      <c r="I597" s="125">
        <v>41965</v>
      </c>
      <c r="J597" s="164">
        <v>7.4999999999999997E-2</v>
      </c>
      <c r="K597" s="164">
        <v>0.55000000000000004</v>
      </c>
      <c r="L597" s="164">
        <v>0.22500000000000001</v>
      </c>
      <c r="M597" s="193">
        <v>0</v>
      </c>
      <c r="N597" s="529"/>
      <c r="O597" s="164">
        <v>0</v>
      </c>
      <c r="P597" s="118">
        <v>1</v>
      </c>
      <c r="Q597" s="118"/>
      <c r="R597" s="118"/>
      <c r="S597" s="221"/>
      <c r="T597" s="161">
        <f t="shared" si="138"/>
        <v>23080.750000000004</v>
      </c>
      <c r="U597" s="161">
        <f t="shared" si="139"/>
        <v>9442.125</v>
      </c>
      <c r="V597" s="161">
        <f t="shared" si="140"/>
        <v>0</v>
      </c>
      <c r="W597" s="161">
        <f t="shared" si="141"/>
        <v>0</v>
      </c>
    </row>
    <row r="598" spans="1:23" ht="12.75" customHeight="1">
      <c r="A598" s="118">
        <v>597</v>
      </c>
      <c r="B598" s="128">
        <v>5</v>
      </c>
      <c r="C598" s="156">
        <v>39934</v>
      </c>
      <c r="D598" s="157" t="s">
        <v>48</v>
      </c>
      <c r="E598" s="127">
        <v>2009</v>
      </c>
      <c r="F598" s="118"/>
      <c r="G598" s="118"/>
      <c r="H598" s="127" t="s">
        <v>9</v>
      </c>
      <c r="I598" s="125">
        <v>41635</v>
      </c>
      <c r="J598" s="164">
        <v>0.08</v>
      </c>
      <c r="K598" s="164">
        <v>0.4</v>
      </c>
      <c r="L598" s="164">
        <v>0.3</v>
      </c>
      <c r="M598" s="193">
        <v>0</v>
      </c>
      <c r="N598" s="529"/>
      <c r="O598" s="164">
        <v>0</v>
      </c>
      <c r="P598" s="118"/>
      <c r="Q598" s="118"/>
      <c r="R598" s="118"/>
      <c r="S598" s="221"/>
      <c r="T598" s="161">
        <f t="shared" si="138"/>
        <v>16654</v>
      </c>
      <c r="U598" s="161">
        <f t="shared" si="139"/>
        <v>12490.5</v>
      </c>
      <c r="V598" s="161">
        <f t="shared" si="140"/>
        <v>0</v>
      </c>
      <c r="W598" s="161">
        <f t="shared" si="141"/>
        <v>0</v>
      </c>
    </row>
    <row r="599" spans="1:23" ht="12.75" customHeight="1">
      <c r="A599" s="118">
        <v>598</v>
      </c>
      <c r="B599" s="128">
        <v>5</v>
      </c>
      <c r="C599" s="156">
        <v>39965</v>
      </c>
      <c r="D599" s="157" t="s">
        <v>49</v>
      </c>
      <c r="E599" s="127">
        <v>2009</v>
      </c>
      <c r="F599" s="118"/>
      <c r="G599" s="118"/>
      <c r="H599" s="127" t="s">
        <v>9</v>
      </c>
      <c r="I599" s="125">
        <v>41130</v>
      </c>
      <c r="J599" s="164">
        <v>0</v>
      </c>
      <c r="K599" s="164">
        <v>0.05</v>
      </c>
      <c r="L599" s="164">
        <v>0</v>
      </c>
      <c r="M599" s="193">
        <v>0</v>
      </c>
      <c r="N599" s="529"/>
      <c r="O599" s="164">
        <v>0</v>
      </c>
      <c r="P599" s="118"/>
      <c r="Q599" s="118"/>
      <c r="R599" s="118"/>
      <c r="S599" s="221"/>
      <c r="T599" s="161">
        <f t="shared" si="138"/>
        <v>2056.5</v>
      </c>
      <c r="U599" s="161">
        <f t="shared" si="139"/>
        <v>0</v>
      </c>
      <c r="V599" s="161">
        <f t="shared" si="140"/>
        <v>0</v>
      </c>
      <c r="W599" s="161">
        <f t="shared" si="141"/>
        <v>0</v>
      </c>
    </row>
    <row r="600" spans="1:23" ht="12.75" customHeight="1">
      <c r="A600" s="118">
        <v>599</v>
      </c>
      <c r="B600" s="128">
        <v>5</v>
      </c>
      <c r="C600" s="156">
        <v>39995</v>
      </c>
      <c r="D600" s="157" t="s">
        <v>50</v>
      </c>
      <c r="E600" s="127">
        <v>2009</v>
      </c>
      <c r="F600" s="118"/>
      <c r="G600" s="118"/>
      <c r="H600" s="127" t="s">
        <v>9</v>
      </c>
      <c r="I600" s="125">
        <v>38394</v>
      </c>
      <c r="J600" s="164">
        <v>0.01</v>
      </c>
      <c r="K600" s="164">
        <v>7.4999999999999997E-2</v>
      </c>
      <c r="L600" s="164">
        <v>0.05</v>
      </c>
      <c r="M600" s="193">
        <v>0</v>
      </c>
      <c r="N600" s="529"/>
      <c r="O600" s="164">
        <v>0</v>
      </c>
      <c r="P600" s="118"/>
      <c r="Q600" s="118"/>
      <c r="R600" s="118"/>
      <c r="S600" s="221"/>
      <c r="T600" s="161">
        <f t="shared" ref="T600:T605" si="142">$I600*K600</f>
        <v>2879.5499999999997</v>
      </c>
      <c r="U600" s="161">
        <f t="shared" ref="U600:U605" si="143">$I600*L600</f>
        <v>1919.7</v>
      </c>
      <c r="V600" s="161">
        <f t="shared" ref="V600:V605" si="144">$I600*O600</f>
        <v>0</v>
      </c>
      <c r="W600" s="161">
        <f t="shared" ref="W600:W605" si="145">V600*0.4</f>
        <v>0</v>
      </c>
    </row>
    <row r="601" spans="1:23" ht="12.75" customHeight="1">
      <c r="A601" s="118">
        <v>600</v>
      </c>
      <c r="B601" s="128">
        <v>5</v>
      </c>
      <c r="C601" s="156">
        <v>40026</v>
      </c>
      <c r="D601" s="157" t="s">
        <v>51</v>
      </c>
      <c r="E601" s="127">
        <v>2009</v>
      </c>
      <c r="F601" s="118"/>
      <c r="G601" s="118"/>
      <c r="H601" s="127" t="s">
        <v>9</v>
      </c>
      <c r="I601" s="125">
        <v>33676</v>
      </c>
      <c r="J601" s="164">
        <v>0</v>
      </c>
      <c r="K601" s="164">
        <v>2.5000000000000001E-2</v>
      </c>
      <c r="L601" s="164">
        <v>2.5000000000000001E-2</v>
      </c>
      <c r="M601" s="193">
        <v>0</v>
      </c>
      <c r="N601" s="529"/>
      <c r="O601" s="164">
        <v>0</v>
      </c>
      <c r="P601" s="118"/>
      <c r="Q601" s="118"/>
      <c r="R601" s="118"/>
      <c r="S601" s="221"/>
      <c r="T601" s="161">
        <f t="shared" si="142"/>
        <v>841.90000000000009</v>
      </c>
      <c r="U601" s="161">
        <f t="shared" si="143"/>
        <v>841.90000000000009</v>
      </c>
      <c r="V601" s="161">
        <f t="shared" si="144"/>
        <v>0</v>
      </c>
      <c r="W601" s="161">
        <f t="shared" si="145"/>
        <v>0</v>
      </c>
    </row>
    <row r="602" spans="1:23" ht="12.75" customHeight="1">
      <c r="A602" s="118">
        <v>601</v>
      </c>
      <c r="B602" s="128">
        <v>5</v>
      </c>
      <c r="C602" s="156">
        <v>40057</v>
      </c>
      <c r="D602" s="157" t="s">
        <v>52</v>
      </c>
      <c r="E602" s="127">
        <v>2009</v>
      </c>
      <c r="F602" s="118"/>
      <c r="G602" s="118"/>
      <c r="H602" s="127" t="s">
        <v>9</v>
      </c>
      <c r="I602" s="125">
        <v>33415</v>
      </c>
      <c r="J602" s="164">
        <v>0</v>
      </c>
      <c r="K602" s="164">
        <v>0</v>
      </c>
      <c r="L602" s="164">
        <v>0</v>
      </c>
      <c r="M602" s="193">
        <v>0</v>
      </c>
      <c r="N602" s="529"/>
      <c r="O602" s="164">
        <v>0</v>
      </c>
      <c r="P602" s="118"/>
      <c r="Q602" s="118"/>
      <c r="R602" s="118"/>
      <c r="S602" s="221"/>
      <c r="T602" s="161">
        <f t="shared" si="142"/>
        <v>0</v>
      </c>
      <c r="U602" s="161">
        <f t="shared" si="143"/>
        <v>0</v>
      </c>
      <c r="V602" s="161">
        <f t="shared" si="144"/>
        <v>0</v>
      </c>
      <c r="W602" s="161">
        <f t="shared" si="145"/>
        <v>0</v>
      </c>
    </row>
    <row r="603" spans="1:23" ht="12.75" customHeight="1">
      <c r="A603" s="118">
        <v>602</v>
      </c>
      <c r="B603" s="128">
        <v>5</v>
      </c>
      <c r="C603" s="156">
        <v>40087</v>
      </c>
      <c r="D603" s="157" t="s">
        <v>53</v>
      </c>
      <c r="E603" s="127">
        <v>2009</v>
      </c>
      <c r="F603" s="118"/>
      <c r="G603" s="118"/>
      <c r="H603" s="127" t="s">
        <v>9</v>
      </c>
      <c r="I603" s="125">
        <v>33238</v>
      </c>
      <c r="J603" s="164">
        <v>0</v>
      </c>
      <c r="K603" s="164">
        <v>0.09</v>
      </c>
      <c r="L603" s="164">
        <v>0.03</v>
      </c>
      <c r="M603" s="193">
        <v>0</v>
      </c>
      <c r="N603" s="529"/>
      <c r="O603" s="164">
        <v>0</v>
      </c>
      <c r="P603" s="118"/>
      <c r="Q603" s="118"/>
      <c r="R603" s="118"/>
      <c r="S603" s="221"/>
      <c r="T603" s="161">
        <f t="shared" si="142"/>
        <v>2991.42</v>
      </c>
      <c r="U603" s="161">
        <f t="shared" si="143"/>
        <v>997.14</v>
      </c>
      <c r="V603" s="161">
        <f t="shared" si="144"/>
        <v>0</v>
      </c>
      <c r="W603" s="161">
        <f t="shared" si="145"/>
        <v>0</v>
      </c>
    </row>
    <row r="604" spans="1:23" ht="12.75" customHeight="1">
      <c r="A604" s="118">
        <v>603</v>
      </c>
      <c r="B604" s="128">
        <v>5</v>
      </c>
      <c r="C604" s="156">
        <v>40118</v>
      </c>
      <c r="D604" s="157" t="s">
        <v>54</v>
      </c>
      <c r="E604" s="127">
        <v>2009</v>
      </c>
      <c r="F604" s="118"/>
      <c r="G604" s="118"/>
      <c r="H604" s="127" t="s">
        <v>9</v>
      </c>
      <c r="I604" s="125">
        <v>32813</v>
      </c>
      <c r="J604" s="164">
        <v>0.01</v>
      </c>
      <c r="K604" s="164">
        <v>7.4999999999999997E-2</v>
      </c>
      <c r="L604" s="164">
        <v>2.5000000000000001E-2</v>
      </c>
      <c r="M604" s="193">
        <v>0</v>
      </c>
      <c r="N604" s="529"/>
      <c r="O604" s="164">
        <v>0</v>
      </c>
      <c r="P604" s="118"/>
      <c r="Q604" s="118"/>
      <c r="R604" s="118"/>
      <c r="S604" s="221"/>
      <c r="T604" s="161">
        <f t="shared" si="142"/>
        <v>2460.9749999999999</v>
      </c>
      <c r="U604" s="161">
        <f t="shared" si="143"/>
        <v>820.32500000000005</v>
      </c>
      <c r="V604" s="161">
        <f t="shared" si="144"/>
        <v>0</v>
      </c>
      <c r="W604" s="161">
        <f t="shared" si="145"/>
        <v>0</v>
      </c>
    </row>
    <row r="605" spans="1:23" ht="12.75" customHeight="1">
      <c r="A605" s="118">
        <v>604</v>
      </c>
      <c r="B605" s="128">
        <v>5</v>
      </c>
      <c r="C605" s="156">
        <v>40148</v>
      </c>
      <c r="D605" s="157" t="s">
        <v>55</v>
      </c>
      <c r="E605" s="127">
        <v>2009</v>
      </c>
      <c r="F605" s="118"/>
      <c r="G605" s="118"/>
      <c r="H605" s="127" t="s">
        <v>9</v>
      </c>
      <c r="I605" s="125">
        <v>30503</v>
      </c>
      <c r="J605" s="164">
        <v>0</v>
      </c>
      <c r="K605" s="164">
        <v>0.2</v>
      </c>
      <c r="L605" s="164">
        <v>2.5000000000000001E-2</v>
      </c>
      <c r="M605" s="193"/>
      <c r="N605" s="529"/>
      <c r="O605" s="164">
        <v>7.4999999999999997E-2</v>
      </c>
      <c r="P605" s="118"/>
      <c r="Q605" s="118"/>
      <c r="R605" s="118"/>
      <c r="S605" s="221"/>
      <c r="T605" s="161">
        <f t="shared" si="142"/>
        <v>6100.6</v>
      </c>
      <c r="U605" s="161">
        <f t="shared" si="143"/>
        <v>762.57500000000005</v>
      </c>
      <c r="V605" s="161">
        <f t="shared" si="144"/>
        <v>2287.7249999999999</v>
      </c>
      <c r="W605" s="161">
        <f t="shared" si="145"/>
        <v>915.09</v>
      </c>
    </row>
    <row r="606" spans="1:23" ht="12.75" customHeight="1">
      <c r="A606" s="118">
        <v>605</v>
      </c>
      <c r="B606" s="128">
        <v>6</v>
      </c>
      <c r="C606" s="156">
        <v>36526</v>
      </c>
      <c r="D606" s="157" t="s">
        <v>44</v>
      </c>
      <c r="E606" s="8">
        <v>2000</v>
      </c>
      <c r="F606" s="158">
        <f t="shared" ref="F606:F623" si="146">C606-H606</f>
        <v>61</v>
      </c>
      <c r="G606" s="158">
        <f t="shared" ref="G606:G623" si="147">IF(F606&lt;365,1,2)</f>
        <v>1</v>
      </c>
      <c r="H606" s="172">
        <v>36465</v>
      </c>
      <c r="I606" s="163">
        <v>401567</v>
      </c>
      <c r="J606" s="11"/>
      <c r="K606" s="166"/>
      <c r="L606" s="11"/>
      <c r="O606" s="11"/>
      <c r="S606" s="155" t="s">
        <v>23</v>
      </c>
      <c r="T606" s="166"/>
      <c r="V606" s="11"/>
      <c r="W606" s="11"/>
    </row>
    <row r="607" spans="1:23" ht="12.75" customHeight="1">
      <c r="A607" s="118">
        <v>606</v>
      </c>
      <c r="B607" s="128">
        <v>6</v>
      </c>
      <c r="C607" s="156">
        <v>36557</v>
      </c>
      <c r="D607" s="157" t="s">
        <v>45</v>
      </c>
      <c r="E607" s="8">
        <v>2000</v>
      </c>
      <c r="F607" s="158">
        <f t="shared" si="146"/>
        <v>92</v>
      </c>
      <c r="G607" s="158">
        <f t="shared" si="147"/>
        <v>1</v>
      </c>
      <c r="H607" s="172">
        <v>36465</v>
      </c>
      <c r="I607" s="163">
        <v>400312</v>
      </c>
      <c r="J607" s="11"/>
      <c r="K607" s="166"/>
      <c r="L607" s="11"/>
      <c r="O607" s="11"/>
      <c r="T607" s="166"/>
      <c r="V607" s="11"/>
      <c r="W607" s="11"/>
    </row>
    <row r="608" spans="1:23" ht="12.75" customHeight="1">
      <c r="A608" s="118">
        <v>607</v>
      </c>
      <c r="B608" s="128">
        <v>6</v>
      </c>
      <c r="C608" s="156">
        <v>36586</v>
      </c>
      <c r="D608" s="157" t="s">
        <v>46</v>
      </c>
      <c r="E608" s="8">
        <v>2000</v>
      </c>
      <c r="F608" s="158">
        <f t="shared" si="146"/>
        <v>121</v>
      </c>
      <c r="G608" s="158">
        <f t="shared" si="147"/>
        <v>1</v>
      </c>
      <c r="H608" s="172">
        <v>36465</v>
      </c>
      <c r="I608" s="163">
        <v>398718</v>
      </c>
      <c r="J608" s="11"/>
      <c r="K608" s="166"/>
      <c r="L608" s="11"/>
      <c r="O608" s="11"/>
      <c r="T608" s="166"/>
      <c r="V608" s="11"/>
      <c r="W608" s="11"/>
    </row>
    <row r="609" spans="1:23" ht="12.75" customHeight="1">
      <c r="A609" s="118">
        <v>608</v>
      </c>
      <c r="B609" s="128">
        <v>6</v>
      </c>
      <c r="C609" s="156">
        <v>36617</v>
      </c>
      <c r="D609" s="157" t="s">
        <v>47</v>
      </c>
      <c r="E609" s="8">
        <v>2000</v>
      </c>
      <c r="F609" s="158">
        <f t="shared" si="146"/>
        <v>152</v>
      </c>
      <c r="G609" s="158">
        <f t="shared" si="147"/>
        <v>1</v>
      </c>
      <c r="H609" s="172">
        <v>36465</v>
      </c>
      <c r="I609" s="163">
        <v>398235</v>
      </c>
      <c r="J609" s="11"/>
      <c r="K609" s="166"/>
      <c r="L609" s="11"/>
      <c r="O609" s="11"/>
      <c r="T609" s="166"/>
      <c r="V609" s="11"/>
      <c r="W609" s="11"/>
    </row>
    <row r="610" spans="1:23" ht="12.75" customHeight="1">
      <c r="A610" s="118">
        <v>609</v>
      </c>
      <c r="B610" s="128">
        <v>6</v>
      </c>
      <c r="C610" s="156">
        <v>36647</v>
      </c>
      <c r="D610" s="157" t="s">
        <v>48</v>
      </c>
      <c r="E610" s="8">
        <v>2000</v>
      </c>
      <c r="F610" s="158">
        <f t="shared" si="146"/>
        <v>182</v>
      </c>
      <c r="G610" s="158">
        <f t="shared" si="147"/>
        <v>1</v>
      </c>
      <c r="H610" s="172">
        <v>36465</v>
      </c>
      <c r="I610" s="163">
        <v>397600</v>
      </c>
      <c r="J610" s="11"/>
      <c r="K610" s="166"/>
      <c r="L610" s="11"/>
      <c r="O610" s="11"/>
      <c r="T610" s="166"/>
      <c r="V610" s="11"/>
      <c r="W610" s="11"/>
    </row>
    <row r="611" spans="1:23" ht="12.75" customHeight="1">
      <c r="A611" s="118">
        <v>610</v>
      </c>
      <c r="B611" s="128">
        <v>6</v>
      </c>
      <c r="C611" s="156">
        <v>36678</v>
      </c>
      <c r="D611" s="157" t="s">
        <v>49</v>
      </c>
      <c r="E611" s="8">
        <v>2000</v>
      </c>
      <c r="F611" s="158">
        <f t="shared" si="146"/>
        <v>213</v>
      </c>
      <c r="G611" s="158">
        <f t="shared" si="147"/>
        <v>1</v>
      </c>
      <c r="H611" s="172">
        <v>36465</v>
      </c>
      <c r="I611" s="163">
        <v>397304</v>
      </c>
      <c r="J611" s="11"/>
      <c r="K611" s="166"/>
      <c r="L611" s="11"/>
      <c r="O611" s="11"/>
      <c r="T611" s="166"/>
      <c r="V611" s="11"/>
      <c r="W611" s="11"/>
    </row>
    <row r="612" spans="1:23" ht="12.75" customHeight="1">
      <c r="A612" s="118">
        <v>611</v>
      </c>
      <c r="B612" s="128">
        <v>6</v>
      </c>
      <c r="C612" s="156">
        <v>36708</v>
      </c>
      <c r="D612" s="157" t="s">
        <v>50</v>
      </c>
      <c r="E612" s="8">
        <v>2000</v>
      </c>
      <c r="F612" s="158">
        <f t="shared" si="146"/>
        <v>243</v>
      </c>
      <c r="G612" s="158">
        <f t="shared" si="147"/>
        <v>1</v>
      </c>
      <c r="H612" s="172">
        <v>36465</v>
      </c>
      <c r="I612" s="163">
        <v>396105</v>
      </c>
      <c r="J612" s="11"/>
      <c r="K612" s="166"/>
      <c r="L612" s="11"/>
      <c r="Q612" s="15"/>
      <c r="R612" s="15"/>
      <c r="T612" s="166"/>
    </row>
    <row r="613" spans="1:23" ht="12.75" customHeight="1">
      <c r="A613" s="118">
        <v>612</v>
      </c>
      <c r="B613" s="128">
        <v>6</v>
      </c>
      <c r="C613" s="156">
        <v>36739</v>
      </c>
      <c r="D613" s="157" t="s">
        <v>51</v>
      </c>
      <c r="E613" s="8">
        <v>2000</v>
      </c>
      <c r="F613" s="158">
        <f t="shared" si="146"/>
        <v>274</v>
      </c>
      <c r="G613" s="158">
        <f t="shared" si="147"/>
        <v>1</v>
      </c>
      <c r="H613" s="172">
        <v>36465</v>
      </c>
      <c r="I613" s="163">
        <v>394082</v>
      </c>
      <c r="J613" s="11"/>
      <c r="K613" s="166"/>
      <c r="L613" s="11"/>
      <c r="O613" s="11"/>
      <c r="T613" s="166"/>
      <c r="V613" s="11"/>
      <c r="W613" s="11"/>
    </row>
    <row r="614" spans="1:23" ht="12.75" customHeight="1">
      <c r="A614" s="118">
        <v>613</v>
      </c>
      <c r="B614" s="128">
        <v>6</v>
      </c>
      <c r="C614" s="156">
        <v>36770</v>
      </c>
      <c r="D614" s="157" t="s">
        <v>52</v>
      </c>
      <c r="E614" s="8">
        <v>2000</v>
      </c>
      <c r="F614" s="158">
        <f t="shared" si="146"/>
        <v>305</v>
      </c>
      <c r="G614" s="158">
        <f t="shared" si="147"/>
        <v>1</v>
      </c>
      <c r="H614" s="172">
        <v>36465</v>
      </c>
      <c r="I614" s="163">
        <v>393687</v>
      </c>
      <c r="J614" s="11"/>
      <c r="K614" s="11"/>
      <c r="L614" s="11"/>
      <c r="O614" s="11"/>
      <c r="T614" s="11"/>
      <c r="V614" s="11"/>
      <c r="W614" s="11"/>
    </row>
    <row r="615" spans="1:23" ht="12.75" customHeight="1">
      <c r="A615" s="118">
        <v>614</v>
      </c>
      <c r="B615" s="128">
        <v>6</v>
      </c>
      <c r="C615" s="156">
        <v>36800</v>
      </c>
      <c r="D615" s="157" t="s">
        <v>53</v>
      </c>
      <c r="E615" s="8">
        <v>2000</v>
      </c>
      <c r="F615" s="158">
        <f t="shared" si="146"/>
        <v>335</v>
      </c>
      <c r="G615" s="158">
        <f t="shared" si="147"/>
        <v>1</v>
      </c>
      <c r="H615" s="172">
        <v>36465</v>
      </c>
      <c r="I615" s="163">
        <v>394522</v>
      </c>
      <c r="J615" s="11"/>
      <c r="K615" s="11"/>
      <c r="L615" s="11"/>
      <c r="O615" s="11"/>
      <c r="T615" s="11"/>
      <c r="V615" s="11"/>
      <c r="W615" s="11"/>
    </row>
    <row r="616" spans="1:23" ht="12.75" customHeight="1">
      <c r="A616" s="118">
        <v>615</v>
      </c>
      <c r="B616" s="128">
        <v>6</v>
      </c>
      <c r="C616" s="156">
        <v>36831</v>
      </c>
      <c r="D616" s="157" t="s">
        <v>54</v>
      </c>
      <c r="E616" s="8">
        <v>2000</v>
      </c>
      <c r="F616" s="158">
        <f t="shared" si="146"/>
        <v>366</v>
      </c>
      <c r="G616" s="158">
        <f t="shared" si="147"/>
        <v>2</v>
      </c>
      <c r="H616" s="172">
        <v>36465</v>
      </c>
      <c r="I616" s="163">
        <v>391397</v>
      </c>
      <c r="J616" s="11"/>
      <c r="K616" s="11"/>
      <c r="L616" s="11"/>
      <c r="O616" s="11"/>
      <c r="T616" s="11"/>
      <c r="V616" s="11"/>
      <c r="W616" s="11"/>
    </row>
    <row r="617" spans="1:23" ht="12.75" customHeight="1">
      <c r="A617" s="118">
        <v>616</v>
      </c>
      <c r="B617" s="128">
        <v>6</v>
      </c>
      <c r="C617" s="156">
        <v>36861</v>
      </c>
      <c r="D617" s="157" t="s">
        <v>55</v>
      </c>
      <c r="E617" s="8">
        <v>2000</v>
      </c>
      <c r="F617" s="158">
        <f t="shared" si="146"/>
        <v>396</v>
      </c>
      <c r="G617" s="158">
        <f t="shared" si="147"/>
        <v>2</v>
      </c>
      <c r="H617" s="172">
        <v>36465</v>
      </c>
      <c r="I617" s="163">
        <v>396383</v>
      </c>
      <c r="J617" s="11"/>
      <c r="K617" s="11"/>
      <c r="L617" s="11"/>
      <c r="O617" s="11"/>
      <c r="T617" s="11"/>
      <c r="V617" s="11"/>
      <c r="W617" s="11"/>
    </row>
    <row r="618" spans="1:23" ht="12.75" customHeight="1">
      <c r="A618" s="118">
        <v>617</v>
      </c>
      <c r="B618" s="128">
        <v>6</v>
      </c>
      <c r="C618" s="156">
        <v>36892</v>
      </c>
      <c r="D618" s="157" t="s">
        <v>44</v>
      </c>
      <c r="E618" s="8">
        <v>2001</v>
      </c>
      <c r="F618" s="158">
        <f t="shared" si="146"/>
        <v>427</v>
      </c>
      <c r="G618" s="158">
        <f t="shared" si="147"/>
        <v>2</v>
      </c>
      <c r="H618" s="544">
        <v>36465</v>
      </c>
      <c r="I618" s="545">
        <v>395802</v>
      </c>
      <c r="J618" s="11"/>
      <c r="K618" s="11"/>
      <c r="L618" s="11"/>
      <c r="O618" s="11"/>
      <c r="T618" s="11"/>
      <c r="V618" s="11"/>
      <c r="W618" s="11"/>
    </row>
    <row r="619" spans="1:23" ht="12.75" customHeight="1">
      <c r="A619" s="118">
        <v>618</v>
      </c>
      <c r="B619" s="128">
        <v>6</v>
      </c>
      <c r="C619" s="156">
        <v>36923</v>
      </c>
      <c r="D619" s="157" t="s">
        <v>45</v>
      </c>
      <c r="E619" s="8">
        <v>2001</v>
      </c>
      <c r="F619" s="158">
        <f t="shared" si="146"/>
        <v>458</v>
      </c>
      <c r="G619" s="158">
        <f t="shared" si="147"/>
        <v>2</v>
      </c>
      <c r="H619" s="544">
        <v>36465</v>
      </c>
      <c r="I619" s="545">
        <v>395347</v>
      </c>
      <c r="J619" s="11"/>
      <c r="K619" s="11"/>
      <c r="L619" s="11"/>
      <c r="O619" s="11"/>
      <c r="T619" s="11"/>
      <c r="V619" s="11"/>
      <c r="W619" s="11"/>
    </row>
    <row r="620" spans="1:23" ht="12.75" customHeight="1">
      <c r="A620" s="118">
        <v>619</v>
      </c>
      <c r="B620" s="128">
        <v>6</v>
      </c>
      <c r="C620" s="156">
        <v>36951</v>
      </c>
      <c r="D620" s="157" t="s">
        <v>46</v>
      </c>
      <c r="E620" s="8">
        <v>2001</v>
      </c>
      <c r="F620" s="158">
        <f t="shared" si="146"/>
        <v>486</v>
      </c>
      <c r="G620" s="158">
        <f t="shared" si="147"/>
        <v>2</v>
      </c>
      <c r="H620" s="544">
        <v>36465</v>
      </c>
      <c r="I620" s="545">
        <v>394799</v>
      </c>
      <c r="J620" s="11"/>
      <c r="K620" s="11"/>
      <c r="L620" s="11"/>
      <c r="O620" s="11"/>
      <c r="T620" s="11"/>
      <c r="V620" s="11"/>
      <c r="W620" s="11"/>
    </row>
    <row r="621" spans="1:23" ht="12.75" customHeight="1">
      <c r="A621" s="118">
        <v>620</v>
      </c>
      <c r="B621" s="128">
        <v>6</v>
      </c>
      <c r="C621" s="156">
        <v>36982</v>
      </c>
      <c r="D621" s="157" t="s">
        <v>47</v>
      </c>
      <c r="E621" s="8">
        <v>2001</v>
      </c>
      <c r="F621" s="158">
        <f t="shared" si="146"/>
        <v>517</v>
      </c>
      <c r="G621" s="158">
        <f t="shared" si="147"/>
        <v>2</v>
      </c>
      <c r="H621" s="544">
        <v>36465</v>
      </c>
      <c r="I621" s="545">
        <v>289249</v>
      </c>
      <c r="J621" s="15">
        <v>5.0999999999999996</v>
      </c>
      <c r="K621" s="15">
        <v>4.6749999999999998</v>
      </c>
      <c r="L621" s="15">
        <v>7.4999999999999997E-2</v>
      </c>
      <c r="O621" s="15">
        <v>1.575</v>
      </c>
      <c r="T621" s="161">
        <f t="shared" ref="T621:U623" si="148">$I621*K621</f>
        <v>1352239.075</v>
      </c>
      <c r="U621" s="161">
        <f t="shared" si="148"/>
        <v>21693.674999999999</v>
      </c>
      <c r="V621" s="161">
        <f t="shared" ref="V621:V623" si="149">$I621*O621</f>
        <v>455567.17499999999</v>
      </c>
      <c r="W621" s="161">
        <f>V621*0.4</f>
        <v>182226.87</v>
      </c>
    </row>
    <row r="622" spans="1:23" ht="12.75" customHeight="1">
      <c r="A622" s="118">
        <v>621</v>
      </c>
      <c r="B622" s="128">
        <v>6</v>
      </c>
      <c r="C622" s="156">
        <v>37012</v>
      </c>
      <c r="D622" s="157" t="s">
        <v>48</v>
      </c>
      <c r="E622" s="8">
        <v>2001</v>
      </c>
      <c r="F622" s="158">
        <f t="shared" si="146"/>
        <v>547</v>
      </c>
      <c r="G622" s="158">
        <f t="shared" si="147"/>
        <v>2</v>
      </c>
      <c r="H622" s="544">
        <v>36465</v>
      </c>
      <c r="I622" s="545">
        <v>265362</v>
      </c>
      <c r="J622" s="15">
        <v>1.825</v>
      </c>
      <c r="K622" s="15">
        <v>2.99</v>
      </c>
      <c r="L622" s="15">
        <v>0.88749999999999996</v>
      </c>
      <c r="M622" s="174">
        <v>2</v>
      </c>
      <c r="O622" s="15">
        <v>0.17499999999999999</v>
      </c>
      <c r="P622" s="174">
        <v>1</v>
      </c>
      <c r="Q622" s="128"/>
      <c r="R622" s="128"/>
      <c r="S622" s="180" t="s">
        <v>355</v>
      </c>
      <c r="T622" s="161">
        <f t="shared" si="148"/>
        <v>793432.38</v>
      </c>
      <c r="U622" s="161">
        <f t="shared" si="148"/>
        <v>235508.77499999999</v>
      </c>
      <c r="V622" s="161">
        <f t="shared" si="149"/>
        <v>46438.35</v>
      </c>
      <c r="W622" s="161">
        <f>V622*0.4</f>
        <v>18575.34</v>
      </c>
    </row>
    <row r="623" spans="1:23" ht="12.75" customHeight="1">
      <c r="A623" s="118">
        <v>622</v>
      </c>
      <c r="B623" s="259">
        <v>6</v>
      </c>
      <c r="C623" s="156">
        <v>37043</v>
      </c>
      <c r="D623" s="157" t="s">
        <v>49</v>
      </c>
      <c r="E623" s="8">
        <v>2001</v>
      </c>
      <c r="F623" s="158">
        <f t="shared" si="146"/>
        <v>578</v>
      </c>
      <c r="G623" s="158">
        <f t="shared" si="147"/>
        <v>2</v>
      </c>
      <c r="H623" s="544">
        <v>36465</v>
      </c>
      <c r="I623" s="545">
        <v>53046</v>
      </c>
      <c r="J623" s="15">
        <v>0.2</v>
      </c>
      <c r="K623" s="15">
        <v>0.68181818181818188</v>
      </c>
      <c r="L623" s="15">
        <v>0.14090909090909093</v>
      </c>
      <c r="O623" s="15">
        <v>0.35909090909090913</v>
      </c>
      <c r="S623" s="155" t="s">
        <v>22</v>
      </c>
      <c r="T623" s="161">
        <f t="shared" si="148"/>
        <v>36167.727272727279</v>
      </c>
      <c r="U623" s="161">
        <f t="shared" si="148"/>
        <v>7474.6636363636371</v>
      </c>
      <c r="V623" s="161">
        <f t="shared" si="149"/>
        <v>19048.336363636365</v>
      </c>
      <c r="W623" s="161">
        <f>V623*0.4</f>
        <v>7619.3345454545461</v>
      </c>
    </row>
    <row r="624" spans="1:23" ht="12.75" customHeight="1">
      <c r="A624" s="118">
        <v>623</v>
      </c>
      <c r="B624" s="128">
        <v>6</v>
      </c>
      <c r="C624" s="156">
        <v>37073</v>
      </c>
      <c r="D624" s="157" t="s">
        <v>50</v>
      </c>
      <c r="E624" s="8">
        <v>2001</v>
      </c>
      <c r="F624" s="158"/>
      <c r="G624" s="158"/>
      <c r="H624" s="544"/>
      <c r="I624" s="545"/>
      <c r="J624" s="11"/>
      <c r="K624" s="11"/>
      <c r="L624" s="11"/>
      <c r="O624" s="11"/>
      <c r="S624" s="180" t="s">
        <v>356</v>
      </c>
      <c r="T624" s="11"/>
      <c r="V624" s="11"/>
      <c r="W624" s="11"/>
    </row>
    <row r="625" spans="1:23" ht="12.75" customHeight="1">
      <c r="A625" s="118">
        <v>624</v>
      </c>
      <c r="B625" s="128">
        <v>6</v>
      </c>
      <c r="C625" s="156">
        <v>37104</v>
      </c>
      <c r="D625" s="157" t="s">
        <v>51</v>
      </c>
      <c r="E625" s="8">
        <v>2001</v>
      </c>
      <c r="F625" s="158">
        <f t="shared" ref="F625:F644" si="150">C625-H625</f>
        <v>181</v>
      </c>
      <c r="G625" s="158">
        <f t="shared" ref="G625:G642" si="151">IF(F625&lt;365,1,2)</f>
        <v>1</v>
      </c>
      <c r="H625" s="162">
        <v>36923</v>
      </c>
      <c r="I625" s="163">
        <v>1148234</v>
      </c>
      <c r="J625" s="11"/>
      <c r="K625" s="11"/>
      <c r="L625" s="11"/>
      <c r="O625" s="11"/>
      <c r="T625" s="11"/>
      <c r="V625" s="11"/>
      <c r="W625" s="11"/>
    </row>
    <row r="626" spans="1:23" ht="12.75" customHeight="1">
      <c r="A626" s="118">
        <v>625</v>
      </c>
      <c r="B626" s="128">
        <v>6</v>
      </c>
      <c r="C626" s="156">
        <v>37135</v>
      </c>
      <c r="D626" s="157" t="s">
        <v>52</v>
      </c>
      <c r="E626" s="8">
        <v>2001</v>
      </c>
      <c r="F626" s="158">
        <f t="shared" si="150"/>
        <v>212</v>
      </c>
      <c r="G626" s="158">
        <f t="shared" si="151"/>
        <v>1</v>
      </c>
      <c r="H626" s="162">
        <v>36923</v>
      </c>
      <c r="I626" s="163">
        <v>1134584</v>
      </c>
      <c r="J626" s="11"/>
      <c r="K626" s="11"/>
      <c r="L626" s="11"/>
      <c r="O626" s="11"/>
      <c r="T626" s="11"/>
      <c r="V626" s="11"/>
      <c r="W626" s="11"/>
    </row>
    <row r="627" spans="1:23" ht="12.75" customHeight="1">
      <c r="A627" s="118">
        <v>626</v>
      </c>
      <c r="B627" s="128">
        <v>6</v>
      </c>
      <c r="C627" s="156">
        <v>37165</v>
      </c>
      <c r="D627" s="157" t="s">
        <v>53</v>
      </c>
      <c r="E627" s="8">
        <v>2001</v>
      </c>
      <c r="F627" s="158">
        <f t="shared" si="150"/>
        <v>242</v>
      </c>
      <c r="G627" s="158">
        <f t="shared" si="151"/>
        <v>1</v>
      </c>
      <c r="H627" s="162">
        <v>36923</v>
      </c>
      <c r="I627" s="163">
        <v>1133495</v>
      </c>
      <c r="J627" s="15">
        <v>2.8571428571428574E-2</v>
      </c>
      <c r="K627" s="15">
        <v>1.1499999999999999</v>
      </c>
      <c r="L627" s="15">
        <v>0.44285714285714284</v>
      </c>
      <c r="O627" s="15">
        <v>2.1428571428571432E-2</v>
      </c>
      <c r="T627" s="161">
        <f>$I627*K627</f>
        <v>1303519.25</v>
      </c>
      <c r="U627" s="161">
        <f>$I627*L627</f>
        <v>501976.3571428571</v>
      </c>
      <c r="V627" s="161">
        <f t="shared" ref="V627:V628" si="152">$I627*O627</f>
        <v>24289.178571428576</v>
      </c>
      <c r="W627" s="161">
        <f>V627*0.4</f>
        <v>9715.6714285714315</v>
      </c>
    </row>
    <row r="628" spans="1:23" ht="12.75" customHeight="1">
      <c r="A628" s="118">
        <v>627</v>
      </c>
      <c r="B628" s="128">
        <v>6</v>
      </c>
      <c r="C628" s="156">
        <v>37196</v>
      </c>
      <c r="D628" s="157" t="s">
        <v>54</v>
      </c>
      <c r="E628" s="8">
        <v>2001</v>
      </c>
      <c r="F628" s="158">
        <f t="shared" si="150"/>
        <v>273</v>
      </c>
      <c r="G628" s="158">
        <f t="shared" si="151"/>
        <v>1</v>
      </c>
      <c r="H628" s="162">
        <v>36923</v>
      </c>
      <c r="I628" s="163">
        <v>1132286</v>
      </c>
      <c r="J628" s="15">
        <v>0.1142857142857143</v>
      </c>
      <c r="K628" s="15">
        <v>2.0714285714285716</v>
      </c>
      <c r="L628" s="15">
        <v>0.71428571428571441</v>
      </c>
      <c r="O628" s="15">
        <v>5.7142857142857148E-2</v>
      </c>
      <c r="T628" s="161">
        <f>$I628*K628</f>
        <v>2345449.5714285718</v>
      </c>
      <c r="U628" s="161">
        <f>$I628*L628</f>
        <v>808775.71428571444</v>
      </c>
      <c r="V628" s="161">
        <f t="shared" si="152"/>
        <v>64702.057142857149</v>
      </c>
      <c r="W628" s="161">
        <f>V628*0.4</f>
        <v>25880.822857142863</v>
      </c>
    </row>
    <row r="629" spans="1:23" ht="12.75" customHeight="1">
      <c r="A629" s="118">
        <v>628</v>
      </c>
      <c r="B629" s="128">
        <v>6</v>
      </c>
      <c r="C629" s="156">
        <v>37226</v>
      </c>
      <c r="D629" s="157" t="s">
        <v>55</v>
      </c>
      <c r="E629" s="8">
        <v>2001</v>
      </c>
      <c r="F629" s="158">
        <f t="shared" si="150"/>
        <v>303</v>
      </c>
      <c r="G629" s="158">
        <f t="shared" si="151"/>
        <v>1</v>
      </c>
      <c r="H629" s="162">
        <v>36923</v>
      </c>
      <c r="I629" s="163">
        <v>1130570</v>
      </c>
      <c r="J629" s="11"/>
      <c r="K629" s="11"/>
      <c r="L629" s="11"/>
      <c r="O629" s="11"/>
      <c r="T629" s="11"/>
      <c r="V629" s="11"/>
      <c r="W629" s="11"/>
    </row>
    <row r="630" spans="1:23" ht="12.75" customHeight="1">
      <c r="A630" s="118">
        <v>629</v>
      </c>
      <c r="B630" s="128">
        <v>6</v>
      </c>
      <c r="C630" s="156">
        <v>37257</v>
      </c>
      <c r="D630" s="157" t="s">
        <v>44</v>
      </c>
      <c r="E630" s="8">
        <v>2002</v>
      </c>
      <c r="F630" s="158">
        <f t="shared" si="150"/>
        <v>334</v>
      </c>
      <c r="G630" s="158">
        <f t="shared" si="151"/>
        <v>1</v>
      </c>
      <c r="H630" s="162">
        <v>36923</v>
      </c>
      <c r="I630" s="163">
        <v>1129144</v>
      </c>
      <c r="J630" s="11"/>
      <c r="K630" s="11"/>
      <c r="L630" s="11"/>
      <c r="O630" s="11"/>
      <c r="T630" s="11"/>
      <c r="V630" s="11"/>
      <c r="W630" s="11"/>
    </row>
    <row r="631" spans="1:23" ht="12.75" customHeight="1">
      <c r="A631" s="118">
        <v>630</v>
      </c>
      <c r="B631" s="128">
        <v>6</v>
      </c>
      <c r="C631" s="156">
        <v>37288</v>
      </c>
      <c r="D631" s="157" t="s">
        <v>45</v>
      </c>
      <c r="E631" s="8">
        <v>2002</v>
      </c>
      <c r="F631" s="158">
        <f t="shared" si="150"/>
        <v>365</v>
      </c>
      <c r="G631" s="158">
        <f t="shared" si="151"/>
        <v>2</v>
      </c>
      <c r="H631" s="162">
        <v>36923</v>
      </c>
      <c r="I631" s="163">
        <v>1149690</v>
      </c>
      <c r="J631" s="15">
        <v>1.5153846153846153</v>
      </c>
      <c r="K631" s="15">
        <v>7.8923076923076927</v>
      </c>
      <c r="L631" s="15">
        <v>4.0846153846153843</v>
      </c>
      <c r="O631" s="15">
        <v>0</v>
      </c>
      <c r="Q631" s="15"/>
      <c r="S631" s="155" t="s">
        <v>313</v>
      </c>
      <c r="T631" s="161">
        <f t="shared" ref="T631:U633" si="153">$I631*K631</f>
        <v>9073707.2307692319</v>
      </c>
      <c r="U631" s="161">
        <f t="shared" si="153"/>
        <v>4696041.461538461</v>
      </c>
      <c r="V631" s="161">
        <f t="shared" ref="V631:V633" si="154">$I631*O631</f>
        <v>0</v>
      </c>
      <c r="W631" s="161">
        <f>V631*0.4</f>
        <v>0</v>
      </c>
    </row>
    <row r="632" spans="1:23" ht="12.75" customHeight="1">
      <c r="A632" s="118">
        <v>631</v>
      </c>
      <c r="B632" s="128">
        <v>6</v>
      </c>
      <c r="C632" s="156">
        <v>37316</v>
      </c>
      <c r="D632" s="157" t="s">
        <v>46</v>
      </c>
      <c r="E632" s="8">
        <v>2002</v>
      </c>
      <c r="F632" s="158">
        <f t="shared" si="150"/>
        <v>393</v>
      </c>
      <c r="G632" s="158">
        <f t="shared" si="151"/>
        <v>2</v>
      </c>
      <c r="H632" s="162">
        <v>36923</v>
      </c>
      <c r="I632" s="163">
        <v>940933</v>
      </c>
      <c r="J632" s="15">
        <v>1.6</v>
      </c>
      <c r="K632" s="15">
        <v>5.7</v>
      </c>
      <c r="L632" s="15">
        <v>1</v>
      </c>
      <c r="M632" s="174">
        <v>1</v>
      </c>
      <c r="O632" s="15">
        <v>0.05</v>
      </c>
      <c r="Q632" s="15"/>
      <c r="T632" s="161">
        <f t="shared" si="153"/>
        <v>5363318.1000000006</v>
      </c>
      <c r="U632" s="161">
        <f t="shared" si="153"/>
        <v>940933</v>
      </c>
      <c r="V632" s="161">
        <f t="shared" si="154"/>
        <v>47046.65</v>
      </c>
      <c r="W632" s="161">
        <f>V632*0.4</f>
        <v>18818.66</v>
      </c>
    </row>
    <row r="633" spans="1:23" ht="12.75" customHeight="1">
      <c r="A633" s="118">
        <v>632</v>
      </c>
      <c r="B633" s="128">
        <v>6</v>
      </c>
      <c r="C633" s="156">
        <v>37347</v>
      </c>
      <c r="D633" s="157" t="s">
        <v>47</v>
      </c>
      <c r="E633" s="8">
        <v>2002</v>
      </c>
      <c r="F633" s="158">
        <f t="shared" si="150"/>
        <v>424</v>
      </c>
      <c r="G633" s="158">
        <f t="shared" si="151"/>
        <v>2</v>
      </c>
      <c r="H633" s="162">
        <v>36923</v>
      </c>
      <c r="I633" s="163">
        <v>939900</v>
      </c>
      <c r="J633" s="15">
        <v>2.7683333333333331</v>
      </c>
      <c r="K633" s="15">
        <v>24.545000000000002</v>
      </c>
      <c r="L633" s="15">
        <v>9.8766666666666669</v>
      </c>
      <c r="O633" s="15">
        <v>0</v>
      </c>
      <c r="P633" s="170">
        <v>1</v>
      </c>
      <c r="T633" s="161">
        <f t="shared" si="153"/>
        <v>23069845.5</v>
      </c>
      <c r="U633" s="161">
        <f t="shared" si="153"/>
        <v>9283079</v>
      </c>
      <c r="V633" s="161">
        <f t="shared" si="154"/>
        <v>0</v>
      </c>
      <c r="W633" s="161">
        <f>V633*0.4</f>
        <v>0</v>
      </c>
    </row>
    <row r="634" spans="1:23" ht="12.75" customHeight="1">
      <c r="A634" s="118">
        <v>633</v>
      </c>
      <c r="B634" s="128">
        <v>6</v>
      </c>
      <c r="C634" s="156">
        <v>37377</v>
      </c>
      <c r="D634" s="157" t="s">
        <v>48</v>
      </c>
      <c r="E634" s="8">
        <v>2002</v>
      </c>
      <c r="F634" s="158">
        <f t="shared" si="150"/>
        <v>454</v>
      </c>
      <c r="G634" s="158">
        <f t="shared" si="151"/>
        <v>2</v>
      </c>
      <c r="H634" s="162">
        <v>36923</v>
      </c>
      <c r="I634" s="163">
        <v>939030</v>
      </c>
      <c r="J634" s="11"/>
      <c r="K634" s="11"/>
      <c r="L634" s="11"/>
      <c r="O634" s="11"/>
      <c r="T634" s="11"/>
      <c r="V634" s="11"/>
      <c r="W634" s="11"/>
    </row>
    <row r="635" spans="1:23" ht="12.75" customHeight="1">
      <c r="A635" s="118">
        <v>634</v>
      </c>
      <c r="B635" s="128">
        <v>6</v>
      </c>
      <c r="C635" s="156">
        <v>37408</v>
      </c>
      <c r="D635" s="157" t="s">
        <v>49</v>
      </c>
      <c r="E635" s="8">
        <v>2002</v>
      </c>
      <c r="F635" s="158">
        <f t="shared" si="150"/>
        <v>485</v>
      </c>
      <c r="G635" s="158">
        <f t="shared" si="151"/>
        <v>2</v>
      </c>
      <c r="H635" s="162">
        <v>36923</v>
      </c>
      <c r="I635" s="163">
        <v>938168</v>
      </c>
      <c r="J635" s="11"/>
      <c r="K635" s="11"/>
      <c r="L635" s="11"/>
      <c r="O635" s="11"/>
      <c r="T635" s="11"/>
      <c r="V635" s="11"/>
      <c r="W635" s="11"/>
    </row>
    <row r="636" spans="1:23" ht="12.75" customHeight="1">
      <c r="A636" s="118">
        <v>635</v>
      </c>
      <c r="B636" s="259">
        <v>6</v>
      </c>
      <c r="C636" s="156">
        <v>37438</v>
      </c>
      <c r="D636" s="157" t="s">
        <v>50</v>
      </c>
      <c r="E636" s="8">
        <v>2002</v>
      </c>
      <c r="F636" s="158">
        <f t="shared" si="150"/>
        <v>515</v>
      </c>
      <c r="G636" s="158">
        <f t="shared" si="151"/>
        <v>2</v>
      </c>
      <c r="H636" s="162">
        <v>36923</v>
      </c>
      <c r="I636" s="163">
        <v>928500</v>
      </c>
      <c r="J636" s="15">
        <v>0</v>
      </c>
      <c r="K636" s="15">
        <v>3.3333333333333333E-2</v>
      </c>
      <c r="L636" s="15">
        <v>0</v>
      </c>
      <c r="O636" s="15">
        <v>0</v>
      </c>
      <c r="T636" s="161">
        <f>$I636*K636</f>
        <v>30950</v>
      </c>
      <c r="U636" s="161">
        <f>$I636*L636</f>
        <v>0</v>
      </c>
      <c r="V636" s="161">
        <f t="shared" ref="V636:V644" si="155">$I636*O636</f>
        <v>0</v>
      </c>
      <c r="W636" s="161">
        <f t="shared" ref="W636:W644" si="156">V636*0.4</f>
        <v>0</v>
      </c>
    </row>
    <row r="637" spans="1:23" ht="12.75" customHeight="1">
      <c r="A637" s="118">
        <v>636</v>
      </c>
      <c r="B637" s="259">
        <v>6</v>
      </c>
      <c r="C637" s="156">
        <v>37469</v>
      </c>
      <c r="D637" s="157" t="s">
        <v>51</v>
      </c>
      <c r="E637" s="8">
        <v>2002</v>
      </c>
      <c r="F637" s="158">
        <f t="shared" si="150"/>
        <v>546</v>
      </c>
      <c r="G637" s="158">
        <f t="shared" si="151"/>
        <v>2</v>
      </c>
      <c r="H637" s="162">
        <v>36923</v>
      </c>
      <c r="I637" s="163">
        <v>925088</v>
      </c>
      <c r="J637" s="11"/>
      <c r="K637" s="11"/>
      <c r="L637" s="165">
        <v>0.1</v>
      </c>
      <c r="N637" s="528">
        <v>3</v>
      </c>
      <c r="O637" s="165">
        <v>0</v>
      </c>
      <c r="T637" s="11"/>
      <c r="U637" s="161">
        <f t="shared" ref="U637:U644" si="157">$I637*L637</f>
        <v>92508.800000000003</v>
      </c>
      <c r="V637" s="161">
        <f t="shared" si="155"/>
        <v>0</v>
      </c>
      <c r="W637" s="161">
        <f t="shared" si="156"/>
        <v>0</v>
      </c>
    </row>
    <row r="638" spans="1:23" ht="12.75" customHeight="1">
      <c r="A638" s="118">
        <v>637</v>
      </c>
      <c r="B638" s="259">
        <v>6</v>
      </c>
      <c r="C638" s="156">
        <v>37500</v>
      </c>
      <c r="D638" s="157" t="s">
        <v>52</v>
      </c>
      <c r="E638" s="8">
        <v>2002</v>
      </c>
      <c r="F638" s="158">
        <f t="shared" si="150"/>
        <v>577</v>
      </c>
      <c r="G638" s="158">
        <f t="shared" si="151"/>
        <v>2</v>
      </c>
      <c r="H638" s="162">
        <v>36923</v>
      </c>
      <c r="I638" s="163">
        <v>906733</v>
      </c>
      <c r="J638" s="11"/>
      <c r="K638" s="11"/>
      <c r="L638" s="165">
        <v>0.21</v>
      </c>
      <c r="N638" s="528">
        <v>3</v>
      </c>
      <c r="O638" s="165">
        <v>0</v>
      </c>
      <c r="T638" s="11"/>
      <c r="U638" s="161">
        <f t="shared" si="157"/>
        <v>190413.93</v>
      </c>
      <c r="V638" s="161">
        <f t="shared" si="155"/>
        <v>0</v>
      </c>
      <c r="W638" s="161">
        <f t="shared" si="156"/>
        <v>0</v>
      </c>
    </row>
    <row r="639" spans="1:23" ht="12.75" customHeight="1">
      <c r="A639" s="118">
        <v>638</v>
      </c>
      <c r="B639" s="259">
        <v>6</v>
      </c>
      <c r="C639" s="156">
        <v>37530</v>
      </c>
      <c r="D639" s="157" t="s">
        <v>53</v>
      </c>
      <c r="E639" s="8">
        <v>2002</v>
      </c>
      <c r="F639" s="158">
        <f t="shared" si="150"/>
        <v>607</v>
      </c>
      <c r="G639" s="158">
        <f t="shared" si="151"/>
        <v>2</v>
      </c>
      <c r="H639" s="162">
        <v>36923</v>
      </c>
      <c r="I639" s="163">
        <v>887326</v>
      </c>
      <c r="J639" s="11"/>
      <c r="K639" s="11"/>
      <c r="L639" s="165">
        <v>0.32</v>
      </c>
      <c r="N639" s="528">
        <v>3</v>
      </c>
      <c r="O639" s="165">
        <v>0.01</v>
      </c>
      <c r="T639" s="11"/>
      <c r="U639" s="161">
        <f t="shared" si="157"/>
        <v>283944.32000000001</v>
      </c>
      <c r="V639" s="161">
        <f t="shared" si="155"/>
        <v>8873.26</v>
      </c>
      <c r="W639" s="161">
        <f t="shared" si="156"/>
        <v>3549.3040000000001</v>
      </c>
    </row>
    <row r="640" spans="1:23" ht="12.75" customHeight="1">
      <c r="A640" s="118">
        <v>639</v>
      </c>
      <c r="B640" s="259">
        <v>6</v>
      </c>
      <c r="C640" s="156">
        <v>37561</v>
      </c>
      <c r="D640" s="157" t="s">
        <v>54</v>
      </c>
      <c r="E640" s="8">
        <v>2002</v>
      </c>
      <c r="F640" s="158">
        <f t="shared" si="150"/>
        <v>638</v>
      </c>
      <c r="G640" s="158">
        <f t="shared" si="151"/>
        <v>2</v>
      </c>
      <c r="H640" s="162">
        <v>36923</v>
      </c>
      <c r="I640" s="163">
        <v>866778</v>
      </c>
      <c r="J640" s="15">
        <v>0.13461538461538464</v>
      </c>
      <c r="K640" s="15">
        <v>0.55384615384615388</v>
      </c>
      <c r="L640" s="15">
        <v>0.42692307692307691</v>
      </c>
      <c r="O640" s="15">
        <v>1.5384615384615385E-2</v>
      </c>
      <c r="T640" s="161">
        <f>$I640*K640</f>
        <v>480061.66153846157</v>
      </c>
      <c r="U640" s="161">
        <f t="shared" si="157"/>
        <v>370047.53076923074</v>
      </c>
      <c r="V640" s="161">
        <f t="shared" si="155"/>
        <v>13335.046153846155</v>
      </c>
      <c r="W640" s="161">
        <f t="shared" si="156"/>
        <v>5334.0184615384624</v>
      </c>
    </row>
    <row r="641" spans="1:23" ht="12.75" customHeight="1">
      <c r="A641" s="118">
        <v>640</v>
      </c>
      <c r="B641" s="128">
        <v>6</v>
      </c>
      <c r="C641" s="156">
        <v>37591</v>
      </c>
      <c r="D641" s="157" t="s">
        <v>55</v>
      </c>
      <c r="E641" s="8">
        <v>2002</v>
      </c>
      <c r="F641" s="158">
        <f t="shared" si="150"/>
        <v>668</v>
      </c>
      <c r="G641" s="158">
        <f t="shared" si="151"/>
        <v>2</v>
      </c>
      <c r="H641" s="162">
        <v>36923</v>
      </c>
      <c r="I641" s="163">
        <v>852408</v>
      </c>
      <c r="J641" s="15">
        <v>0.105</v>
      </c>
      <c r="K641" s="15">
        <v>0.65500000000000003</v>
      </c>
      <c r="L641" s="15">
        <v>0.49</v>
      </c>
      <c r="M641" s="174">
        <v>0</v>
      </c>
      <c r="O641" s="15">
        <v>0</v>
      </c>
      <c r="T641" s="161">
        <f>$I641*K641</f>
        <v>558327.24</v>
      </c>
      <c r="U641" s="161">
        <f t="shared" si="157"/>
        <v>417679.92</v>
      </c>
      <c r="V641" s="161">
        <f t="shared" si="155"/>
        <v>0</v>
      </c>
      <c r="W641" s="161">
        <f t="shared" si="156"/>
        <v>0</v>
      </c>
    </row>
    <row r="642" spans="1:23" ht="12.75" customHeight="1">
      <c r="A642" s="118">
        <v>641</v>
      </c>
      <c r="B642" s="128">
        <v>6</v>
      </c>
      <c r="C642" s="156">
        <v>37622</v>
      </c>
      <c r="D642" s="157" t="s">
        <v>44</v>
      </c>
      <c r="E642" s="8">
        <v>2003</v>
      </c>
      <c r="F642" s="158">
        <f t="shared" si="150"/>
        <v>699</v>
      </c>
      <c r="G642" s="158">
        <f t="shared" si="151"/>
        <v>2</v>
      </c>
      <c r="H642" s="162">
        <v>36923</v>
      </c>
      <c r="I642" s="179">
        <v>700000</v>
      </c>
      <c r="J642" s="15">
        <v>0.46666666666666662</v>
      </c>
      <c r="K642" s="15">
        <v>2.7</v>
      </c>
      <c r="L642" s="15">
        <v>1.3</v>
      </c>
      <c r="O642" s="15">
        <v>0</v>
      </c>
      <c r="S642" s="155" t="s">
        <v>20</v>
      </c>
      <c r="T642" s="161">
        <f>$I642*K642</f>
        <v>1890000.0000000002</v>
      </c>
      <c r="U642" s="161">
        <f t="shared" si="157"/>
        <v>910000</v>
      </c>
      <c r="V642" s="161">
        <f t="shared" si="155"/>
        <v>0</v>
      </c>
      <c r="W642" s="161">
        <f t="shared" si="156"/>
        <v>0</v>
      </c>
    </row>
    <row r="643" spans="1:23" ht="12.75" customHeight="1">
      <c r="A643" s="118">
        <v>642</v>
      </c>
      <c r="B643" s="128">
        <v>6</v>
      </c>
      <c r="C643" s="156">
        <v>37653</v>
      </c>
      <c r="D643" s="157" t="s">
        <v>45</v>
      </c>
      <c r="E643" s="8">
        <v>2003</v>
      </c>
      <c r="F643" s="158">
        <f t="shared" si="150"/>
        <v>730</v>
      </c>
      <c r="G643" s="158">
        <f>IF(F643&lt;730,2,3)</f>
        <v>3</v>
      </c>
      <c r="H643" s="162">
        <v>36923</v>
      </c>
      <c r="I643" s="163">
        <v>642000</v>
      </c>
      <c r="L643" s="165">
        <f>(L642+L644)/2</f>
        <v>2.1</v>
      </c>
      <c r="N643" s="528">
        <v>1</v>
      </c>
      <c r="O643" s="165">
        <f>(O642+O644)/2</f>
        <v>1.9</v>
      </c>
      <c r="S643" s="155" t="s">
        <v>357</v>
      </c>
      <c r="U643" s="161">
        <f t="shared" si="157"/>
        <v>1348200</v>
      </c>
      <c r="V643" s="161">
        <f t="shared" si="155"/>
        <v>1219800</v>
      </c>
      <c r="W643" s="161">
        <f t="shared" si="156"/>
        <v>487920</v>
      </c>
    </row>
    <row r="644" spans="1:23" ht="12.75" customHeight="1">
      <c r="A644" s="118">
        <v>643</v>
      </c>
      <c r="B644" s="128">
        <v>6</v>
      </c>
      <c r="C644" s="156">
        <v>37681</v>
      </c>
      <c r="D644" s="157" t="s">
        <v>46</v>
      </c>
      <c r="E644" s="8">
        <v>2003</v>
      </c>
      <c r="F644" s="158">
        <f t="shared" si="150"/>
        <v>758</v>
      </c>
      <c r="G644" s="158">
        <f>IF(F644&lt;730,2,3)</f>
        <v>3</v>
      </c>
      <c r="H644" s="162">
        <v>36923</v>
      </c>
      <c r="I644" s="163">
        <v>300000</v>
      </c>
      <c r="J644" s="15">
        <v>0.05</v>
      </c>
      <c r="K644" s="15">
        <v>3.58</v>
      </c>
      <c r="L644" s="173">
        <v>2.9</v>
      </c>
      <c r="O644" s="173">
        <v>3.8</v>
      </c>
      <c r="S644" s="155" t="s">
        <v>358</v>
      </c>
      <c r="U644" s="161">
        <f t="shared" si="157"/>
        <v>870000</v>
      </c>
      <c r="V644" s="161">
        <f t="shared" si="155"/>
        <v>1140000</v>
      </c>
      <c r="W644" s="161">
        <f t="shared" si="156"/>
        <v>456000</v>
      </c>
    </row>
    <row r="645" spans="1:23" ht="12.75" customHeight="1">
      <c r="A645" s="118">
        <v>644</v>
      </c>
      <c r="B645" s="128">
        <v>6</v>
      </c>
      <c r="C645" s="156">
        <v>37712</v>
      </c>
      <c r="D645" s="157" t="s">
        <v>47</v>
      </c>
      <c r="E645" s="8">
        <v>2003</v>
      </c>
      <c r="F645" s="158"/>
      <c r="G645" s="162"/>
      <c r="H645" s="162"/>
      <c r="S645" s="155" t="s">
        <v>286</v>
      </c>
    </row>
    <row r="646" spans="1:23" ht="12.75" customHeight="1">
      <c r="A646" s="118">
        <v>645</v>
      </c>
      <c r="B646" s="128">
        <v>6</v>
      </c>
      <c r="C646" s="156">
        <v>37742</v>
      </c>
      <c r="D646" s="157" t="s">
        <v>48</v>
      </c>
      <c r="E646" s="8">
        <v>2003</v>
      </c>
      <c r="F646" s="158"/>
      <c r="H646" s="162"/>
      <c r="I646" s="194"/>
    </row>
    <row r="647" spans="1:23" ht="12.75" customHeight="1">
      <c r="A647" s="118">
        <v>646</v>
      </c>
      <c r="B647" s="128">
        <v>6</v>
      </c>
      <c r="C647" s="156">
        <v>37773</v>
      </c>
      <c r="D647" s="157" t="s">
        <v>49</v>
      </c>
      <c r="E647" s="8">
        <v>2003</v>
      </c>
      <c r="F647" s="158"/>
      <c r="H647" s="162"/>
      <c r="I647" s="194"/>
    </row>
    <row r="648" spans="1:23" ht="12.75" customHeight="1">
      <c r="A648" s="118">
        <v>647</v>
      </c>
      <c r="B648" s="128">
        <v>6</v>
      </c>
      <c r="C648" s="156">
        <v>37803</v>
      </c>
      <c r="D648" s="157" t="s">
        <v>50</v>
      </c>
      <c r="E648" s="8">
        <v>2003</v>
      </c>
      <c r="F648" s="158"/>
      <c r="H648" s="162"/>
      <c r="I648" s="194"/>
    </row>
    <row r="649" spans="1:23" ht="12.75" customHeight="1">
      <c r="A649" s="118">
        <v>648</v>
      </c>
      <c r="B649" s="128">
        <v>6</v>
      </c>
      <c r="C649" s="156">
        <v>37834</v>
      </c>
      <c r="D649" s="157" t="s">
        <v>51</v>
      </c>
      <c r="E649" s="8">
        <v>2003</v>
      </c>
      <c r="F649" s="158"/>
      <c r="H649" s="162"/>
      <c r="I649" s="194"/>
    </row>
    <row r="650" spans="1:23" ht="12.75" customHeight="1">
      <c r="A650" s="118">
        <v>649</v>
      </c>
      <c r="B650" s="128">
        <v>6</v>
      </c>
      <c r="C650" s="156">
        <v>37865</v>
      </c>
      <c r="D650" s="157" t="s">
        <v>52</v>
      </c>
      <c r="E650" s="8">
        <v>2003</v>
      </c>
      <c r="F650" s="158"/>
      <c r="H650" s="162"/>
      <c r="I650" s="194"/>
    </row>
    <row r="651" spans="1:23" ht="12.75" customHeight="1">
      <c r="A651" s="118">
        <v>650</v>
      </c>
      <c r="B651" s="128">
        <v>6</v>
      </c>
      <c r="C651" s="156">
        <v>37895</v>
      </c>
      <c r="D651" s="157" t="s">
        <v>53</v>
      </c>
      <c r="E651" s="8">
        <v>2003</v>
      </c>
      <c r="F651" s="158"/>
      <c r="H651" s="162"/>
      <c r="I651" s="194"/>
    </row>
    <row r="652" spans="1:23" ht="12.75" customHeight="1">
      <c r="A652" s="118">
        <v>651</v>
      </c>
      <c r="B652" s="128">
        <v>6</v>
      </c>
      <c r="C652" s="156">
        <v>37926</v>
      </c>
      <c r="D652" s="157" t="s">
        <v>54</v>
      </c>
      <c r="E652" s="8">
        <v>2003</v>
      </c>
      <c r="F652" s="158"/>
      <c r="H652" s="162"/>
      <c r="I652" s="194"/>
    </row>
    <row r="653" spans="1:23" ht="12.75" customHeight="1">
      <c r="A653" s="118">
        <v>652</v>
      </c>
      <c r="B653" s="128">
        <v>6</v>
      </c>
      <c r="C653" s="156">
        <v>37956</v>
      </c>
      <c r="D653" s="157" t="s">
        <v>55</v>
      </c>
      <c r="E653" s="8">
        <v>2003</v>
      </c>
      <c r="F653" s="158">
        <f t="shared" ref="F653:F658" si="158">C653-H653</f>
        <v>456</v>
      </c>
      <c r="G653" s="158">
        <f t="shared" ref="G653:G658" si="159">IF(F653&lt;365,1,2)</f>
        <v>2</v>
      </c>
      <c r="H653" s="162">
        <v>37500</v>
      </c>
      <c r="I653" s="163">
        <v>180685</v>
      </c>
      <c r="L653" s="165">
        <v>0.3</v>
      </c>
      <c r="N653" s="528" t="s">
        <v>446</v>
      </c>
      <c r="O653" s="165">
        <v>0.05</v>
      </c>
      <c r="S653" s="155" t="s">
        <v>293</v>
      </c>
      <c r="U653" s="161">
        <f t="shared" ref="U653:U658" si="160">$I653*L653</f>
        <v>54205.5</v>
      </c>
      <c r="V653" s="161">
        <f t="shared" ref="V653:V658" si="161">$I653*O653</f>
        <v>9034.25</v>
      </c>
      <c r="W653" s="161">
        <f t="shared" ref="W653:W658" si="162">V653*0.4</f>
        <v>3613.7000000000003</v>
      </c>
    </row>
    <row r="654" spans="1:23" ht="12.75" customHeight="1">
      <c r="A654" s="118">
        <v>653</v>
      </c>
      <c r="B654" s="128">
        <v>6</v>
      </c>
      <c r="C654" s="156">
        <v>37987</v>
      </c>
      <c r="D654" s="157" t="s">
        <v>44</v>
      </c>
      <c r="E654" s="8">
        <v>2004</v>
      </c>
      <c r="F654" s="158">
        <f t="shared" si="158"/>
        <v>487</v>
      </c>
      <c r="G654" s="158">
        <f t="shared" si="159"/>
        <v>2</v>
      </c>
      <c r="H654" s="162">
        <v>37500</v>
      </c>
      <c r="I654" s="163">
        <v>293013</v>
      </c>
      <c r="L654" s="165">
        <v>1</v>
      </c>
      <c r="N654" s="528" t="s">
        <v>446</v>
      </c>
      <c r="O654" s="165">
        <v>0.25</v>
      </c>
      <c r="U654" s="161">
        <f t="shared" si="160"/>
        <v>293013</v>
      </c>
      <c r="V654" s="161">
        <f t="shared" si="161"/>
        <v>73253.25</v>
      </c>
      <c r="W654" s="161">
        <f t="shared" si="162"/>
        <v>29301.300000000003</v>
      </c>
    </row>
    <row r="655" spans="1:23" ht="12.75" customHeight="1">
      <c r="A655" s="118">
        <v>654</v>
      </c>
      <c r="B655" s="128">
        <v>6</v>
      </c>
      <c r="C655" s="156">
        <v>38018</v>
      </c>
      <c r="D655" s="157" t="s">
        <v>45</v>
      </c>
      <c r="E655" s="8">
        <v>2004</v>
      </c>
      <c r="F655" s="158">
        <f t="shared" si="158"/>
        <v>518</v>
      </c>
      <c r="G655" s="158">
        <f t="shared" si="159"/>
        <v>2</v>
      </c>
      <c r="H655" s="162">
        <v>37500</v>
      </c>
      <c r="I655" s="198">
        <v>270000</v>
      </c>
      <c r="J655" s="15">
        <v>0.4</v>
      </c>
      <c r="K655" s="15">
        <v>3.2</v>
      </c>
      <c r="L655" s="15">
        <v>1.1000000000000001</v>
      </c>
      <c r="O655" s="15">
        <v>0.4</v>
      </c>
      <c r="Q655" s="11">
        <v>6.65</v>
      </c>
      <c r="R655" s="11">
        <v>30.61</v>
      </c>
      <c r="T655" s="161">
        <f>$I655*K655</f>
        <v>864000</v>
      </c>
      <c r="U655" s="161">
        <f t="shared" si="160"/>
        <v>297000</v>
      </c>
      <c r="V655" s="161">
        <f t="shared" si="161"/>
        <v>108000</v>
      </c>
      <c r="W655" s="161">
        <f t="shared" si="162"/>
        <v>43200</v>
      </c>
    </row>
    <row r="656" spans="1:23" ht="12.75" customHeight="1">
      <c r="A656" s="118">
        <v>655</v>
      </c>
      <c r="B656" s="128">
        <v>6</v>
      </c>
      <c r="C656" s="156">
        <v>38047</v>
      </c>
      <c r="D656" s="157" t="s">
        <v>46</v>
      </c>
      <c r="E656" s="8">
        <v>2004</v>
      </c>
      <c r="F656" s="158">
        <f t="shared" si="158"/>
        <v>547</v>
      </c>
      <c r="G656" s="158">
        <f t="shared" si="159"/>
        <v>2</v>
      </c>
      <c r="H656" s="162">
        <v>37500</v>
      </c>
      <c r="I656" s="194">
        <v>247281</v>
      </c>
      <c r="J656" s="15">
        <v>0.8</v>
      </c>
      <c r="K656" s="15">
        <v>4.8</v>
      </c>
      <c r="L656" s="15">
        <v>2.4</v>
      </c>
      <c r="M656" s="174">
        <v>0</v>
      </c>
      <c r="O656" s="15">
        <v>0.6</v>
      </c>
      <c r="Q656" s="11">
        <v>7.11</v>
      </c>
      <c r="R656" s="11">
        <v>28.76</v>
      </c>
      <c r="S656" s="155" t="s">
        <v>7</v>
      </c>
      <c r="T656" s="161">
        <f>$I656*K656</f>
        <v>1186948.8</v>
      </c>
      <c r="U656" s="161">
        <f t="shared" si="160"/>
        <v>593474.4</v>
      </c>
      <c r="V656" s="161">
        <f t="shared" si="161"/>
        <v>148368.6</v>
      </c>
      <c r="W656" s="161">
        <f t="shared" si="162"/>
        <v>59347.44</v>
      </c>
    </row>
    <row r="657" spans="1:23" ht="12.75" customHeight="1">
      <c r="A657" s="118">
        <v>656</v>
      </c>
      <c r="B657" s="128">
        <v>6</v>
      </c>
      <c r="C657" s="156">
        <v>38078</v>
      </c>
      <c r="D657" s="157" t="s">
        <v>47</v>
      </c>
      <c r="E657" s="8">
        <v>2004</v>
      </c>
      <c r="F657" s="158">
        <f t="shared" si="158"/>
        <v>578</v>
      </c>
      <c r="G657" s="158">
        <f t="shared" si="159"/>
        <v>2</v>
      </c>
      <c r="H657" s="162">
        <v>37500</v>
      </c>
      <c r="I657" s="194">
        <v>237863</v>
      </c>
      <c r="J657" s="15">
        <v>0.55000000000000004</v>
      </c>
      <c r="K657" s="15">
        <v>10.88</v>
      </c>
      <c r="L657" s="15">
        <v>2.6</v>
      </c>
      <c r="O657" s="15">
        <v>0.08</v>
      </c>
      <c r="Q657" s="11">
        <v>9.4</v>
      </c>
      <c r="R657" s="11">
        <v>26.3</v>
      </c>
      <c r="T657" s="161">
        <f>$I657*K657</f>
        <v>2587949.4400000004</v>
      </c>
      <c r="U657" s="161">
        <f t="shared" si="160"/>
        <v>618443.80000000005</v>
      </c>
      <c r="V657" s="161">
        <f t="shared" si="161"/>
        <v>19029.04</v>
      </c>
      <c r="W657" s="161">
        <f t="shared" si="162"/>
        <v>7611.6160000000009</v>
      </c>
    </row>
    <row r="658" spans="1:23" ht="12.75" customHeight="1">
      <c r="A658" s="118">
        <v>657</v>
      </c>
      <c r="B658" s="128">
        <v>6</v>
      </c>
      <c r="C658" s="156">
        <v>38108</v>
      </c>
      <c r="D658" s="157" t="s">
        <v>48</v>
      </c>
      <c r="E658" s="8">
        <v>2004</v>
      </c>
      <c r="F658" s="158">
        <f t="shared" si="158"/>
        <v>608</v>
      </c>
      <c r="G658" s="158">
        <f t="shared" si="159"/>
        <v>2</v>
      </c>
      <c r="H658" s="162">
        <v>37500</v>
      </c>
      <c r="I658" s="198">
        <v>50000</v>
      </c>
      <c r="L658" s="165">
        <v>4</v>
      </c>
      <c r="N658" s="528" t="s">
        <v>795</v>
      </c>
      <c r="O658" s="165">
        <v>0.1</v>
      </c>
      <c r="S658" s="238" t="s">
        <v>354</v>
      </c>
      <c r="U658" s="161">
        <f t="shared" si="160"/>
        <v>200000</v>
      </c>
      <c r="V658" s="161">
        <f t="shared" si="161"/>
        <v>5000</v>
      </c>
      <c r="W658" s="161">
        <f t="shared" si="162"/>
        <v>2000</v>
      </c>
    </row>
    <row r="659" spans="1:23" ht="12.75" customHeight="1">
      <c r="A659" s="118">
        <v>658</v>
      </c>
      <c r="B659" s="128">
        <v>6</v>
      </c>
      <c r="C659" s="156">
        <v>38139</v>
      </c>
      <c r="D659" s="157" t="s">
        <v>49</v>
      </c>
      <c r="E659" s="8">
        <v>2004</v>
      </c>
      <c r="F659" s="158"/>
      <c r="I659" s="194"/>
    </row>
    <row r="660" spans="1:23" ht="12.75" customHeight="1">
      <c r="A660" s="118">
        <v>659</v>
      </c>
      <c r="B660" s="128">
        <v>6</v>
      </c>
      <c r="C660" s="156">
        <v>38169</v>
      </c>
      <c r="D660" s="157" t="s">
        <v>50</v>
      </c>
      <c r="E660" s="8">
        <v>2004</v>
      </c>
      <c r="F660" s="158"/>
      <c r="I660" s="194"/>
    </row>
    <row r="661" spans="1:23" ht="12.75" customHeight="1">
      <c r="A661" s="118">
        <v>660</v>
      </c>
      <c r="B661" s="128">
        <v>6</v>
      </c>
      <c r="C661" s="181">
        <v>38200</v>
      </c>
      <c r="D661" s="157" t="s">
        <v>51</v>
      </c>
      <c r="E661" s="8">
        <v>2004</v>
      </c>
      <c r="F661" s="158">
        <f t="shared" ref="F661:F675" si="163">C661-H661</f>
        <v>305</v>
      </c>
      <c r="G661" s="158">
        <f t="shared" ref="G661:G675" si="164">IF(F661&lt;365,1,2)</f>
        <v>1</v>
      </c>
      <c r="H661" s="162">
        <v>37895</v>
      </c>
      <c r="I661" s="251">
        <v>611960</v>
      </c>
      <c r="J661" s="173">
        <v>0.33</v>
      </c>
      <c r="K661" s="173">
        <v>6.46</v>
      </c>
      <c r="L661" s="173">
        <v>2.11</v>
      </c>
      <c r="O661" s="173">
        <v>0.03</v>
      </c>
      <c r="P661" s="170">
        <v>1</v>
      </c>
      <c r="Q661" s="128">
        <v>12.97</v>
      </c>
      <c r="R661" s="128">
        <v>13.61</v>
      </c>
      <c r="S661" s="180" t="s">
        <v>299</v>
      </c>
      <c r="T661" s="161">
        <f t="shared" ref="T661:T672" si="165">$I661*K661</f>
        <v>3953261.6</v>
      </c>
      <c r="U661" s="161">
        <f t="shared" ref="U661:U672" si="166">$I661*L661</f>
        <v>1291235.5999999999</v>
      </c>
      <c r="V661" s="161">
        <f t="shared" ref="V661:V675" si="167">$I661*O661</f>
        <v>18358.8</v>
      </c>
      <c r="W661" s="161">
        <f t="shared" ref="W661:W675" si="168">V661*0.4</f>
        <v>7343.52</v>
      </c>
    </row>
    <row r="662" spans="1:23" ht="12.75" customHeight="1">
      <c r="A662" s="118">
        <v>661</v>
      </c>
      <c r="B662" s="128">
        <v>6</v>
      </c>
      <c r="C662" s="181">
        <v>38231</v>
      </c>
      <c r="D662" s="157" t="s">
        <v>52</v>
      </c>
      <c r="E662" s="8">
        <v>2004</v>
      </c>
      <c r="F662" s="158">
        <f t="shared" si="163"/>
        <v>336</v>
      </c>
      <c r="G662" s="158">
        <f t="shared" si="164"/>
        <v>1</v>
      </c>
      <c r="H662" s="162">
        <v>37895</v>
      </c>
      <c r="I662" s="248">
        <v>611281</v>
      </c>
      <c r="J662" s="173">
        <v>0.1</v>
      </c>
      <c r="K662" s="173">
        <v>3.1</v>
      </c>
      <c r="L662" s="173">
        <v>0.5</v>
      </c>
      <c r="M662" s="174">
        <v>0</v>
      </c>
      <c r="O662" s="173">
        <v>0.1</v>
      </c>
      <c r="P662" s="170"/>
      <c r="Q662" s="128">
        <v>12.3</v>
      </c>
      <c r="R662" s="128">
        <v>14</v>
      </c>
      <c r="S662" s="180"/>
      <c r="T662" s="161">
        <f t="shared" si="165"/>
        <v>1894971.1</v>
      </c>
      <c r="U662" s="161">
        <f t="shared" si="166"/>
        <v>305640.5</v>
      </c>
      <c r="V662" s="161">
        <f t="shared" si="167"/>
        <v>61128.100000000006</v>
      </c>
      <c r="W662" s="161">
        <f t="shared" si="168"/>
        <v>24451.240000000005</v>
      </c>
    </row>
    <row r="663" spans="1:23" ht="12.75" customHeight="1">
      <c r="A663" s="118">
        <v>662</v>
      </c>
      <c r="B663" s="128">
        <v>6</v>
      </c>
      <c r="C663" s="181">
        <v>38261</v>
      </c>
      <c r="D663" s="157" t="s">
        <v>53</v>
      </c>
      <c r="E663" s="8">
        <v>2004</v>
      </c>
      <c r="F663" s="158">
        <f t="shared" si="163"/>
        <v>366</v>
      </c>
      <c r="G663" s="158">
        <f t="shared" si="164"/>
        <v>2</v>
      </c>
      <c r="H663" s="162">
        <v>37895</v>
      </c>
      <c r="I663" s="248">
        <v>610222</v>
      </c>
      <c r="J663" s="173">
        <v>0</v>
      </c>
      <c r="K663" s="173">
        <v>0.03</v>
      </c>
      <c r="L663" s="173">
        <v>0</v>
      </c>
      <c r="M663" s="174">
        <v>0</v>
      </c>
      <c r="O663" s="173">
        <v>0.02</v>
      </c>
      <c r="P663" s="170"/>
      <c r="Q663" s="128">
        <v>10.3</v>
      </c>
      <c r="R663" s="128">
        <v>18.100000000000001</v>
      </c>
      <c r="S663" s="180"/>
      <c r="T663" s="161">
        <f t="shared" si="165"/>
        <v>18306.66</v>
      </c>
      <c r="U663" s="161">
        <f t="shared" si="166"/>
        <v>0</v>
      </c>
      <c r="V663" s="161">
        <f t="shared" si="167"/>
        <v>12204.44</v>
      </c>
      <c r="W663" s="161">
        <f t="shared" si="168"/>
        <v>4881.7760000000007</v>
      </c>
    </row>
    <row r="664" spans="1:23" ht="12.75" customHeight="1">
      <c r="A664" s="118">
        <v>663</v>
      </c>
      <c r="B664" s="128">
        <v>6</v>
      </c>
      <c r="C664" s="181">
        <v>38292</v>
      </c>
      <c r="D664" s="157" t="s">
        <v>54</v>
      </c>
      <c r="E664" s="8">
        <v>2004</v>
      </c>
      <c r="F664" s="158">
        <f t="shared" si="163"/>
        <v>397</v>
      </c>
      <c r="G664" s="158">
        <f t="shared" si="164"/>
        <v>2</v>
      </c>
      <c r="H664" s="162">
        <v>37895</v>
      </c>
      <c r="I664" s="248">
        <v>609163</v>
      </c>
      <c r="J664" s="173">
        <v>0</v>
      </c>
      <c r="K664" s="173">
        <v>0.12</v>
      </c>
      <c r="L664" s="173">
        <v>0.05</v>
      </c>
      <c r="M664" s="174">
        <v>0</v>
      </c>
      <c r="O664" s="173">
        <v>0.03</v>
      </c>
      <c r="P664" s="170"/>
      <c r="Q664" s="128">
        <v>8.24</v>
      </c>
      <c r="R664" s="128">
        <v>19.07</v>
      </c>
      <c r="S664" s="180"/>
      <c r="T664" s="161">
        <f t="shared" si="165"/>
        <v>73099.56</v>
      </c>
      <c r="U664" s="161">
        <f t="shared" si="166"/>
        <v>30458.15</v>
      </c>
      <c r="V664" s="161">
        <f t="shared" si="167"/>
        <v>18274.89</v>
      </c>
      <c r="W664" s="161">
        <f t="shared" si="168"/>
        <v>7309.9560000000001</v>
      </c>
    </row>
    <row r="665" spans="1:23" ht="12.75" customHeight="1">
      <c r="A665" s="118">
        <v>664</v>
      </c>
      <c r="B665" s="128">
        <v>6</v>
      </c>
      <c r="C665" s="181">
        <v>38322</v>
      </c>
      <c r="D665" s="157" t="s">
        <v>55</v>
      </c>
      <c r="E665" s="8">
        <v>2004</v>
      </c>
      <c r="F665" s="158">
        <f t="shared" si="163"/>
        <v>427</v>
      </c>
      <c r="G665" s="158">
        <f t="shared" si="164"/>
        <v>2</v>
      </c>
      <c r="H665" s="162">
        <v>37895</v>
      </c>
      <c r="I665" s="248">
        <v>608104</v>
      </c>
      <c r="J665" s="173">
        <v>0.15</v>
      </c>
      <c r="K665" s="173">
        <v>0.13</v>
      </c>
      <c r="L665" s="173">
        <v>0.08</v>
      </c>
      <c r="M665" s="174">
        <v>0</v>
      </c>
      <c r="O665" s="173">
        <v>0.02</v>
      </c>
      <c r="P665" s="170"/>
      <c r="Q665" s="128">
        <v>7</v>
      </c>
      <c r="R665" s="128">
        <v>23</v>
      </c>
      <c r="S665" s="180"/>
      <c r="T665" s="161">
        <f t="shared" si="165"/>
        <v>79053.52</v>
      </c>
      <c r="U665" s="161">
        <f t="shared" si="166"/>
        <v>48648.32</v>
      </c>
      <c r="V665" s="161">
        <f t="shared" si="167"/>
        <v>12162.08</v>
      </c>
      <c r="W665" s="161">
        <f t="shared" si="168"/>
        <v>4864.8320000000003</v>
      </c>
    </row>
    <row r="666" spans="1:23" ht="12.75" customHeight="1">
      <c r="A666" s="118">
        <v>665</v>
      </c>
      <c r="B666" s="128">
        <v>6</v>
      </c>
      <c r="C666" s="156">
        <v>38353</v>
      </c>
      <c r="D666" s="157" t="s">
        <v>44</v>
      </c>
      <c r="E666" s="8">
        <v>2005</v>
      </c>
      <c r="F666" s="158">
        <f t="shared" si="163"/>
        <v>458</v>
      </c>
      <c r="G666" s="158">
        <f t="shared" si="164"/>
        <v>2</v>
      </c>
      <c r="H666" s="162">
        <v>37895</v>
      </c>
      <c r="I666" s="248">
        <v>607045</v>
      </c>
      <c r="J666" s="15">
        <v>0</v>
      </c>
      <c r="K666" s="15">
        <v>0.7</v>
      </c>
      <c r="L666" s="15">
        <v>0.23</v>
      </c>
      <c r="M666" s="174">
        <v>1</v>
      </c>
      <c r="O666" s="15">
        <v>0.03</v>
      </c>
      <c r="Q666" s="11">
        <v>7</v>
      </c>
      <c r="R666" s="11">
        <v>27</v>
      </c>
      <c r="T666" s="161">
        <f t="shared" si="165"/>
        <v>424931.5</v>
      </c>
      <c r="U666" s="161">
        <f t="shared" si="166"/>
        <v>139620.35</v>
      </c>
      <c r="V666" s="161">
        <f t="shared" si="167"/>
        <v>18211.349999999999</v>
      </c>
      <c r="W666" s="161">
        <f t="shared" si="168"/>
        <v>7284.54</v>
      </c>
    </row>
    <row r="667" spans="1:23" ht="12.75" customHeight="1">
      <c r="A667" s="118">
        <v>666</v>
      </c>
      <c r="B667" s="128">
        <v>6</v>
      </c>
      <c r="C667" s="156">
        <v>38384</v>
      </c>
      <c r="D667" s="157" t="s">
        <v>45</v>
      </c>
      <c r="E667" s="8">
        <v>2005</v>
      </c>
      <c r="F667" s="158">
        <f t="shared" si="163"/>
        <v>489</v>
      </c>
      <c r="G667" s="158">
        <f t="shared" si="164"/>
        <v>2</v>
      </c>
      <c r="H667" s="162">
        <v>37895</v>
      </c>
      <c r="I667" s="248">
        <v>605986</v>
      </c>
      <c r="J667" s="15">
        <v>0</v>
      </c>
      <c r="K667" s="15">
        <v>0.32</v>
      </c>
      <c r="L667" s="15">
        <v>0.12</v>
      </c>
      <c r="M667" s="174">
        <v>1</v>
      </c>
      <c r="O667" s="15">
        <v>0</v>
      </c>
      <c r="Q667" s="11">
        <v>7</v>
      </c>
      <c r="R667" s="11">
        <v>24</v>
      </c>
      <c r="T667" s="161">
        <f t="shared" si="165"/>
        <v>193915.51999999999</v>
      </c>
      <c r="U667" s="161">
        <f t="shared" si="166"/>
        <v>72718.319999999992</v>
      </c>
      <c r="V667" s="161">
        <f t="shared" si="167"/>
        <v>0</v>
      </c>
      <c r="W667" s="161">
        <f t="shared" si="168"/>
        <v>0</v>
      </c>
    </row>
    <row r="668" spans="1:23" ht="12.75" customHeight="1">
      <c r="A668" s="118">
        <v>667</v>
      </c>
      <c r="B668" s="128">
        <v>6</v>
      </c>
      <c r="C668" s="156">
        <v>38412</v>
      </c>
      <c r="D668" s="157" t="s">
        <v>46</v>
      </c>
      <c r="E668" s="8">
        <v>2005</v>
      </c>
      <c r="F668" s="158">
        <f t="shared" si="163"/>
        <v>517</v>
      </c>
      <c r="G668" s="158">
        <f t="shared" si="164"/>
        <v>2</v>
      </c>
      <c r="H668" s="162">
        <v>37895</v>
      </c>
      <c r="I668" s="194">
        <v>604927</v>
      </c>
      <c r="J668" s="15">
        <v>0.32</v>
      </c>
      <c r="K668" s="15">
        <v>1.2</v>
      </c>
      <c r="L668" s="15">
        <v>0.55000000000000004</v>
      </c>
      <c r="M668" s="174">
        <v>0</v>
      </c>
      <c r="O668" s="15">
        <v>0</v>
      </c>
      <c r="Q668" s="11">
        <v>8</v>
      </c>
      <c r="R668" s="11">
        <v>27</v>
      </c>
      <c r="T668" s="161">
        <f t="shared" si="165"/>
        <v>725912.4</v>
      </c>
      <c r="U668" s="161">
        <f t="shared" si="166"/>
        <v>332709.85000000003</v>
      </c>
      <c r="V668" s="161">
        <f t="shared" si="167"/>
        <v>0</v>
      </c>
      <c r="W668" s="161">
        <f t="shared" si="168"/>
        <v>0</v>
      </c>
    </row>
    <row r="669" spans="1:23" ht="12.75" customHeight="1">
      <c r="A669" s="118">
        <v>668</v>
      </c>
      <c r="B669" s="128">
        <v>6</v>
      </c>
      <c r="C669" s="156">
        <v>38443</v>
      </c>
      <c r="D669" s="157" t="s">
        <v>47</v>
      </c>
      <c r="E669" s="8">
        <v>2005</v>
      </c>
      <c r="F669" s="158">
        <f t="shared" si="163"/>
        <v>548</v>
      </c>
      <c r="G669" s="158">
        <f t="shared" si="164"/>
        <v>2</v>
      </c>
      <c r="H669" s="162">
        <v>37895</v>
      </c>
      <c r="I669" s="194">
        <v>603868</v>
      </c>
      <c r="J669" s="15">
        <v>0.5</v>
      </c>
      <c r="K669" s="15">
        <v>4.59</v>
      </c>
      <c r="L669" s="15">
        <v>1.81</v>
      </c>
      <c r="M669" s="174">
        <v>0</v>
      </c>
      <c r="O669" s="15">
        <v>0.14000000000000001</v>
      </c>
      <c r="Q669" s="11">
        <v>8</v>
      </c>
      <c r="R669" s="11">
        <v>30</v>
      </c>
      <c r="T669" s="161">
        <f t="shared" si="165"/>
        <v>2771754.12</v>
      </c>
      <c r="U669" s="161">
        <f t="shared" si="166"/>
        <v>1093001.08</v>
      </c>
      <c r="V669" s="161">
        <f t="shared" si="167"/>
        <v>84541.52</v>
      </c>
      <c r="W669" s="161">
        <f t="shared" si="168"/>
        <v>33816.608</v>
      </c>
    </row>
    <row r="670" spans="1:23" ht="12.75" customHeight="1">
      <c r="A670" s="118">
        <v>669</v>
      </c>
      <c r="B670" s="128">
        <v>6</v>
      </c>
      <c r="C670" s="156">
        <v>38473</v>
      </c>
      <c r="D670" s="157" t="s">
        <v>48</v>
      </c>
      <c r="E670" s="8">
        <v>2005</v>
      </c>
      <c r="F670" s="158">
        <f t="shared" si="163"/>
        <v>578</v>
      </c>
      <c r="G670" s="158">
        <f t="shared" si="164"/>
        <v>2</v>
      </c>
      <c r="H670" s="162">
        <v>37895</v>
      </c>
      <c r="I670" s="194">
        <v>579191</v>
      </c>
      <c r="J670" s="15">
        <v>0.13</v>
      </c>
      <c r="K670" s="15">
        <v>4.71</v>
      </c>
      <c r="L670" s="15">
        <v>2.38</v>
      </c>
      <c r="M670" s="174">
        <v>2</v>
      </c>
      <c r="O670" s="15">
        <v>0.06</v>
      </c>
      <c r="P670" s="8">
        <v>1</v>
      </c>
      <c r="Q670" s="11">
        <v>10</v>
      </c>
      <c r="R670" s="11">
        <v>25</v>
      </c>
      <c r="T670" s="161">
        <f t="shared" si="165"/>
        <v>2727989.61</v>
      </c>
      <c r="U670" s="161">
        <f t="shared" si="166"/>
        <v>1378474.5799999998</v>
      </c>
      <c r="V670" s="161">
        <f t="shared" si="167"/>
        <v>34751.46</v>
      </c>
      <c r="W670" s="161">
        <f t="shared" si="168"/>
        <v>13900.584000000001</v>
      </c>
    </row>
    <row r="671" spans="1:23" ht="12.75" customHeight="1">
      <c r="A671" s="118">
        <v>670</v>
      </c>
      <c r="B671" s="128">
        <v>6</v>
      </c>
      <c r="C671" s="156">
        <v>38504</v>
      </c>
      <c r="D671" s="157" t="s">
        <v>49</v>
      </c>
      <c r="E671" s="8">
        <v>2005</v>
      </c>
      <c r="F671" s="158">
        <f t="shared" si="163"/>
        <v>609</v>
      </c>
      <c r="G671" s="158">
        <f t="shared" si="164"/>
        <v>2</v>
      </c>
      <c r="H671" s="162">
        <v>37895</v>
      </c>
      <c r="I671" s="194">
        <v>556845</v>
      </c>
      <c r="J671" s="15">
        <v>0.18</v>
      </c>
      <c r="K671" s="15">
        <v>3.8</v>
      </c>
      <c r="L671" s="15">
        <v>2.0299999999999998</v>
      </c>
      <c r="M671" s="174">
        <v>0</v>
      </c>
      <c r="O671" s="15">
        <v>0.02</v>
      </c>
      <c r="Q671" s="11">
        <v>11</v>
      </c>
      <c r="R671" s="11">
        <v>19</v>
      </c>
      <c r="T671" s="161">
        <f t="shared" si="165"/>
        <v>2116011</v>
      </c>
      <c r="U671" s="161">
        <f t="shared" si="166"/>
        <v>1130395.3499999999</v>
      </c>
      <c r="V671" s="161">
        <f t="shared" si="167"/>
        <v>11136.9</v>
      </c>
      <c r="W671" s="161">
        <f t="shared" si="168"/>
        <v>4454.76</v>
      </c>
    </row>
    <row r="672" spans="1:23" s="127" customFormat="1" ht="12.75" customHeight="1">
      <c r="A672" s="118">
        <v>671</v>
      </c>
      <c r="B672" s="128">
        <v>6</v>
      </c>
      <c r="C672" s="156">
        <v>38534</v>
      </c>
      <c r="D672" s="157" t="s">
        <v>50</v>
      </c>
      <c r="E672" s="8">
        <v>2005</v>
      </c>
      <c r="F672" s="158">
        <f t="shared" si="163"/>
        <v>639</v>
      </c>
      <c r="G672" s="158">
        <f t="shared" si="164"/>
        <v>2</v>
      </c>
      <c r="H672" s="162">
        <v>37895</v>
      </c>
      <c r="I672" s="194">
        <v>488083</v>
      </c>
      <c r="J672" s="15">
        <v>0</v>
      </c>
      <c r="K672" s="15">
        <v>0.55000000000000004</v>
      </c>
      <c r="L672" s="15">
        <v>0.45</v>
      </c>
      <c r="M672" s="174"/>
      <c r="N672" s="528"/>
      <c r="O672" s="15">
        <v>0</v>
      </c>
      <c r="P672" s="8"/>
      <c r="Q672" s="11">
        <v>12</v>
      </c>
      <c r="R672" s="11">
        <v>14</v>
      </c>
      <c r="S672" s="155"/>
      <c r="T672" s="161">
        <f t="shared" si="165"/>
        <v>268445.65000000002</v>
      </c>
      <c r="U672" s="161">
        <f t="shared" si="166"/>
        <v>219637.35</v>
      </c>
      <c r="V672" s="161">
        <f t="shared" si="167"/>
        <v>0</v>
      </c>
      <c r="W672" s="161">
        <f t="shared" si="168"/>
        <v>0</v>
      </c>
    </row>
    <row r="673" spans="1:23" s="127" customFormat="1" ht="12.75" customHeight="1">
      <c r="A673" s="118">
        <v>672</v>
      </c>
      <c r="B673" s="128">
        <v>6</v>
      </c>
      <c r="C673" s="156">
        <v>38565</v>
      </c>
      <c r="D673" s="157" t="s">
        <v>51</v>
      </c>
      <c r="E673" s="8">
        <v>2005</v>
      </c>
      <c r="F673" s="158">
        <f t="shared" si="163"/>
        <v>670</v>
      </c>
      <c r="G673" s="158">
        <f t="shared" si="164"/>
        <v>2</v>
      </c>
      <c r="H673" s="162">
        <v>37895</v>
      </c>
      <c r="I673" s="198">
        <v>380000</v>
      </c>
      <c r="J673" s="15"/>
      <c r="K673" s="15"/>
      <c r="L673" s="165">
        <v>0.3</v>
      </c>
      <c r="M673" s="174"/>
      <c r="N673" s="528" t="s">
        <v>795</v>
      </c>
      <c r="O673" s="165">
        <v>0</v>
      </c>
      <c r="P673" s="8"/>
      <c r="Q673" s="11"/>
      <c r="R673" s="11"/>
      <c r="S673" s="155" t="s">
        <v>8</v>
      </c>
      <c r="T673" s="15"/>
      <c r="U673" s="161">
        <f>$I673*L673</f>
        <v>114000</v>
      </c>
      <c r="V673" s="161">
        <f t="shared" si="167"/>
        <v>0</v>
      </c>
      <c r="W673" s="161">
        <f t="shared" si="168"/>
        <v>0</v>
      </c>
    </row>
    <row r="674" spans="1:23" s="127" customFormat="1" ht="12.75" customHeight="1">
      <c r="A674" s="118">
        <v>673</v>
      </c>
      <c r="B674" s="128">
        <v>6</v>
      </c>
      <c r="C674" s="156">
        <v>38596</v>
      </c>
      <c r="D674" s="157" t="s">
        <v>52</v>
      </c>
      <c r="E674" s="8">
        <v>2005</v>
      </c>
      <c r="F674" s="158">
        <f t="shared" si="163"/>
        <v>701</v>
      </c>
      <c r="G674" s="158">
        <f t="shared" si="164"/>
        <v>2</v>
      </c>
      <c r="H674" s="162">
        <v>37895</v>
      </c>
      <c r="I674" s="198">
        <v>250000</v>
      </c>
      <c r="J674" s="15"/>
      <c r="K674" s="15"/>
      <c r="L674" s="165">
        <v>0.3</v>
      </c>
      <c r="M674" s="174"/>
      <c r="N674" s="528" t="s">
        <v>795</v>
      </c>
      <c r="O674" s="165">
        <v>0.05</v>
      </c>
      <c r="P674" s="8"/>
      <c r="Q674" s="11"/>
      <c r="R674" s="11"/>
      <c r="S674" s="155"/>
      <c r="T674" s="15"/>
      <c r="U674" s="161">
        <f>$I674*L674</f>
        <v>75000</v>
      </c>
      <c r="V674" s="161">
        <f t="shared" si="167"/>
        <v>12500</v>
      </c>
      <c r="W674" s="161">
        <f t="shared" si="168"/>
        <v>5000</v>
      </c>
    </row>
    <row r="675" spans="1:23" s="127" customFormat="1" ht="12.75" customHeight="1">
      <c r="A675" s="118">
        <v>674</v>
      </c>
      <c r="B675" s="128">
        <v>6</v>
      </c>
      <c r="C675" s="156">
        <v>38626</v>
      </c>
      <c r="D675" s="157" t="s">
        <v>53</v>
      </c>
      <c r="E675" s="8">
        <v>2005</v>
      </c>
      <c r="F675" s="158">
        <f t="shared" si="163"/>
        <v>731</v>
      </c>
      <c r="G675" s="158">
        <f t="shared" si="164"/>
        <v>2</v>
      </c>
      <c r="H675" s="162">
        <v>37895</v>
      </c>
      <c r="I675" s="198">
        <v>100000</v>
      </c>
      <c r="J675" s="15"/>
      <c r="K675" s="15"/>
      <c r="L675" s="165">
        <v>0.6</v>
      </c>
      <c r="M675" s="174"/>
      <c r="N675" s="528" t="s">
        <v>795</v>
      </c>
      <c r="O675" s="165">
        <v>0.1</v>
      </c>
      <c r="P675" s="8"/>
      <c r="Q675" s="11"/>
      <c r="R675" s="11"/>
      <c r="S675" s="155" t="s">
        <v>7</v>
      </c>
      <c r="T675" s="15"/>
      <c r="U675" s="161">
        <f>$I675*L675</f>
        <v>60000</v>
      </c>
      <c r="V675" s="161">
        <f t="shared" si="167"/>
        <v>10000</v>
      </c>
      <c r="W675" s="161">
        <f t="shared" si="168"/>
        <v>4000</v>
      </c>
    </row>
    <row r="676" spans="1:23" s="127" customFormat="1">
      <c r="A676" s="118">
        <v>675</v>
      </c>
      <c r="B676" s="128">
        <v>6</v>
      </c>
      <c r="C676" s="156">
        <v>38657</v>
      </c>
      <c r="D676" s="157" t="s">
        <v>54</v>
      </c>
      <c r="E676" s="8">
        <v>2005</v>
      </c>
      <c r="F676" s="158"/>
      <c r="G676" s="11"/>
      <c r="H676" s="11"/>
      <c r="I676" s="194"/>
      <c r="J676" s="15"/>
      <c r="K676" s="15"/>
      <c r="L676" s="15"/>
      <c r="M676" s="174"/>
      <c r="N676" s="528"/>
      <c r="O676" s="15"/>
      <c r="P676" s="8"/>
      <c r="Q676" s="11"/>
      <c r="R676" s="11"/>
      <c r="S676" s="155"/>
      <c r="T676" s="15"/>
      <c r="U676" s="161"/>
      <c r="V676" s="15"/>
      <c r="W676" s="15"/>
    </row>
    <row r="677" spans="1:23" s="127" customFormat="1" ht="12.75" customHeight="1">
      <c r="A677" s="118">
        <v>676</v>
      </c>
      <c r="B677" s="128">
        <v>6</v>
      </c>
      <c r="C677" s="156">
        <v>38687</v>
      </c>
      <c r="D677" s="157" t="s">
        <v>55</v>
      </c>
      <c r="E677" s="8">
        <v>2005</v>
      </c>
      <c r="F677" s="158">
        <f t="shared" ref="F677:F695" si="169">C677-H677</f>
        <v>0</v>
      </c>
      <c r="G677" s="158">
        <f t="shared" ref="G677:G695" si="170">IF(F677&lt;365,1,2)</f>
        <v>1</v>
      </c>
      <c r="H677" s="162">
        <v>38687</v>
      </c>
      <c r="I677" s="198">
        <v>570000</v>
      </c>
      <c r="J677" s="15"/>
      <c r="K677" s="15"/>
      <c r="L677" s="165">
        <v>0</v>
      </c>
      <c r="M677" s="174"/>
      <c r="N677" s="528" t="s">
        <v>794</v>
      </c>
      <c r="O677" s="165">
        <v>0</v>
      </c>
      <c r="P677" s="8"/>
      <c r="Q677" s="11"/>
      <c r="R677" s="11"/>
      <c r="S677" s="155" t="s">
        <v>68</v>
      </c>
      <c r="T677" s="15"/>
      <c r="U677" s="161">
        <f t="shared" ref="U677:U695" si="171">$I677*L677</f>
        <v>0</v>
      </c>
      <c r="V677" s="161">
        <f t="shared" ref="V677:V695" si="172">$I677*O677</f>
        <v>0</v>
      </c>
      <c r="W677" s="161">
        <f t="shared" ref="W677:W695" si="173">V677*0.4</f>
        <v>0</v>
      </c>
    </row>
    <row r="678" spans="1:23" s="127" customFormat="1">
      <c r="A678" s="118">
        <v>677</v>
      </c>
      <c r="B678" s="128">
        <v>6</v>
      </c>
      <c r="C678" s="156">
        <v>38718</v>
      </c>
      <c r="D678" s="157" t="s">
        <v>44</v>
      </c>
      <c r="E678" s="8">
        <v>2006</v>
      </c>
      <c r="F678" s="158">
        <f t="shared" si="169"/>
        <v>31</v>
      </c>
      <c r="G678" s="158">
        <f t="shared" si="170"/>
        <v>1</v>
      </c>
      <c r="H678" s="162">
        <v>38687</v>
      </c>
      <c r="I678" s="198">
        <v>570000</v>
      </c>
      <c r="J678" s="15"/>
      <c r="K678" s="15"/>
      <c r="L678" s="165">
        <v>0.8</v>
      </c>
      <c r="M678" s="174"/>
      <c r="N678" s="528" t="s">
        <v>794</v>
      </c>
      <c r="O678" s="165">
        <v>0.1</v>
      </c>
      <c r="P678" s="8"/>
      <c r="Q678" s="11"/>
      <c r="R678" s="11"/>
      <c r="S678" s="155"/>
      <c r="T678" s="15"/>
      <c r="U678" s="161">
        <f t="shared" si="171"/>
        <v>456000</v>
      </c>
      <c r="V678" s="161">
        <f t="shared" si="172"/>
        <v>57000</v>
      </c>
      <c r="W678" s="161">
        <f t="shared" si="173"/>
        <v>22800</v>
      </c>
    </row>
    <row r="679" spans="1:23" s="127" customFormat="1">
      <c r="A679" s="118">
        <v>678</v>
      </c>
      <c r="B679" s="128">
        <v>6</v>
      </c>
      <c r="C679" s="156">
        <v>38749</v>
      </c>
      <c r="D679" s="157" t="s">
        <v>45</v>
      </c>
      <c r="E679" s="8">
        <v>2006</v>
      </c>
      <c r="F679" s="158">
        <f t="shared" si="169"/>
        <v>62</v>
      </c>
      <c r="G679" s="158">
        <f t="shared" si="170"/>
        <v>1</v>
      </c>
      <c r="H679" s="162">
        <v>38687</v>
      </c>
      <c r="I679" s="198">
        <v>570000</v>
      </c>
      <c r="J679" s="15">
        <v>0.12</v>
      </c>
      <c r="K679" s="15">
        <v>5.48</v>
      </c>
      <c r="L679" s="15">
        <v>1.63</v>
      </c>
      <c r="M679" s="174"/>
      <c r="N679" s="528"/>
      <c r="O679" s="15">
        <v>0.2</v>
      </c>
      <c r="P679" s="8"/>
      <c r="Q679" s="11">
        <v>7</v>
      </c>
      <c r="R679" s="11">
        <v>27</v>
      </c>
      <c r="S679" s="155"/>
      <c r="T679" s="161">
        <f t="shared" ref="T679:T694" si="174">$I679*K679</f>
        <v>3123600.0000000005</v>
      </c>
      <c r="U679" s="161">
        <f t="shared" si="171"/>
        <v>929099.99999999988</v>
      </c>
      <c r="V679" s="161">
        <f t="shared" si="172"/>
        <v>114000</v>
      </c>
      <c r="W679" s="161">
        <f t="shared" si="173"/>
        <v>45600</v>
      </c>
    </row>
    <row r="680" spans="1:23" s="127" customFormat="1">
      <c r="A680" s="118">
        <v>679</v>
      </c>
      <c r="B680" s="128">
        <v>6</v>
      </c>
      <c r="C680" s="156">
        <v>38777</v>
      </c>
      <c r="D680" s="157" t="s">
        <v>46</v>
      </c>
      <c r="E680" s="8">
        <v>2006</v>
      </c>
      <c r="F680" s="158">
        <f t="shared" si="169"/>
        <v>90</v>
      </c>
      <c r="G680" s="158">
        <f t="shared" si="170"/>
        <v>1</v>
      </c>
      <c r="H680" s="162">
        <v>38687</v>
      </c>
      <c r="I680" s="194">
        <v>566012</v>
      </c>
      <c r="J680" s="15">
        <v>0.53</v>
      </c>
      <c r="K680" s="15">
        <v>8.1300000000000008</v>
      </c>
      <c r="L680" s="15">
        <v>2.7</v>
      </c>
      <c r="M680" s="174">
        <v>2</v>
      </c>
      <c r="N680" s="528"/>
      <c r="O680" s="15">
        <v>0.28000000000000003</v>
      </c>
      <c r="P680" s="8">
        <v>1</v>
      </c>
      <c r="Q680" s="11">
        <v>7</v>
      </c>
      <c r="R680" s="11">
        <v>30</v>
      </c>
      <c r="S680" s="155"/>
      <c r="T680" s="161">
        <f t="shared" si="174"/>
        <v>4601677.5600000005</v>
      </c>
      <c r="U680" s="161">
        <f t="shared" si="171"/>
        <v>1528232.4000000001</v>
      </c>
      <c r="V680" s="161">
        <f t="shared" si="172"/>
        <v>158483.36000000002</v>
      </c>
      <c r="W680" s="161">
        <f t="shared" si="173"/>
        <v>63393.344000000012</v>
      </c>
    </row>
    <row r="681" spans="1:23" s="127" customFormat="1">
      <c r="A681" s="118">
        <v>680</v>
      </c>
      <c r="B681" s="128">
        <v>6</v>
      </c>
      <c r="C681" s="156">
        <v>38808</v>
      </c>
      <c r="D681" s="157" t="s">
        <v>47</v>
      </c>
      <c r="E681" s="8">
        <v>2006</v>
      </c>
      <c r="F681" s="158">
        <f t="shared" si="169"/>
        <v>121</v>
      </c>
      <c r="G681" s="158">
        <f t="shared" si="170"/>
        <v>1</v>
      </c>
      <c r="H681" s="162">
        <v>38687</v>
      </c>
      <c r="I681" s="194">
        <v>562860</v>
      </c>
      <c r="J681" s="15">
        <v>7.0000000000000007E-2</v>
      </c>
      <c r="K681" s="15">
        <v>1.47</v>
      </c>
      <c r="L681" s="15">
        <v>0.42</v>
      </c>
      <c r="M681" s="174">
        <v>0</v>
      </c>
      <c r="N681" s="528"/>
      <c r="O681" s="15">
        <v>0</v>
      </c>
      <c r="P681" s="8"/>
      <c r="Q681" s="11">
        <v>9</v>
      </c>
      <c r="R681" s="11">
        <v>29</v>
      </c>
      <c r="S681" s="155"/>
      <c r="T681" s="161">
        <f t="shared" si="174"/>
        <v>827404.2</v>
      </c>
      <c r="U681" s="161">
        <f t="shared" si="171"/>
        <v>236401.19999999998</v>
      </c>
      <c r="V681" s="161">
        <f t="shared" si="172"/>
        <v>0</v>
      </c>
      <c r="W681" s="161">
        <f t="shared" si="173"/>
        <v>0</v>
      </c>
    </row>
    <row r="682" spans="1:23" s="127" customFormat="1">
      <c r="A682" s="118">
        <v>681</v>
      </c>
      <c r="B682" s="128">
        <v>6</v>
      </c>
      <c r="C682" s="156">
        <v>38838</v>
      </c>
      <c r="D682" s="157" t="s">
        <v>48</v>
      </c>
      <c r="E682" s="8">
        <v>2006</v>
      </c>
      <c r="F682" s="158">
        <f t="shared" si="169"/>
        <v>151</v>
      </c>
      <c r="G682" s="158">
        <f t="shared" si="170"/>
        <v>1</v>
      </c>
      <c r="H682" s="162">
        <v>38687</v>
      </c>
      <c r="I682" s="194">
        <v>561275</v>
      </c>
      <c r="J682" s="15">
        <v>0</v>
      </c>
      <c r="K682" s="15">
        <v>0.17</v>
      </c>
      <c r="L682" s="15">
        <v>0.03</v>
      </c>
      <c r="M682" s="174">
        <v>0</v>
      </c>
      <c r="N682" s="528"/>
      <c r="O682" s="15">
        <v>0.02</v>
      </c>
      <c r="P682" s="8"/>
      <c r="Q682" s="11">
        <v>10</v>
      </c>
      <c r="R682" s="11">
        <v>22</v>
      </c>
      <c r="S682" s="155"/>
      <c r="T682" s="161">
        <f t="shared" si="174"/>
        <v>95416.75</v>
      </c>
      <c r="U682" s="161">
        <f t="shared" si="171"/>
        <v>16838.25</v>
      </c>
      <c r="V682" s="161">
        <f t="shared" si="172"/>
        <v>11225.5</v>
      </c>
      <c r="W682" s="161">
        <f t="shared" si="173"/>
        <v>4490.2</v>
      </c>
    </row>
    <row r="683" spans="1:23" s="127" customFormat="1">
      <c r="A683" s="118">
        <v>682</v>
      </c>
      <c r="B683" s="128">
        <v>6</v>
      </c>
      <c r="C683" s="156">
        <v>38869</v>
      </c>
      <c r="D683" s="157" t="s">
        <v>49</v>
      </c>
      <c r="E683" s="8">
        <v>2006</v>
      </c>
      <c r="F683" s="158">
        <f t="shared" si="169"/>
        <v>182</v>
      </c>
      <c r="G683" s="158">
        <f t="shared" si="170"/>
        <v>1</v>
      </c>
      <c r="H683" s="162">
        <v>38687</v>
      </c>
      <c r="I683" s="194">
        <v>560617</v>
      </c>
      <c r="J683" s="15">
        <v>0</v>
      </c>
      <c r="K683" s="15">
        <v>0.12</v>
      </c>
      <c r="L683" s="15">
        <v>0.02</v>
      </c>
      <c r="M683" s="174">
        <v>0</v>
      </c>
      <c r="N683" s="528"/>
      <c r="O683" s="15">
        <v>0</v>
      </c>
      <c r="P683" s="8"/>
      <c r="Q683" s="11">
        <v>11</v>
      </c>
      <c r="R683" s="11">
        <v>13</v>
      </c>
      <c r="S683" s="155"/>
      <c r="T683" s="161">
        <f t="shared" si="174"/>
        <v>67274.039999999994</v>
      </c>
      <c r="U683" s="161">
        <f t="shared" si="171"/>
        <v>11212.34</v>
      </c>
      <c r="V683" s="161">
        <f t="shared" si="172"/>
        <v>0</v>
      </c>
      <c r="W683" s="161">
        <f t="shared" si="173"/>
        <v>0</v>
      </c>
    </row>
    <row r="684" spans="1:23">
      <c r="A684" s="118">
        <v>683</v>
      </c>
      <c r="B684" s="128">
        <v>6</v>
      </c>
      <c r="C684" s="156">
        <v>38899</v>
      </c>
      <c r="D684" s="157" t="s">
        <v>50</v>
      </c>
      <c r="E684" s="8">
        <v>2006</v>
      </c>
      <c r="F684" s="158">
        <f t="shared" si="169"/>
        <v>212</v>
      </c>
      <c r="G684" s="158">
        <f t="shared" si="170"/>
        <v>1</v>
      </c>
      <c r="H684" s="162">
        <v>38687</v>
      </c>
      <c r="I684" s="194">
        <v>560319</v>
      </c>
      <c r="J684" s="15">
        <v>0</v>
      </c>
      <c r="K684" s="15">
        <v>0.05</v>
      </c>
      <c r="L684" s="15">
        <v>0.02</v>
      </c>
      <c r="M684" s="174">
        <v>0</v>
      </c>
      <c r="O684" s="15">
        <v>0</v>
      </c>
      <c r="Q684" s="11">
        <v>12</v>
      </c>
      <c r="R684" s="11">
        <v>12</v>
      </c>
      <c r="T684" s="161">
        <f t="shared" si="174"/>
        <v>28015.95</v>
      </c>
      <c r="U684" s="161">
        <f t="shared" si="171"/>
        <v>11206.380000000001</v>
      </c>
      <c r="V684" s="161">
        <f t="shared" si="172"/>
        <v>0</v>
      </c>
      <c r="W684" s="161">
        <f t="shared" si="173"/>
        <v>0</v>
      </c>
    </row>
    <row r="685" spans="1:23">
      <c r="A685" s="118">
        <v>684</v>
      </c>
      <c r="B685" s="128">
        <v>6</v>
      </c>
      <c r="C685" s="156">
        <v>38930</v>
      </c>
      <c r="D685" s="157" t="s">
        <v>51</v>
      </c>
      <c r="E685" s="8">
        <v>2006</v>
      </c>
      <c r="F685" s="158">
        <f t="shared" si="169"/>
        <v>243</v>
      </c>
      <c r="G685" s="158">
        <f t="shared" si="170"/>
        <v>1</v>
      </c>
      <c r="H685" s="162">
        <v>38687</v>
      </c>
      <c r="I685" s="198">
        <v>560000</v>
      </c>
      <c r="J685" s="15">
        <v>0</v>
      </c>
      <c r="K685" s="15">
        <v>6.6666600000000006E-2</v>
      </c>
      <c r="L685" s="15">
        <v>0</v>
      </c>
      <c r="M685" s="174">
        <v>0</v>
      </c>
      <c r="O685" s="15">
        <v>0</v>
      </c>
      <c r="Q685" s="11">
        <v>12</v>
      </c>
      <c r="R685" s="11">
        <v>17</v>
      </c>
      <c r="T685" s="161">
        <f t="shared" si="174"/>
        <v>37333.296000000002</v>
      </c>
      <c r="U685" s="161">
        <f t="shared" si="171"/>
        <v>0</v>
      </c>
      <c r="V685" s="161">
        <f t="shared" si="172"/>
        <v>0</v>
      </c>
      <c r="W685" s="161">
        <f t="shared" si="173"/>
        <v>0</v>
      </c>
    </row>
    <row r="686" spans="1:23">
      <c r="A686" s="118">
        <v>685</v>
      </c>
      <c r="B686" s="128">
        <v>6</v>
      </c>
      <c r="C686" s="156">
        <v>38961</v>
      </c>
      <c r="D686" s="157" t="s">
        <v>52</v>
      </c>
      <c r="E686" s="8">
        <v>2006</v>
      </c>
      <c r="F686" s="158">
        <f t="shared" si="169"/>
        <v>274</v>
      </c>
      <c r="G686" s="158">
        <f t="shared" si="170"/>
        <v>1</v>
      </c>
      <c r="H686" s="162">
        <v>38687</v>
      </c>
      <c r="I686" s="198">
        <v>559600</v>
      </c>
      <c r="J686" s="15">
        <v>0.18</v>
      </c>
      <c r="K686" s="15">
        <v>0.88</v>
      </c>
      <c r="L686" s="15">
        <v>0.55000000000000004</v>
      </c>
      <c r="M686" s="174">
        <v>0</v>
      </c>
      <c r="O686" s="15">
        <v>0</v>
      </c>
      <c r="Q686" s="11">
        <v>11</v>
      </c>
      <c r="R686" s="11">
        <v>17</v>
      </c>
      <c r="T686" s="161">
        <f t="shared" si="174"/>
        <v>492448</v>
      </c>
      <c r="U686" s="161">
        <f t="shared" si="171"/>
        <v>307780</v>
      </c>
      <c r="V686" s="161">
        <f t="shared" si="172"/>
        <v>0</v>
      </c>
      <c r="W686" s="161">
        <f t="shared" si="173"/>
        <v>0</v>
      </c>
    </row>
    <row r="687" spans="1:23">
      <c r="A687" s="118">
        <v>686</v>
      </c>
      <c r="B687" s="128">
        <v>6</v>
      </c>
      <c r="C687" s="156">
        <v>38991</v>
      </c>
      <c r="D687" s="157" t="s">
        <v>53</v>
      </c>
      <c r="E687" s="8">
        <v>2006</v>
      </c>
      <c r="F687" s="158">
        <f t="shared" si="169"/>
        <v>304</v>
      </c>
      <c r="G687" s="158">
        <f t="shared" si="170"/>
        <v>1</v>
      </c>
      <c r="H687" s="162">
        <v>38687</v>
      </c>
      <c r="I687" s="198">
        <v>559300</v>
      </c>
      <c r="J687" s="15">
        <v>0.42</v>
      </c>
      <c r="K687" s="15">
        <v>4.2300000000000004</v>
      </c>
      <c r="L687" s="15">
        <v>2.62</v>
      </c>
      <c r="M687" s="174">
        <v>2</v>
      </c>
      <c r="O687" s="15">
        <v>0.1</v>
      </c>
      <c r="P687" s="8">
        <v>1</v>
      </c>
      <c r="Q687" s="11">
        <v>11</v>
      </c>
      <c r="R687" s="11">
        <v>17</v>
      </c>
      <c r="T687" s="161">
        <f t="shared" si="174"/>
        <v>2365839.0000000005</v>
      </c>
      <c r="U687" s="161">
        <f t="shared" si="171"/>
        <v>1465366</v>
      </c>
      <c r="V687" s="161">
        <f t="shared" si="172"/>
        <v>55930</v>
      </c>
      <c r="W687" s="161">
        <f t="shared" si="173"/>
        <v>22372</v>
      </c>
    </row>
    <row r="688" spans="1:23">
      <c r="A688" s="118">
        <v>687</v>
      </c>
      <c r="B688" s="128">
        <v>6</v>
      </c>
      <c r="C688" s="156">
        <v>39022</v>
      </c>
      <c r="D688" s="157" t="s">
        <v>54</v>
      </c>
      <c r="E688" s="8">
        <v>2006</v>
      </c>
      <c r="F688" s="158">
        <f t="shared" si="169"/>
        <v>335</v>
      </c>
      <c r="G688" s="158">
        <f t="shared" si="170"/>
        <v>1</v>
      </c>
      <c r="H688" s="162">
        <v>38687</v>
      </c>
      <c r="I688" s="198">
        <v>559000</v>
      </c>
      <c r="J688" s="15">
        <v>0</v>
      </c>
      <c r="K688" s="15">
        <v>2.3166666</v>
      </c>
      <c r="L688" s="15">
        <v>1.3</v>
      </c>
      <c r="M688" s="174">
        <v>2</v>
      </c>
      <c r="O688" s="15">
        <v>0.26666659999999998</v>
      </c>
      <c r="Q688" s="11">
        <v>7</v>
      </c>
      <c r="R688" s="11">
        <v>19</v>
      </c>
      <c r="T688" s="161">
        <f t="shared" si="174"/>
        <v>1295016.6294</v>
      </c>
      <c r="U688" s="161">
        <f t="shared" si="171"/>
        <v>726700</v>
      </c>
      <c r="V688" s="161">
        <f t="shared" si="172"/>
        <v>149066.62939999998</v>
      </c>
      <c r="W688" s="161">
        <f t="shared" si="173"/>
        <v>59626.651759999993</v>
      </c>
    </row>
    <row r="689" spans="1:23">
      <c r="A689" s="118">
        <v>688</v>
      </c>
      <c r="B689" s="128">
        <v>6</v>
      </c>
      <c r="C689" s="156">
        <v>39052</v>
      </c>
      <c r="D689" s="157" t="s">
        <v>55</v>
      </c>
      <c r="E689" s="8">
        <v>2006</v>
      </c>
      <c r="F689" s="158">
        <f t="shared" si="169"/>
        <v>365</v>
      </c>
      <c r="G689" s="158">
        <f t="shared" si="170"/>
        <v>2</v>
      </c>
      <c r="H689" s="162">
        <v>38687</v>
      </c>
      <c r="I689" s="198">
        <v>558600</v>
      </c>
      <c r="J689" s="15">
        <v>0.48</v>
      </c>
      <c r="K689" s="15">
        <v>3.17</v>
      </c>
      <c r="L689" s="15">
        <v>2.15</v>
      </c>
      <c r="M689" s="174">
        <v>1</v>
      </c>
      <c r="O689" s="15">
        <v>0.02</v>
      </c>
      <c r="Q689" s="11">
        <v>7</v>
      </c>
      <c r="R689" s="11">
        <v>24</v>
      </c>
      <c r="T689" s="161">
        <f t="shared" si="174"/>
        <v>1770762</v>
      </c>
      <c r="U689" s="161">
        <f t="shared" si="171"/>
        <v>1200990</v>
      </c>
      <c r="V689" s="161">
        <f t="shared" si="172"/>
        <v>11172</v>
      </c>
      <c r="W689" s="161">
        <f t="shared" si="173"/>
        <v>4468.8</v>
      </c>
    </row>
    <row r="690" spans="1:23" ht="12.75" customHeight="1">
      <c r="A690" s="118">
        <v>689</v>
      </c>
      <c r="B690" s="128">
        <v>6</v>
      </c>
      <c r="C690" s="156">
        <v>39083</v>
      </c>
      <c r="D690" s="157" t="s">
        <v>44</v>
      </c>
      <c r="E690" s="8">
        <v>2007</v>
      </c>
      <c r="F690" s="158">
        <f t="shared" si="169"/>
        <v>396</v>
      </c>
      <c r="G690" s="158">
        <f t="shared" si="170"/>
        <v>2</v>
      </c>
      <c r="H690" s="172">
        <v>38687</v>
      </c>
      <c r="I690" s="160">
        <v>523499</v>
      </c>
      <c r="J690" s="173">
        <v>0</v>
      </c>
      <c r="K690" s="173">
        <v>0.4</v>
      </c>
      <c r="L690" s="173">
        <v>0.25</v>
      </c>
      <c r="M690" s="174">
        <v>0</v>
      </c>
      <c r="O690" s="173">
        <v>0</v>
      </c>
      <c r="P690" s="170"/>
      <c r="Q690" s="128">
        <v>6</v>
      </c>
      <c r="R690" s="128">
        <v>22</v>
      </c>
      <c r="S690" s="180"/>
      <c r="T690" s="161">
        <f t="shared" si="174"/>
        <v>209399.6</v>
      </c>
      <c r="U690" s="161">
        <f t="shared" si="171"/>
        <v>130874.75</v>
      </c>
      <c r="V690" s="161">
        <f t="shared" si="172"/>
        <v>0</v>
      </c>
      <c r="W690" s="161">
        <f t="shared" si="173"/>
        <v>0</v>
      </c>
    </row>
    <row r="691" spans="1:23" ht="12.75" customHeight="1">
      <c r="A691" s="118">
        <v>690</v>
      </c>
      <c r="B691" s="128">
        <v>6</v>
      </c>
      <c r="C691" s="156">
        <v>39114</v>
      </c>
      <c r="D691" s="157" t="s">
        <v>45</v>
      </c>
      <c r="E691" s="8">
        <v>2007</v>
      </c>
      <c r="F691" s="158">
        <f t="shared" si="169"/>
        <v>427</v>
      </c>
      <c r="G691" s="158">
        <f t="shared" si="170"/>
        <v>2</v>
      </c>
      <c r="H691" s="172">
        <v>38687</v>
      </c>
      <c r="I691" s="160">
        <v>483650</v>
      </c>
      <c r="J691" s="173">
        <v>0.1</v>
      </c>
      <c r="K691" s="173">
        <v>0.37</v>
      </c>
      <c r="L691" s="173">
        <v>0.12</v>
      </c>
      <c r="M691" s="174">
        <v>0</v>
      </c>
      <c r="O691" s="173">
        <v>0</v>
      </c>
      <c r="P691" s="170"/>
      <c r="Q691" s="128">
        <v>7</v>
      </c>
      <c r="R691" s="128">
        <v>25</v>
      </c>
      <c r="S691" s="180"/>
      <c r="T691" s="161">
        <f t="shared" si="174"/>
        <v>178950.5</v>
      </c>
      <c r="U691" s="161">
        <f t="shared" si="171"/>
        <v>58038</v>
      </c>
      <c r="V691" s="161">
        <f t="shared" si="172"/>
        <v>0</v>
      </c>
      <c r="W691" s="161">
        <f t="shared" si="173"/>
        <v>0</v>
      </c>
    </row>
    <row r="692" spans="1:23" ht="12.75" customHeight="1">
      <c r="A692" s="118">
        <v>691</v>
      </c>
      <c r="B692" s="128">
        <v>6</v>
      </c>
      <c r="C692" s="156">
        <v>39142</v>
      </c>
      <c r="D692" s="157" t="s">
        <v>46</v>
      </c>
      <c r="E692" s="8">
        <v>2007</v>
      </c>
      <c r="F692" s="158">
        <f t="shared" si="169"/>
        <v>455</v>
      </c>
      <c r="G692" s="158">
        <f t="shared" si="170"/>
        <v>2</v>
      </c>
      <c r="H692" s="172">
        <v>38687</v>
      </c>
      <c r="I692" s="160">
        <v>432439</v>
      </c>
      <c r="J692" s="173">
        <v>0</v>
      </c>
      <c r="K692" s="173">
        <v>0.77</v>
      </c>
      <c r="L692" s="173">
        <v>0.18</v>
      </c>
      <c r="M692" s="174">
        <v>0</v>
      </c>
      <c r="O692" s="173">
        <v>0</v>
      </c>
      <c r="P692" s="170"/>
      <c r="Q692" s="128">
        <v>7</v>
      </c>
      <c r="R692" s="128">
        <v>24</v>
      </c>
      <c r="S692" s="180"/>
      <c r="T692" s="161">
        <f t="shared" si="174"/>
        <v>332978.03000000003</v>
      </c>
      <c r="U692" s="161">
        <f t="shared" si="171"/>
        <v>77839.02</v>
      </c>
      <c r="V692" s="161">
        <f t="shared" si="172"/>
        <v>0</v>
      </c>
      <c r="W692" s="161">
        <f t="shared" si="173"/>
        <v>0</v>
      </c>
    </row>
    <row r="693" spans="1:23" ht="12.75" customHeight="1">
      <c r="A693" s="118">
        <v>692</v>
      </c>
      <c r="B693" s="128">
        <v>6</v>
      </c>
      <c r="C693" s="156">
        <v>39173</v>
      </c>
      <c r="D693" s="157" t="s">
        <v>47</v>
      </c>
      <c r="E693" s="8">
        <v>2007</v>
      </c>
      <c r="F693" s="158">
        <f t="shared" si="169"/>
        <v>486</v>
      </c>
      <c r="G693" s="158">
        <f t="shared" si="170"/>
        <v>2</v>
      </c>
      <c r="H693" s="172">
        <v>38687</v>
      </c>
      <c r="I693" s="160">
        <v>403458</v>
      </c>
      <c r="J693" s="173">
        <v>0</v>
      </c>
      <c r="K693" s="173">
        <v>1.5</v>
      </c>
      <c r="L693" s="173">
        <v>0.5</v>
      </c>
      <c r="M693" s="174">
        <v>0</v>
      </c>
      <c r="O693" s="173">
        <v>0</v>
      </c>
      <c r="P693" s="170"/>
      <c r="Q693" s="128">
        <v>8</v>
      </c>
      <c r="R693" s="128">
        <v>22</v>
      </c>
      <c r="S693" s="180" t="s">
        <v>7</v>
      </c>
      <c r="T693" s="161">
        <f t="shared" si="174"/>
        <v>605187</v>
      </c>
      <c r="U693" s="161">
        <f t="shared" si="171"/>
        <v>201729</v>
      </c>
      <c r="V693" s="161">
        <f t="shared" si="172"/>
        <v>0</v>
      </c>
      <c r="W693" s="161">
        <f t="shared" si="173"/>
        <v>0</v>
      </c>
    </row>
    <row r="694" spans="1:23" ht="12.75" customHeight="1">
      <c r="A694" s="118">
        <v>693</v>
      </c>
      <c r="B694" s="128">
        <v>6</v>
      </c>
      <c r="C694" s="156">
        <v>39203</v>
      </c>
      <c r="D694" s="157" t="s">
        <v>48</v>
      </c>
      <c r="E694" s="8">
        <v>2007</v>
      </c>
      <c r="F694" s="158">
        <f t="shared" si="169"/>
        <v>516</v>
      </c>
      <c r="G694" s="158">
        <f t="shared" si="170"/>
        <v>2</v>
      </c>
      <c r="H694" s="172">
        <v>38687</v>
      </c>
      <c r="I694" s="160">
        <v>294580</v>
      </c>
      <c r="J694" s="173">
        <v>0</v>
      </c>
      <c r="K694" s="173">
        <v>1.03</v>
      </c>
      <c r="L694" s="173">
        <v>0.48</v>
      </c>
      <c r="O694" s="173">
        <v>0</v>
      </c>
      <c r="P694" s="170"/>
      <c r="Q694" s="128">
        <v>9</v>
      </c>
      <c r="R694" s="128">
        <v>19</v>
      </c>
      <c r="S694" s="180" t="s">
        <v>7</v>
      </c>
      <c r="T694" s="161">
        <f t="shared" si="174"/>
        <v>303417.40000000002</v>
      </c>
      <c r="U694" s="161">
        <f t="shared" si="171"/>
        <v>141398.39999999999</v>
      </c>
      <c r="V694" s="161">
        <f t="shared" si="172"/>
        <v>0</v>
      </c>
      <c r="W694" s="161">
        <f t="shared" si="173"/>
        <v>0</v>
      </c>
    </row>
    <row r="695" spans="1:23" ht="12.75" customHeight="1">
      <c r="A695" s="118">
        <v>694</v>
      </c>
      <c r="B695" s="128">
        <v>6</v>
      </c>
      <c r="C695" s="156">
        <v>39234</v>
      </c>
      <c r="D695" s="157" t="s">
        <v>49</v>
      </c>
      <c r="E695" s="8">
        <v>2007</v>
      </c>
      <c r="F695" s="158">
        <f t="shared" si="169"/>
        <v>547</v>
      </c>
      <c r="G695" s="158">
        <f t="shared" si="170"/>
        <v>2</v>
      </c>
      <c r="H695" s="172">
        <v>38687</v>
      </c>
      <c r="I695" s="160">
        <v>177670</v>
      </c>
      <c r="J695" s="173"/>
      <c r="K695" s="173"/>
      <c r="L695" s="165">
        <v>0.5</v>
      </c>
      <c r="N695" s="528" t="s">
        <v>795</v>
      </c>
      <c r="O695" s="165">
        <v>0</v>
      </c>
      <c r="P695" s="170"/>
      <c r="Q695" s="128"/>
      <c r="R695" s="128"/>
      <c r="S695" s="180" t="s">
        <v>7</v>
      </c>
      <c r="T695" s="173"/>
      <c r="U695" s="171">
        <f t="shared" si="171"/>
        <v>88835</v>
      </c>
      <c r="V695" s="161">
        <f t="shared" si="172"/>
        <v>0</v>
      </c>
      <c r="W695" s="161">
        <f t="shared" si="173"/>
        <v>0</v>
      </c>
    </row>
    <row r="696" spans="1:23" ht="12.75" customHeight="1">
      <c r="A696" s="118">
        <v>695</v>
      </c>
      <c r="B696" s="128">
        <v>6</v>
      </c>
      <c r="C696" s="156">
        <v>39264</v>
      </c>
      <c r="D696" s="157" t="s">
        <v>50</v>
      </c>
      <c r="E696" s="8">
        <v>2007</v>
      </c>
      <c r="F696" s="128"/>
      <c r="G696" s="128"/>
      <c r="H696" s="172"/>
      <c r="I696" s="160"/>
      <c r="J696" s="173"/>
      <c r="K696" s="173"/>
      <c r="L696" s="173"/>
      <c r="O696" s="173"/>
      <c r="P696" s="170"/>
      <c r="Q696" s="128"/>
      <c r="R696" s="128"/>
      <c r="S696" s="180"/>
      <c r="T696" s="173"/>
      <c r="U696" s="171"/>
      <c r="V696" s="173"/>
      <c r="W696" s="173"/>
    </row>
    <row r="697" spans="1:23" ht="12.75" customHeight="1">
      <c r="A697" s="118">
        <v>696</v>
      </c>
      <c r="B697" s="128">
        <v>6</v>
      </c>
      <c r="C697" s="156">
        <v>39295</v>
      </c>
      <c r="D697" s="157" t="s">
        <v>51</v>
      </c>
      <c r="E697" s="8">
        <v>2007</v>
      </c>
      <c r="F697" s="128"/>
      <c r="G697" s="128"/>
      <c r="H697" s="172"/>
      <c r="I697" s="160"/>
      <c r="J697" s="173"/>
      <c r="K697" s="173"/>
      <c r="L697" s="173"/>
      <c r="O697" s="173"/>
      <c r="P697" s="170"/>
      <c r="Q697" s="128"/>
      <c r="R697" s="128"/>
      <c r="S697" s="180"/>
      <c r="T697" s="173"/>
      <c r="U697" s="171"/>
      <c r="V697" s="173"/>
      <c r="W697" s="173"/>
    </row>
    <row r="698" spans="1:23" ht="12.75" customHeight="1">
      <c r="A698" s="118">
        <v>697</v>
      </c>
      <c r="B698" s="128">
        <v>6</v>
      </c>
      <c r="C698" s="156">
        <v>39326</v>
      </c>
      <c r="D698" s="157" t="s">
        <v>52</v>
      </c>
      <c r="E698" s="8">
        <v>2007</v>
      </c>
      <c r="F698" s="128"/>
      <c r="G698" s="128"/>
      <c r="H698" s="172"/>
      <c r="I698" s="160"/>
      <c r="J698" s="173"/>
      <c r="K698" s="173"/>
      <c r="L698" s="173"/>
      <c r="O698" s="173"/>
      <c r="P698" s="170"/>
      <c r="Q698" s="128"/>
      <c r="R698" s="128"/>
      <c r="S698" s="180"/>
      <c r="T698" s="173"/>
      <c r="U698" s="171"/>
      <c r="V698" s="173"/>
      <c r="W698" s="173"/>
    </row>
    <row r="699" spans="1:23" ht="12.75" customHeight="1">
      <c r="A699" s="118">
        <v>698</v>
      </c>
      <c r="B699" s="128">
        <v>6</v>
      </c>
      <c r="C699" s="156">
        <v>39356</v>
      </c>
      <c r="D699" s="157" t="s">
        <v>53</v>
      </c>
      <c r="E699" s="8">
        <v>2007</v>
      </c>
      <c r="F699" s="128"/>
      <c r="G699" s="128"/>
      <c r="H699" s="172"/>
      <c r="I699" s="160"/>
      <c r="J699" s="173"/>
      <c r="K699" s="173"/>
      <c r="L699" s="173"/>
      <c r="O699" s="173"/>
      <c r="P699" s="170"/>
      <c r="Q699" s="128"/>
      <c r="R699" s="128"/>
      <c r="S699" s="180"/>
      <c r="T699" s="173"/>
      <c r="U699" s="171"/>
      <c r="V699" s="173"/>
      <c r="W699" s="173"/>
    </row>
    <row r="700" spans="1:23" ht="12.75" customHeight="1">
      <c r="A700" s="118">
        <v>699</v>
      </c>
      <c r="B700" s="128">
        <v>6</v>
      </c>
      <c r="C700" s="156">
        <v>39387</v>
      </c>
      <c r="D700" s="157" t="s">
        <v>54</v>
      </c>
      <c r="E700" s="8">
        <v>2007</v>
      </c>
      <c r="F700" s="158">
        <f t="shared" ref="F700:F711" si="175">C700-H700</f>
        <v>245</v>
      </c>
      <c r="G700" s="158">
        <f t="shared" ref="G700:G711" si="176">IF(F700&lt;365,1,2)</f>
        <v>1</v>
      </c>
      <c r="H700" s="172">
        <v>39142</v>
      </c>
      <c r="I700" s="160">
        <v>600163</v>
      </c>
      <c r="J700" s="173">
        <v>0.2</v>
      </c>
      <c r="K700" s="173">
        <v>7.0000000000000007E-2</v>
      </c>
      <c r="L700" s="173">
        <v>0.02</v>
      </c>
      <c r="O700" s="173">
        <v>7.0000000000000007E-2</v>
      </c>
      <c r="P700" s="170"/>
      <c r="Q700" s="128">
        <v>7</v>
      </c>
      <c r="R700" s="128">
        <v>21</v>
      </c>
      <c r="S700" s="180" t="s">
        <v>300</v>
      </c>
      <c r="T700" s="161">
        <f t="shared" ref="T700:T711" si="177">$I700*K700</f>
        <v>42011.41</v>
      </c>
      <c r="U700" s="161">
        <f t="shared" ref="U700:U711" si="178">$I700*L700</f>
        <v>12003.26</v>
      </c>
      <c r="V700" s="161">
        <f t="shared" ref="V700:V711" si="179">$I700*O700</f>
        <v>42011.41</v>
      </c>
      <c r="W700" s="161">
        <f t="shared" ref="W700:W711" si="180">V700*0.4</f>
        <v>16804.564000000002</v>
      </c>
    </row>
    <row r="701" spans="1:23" ht="12.75" customHeight="1">
      <c r="A701" s="118">
        <v>700</v>
      </c>
      <c r="B701" s="128">
        <v>6</v>
      </c>
      <c r="C701" s="156">
        <v>39417</v>
      </c>
      <c r="D701" s="157" t="s">
        <v>55</v>
      </c>
      <c r="E701" s="8">
        <v>2007</v>
      </c>
      <c r="F701" s="158">
        <f t="shared" si="175"/>
        <v>275</v>
      </c>
      <c r="G701" s="158">
        <f t="shared" si="176"/>
        <v>1</v>
      </c>
      <c r="H701" s="172">
        <v>39142</v>
      </c>
      <c r="I701" s="160">
        <v>599502</v>
      </c>
      <c r="J701" s="173">
        <v>0.2</v>
      </c>
      <c r="K701" s="173">
        <v>0.3</v>
      </c>
      <c r="L701" s="173">
        <v>0.1</v>
      </c>
      <c r="M701" s="174">
        <v>0</v>
      </c>
      <c r="O701" s="173">
        <v>0.12</v>
      </c>
      <c r="P701" s="170"/>
      <c r="Q701" s="128">
        <v>6</v>
      </c>
      <c r="R701" s="128">
        <v>26</v>
      </c>
      <c r="S701" s="180"/>
      <c r="T701" s="161">
        <f t="shared" si="177"/>
        <v>179850.6</v>
      </c>
      <c r="U701" s="161">
        <f t="shared" si="178"/>
        <v>59950.200000000004</v>
      </c>
      <c r="V701" s="161">
        <f t="shared" si="179"/>
        <v>71940.239999999991</v>
      </c>
      <c r="W701" s="161">
        <f t="shared" si="180"/>
        <v>28776.095999999998</v>
      </c>
    </row>
    <row r="702" spans="1:23" ht="12.75" customHeight="1">
      <c r="A702" s="118">
        <v>701</v>
      </c>
      <c r="B702" s="128">
        <v>6</v>
      </c>
      <c r="C702" s="156">
        <v>39448</v>
      </c>
      <c r="D702" s="157" t="s">
        <v>44</v>
      </c>
      <c r="E702" s="127">
        <v>2008</v>
      </c>
      <c r="F702" s="158">
        <f t="shared" si="175"/>
        <v>306</v>
      </c>
      <c r="G702" s="158">
        <f t="shared" si="176"/>
        <v>1</v>
      </c>
      <c r="H702" s="172">
        <v>39142</v>
      </c>
      <c r="I702" s="252">
        <v>559502</v>
      </c>
      <c r="J702" s="164">
        <v>0.83</v>
      </c>
      <c r="K702" s="164">
        <v>0.78</v>
      </c>
      <c r="L702" s="164">
        <v>0.37</v>
      </c>
      <c r="M702" s="193">
        <v>0</v>
      </c>
      <c r="N702" s="529"/>
      <c r="O702" s="164">
        <v>0.53</v>
      </c>
      <c r="P702" s="170"/>
      <c r="Q702" s="174"/>
      <c r="R702" s="174"/>
      <c r="S702" s="180"/>
      <c r="T702" s="161">
        <f t="shared" si="177"/>
        <v>436411.56</v>
      </c>
      <c r="U702" s="161">
        <f t="shared" si="178"/>
        <v>207015.74</v>
      </c>
      <c r="V702" s="161">
        <f t="shared" si="179"/>
        <v>296536.06</v>
      </c>
      <c r="W702" s="161">
        <f t="shared" si="180"/>
        <v>118614.424</v>
      </c>
    </row>
    <row r="703" spans="1:23" ht="12.75" customHeight="1">
      <c r="A703" s="118">
        <v>702</v>
      </c>
      <c r="B703" s="128">
        <v>6</v>
      </c>
      <c r="C703" s="156">
        <v>39479</v>
      </c>
      <c r="D703" s="157" t="s">
        <v>45</v>
      </c>
      <c r="E703" s="127">
        <v>2008</v>
      </c>
      <c r="F703" s="158">
        <f t="shared" si="175"/>
        <v>337</v>
      </c>
      <c r="G703" s="158">
        <f t="shared" si="176"/>
        <v>1</v>
      </c>
      <c r="H703" s="172">
        <v>39142</v>
      </c>
      <c r="I703" s="252">
        <v>598988</v>
      </c>
      <c r="J703" s="164">
        <v>0.25</v>
      </c>
      <c r="K703" s="164">
        <v>1.0166666</v>
      </c>
      <c r="L703" s="164">
        <v>0.46666659999999999</v>
      </c>
      <c r="M703" s="193">
        <v>1</v>
      </c>
      <c r="N703" s="529"/>
      <c r="O703" s="164">
        <v>0.65</v>
      </c>
      <c r="P703" s="170"/>
      <c r="Q703" s="174"/>
      <c r="R703" s="174"/>
      <c r="S703" s="180"/>
      <c r="T703" s="161">
        <f t="shared" si="177"/>
        <v>608971.09340080002</v>
      </c>
      <c r="U703" s="161">
        <f t="shared" si="178"/>
        <v>279527.6934008</v>
      </c>
      <c r="V703" s="161">
        <f t="shared" si="179"/>
        <v>389342.2</v>
      </c>
      <c r="W703" s="161">
        <f t="shared" si="180"/>
        <v>155736.88</v>
      </c>
    </row>
    <row r="704" spans="1:23" ht="12.75" customHeight="1">
      <c r="A704" s="118">
        <v>703</v>
      </c>
      <c r="B704" s="128">
        <v>6</v>
      </c>
      <c r="C704" s="156">
        <v>39508</v>
      </c>
      <c r="D704" s="157" t="s">
        <v>46</v>
      </c>
      <c r="E704" s="127">
        <v>2008</v>
      </c>
      <c r="F704" s="158">
        <f t="shared" si="175"/>
        <v>366</v>
      </c>
      <c r="G704" s="158">
        <f t="shared" si="176"/>
        <v>2</v>
      </c>
      <c r="H704" s="172">
        <v>39142</v>
      </c>
      <c r="I704" s="252">
        <v>598795</v>
      </c>
      <c r="J704" s="164">
        <v>0.88</v>
      </c>
      <c r="K704" s="164">
        <v>0.88</v>
      </c>
      <c r="L704" s="164">
        <v>0.3</v>
      </c>
      <c r="M704" s="193">
        <v>1</v>
      </c>
      <c r="N704" s="529"/>
      <c r="O704" s="164">
        <v>0.77</v>
      </c>
      <c r="P704" s="170"/>
      <c r="Q704" s="174"/>
      <c r="R704" s="174"/>
      <c r="S704" s="180"/>
      <c r="T704" s="161">
        <f t="shared" si="177"/>
        <v>526939.6</v>
      </c>
      <c r="U704" s="161">
        <f t="shared" si="178"/>
        <v>179638.5</v>
      </c>
      <c r="V704" s="161">
        <f t="shared" si="179"/>
        <v>461072.15</v>
      </c>
      <c r="W704" s="161">
        <f t="shared" si="180"/>
        <v>184428.86000000002</v>
      </c>
    </row>
    <row r="705" spans="1:23" ht="12.75" customHeight="1">
      <c r="A705" s="118">
        <v>704</v>
      </c>
      <c r="B705" s="128">
        <v>6</v>
      </c>
      <c r="C705" s="156">
        <v>39539</v>
      </c>
      <c r="D705" s="157" t="s">
        <v>47</v>
      </c>
      <c r="E705" s="127">
        <v>2008</v>
      </c>
      <c r="F705" s="158">
        <f t="shared" si="175"/>
        <v>397</v>
      </c>
      <c r="G705" s="158">
        <f t="shared" si="176"/>
        <v>2</v>
      </c>
      <c r="H705" s="172">
        <v>39142</v>
      </c>
      <c r="I705" s="252">
        <v>598444</v>
      </c>
      <c r="J705" s="164">
        <v>2.2799999999999998</v>
      </c>
      <c r="K705" s="164">
        <v>2.5</v>
      </c>
      <c r="L705" s="164">
        <v>0.65</v>
      </c>
      <c r="M705" s="193">
        <v>0</v>
      </c>
      <c r="N705" s="529"/>
      <c r="O705" s="164">
        <v>0.73</v>
      </c>
      <c r="Q705" s="174"/>
      <c r="R705" s="174"/>
      <c r="T705" s="161">
        <f t="shared" si="177"/>
        <v>1496110</v>
      </c>
      <c r="U705" s="161">
        <f t="shared" si="178"/>
        <v>388988.60000000003</v>
      </c>
      <c r="V705" s="161">
        <f t="shared" si="179"/>
        <v>436864.12</v>
      </c>
      <c r="W705" s="161">
        <f t="shared" si="180"/>
        <v>174745.64800000002</v>
      </c>
    </row>
    <row r="706" spans="1:23" ht="12.75" customHeight="1">
      <c r="A706" s="118">
        <v>705</v>
      </c>
      <c r="B706" s="128">
        <v>6</v>
      </c>
      <c r="C706" s="156">
        <v>39569</v>
      </c>
      <c r="D706" s="157" t="s">
        <v>48</v>
      </c>
      <c r="E706" s="127">
        <v>2008</v>
      </c>
      <c r="F706" s="158">
        <f t="shared" si="175"/>
        <v>427</v>
      </c>
      <c r="G706" s="158">
        <f t="shared" si="176"/>
        <v>2</v>
      </c>
      <c r="H706" s="172">
        <v>39142</v>
      </c>
      <c r="I706" s="160">
        <v>597803</v>
      </c>
      <c r="J706" s="164">
        <v>0.28333333333333338</v>
      </c>
      <c r="K706" s="164">
        <v>2.5166666666666666</v>
      </c>
      <c r="L706" s="164">
        <v>1.1166666666666665</v>
      </c>
      <c r="M706" s="193">
        <v>2</v>
      </c>
      <c r="N706" s="529"/>
      <c r="O706" s="164">
        <v>0.6333333333333333</v>
      </c>
      <c r="P706" s="170">
        <v>1</v>
      </c>
      <c r="Q706" s="174">
        <v>7</v>
      </c>
      <c r="R706" s="174">
        <v>30</v>
      </c>
      <c r="S706" s="180"/>
      <c r="T706" s="161">
        <f t="shared" si="177"/>
        <v>1504470.8833333333</v>
      </c>
      <c r="U706" s="161">
        <f t="shared" si="178"/>
        <v>667546.68333333323</v>
      </c>
      <c r="V706" s="161">
        <f t="shared" si="179"/>
        <v>378608.56666666665</v>
      </c>
      <c r="W706" s="161">
        <f t="shared" si="180"/>
        <v>151443.42666666667</v>
      </c>
    </row>
    <row r="707" spans="1:23" ht="12.75" customHeight="1">
      <c r="A707" s="118">
        <v>706</v>
      </c>
      <c r="B707" s="128">
        <v>6</v>
      </c>
      <c r="C707" s="156">
        <v>39600</v>
      </c>
      <c r="D707" s="157" t="s">
        <v>49</v>
      </c>
      <c r="E707" s="127">
        <v>2008</v>
      </c>
      <c r="F707" s="158">
        <f t="shared" si="175"/>
        <v>458</v>
      </c>
      <c r="G707" s="158">
        <f t="shared" si="176"/>
        <v>2</v>
      </c>
      <c r="H707" s="172">
        <v>39142</v>
      </c>
      <c r="I707" s="160">
        <v>597261</v>
      </c>
      <c r="J707" s="164">
        <v>1.6666666666666666E-2</v>
      </c>
      <c r="K707" s="164">
        <v>1.6666666666666666E-2</v>
      </c>
      <c r="L707" s="164">
        <v>0</v>
      </c>
      <c r="M707" s="193">
        <v>0</v>
      </c>
      <c r="N707" s="529"/>
      <c r="O707" s="164">
        <v>0</v>
      </c>
      <c r="P707" s="170"/>
      <c r="Q707" s="174"/>
      <c r="R707" s="174"/>
      <c r="S707" s="180"/>
      <c r="T707" s="161">
        <f t="shared" si="177"/>
        <v>9954.35</v>
      </c>
      <c r="U707" s="161">
        <f t="shared" si="178"/>
        <v>0</v>
      </c>
      <c r="V707" s="161">
        <f t="shared" si="179"/>
        <v>0</v>
      </c>
      <c r="W707" s="161">
        <f t="shared" si="180"/>
        <v>0</v>
      </c>
    </row>
    <row r="708" spans="1:23" ht="12.75" customHeight="1">
      <c r="A708" s="118">
        <v>707</v>
      </c>
      <c r="B708" s="128">
        <v>6</v>
      </c>
      <c r="C708" s="156">
        <v>39630</v>
      </c>
      <c r="D708" s="176" t="s">
        <v>50</v>
      </c>
      <c r="E708" s="127">
        <v>2008</v>
      </c>
      <c r="F708" s="158">
        <f t="shared" si="175"/>
        <v>488</v>
      </c>
      <c r="G708" s="158">
        <f t="shared" si="176"/>
        <v>2</v>
      </c>
      <c r="H708" s="172">
        <v>39142</v>
      </c>
      <c r="I708" s="160">
        <v>597000</v>
      </c>
      <c r="J708" s="164">
        <v>0</v>
      </c>
      <c r="K708" s="164">
        <v>0</v>
      </c>
      <c r="L708" s="164">
        <v>0</v>
      </c>
      <c r="M708" s="193">
        <v>0</v>
      </c>
      <c r="N708" s="529"/>
      <c r="O708" s="164">
        <v>0</v>
      </c>
      <c r="P708" s="128"/>
      <c r="Q708" s="174"/>
      <c r="R708" s="174"/>
      <c r="S708" s="180"/>
      <c r="T708" s="161">
        <f t="shared" si="177"/>
        <v>0</v>
      </c>
      <c r="U708" s="161">
        <f t="shared" si="178"/>
        <v>0</v>
      </c>
      <c r="V708" s="161">
        <f t="shared" si="179"/>
        <v>0</v>
      </c>
      <c r="W708" s="161">
        <f t="shared" si="180"/>
        <v>0</v>
      </c>
    </row>
    <row r="709" spans="1:23" ht="12.75" customHeight="1">
      <c r="A709" s="118">
        <v>708</v>
      </c>
      <c r="B709" s="128">
        <v>6</v>
      </c>
      <c r="C709" s="156">
        <v>39661</v>
      </c>
      <c r="D709" s="176" t="s">
        <v>51</v>
      </c>
      <c r="E709" s="127">
        <v>2008</v>
      </c>
      <c r="F709" s="158">
        <f t="shared" si="175"/>
        <v>519</v>
      </c>
      <c r="G709" s="158">
        <f t="shared" si="176"/>
        <v>2</v>
      </c>
      <c r="H709" s="172">
        <v>39142</v>
      </c>
      <c r="I709" s="160">
        <v>569000</v>
      </c>
      <c r="J709" s="164">
        <v>0</v>
      </c>
      <c r="K709" s="164">
        <v>0.03</v>
      </c>
      <c r="L709" s="164">
        <v>0</v>
      </c>
      <c r="M709" s="193">
        <v>0</v>
      </c>
      <c r="N709" s="529"/>
      <c r="O709" s="164">
        <v>0</v>
      </c>
      <c r="P709" s="128"/>
      <c r="Q709" s="174"/>
      <c r="R709" s="174"/>
      <c r="S709" s="180" t="s">
        <v>7</v>
      </c>
      <c r="T709" s="161">
        <f t="shared" si="177"/>
        <v>17070</v>
      </c>
      <c r="U709" s="161">
        <f t="shared" si="178"/>
        <v>0</v>
      </c>
      <c r="V709" s="161">
        <f t="shared" si="179"/>
        <v>0</v>
      </c>
      <c r="W709" s="161">
        <f t="shared" si="180"/>
        <v>0</v>
      </c>
    </row>
    <row r="710" spans="1:23" ht="12.75" customHeight="1">
      <c r="A710" s="118">
        <v>709</v>
      </c>
      <c r="B710" s="128">
        <v>6</v>
      </c>
      <c r="C710" s="156">
        <v>39692</v>
      </c>
      <c r="D710" s="176" t="s">
        <v>52</v>
      </c>
      <c r="E710" s="127">
        <v>2008</v>
      </c>
      <c r="F710" s="158">
        <f t="shared" si="175"/>
        <v>550</v>
      </c>
      <c r="G710" s="158">
        <f t="shared" si="176"/>
        <v>2</v>
      </c>
      <c r="H710" s="172">
        <v>39142</v>
      </c>
      <c r="I710" s="160">
        <v>387000</v>
      </c>
      <c r="J710" s="164">
        <v>0</v>
      </c>
      <c r="K710" s="164">
        <v>0</v>
      </c>
      <c r="L710" s="164">
        <v>0</v>
      </c>
      <c r="M710" s="193"/>
      <c r="N710" s="529"/>
      <c r="O710" s="164">
        <v>0</v>
      </c>
      <c r="P710" s="128"/>
      <c r="Q710" s="174"/>
      <c r="R710" s="174"/>
      <c r="S710" s="180"/>
      <c r="T710" s="161">
        <f t="shared" si="177"/>
        <v>0</v>
      </c>
      <c r="U710" s="161">
        <f t="shared" si="178"/>
        <v>0</v>
      </c>
      <c r="V710" s="161">
        <f t="shared" si="179"/>
        <v>0</v>
      </c>
      <c r="W710" s="161">
        <f t="shared" si="180"/>
        <v>0</v>
      </c>
    </row>
    <row r="711" spans="1:23" ht="12.75" customHeight="1">
      <c r="A711" s="118">
        <v>710</v>
      </c>
      <c r="B711" s="128">
        <v>6</v>
      </c>
      <c r="C711" s="156">
        <v>39722</v>
      </c>
      <c r="D711" s="176" t="s">
        <v>53</v>
      </c>
      <c r="E711" s="127">
        <v>2008</v>
      </c>
      <c r="F711" s="158">
        <f t="shared" si="175"/>
        <v>580</v>
      </c>
      <c r="G711" s="158">
        <f t="shared" si="176"/>
        <v>2</v>
      </c>
      <c r="H711" s="172">
        <v>39142</v>
      </c>
      <c r="I711" s="160">
        <v>219000</v>
      </c>
      <c r="J711" s="191"/>
      <c r="K711" s="177">
        <v>0</v>
      </c>
      <c r="L711" s="177">
        <v>0</v>
      </c>
      <c r="M711" s="193"/>
      <c r="N711" s="529" t="s">
        <v>795</v>
      </c>
      <c r="O711" s="177">
        <v>0</v>
      </c>
      <c r="P711" s="128"/>
      <c r="Q711" s="174"/>
      <c r="R711" s="174"/>
      <c r="S711" s="180"/>
      <c r="T711" s="161">
        <f t="shared" si="177"/>
        <v>0</v>
      </c>
      <c r="U711" s="161">
        <f t="shared" si="178"/>
        <v>0</v>
      </c>
      <c r="V711" s="161">
        <f t="shared" si="179"/>
        <v>0</v>
      </c>
      <c r="W711" s="161">
        <f t="shared" si="180"/>
        <v>0</v>
      </c>
    </row>
    <row r="712" spans="1:23" ht="12.75" customHeight="1">
      <c r="A712" s="118">
        <v>711</v>
      </c>
      <c r="B712" s="128">
        <v>6</v>
      </c>
      <c r="C712" s="156">
        <v>39753</v>
      </c>
      <c r="D712" s="176" t="s">
        <v>54</v>
      </c>
      <c r="E712" s="127">
        <v>2008</v>
      </c>
      <c r="F712" s="127"/>
      <c r="G712" s="127"/>
      <c r="H712" s="172"/>
      <c r="I712" s="160"/>
      <c r="J712" s="164"/>
      <c r="K712" s="164"/>
      <c r="L712" s="164"/>
      <c r="M712" s="193"/>
      <c r="N712" s="529"/>
      <c r="O712" s="164"/>
      <c r="P712" s="128"/>
      <c r="Q712" s="174"/>
      <c r="R712" s="174"/>
      <c r="S712" s="180"/>
      <c r="T712" s="128"/>
      <c r="U712" s="128"/>
      <c r="V712" s="118"/>
      <c r="W712" s="118"/>
    </row>
    <row r="713" spans="1:23" ht="12.75" customHeight="1">
      <c r="A713" s="118">
        <v>712</v>
      </c>
      <c r="B713" s="128">
        <v>6</v>
      </c>
      <c r="C713" s="156">
        <v>39783</v>
      </c>
      <c r="D713" s="176" t="s">
        <v>55</v>
      </c>
      <c r="E713" s="127">
        <v>2008</v>
      </c>
      <c r="F713" s="127"/>
      <c r="G713" s="127"/>
      <c r="H713" s="172"/>
      <c r="I713" s="160"/>
      <c r="J713" s="164"/>
      <c r="K713" s="164"/>
      <c r="L713" s="164"/>
      <c r="M713" s="193"/>
      <c r="N713" s="529"/>
      <c r="O713" s="164"/>
      <c r="P713" s="128"/>
      <c r="Q713" s="174"/>
      <c r="R713" s="174"/>
      <c r="S713" s="180"/>
      <c r="T713" s="128"/>
      <c r="U713" s="128"/>
      <c r="V713" s="118"/>
      <c r="W713" s="118"/>
    </row>
    <row r="714" spans="1:23" ht="12.75" customHeight="1">
      <c r="A714" s="118">
        <v>713</v>
      </c>
      <c r="B714" s="128">
        <v>6</v>
      </c>
      <c r="C714" s="156">
        <v>39814</v>
      </c>
      <c r="D714" s="157" t="s">
        <v>44</v>
      </c>
      <c r="E714" s="127">
        <v>2009</v>
      </c>
      <c r="F714" s="118"/>
      <c r="G714" s="118"/>
      <c r="H714" s="118"/>
      <c r="I714" s="125"/>
      <c r="J714" s="164"/>
      <c r="K714" s="164"/>
      <c r="L714" s="164"/>
      <c r="M714" s="193"/>
      <c r="N714" s="529"/>
      <c r="O714" s="164"/>
      <c r="P714" s="118"/>
      <c r="Q714" s="118"/>
      <c r="R714" s="118"/>
      <c r="S714" s="221"/>
      <c r="T714" s="118"/>
      <c r="U714" s="118"/>
      <c r="V714" s="118"/>
      <c r="W714" s="118"/>
    </row>
    <row r="715" spans="1:23" ht="12.75" customHeight="1">
      <c r="A715" s="118">
        <v>714</v>
      </c>
      <c r="B715" s="128">
        <v>6</v>
      </c>
      <c r="C715" s="156">
        <v>39845</v>
      </c>
      <c r="D715" s="157" t="s">
        <v>45</v>
      </c>
      <c r="E715" s="127">
        <v>2009</v>
      </c>
      <c r="F715" s="158">
        <f>C715-H715</f>
        <v>306</v>
      </c>
      <c r="G715" s="158">
        <f>IF(F715&lt;365,1,2)</f>
        <v>1</v>
      </c>
      <c r="H715" s="178">
        <v>39539</v>
      </c>
      <c r="I715" s="125">
        <v>86480</v>
      </c>
      <c r="J715" s="191"/>
      <c r="K715" s="177">
        <v>1.1000000000000001</v>
      </c>
      <c r="L715" s="177">
        <v>0.35</v>
      </c>
      <c r="M715" s="193"/>
      <c r="N715" s="529" t="s">
        <v>446</v>
      </c>
      <c r="O715" s="177">
        <v>0</v>
      </c>
      <c r="P715" s="118"/>
      <c r="Q715" s="118"/>
      <c r="R715" s="118"/>
      <c r="S715" s="221" t="s">
        <v>292</v>
      </c>
      <c r="T715" s="161"/>
      <c r="U715" s="161">
        <f>$I715*L715</f>
        <v>30267.999999999996</v>
      </c>
      <c r="V715" s="161">
        <f t="shared" ref="V715:V719" si="181">$I715*O715</f>
        <v>0</v>
      </c>
      <c r="W715" s="161">
        <f>V715*0.4</f>
        <v>0</v>
      </c>
    </row>
    <row r="716" spans="1:23" ht="12.75" customHeight="1">
      <c r="A716" s="118">
        <v>715</v>
      </c>
      <c r="B716" s="128">
        <v>6</v>
      </c>
      <c r="C716" s="156">
        <v>39873</v>
      </c>
      <c r="D716" s="157" t="s">
        <v>46</v>
      </c>
      <c r="E716" s="127">
        <v>2009</v>
      </c>
      <c r="F716" s="158">
        <f>C716-H716</f>
        <v>334</v>
      </c>
      <c r="G716" s="158">
        <f>IF(F716&lt;365,1,2)</f>
        <v>1</v>
      </c>
      <c r="H716" s="178">
        <v>39539</v>
      </c>
      <c r="I716" s="125">
        <v>388113</v>
      </c>
      <c r="J716" s="164">
        <v>0.05</v>
      </c>
      <c r="K716" s="164">
        <v>0.17</v>
      </c>
      <c r="L716" s="164">
        <v>0.02</v>
      </c>
      <c r="M716" s="193"/>
      <c r="N716" s="529"/>
      <c r="O716" s="164">
        <v>0</v>
      </c>
      <c r="P716" s="118"/>
      <c r="Q716" s="118"/>
      <c r="R716" s="118"/>
      <c r="S716" s="221"/>
      <c r="T716" s="161">
        <f>$I716*K716</f>
        <v>65979.210000000006</v>
      </c>
      <c r="U716" s="161">
        <f>$I716*L716</f>
        <v>7762.26</v>
      </c>
      <c r="V716" s="161">
        <f t="shared" si="181"/>
        <v>0</v>
      </c>
      <c r="W716" s="161">
        <f>V716*0.4</f>
        <v>0</v>
      </c>
    </row>
    <row r="717" spans="1:23" ht="12.75" customHeight="1">
      <c r="A717" s="118">
        <v>716</v>
      </c>
      <c r="B717" s="128">
        <v>6</v>
      </c>
      <c r="C717" s="156">
        <v>39904</v>
      </c>
      <c r="D717" s="157" t="s">
        <v>47</v>
      </c>
      <c r="E717" s="127">
        <v>2009</v>
      </c>
      <c r="F717" s="158">
        <f>C717-H717</f>
        <v>365</v>
      </c>
      <c r="G717" s="158">
        <f>IF(F717&lt;365,1,2)</f>
        <v>2</v>
      </c>
      <c r="H717" s="178">
        <v>39539</v>
      </c>
      <c r="I717" s="125">
        <v>387492</v>
      </c>
      <c r="J717" s="164">
        <v>0.05</v>
      </c>
      <c r="K717" s="164">
        <v>0.02</v>
      </c>
      <c r="L717" s="164">
        <v>0</v>
      </c>
      <c r="M717" s="193">
        <v>0</v>
      </c>
      <c r="N717" s="529"/>
      <c r="O717" s="164">
        <v>0</v>
      </c>
      <c r="P717" s="118"/>
      <c r="Q717" s="118"/>
      <c r="R717" s="118"/>
      <c r="S717" s="221"/>
      <c r="T717" s="161">
        <f>$I717*K717</f>
        <v>7749.84</v>
      </c>
      <c r="U717" s="161">
        <f>$I717*L717</f>
        <v>0</v>
      </c>
      <c r="V717" s="161">
        <f t="shared" si="181"/>
        <v>0</v>
      </c>
      <c r="W717" s="161">
        <f>V717*0.4</f>
        <v>0</v>
      </c>
    </row>
    <row r="718" spans="1:23" ht="12.75" customHeight="1">
      <c r="A718" s="118">
        <v>717</v>
      </c>
      <c r="B718" s="128">
        <v>6</v>
      </c>
      <c r="C718" s="156">
        <v>39934</v>
      </c>
      <c r="D718" s="157" t="s">
        <v>48</v>
      </c>
      <c r="E718" s="127">
        <v>2009</v>
      </c>
      <c r="F718" s="158">
        <f>C718-H718</f>
        <v>395</v>
      </c>
      <c r="G718" s="158">
        <f>IF(F718&lt;365,1,2)</f>
        <v>2</v>
      </c>
      <c r="H718" s="178">
        <v>39539</v>
      </c>
      <c r="I718" s="125">
        <v>387104</v>
      </c>
      <c r="J718" s="191">
        <v>6.6666600000000006E-2</v>
      </c>
      <c r="K718" s="191">
        <v>0</v>
      </c>
      <c r="L718" s="191">
        <v>0</v>
      </c>
      <c r="M718" s="193">
        <v>0</v>
      </c>
      <c r="N718" s="529"/>
      <c r="O718" s="191">
        <v>3.3333300000000003E-2</v>
      </c>
      <c r="P718" s="118"/>
      <c r="Q718" s="118"/>
      <c r="R718" s="118"/>
      <c r="S718" s="221"/>
      <c r="T718" s="161">
        <f>$I718*K718</f>
        <v>0</v>
      </c>
      <c r="U718" s="161">
        <f>$I718*L718</f>
        <v>0</v>
      </c>
      <c r="V718" s="161">
        <f t="shared" si="181"/>
        <v>12903.453763200001</v>
      </c>
      <c r="W718" s="161">
        <f>V718*0.4</f>
        <v>5161.381505280001</v>
      </c>
    </row>
    <row r="719" spans="1:23" ht="12.75" customHeight="1">
      <c r="A719" s="118">
        <v>718</v>
      </c>
      <c r="B719" s="128">
        <v>6</v>
      </c>
      <c r="C719" s="156">
        <v>39965</v>
      </c>
      <c r="D719" s="157" t="s">
        <v>49</v>
      </c>
      <c r="E719" s="127">
        <v>2009</v>
      </c>
      <c r="F719" s="158">
        <f>C719-H719</f>
        <v>426</v>
      </c>
      <c r="G719" s="158">
        <f>IF(F719&lt;365,1,2)</f>
        <v>2</v>
      </c>
      <c r="H719" s="178">
        <v>39539</v>
      </c>
      <c r="I719" s="125">
        <v>386692</v>
      </c>
      <c r="J719" s="191">
        <v>0</v>
      </c>
      <c r="K719" s="191">
        <v>0.02</v>
      </c>
      <c r="L719" s="191">
        <v>0.02</v>
      </c>
      <c r="M719" s="193">
        <v>0</v>
      </c>
      <c r="N719" s="529"/>
      <c r="O719" s="191">
        <v>0</v>
      </c>
      <c r="P719" s="118"/>
      <c r="Q719" s="118"/>
      <c r="R719" s="118"/>
      <c r="S719" s="221"/>
      <c r="T719" s="161">
        <f>$I719*K719</f>
        <v>7733.84</v>
      </c>
      <c r="U719" s="161">
        <f>$I719*L719</f>
        <v>7733.84</v>
      </c>
      <c r="V719" s="161">
        <f t="shared" si="181"/>
        <v>0</v>
      </c>
      <c r="W719" s="161">
        <f>V719*0.4</f>
        <v>0</v>
      </c>
    </row>
    <row r="720" spans="1:23" ht="12.75" customHeight="1">
      <c r="A720" s="118">
        <v>719</v>
      </c>
      <c r="B720" s="128">
        <v>6</v>
      </c>
      <c r="C720" s="156">
        <v>39995</v>
      </c>
      <c r="D720" s="157" t="s">
        <v>50</v>
      </c>
      <c r="E720" s="127">
        <v>2009</v>
      </c>
      <c r="F720" s="158">
        <f t="shared" ref="F720:F724" si="182">C720-H720</f>
        <v>456</v>
      </c>
      <c r="G720" s="158">
        <f t="shared" ref="G720:G724" si="183">IF(F720&lt;365,1,2)</f>
        <v>2</v>
      </c>
      <c r="H720" s="178">
        <v>39539</v>
      </c>
      <c r="I720" s="125">
        <v>386570</v>
      </c>
      <c r="J720" s="191">
        <v>6.2500000000000003E-3</v>
      </c>
      <c r="K720" s="191">
        <v>4.3749999999999997E-2</v>
      </c>
      <c r="L720" s="191">
        <v>2.5000000000000001E-2</v>
      </c>
      <c r="M720" s="193">
        <v>0</v>
      </c>
      <c r="N720" s="529"/>
      <c r="O720" s="191">
        <v>6.2500000000000003E-3</v>
      </c>
      <c r="P720" s="118"/>
      <c r="Q720" s="118"/>
      <c r="R720" s="118"/>
      <c r="S720" s="221"/>
      <c r="T720" s="161">
        <f t="shared" ref="T720:T722" si="184">$I720*K720</f>
        <v>16912.4375</v>
      </c>
      <c r="U720" s="161">
        <f t="shared" ref="U720:U724" si="185">$I720*L720</f>
        <v>9664.25</v>
      </c>
      <c r="V720" s="161">
        <f t="shared" ref="V720:V724" si="186">$I720*O720</f>
        <v>2416.0625</v>
      </c>
      <c r="W720" s="161">
        <f t="shared" ref="W720:W724" si="187">V720*0.4</f>
        <v>966.42500000000007</v>
      </c>
    </row>
    <row r="721" spans="1:23" ht="12.75" customHeight="1">
      <c r="A721" s="118">
        <v>720</v>
      </c>
      <c r="B721" s="128">
        <v>6</v>
      </c>
      <c r="C721" s="156">
        <v>40026</v>
      </c>
      <c r="D721" s="157" t="s">
        <v>51</v>
      </c>
      <c r="E721" s="127">
        <v>2009</v>
      </c>
      <c r="F721" s="158">
        <f t="shared" si="182"/>
        <v>487</v>
      </c>
      <c r="G721" s="158">
        <f t="shared" si="183"/>
        <v>2</v>
      </c>
      <c r="H721" s="178">
        <v>39539</v>
      </c>
      <c r="I721" s="125">
        <v>386206</v>
      </c>
      <c r="J721" s="191">
        <v>3.5714285714285712E-2</v>
      </c>
      <c r="K721" s="191">
        <v>7.857142857142857E-2</v>
      </c>
      <c r="L721" s="191">
        <v>4.2857142857142858E-2</v>
      </c>
      <c r="M721" s="193">
        <v>0</v>
      </c>
      <c r="N721" s="529"/>
      <c r="O721" s="191">
        <v>0</v>
      </c>
      <c r="P721" s="118"/>
      <c r="Q721" s="118"/>
      <c r="R721" s="118"/>
      <c r="S721" s="221"/>
      <c r="T721" s="161">
        <f t="shared" si="184"/>
        <v>30344.757142857143</v>
      </c>
      <c r="U721" s="161">
        <f t="shared" si="185"/>
        <v>16551.685714285715</v>
      </c>
      <c r="V721" s="161">
        <f t="shared" si="186"/>
        <v>0</v>
      </c>
      <c r="W721" s="161">
        <f t="shared" si="187"/>
        <v>0</v>
      </c>
    </row>
    <row r="722" spans="1:23" ht="12.75" customHeight="1">
      <c r="A722" s="118">
        <v>721</v>
      </c>
      <c r="B722" s="128">
        <v>6</v>
      </c>
      <c r="C722" s="156">
        <v>40057</v>
      </c>
      <c r="D722" s="157" t="s">
        <v>52</v>
      </c>
      <c r="E722" s="127">
        <v>2009</v>
      </c>
      <c r="F722" s="158">
        <f t="shared" si="182"/>
        <v>518</v>
      </c>
      <c r="G722" s="158">
        <f t="shared" si="183"/>
        <v>2</v>
      </c>
      <c r="H722" s="178">
        <v>39539</v>
      </c>
      <c r="I722" s="125">
        <v>385886</v>
      </c>
      <c r="J722" s="191">
        <v>0</v>
      </c>
      <c r="K722" s="191">
        <v>0.05</v>
      </c>
      <c r="L722" s="191">
        <v>2.5000000000000001E-2</v>
      </c>
      <c r="M722" s="193"/>
      <c r="N722" s="529"/>
      <c r="O722" s="191">
        <v>0</v>
      </c>
      <c r="P722" s="118"/>
      <c r="Q722" s="118"/>
      <c r="R722" s="118"/>
      <c r="S722" s="221"/>
      <c r="T722" s="161">
        <f t="shared" si="184"/>
        <v>19294.3</v>
      </c>
      <c r="U722" s="161">
        <f t="shared" si="185"/>
        <v>9647.15</v>
      </c>
      <c r="V722" s="161">
        <f t="shared" si="186"/>
        <v>0</v>
      </c>
      <c r="W722" s="161">
        <f t="shared" si="187"/>
        <v>0</v>
      </c>
    </row>
    <row r="723" spans="1:23" ht="12.75" customHeight="1">
      <c r="A723" s="118">
        <v>722</v>
      </c>
      <c r="B723" s="128">
        <v>6</v>
      </c>
      <c r="C723" s="156">
        <v>40087</v>
      </c>
      <c r="D723" s="157" t="s">
        <v>53</v>
      </c>
      <c r="E723" s="127">
        <v>2009</v>
      </c>
      <c r="F723" s="158">
        <f t="shared" si="182"/>
        <v>548</v>
      </c>
      <c r="G723" s="158">
        <f t="shared" si="183"/>
        <v>2</v>
      </c>
      <c r="H723" s="178">
        <v>39539</v>
      </c>
      <c r="I723" s="125">
        <v>369014</v>
      </c>
      <c r="J723" s="191"/>
      <c r="K723" s="191"/>
      <c r="L723" s="177">
        <v>0.04</v>
      </c>
      <c r="M723" s="193"/>
      <c r="N723" s="529" t="s">
        <v>795</v>
      </c>
      <c r="O723" s="177">
        <v>0</v>
      </c>
      <c r="P723" s="118"/>
      <c r="Q723" s="118"/>
      <c r="R723" s="118"/>
      <c r="S723" s="2" t="s">
        <v>410</v>
      </c>
      <c r="T723" s="161"/>
      <c r="U723" s="161">
        <f t="shared" si="185"/>
        <v>14760.56</v>
      </c>
      <c r="V723" s="161">
        <f t="shared" si="186"/>
        <v>0</v>
      </c>
      <c r="W723" s="161">
        <f t="shared" si="187"/>
        <v>0</v>
      </c>
    </row>
    <row r="724" spans="1:23" ht="12.75" customHeight="1">
      <c r="A724" s="118">
        <v>723</v>
      </c>
      <c r="B724" s="128">
        <v>6</v>
      </c>
      <c r="C724" s="156">
        <v>40118</v>
      </c>
      <c r="D724" s="157" t="s">
        <v>54</v>
      </c>
      <c r="E724" s="127">
        <v>2009</v>
      </c>
      <c r="F724" s="158">
        <f t="shared" si="182"/>
        <v>579</v>
      </c>
      <c r="G724" s="158">
        <f t="shared" si="183"/>
        <v>2</v>
      </c>
      <c r="H724" s="178">
        <v>39539</v>
      </c>
      <c r="I724" s="125">
        <v>145102</v>
      </c>
      <c r="J724" s="191"/>
      <c r="K724" s="191"/>
      <c r="L724" s="177">
        <v>0.06</v>
      </c>
      <c r="M724" s="193"/>
      <c r="N724" s="529" t="s">
        <v>795</v>
      </c>
      <c r="O724" s="177">
        <v>0</v>
      </c>
      <c r="P724" s="118"/>
      <c r="Q724" s="118"/>
      <c r="R724" s="118"/>
      <c r="S724" s="2" t="s">
        <v>408</v>
      </c>
      <c r="T724" s="161"/>
      <c r="U724" s="161">
        <f t="shared" si="185"/>
        <v>8706.119999999999</v>
      </c>
      <c r="V724" s="161">
        <f t="shared" si="186"/>
        <v>0</v>
      </c>
      <c r="W724" s="161">
        <f t="shared" si="187"/>
        <v>0</v>
      </c>
    </row>
    <row r="725" spans="1:23" ht="12.75" customHeight="1">
      <c r="A725" s="118">
        <v>724</v>
      </c>
      <c r="B725" s="128">
        <v>6</v>
      </c>
      <c r="C725" s="156">
        <v>40148</v>
      </c>
      <c r="D725" s="157" t="s">
        <v>55</v>
      </c>
      <c r="E725" s="127">
        <v>2009</v>
      </c>
      <c r="F725" s="158"/>
      <c r="G725" s="158"/>
      <c r="H725" s="178"/>
      <c r="I725" s="125"/>
      <c r="J725" s="191"/>
      <c r="K725" s="191"/>
      <c r="L725" s="191"/>
      <c r="M725" s="193"/>
      <c r="N725" s="529"/>
      <c r="O725" s="191"/>
      <c r="P725" s="118"/>
      <c r="Q725" s="118"/>
      <c r="R725" s="118"/>
      <c r="S725" s="221"/>
      <c r="T725" s="161"/>
      <c r="V725" s="161"/>
      <c r="W725" s="161"/>
    </row>
    <row r="726" spans="1:23" ht="12.75" customHeight="1">
      <c r="A726" s="118">
        <v>725</v>
      </c>
      <c r="B726" s="128">
        <v>7</v>
      </c>
      <c r="C726" s="181">
        <v>36526</v>
      </c>
      <c r="D726" s="157" t="s">
        <v>44</v>
      </c>
      <c r="E726" s="8">
        <v>2000</v>
      </c>
      <c r="F726" s="158"/>
      <c r="G726" s="172"/>
      <c r="H726" s="128"/>
      <c r="I726" s="160"/>
      <c r="J726" s="128"/>
      <c r="K726" s="128"/>
      <c r="L726" s="128"/>
      <c r="O726" s="128"/>
      <c r="P726" s="170"/>
      <c r="Q726" s="128"/>
      <c r="R726" s="128"/>
      <c r="S726" s="180"/>
      <c r="T726" s="128"/>
      <c r="U726" s="171"/>
      <c r="V726" s="128"/>
      <c r="W726" s="128"/>
    </row>
    <row r="727" spans="1:23" ht="12.75" customHeight="1">
      <c r="A727" s="118">
        <v>726</v>
      </c>
      <c r="B727" s="128">
        <v>7</v>
      </c>
      <c r="C727" s="181">
        <v>36557</v>
      </c>
      <c r="D727" s="157" t="s">
        <v>45</v>
      </c>
      <c r="E727" s="8">
        <v>2000</v>
      </c>
      <c r="F727" s="158"/>
      <c r="G727" s="172"/>
      <c r="H727" s="128"/>
      <c r="I727" s="160"/>
      <c r="J727" s="128"/>
      <c r="K727" s="128"/>
      <c r="L727" s="128"/>
      <c r="O727" s="128"/>
      <c r="P727" s="170"/>
      <c r="Q727" s="128"/>
      <c r="R727" s="128"/>
      <c r="S727" s="180"/>
      <c r="T727" s="128"/>
      <c r="U727" s="171"/>
      <c r="V727" s="128"/>
      <c r="W727" s="128"/>
    </row>
    <row r="728" spans="1:23" ht="12.75" customHeight="1">
      <c r="A728" s="118">
        <v>727</v>
      </c>
      <c r="B728" s="128">
        <v>7</v>
      </c>
      <c r="C728" s="181">
        <v>36586</v>
      </c>
      <c r="D728" s="157" t="s">
        <v>46</v>
      </c>
      <c r="E728" s="8">
        <v>2000</v>
      </c>
      <c r="F728" s="158"/>
      <c r="G728" s="172"/>
      <c r="H728" s="128"/>
      <c r="I728" s="160"/>
      <c r="J728" s="128"/>
      <c r="K728" s="128"/>
      <c r="L728" s="128"/>
      <c r="O728" s="128"/>
      <c r="P728" s="170"/>
      <c r="Q728" s="128"/>
      <c r="R728" s="128"/>
      <c r="S728" s="180"/>
      <c r="T728" s="128"/>
      <c r="U728" s="171"/>
      <c r="V728" s="128"/>
      <c r="W728" s="128"/>
    </row>
    <row r="729" spans="1:23" ht="12.75" customHeight="1">
      <c r="A729" s="118">
        <v>728</v>
      </c>
      <c r="B729" s="128">
        <v>7</v>
      </c>
      <c r="C729" s="181">
        <v>36617</v>
      </c>
      <c r="D729" s="157" t="s">
        <v>47</v>
      </c>
      <c r="E729" s="8">
        <v>2000</v>
      </c>
      <c r="F729" s="158"/>
      <c r="G729" s="172"/>
      <c r="H729" s="128"/>
      <c r="I729" s="160"/>
      <c r="J729" s="128"/>
      <c r="K729" s="128"/>
      <c r="L729" s="128"/>
      <c r="O729" s="128"/>
      <c r="P729" s="170"/>
      <c r="Q729" s="128"/>
      <c r="R729" s="128"/>
      <c r="S729" s="180"/>
      <c r="T729" s="128"/>
      <c r="U729" s="171"/>
      <c r="V729" s="128"/>
      <c r="W729" s="128"/>
    </row>
    <row r="730" spans="1:23" s="127" customFormat="1" ht="12.75" customHeight="1">
      <c r="A730" s="118">
        <v>729</v>
      </c>
      <c r="B730" s="128">
        <v>7</v>
      </c>
      <c r="C730" s="181">
        <v>36647</v>
      </c>
      <c r="D730" s="157" t="s">
        <v>48</v>
      </c>
      <c r="E730" s="8">
        <v>2000</v>
      </c>
      <c r="F730" s="158"/>
      <c r="G730" s="172"/>
      <c r="H730" s="128"/>
      <c r="I730" s="160"/>
      <c r="J730" s="128"/>
      <c r="K730" s="128"/>
      <c r="L730" s="173"/>
      <c r="M730" s="174"/>
      <c r="N730" s="528"/>
      <c r="O730" s="128"/>
      <c r="P730" s="170"/>
      <c r="Q730" s="128"/>
      <c r="R730" s="128"/>
      <c r="S730" s="180"/>
      <c r="T730" s="128"/>
      <c r="U730" s="171"/>
      <c r="V730" s="128"/>
      <c r="W730" s="128"/>
    </row>
    <row r="731" spans="1:23" s="127" customFormat="1" ht="12.75" customHeight="1">
      <c r="A731" s="118">
        <v>730</v>
      </c>
      <c r="B731" s="128">
        <v>7</v>
      </c>
      <c r="C731" s="181">
        <v>36678</v>
      </c>
      <c r="D731" s="157" t="s">
        <v>49</v>
      </c>
      <c r="E731" s="8">
        <v>2000</v>
      </c>
      <c r="F731" s="158"/>
      <c r="G731" s="172"/>
      <c r="H731" s="128"/>
      <c r="I731" s="160"/>
      <c r="J731" s="128"/>
      <c r="K731" s="128"/>
      <c r="L731" s="128"/>
      <c r="M731" s="174"/>
      <c r="N731" s="528"/>
      <c r="O731" s="128"/>
      <c r="P731" s="170"/>
      <c r="Q731" s="128"/>
      <c r="R731" s="128"/>
      <c r="S731" s="180"/>
      <c r="T731" s="128"/>
      <c r="U731" s="171"/>
      <c r="V731" s="128"/>
      <c r="W731" s="128"/>
    </row>
    <row r="732" spans="1:23" s="127" customFormat="1" ht="12.75" customHeight="1">
      <c r="A732" s="118">
        <v>731</v>
      </c>
      <c r="B732" s="128">
        <v>7</v>
      </c>
      <c r="C732" s="181">
        <v>36708</v>
      </c>
      <c r="D732" s="157" t="s">
        <v>50</v>
      </c>
      <c r="E732" s="8">
        <v>2000</v>
      </c>
      <c r="F732" s="158"/>
      <c r="G732" s="172"/>
      <c r="H732" s="128"/>
      <c r="I732" s="160"/>
      <c r="J732" s="128"/>
      <c r="K732" s="128"/>
      <c r="L732" s="128"/>
      <c r="M732" s="174"/>
      <c r="N732" s="528"/>
      <c r="O732" s="128"/>
      <c r="P732" s="170"/>
      <c r="Q732" s="128"/>
      <c r="R732" s="128"/>
      <c r="S732" s="180"/>
      <c r="T732" s="128"/>
      <c r="U732" s="171"/>
      <c r="V732" s="128"/>
      <c r="W732" s="128"/>
    </row>
    <row r="733" spans="1:23" s="127" customFormat="1" ht="12.75" customHeight="1">
      <c r="A733" s="118">
        <v>732</v>
      </c>
      <c r="B733" s="128">
        <v>7</v>
      </c>
      <c r="C733" s="181">
        <v>36739</v>
      </c>
      <c r="D733" s="157" t="s">
        <v>51</v>
      </c>
      <c r="E733" s="8">
        <v>2000</v>
      </c>
      <c r="F733" s="158"/>
      <c r="G733" s="172"/>
      <c r="H733" s="128"/>
      <c r="I733" s="160"/>
      <c r="J733" s="128"/>
      <c r="K733" s="128"/>
      <c r="L733" s="128"/>
      <c r="M733" s="174"/>
      <c r="N733" s="528"/>
      <c r="O733" s="128"/>
      <c r="P733" s="170"/>
      <c r="Q733" s="128"/>
      <c r="R733" s="128"/>
      <c r="S733" s="180"/>
      <c r="T733" s="128"/>
      <c r="U733" s="171"/>
      <c r="V733" s="128"/>
      <c r="W733" s="128"/>
    </row>
    <row r="734" spans="1:23" s="127" customFormat="1" ht="12.75" customHeight="1">
      <c r="A734" s="118">
        <v>733</v>
      </c>
      <c r="B734" s="128">
        <v>7</v>
      </c>
      <c r="C734" s="181">
        <v>36770</v>
      </c>
      <c r="D734" s="157" t="s">
        <v>52</v>
      </c>
      <c r="E734" s="8">
        <v>2000</v>
      </c>
      <c r="F734" s="158"/>
      <c r="G734" s="172"/>
      <c r="H734" s="128"/>
      <c r="I734" s="160"/>
      <c r="J734" s="128"/>
      <c r="K734" s="128"/>
      <c r="L734" s="128"/>
      <c r="M734" s="174"/>
      <c r="N734" s="528"/>
      <c r="O734" s="128"/>
      <c r="P734" s="170"/>
      <c r="Q734" s="128"/>
      <c r="R734" s="128"/>
      <c r="S734" s="180"/>
      <c r="T734" s="128"/>
      <c r="U734" s="171"/>
      <c r="V734" s="128"/>
      <c r="W734" s="128"/>
    </row>
    <row r="735" spans="1:23" s="127" customFormat="1" ht="12.75" customHeight="1">
      <c r="A735" s="118">
        <v>734</v>
      </c>
      <c r="B735" s="128">
        <v>7</v>
      </c>
      <c r="C735" s="181">
        <v>36800</v>
      </c>
      <c r="D735" s="157" t="s">
        <v>53</v>
      </c>
      <c r="E735" s="8">
        <v>2000</v>
      </c>
      <c r="F735" s="158"/>
      <c r="G735" s="172"/>
      <c r="H735" s="128"/>
      <c r="I735" s="160"/>
      <c r="J735" s="128"/>
      <c r="K735" s="128"/>
      <c r="L735" s="128"/>
      <c r="M735" s="174"/>
      <c r="N735" s="528"/>
      <c r="O735" s="128"/>
      <c r="P735" s="170"/>
      <c r="Q735" s="128"/>
      <c r="R735" s="128"/>
      <c r="S735" s="180"/>
      <c r="T735" s="128"/>
      <c r="U735" s="171"/>
      <c r="V735" s="128"/>
      <c r="W735" s="128"/>
    </row>
    <row r="736" spans="1:23" s="127" customFormat="1" ht="12.75" customHeight="1">
      <c r="A736" s="118">
        <v>735</v>
      </c>
      <c r="B736" s="128">
        <v>7</v>
      </c>
      <c r="C736" s="181">
        <v>36831</v>
      </c>
      <c r="D736" s="157" t="s">
        <v>54</v>
      </c>
      <c r="E736" s="8">
        <v>2000</v>
      </c>
      <c r="F736" s="158"/>
      <c r="G736" s="172"/>
      <c r="H736" s="128"/>
      <c r="I736" s="160"/>
      <c r="J736" s="128"/>
      <c r="K736" s="128"/>
      <c r="L736" s="128"/>
      <c r="M736" s="174"/>
      <c r="N736" s="528"/>
      <c r="O736" s="128"/>
      <c r="P736" s="170"/>
      <c r="Q736" s="128"/>
      <c r="R736" s="128"/>
      <c r="S736" s="180"/>
      <c r="T736" s="128"/>
      <c r="U736" s="171"/>
      <c r="V736" s="128"/>
      <c r="W736" s="128"/>
    </row>
    <row r="737" spans="1:23" s="127" customFormat="1" ht="12.75" customHeight="1">
      <c r="A737" s="118">
        <v>736</v>
      </c>
      <c r="B737" s="128">
        <v>7</v>
      </c>
      <c r="C737" s="181">
        <v>36861</v>
      </c>
      <c r="D737" s="157" t="s">
        <v>55</v>
      </c>
      <c r="E737" s="8">
        <v>2000</v>
      </c>
      <c r="F737" s="158"/>
      <c r="G737" s="172"/>
      <c r="H737" s="128"/>
      <c r="I737" s="160"/>
      <c r="J737" s="128"/>
      <c r="K737" s="128"/>
      <c r="L737" s="128"/>
      <c r="M737" s="174"/>
      <c r="N737" s="528"/>
      <c r="O737" s="128"/>
      <c r="P737" s="170"/>
      <c r="Q737" s="128"/>
      <c r="R737" s="128"/>
      <c r="S737" s="180"/>
      <c r="T737" s="128"/>
      <c r="U737" s="171"/>
      <c r="V737" s="128"/>
      <c r="W737" s="128"/>
    </row>
    <row r="738" spans="1:23" s="127" customFormat="1" ht="12.75" customHeight="1">
      <c r="A738" s="118">
        <v>737</v>
      </c>
      <c r="B738" s="128">
        <v>7</v>
      </c>
      <c r="C738" s="181">
        <v>36892</v>
      </c>
      <c r="D738" s="157" t="s">
        <v>44</v>
      </c>
      <c r="E738" s="8">
        <v>2001</v>
      </c>
      <c r="F738" s="158"/>
      <c r="G738" s="172"/>
      <c r="H738" s="128"/>
      <c r="I738" s="160"/>
      <c r="J738" s="128"/>
      <c r="K738" s="128"/>
      <c r="L738" s="128"/>
      <c r="M738" s="174"/>
      <c r="N738" s="528"/>
      <c r="O738" s="128"/>
      <c r="P738" s="170"/>
      <c r="Q738" s="128"/>
      <c r="R738" s="128"/>
      <c r="S738" s="180"/>
      <c r="T738" s="128"/>
      <c r="U738" s="171"/>
      <c r="V738" s="128"/>
      <c r="W738" s="128"/>
    </row>
    <row r="739" spans="1:23" s="127" customFormat="1" ht="12.75" customHeight="1">
      <c r="A739" s="118">
        <v>738</v>
      </c>
      <c r="B739" s="128">
        <v>7</v>
      </c>
      <c r="C739" s="181">
        <v>36923</v>
      </c>
      <c r="D739" s="157" t="s">
        <v>45</v>
      </c>
      <c r="E739" s="8">
        <v>2001</v>
      </c>
      <c r="F739" s="158">
        <f t="shared" ref="F739:F744" si="188">C739-H739</f>
        <v>0</v>
      </c>
      <c r="G739" s="158">
        <f t="shared" ref="G739:G744" si="189">IF(F739&lt;365,1,2)</f>
        <v>1</v>
      </c>
      <c r="H739" s="172">
        <v>36923</v>
      </c>
      <c r="I739" s="160">
        <v>321267</v>
      </c>
      <c r="J739" s="128"/>
      <c r="K739" s="128"/>
      <c r="L739" s="128"/>
      <c r="M739" s="174"/>
      <c r="N739" s="528"/>
      <c r="O739" s="128"/>
      <c r="P739" s="170"/>
      <c r="Q739" s="128"/>
      <c r="R739" s="128"/>
      <c r="S739" s="180" t="s">
        <v>359</v>
      </c>
      <c r="T739" s="128"/>
      <c r="U739" s="171"/>
      <c r="V739" s="128"/>
      <c r="W739" s="128"/>
    </row>
    <row r="740" spans="1:23" s="127" customFormat="1" ht="12.75" customHeight="1">
      <c r="A740" s="118">
        <v>739</v>
      </c>
      <c r="B740" s="128">
        <v>7</v>
      </c>
      <c r="C740" s="181">
        <v>36951</v>
      </c>
      <c r="D740" s="157" t="s">
        <v>46</v>
      </c>
      <c r="E740" s="8">
        <v>2001</v>
      </c>
      <c r="F740" s="158">
        <f t="shared" si="188"/>
        <v>28</v>
      </c>
      <c r="G740" s="158">
        <f t="shared" si="189"/>
        <v>1</v>
      </c>
      <c r="H740" s="172">
        <v>36923</v>
      </c>
      <c r="I740" s="160">
        <v>352033</v>
      </c>
      <c r="J740" s="128"/>
      <c r="K740" s="128"/>
      <c r="L740" s="128"/>
      <c r="M740" s="174"/>
      <c r="N740" s="528"/>
      <c r="O740" s="128"/>
      <c r="P740" s="170"/>
      <c r="Q740" s="128"/>
      <c r="R740" s="128"/>
      <c r="S740" s="180"/>
      <c r="T740" s="128"/>
      <c r="U740" s="171"/>
      <c r="V740" s="128"/>
      <c r="W740" s="128"/>
    </row>
    <row r="741" spans="1:23" s="127" customFormat="1" ht="12.75" customHeight="1">
      <c r="A741" s="118">
        <v>740</v>
      </c>
      <c r="B741" s="128">
        <v>7</v>
      </c>
      <c r="C741" s="181">
        <v>36982</v>
      </c>
      <c r="D741" s="157" t="s">
        <v>47</v>
      </c>
      <c r="E741" s="8">
        <v>2001</v>
      </c>
      <c r="F741" s="158">
        <f t="shared" si="188"/>
        <v>59</v>
      </c>
      <c r="G741" s="158">
        <f t="shared" si="189"/>
        <v>1</v>
      </c>
      <c r="H741" s="172">
        <v>36923</v>
      </c>
      <c r="I741" s="160">
        <v>654203</v>
      </c>
      <c r="J741" s="128"/>
      <c r="K741" s="128">
        <v>4.57</v>
      </c>
      <c r="L741" s="128">
        <v>0.33</v>
      </c>
      <c r="M741" s="174"/>
      <c r="N741" s="528"/>
      <c r="O741" s="128"/>
      <c r="P741" s="170"/>
      <c r="Q741" s="128"/>
      <c r="R741" s="128"/>
      <c r="S741" s="180"/>
      <c r="T741" s="161">
        <f>$I741*K741</f>
        <v>2989707.71</v>
      </c>
      <c r="U741" s="161">
        <f>$I741*L741</f>
        <v>215886.99000000002</v>
      </c>
      <c r="V741" s="128"/>
      <c r="W741" s="128"/>
    </row>
    <row r="742" spans="1:23" s="127" customFormat="1" ht="12.75" customHeight="1">
      <c r="A742" s="118">
        <v>741</v>
      </c>
      <c r="B742" s="128">
        <v>7</v>
      </c>
      <c r="C742" s="181">
        <v>37012</v>
      </c>
      <c r="D742" s="157" t="s">
        <v>48</v>
      </c>
      <c r="E742" s="8">
        <v>2001</v>
      </c>
      <c r="F742" s="158">
        <f t="shared" si="188"/>
        <v>89</v>
      </c>
      <c r="G742" s="158">
        <f t="shared" si="189"/>
        <v>1</v>
      </c>
      <c r="H742" s="172">
        <v>36923</v>
      </c>
      <c r="I742" s="160">
        <v>1068487</v>
      </c>
      <c r="J742" s="128"/>
      <c r="K742" s="128"/>
      <c r="L742" s="128"/>
      <c r="M742" s="174"/>
      <c r="N742" s="528"/>
      <c r="O742" s="128"/>
      <c r="P742" s="170"/>
      <c r="Q742" s="128"/>
      <c r="R742" s="128"/>
      <c r="S742" s="180"/>
      <c r="T742" s="128"/>
      <c r="U742" s="171"/>
      <c r="V742" s="128"/>
      <c r="W742" s="128"/>
    </row>
    <row r="743" spans="1:23" s="127" customFormat="1" ht="12.75" customHeight="1">
      <c r="A743" s="118">
        <v>742</v>
      </c>
      <c r="B743" s="128">
        <v>7</v>
      </c>
      <c r="C743" s="181">
        <v>37043</v>
      </c>
      <c r="D743" s="157" t="s">
        <v>49</v>
      </c>
      <c r="E743" s="8">
        <v>2001</v>
      </c>
      <c r="F743" s="158">
        <f t="shared" si="188"/>
        <v>120</v>
      </c>
      <c r="G743" s="158">
        <f t="shared" si="189"/>
        <v>1</v>
      </c>
      <c r="H743" s="172">
        <v>36923</v>
      </c>
      <c r="I743" s="160">
        <v>1153953</v>
      </c>
      <c r="J743" s="128"/>
      <c r="K743" s="199">
        <v>4.57</v>
      </c>
      <c r="L743" s="199">
        <v>1.33</v>
      </c>
      <c r="M743" s="174"/>
      <c r="N743" s="528" t="s">
        <v>796</v>
      </c>
      <c r="O743" s="128"/>
      <c r="P743" s="170">
        <v>1</v>
      </c>
      <c r="Q743" s="128"/>
      <c r="R743" s="128"/>
      <c r="S743" s="180" t="s">
        <v>805</v>
      </c>
      <c r="T743" s="161">
        <f>$I743*K743</f>
        <v>5273565.21</v>
      </c>
      <c r="U743" s="161">
        <f>$I743*L743</f>
        <v>1534757.49</v>
      </c>
      <c r="V743" s="128"/>
      <c r="W743" s="128"/>
    </row>
    <row r="744" spans="1:23" s="127" customFormat="1" ht="12.75" customHeight="1">
      <c r="A744" s="118">
        <v>743</v>
      </c>
      <c r="B744" s="128">
        <v>7</v>
      </c>
      <c r="C744" s="181">
        <v>37073</v>
      </c>
      <c r="D744" s="157" t="s">
        <v>50</v>
      </c>
      <c r="E744" s="8">
        <v>2001</v>
      </c>
      <c r="F744" s="158">
        <f t="shared" si="188"/>
        <v>150</v>
      </c>
      <c r="G744" s="158">
        <f t="shared" si="189"/>
        <v>1</v>
      </c>
      <c r="H744" s="172">
        <v>36923</v>
      </c>
      <c r="I744" s="160">
        <v>1153953</v>
      </c>
      <c r="J744" s="128"/>
      <c r="K744" s="128"/>
      <c r="L744" s="128"/>
      <c r="M744" s="174"/>
      <c r="N744" s="528"/>
      <c r="O744" s="128"/>
      <c r="P744" s="170"/>
      <c r="Q744" s="128"/>
      <c r="R744" s="128"/>
      <c r="S744" s="180"/>
      <c r="T744" s="128"/>
      <c r="U744" s="171"/>
      <c r="V744" s="128"/>
      <c r="W744" s="128"/>
    </row>
    <row r="745" spans="1:23" s="127" customFormat="1" ht="12.75" customHeight="1">
      <c r="A745" s="118">
        <v>744</v>
      </c>
      <c r="B745" s="128">
        <v>7</v>
      </c>
      <c r="C745" s="181">
        <v>37104</v>
      </c>
      <c r="D745" s="157" t="s">
        <v>51</v>
      </c>
      <c r="E745" s="8">
        <v>2001</v>
      </c>
      <c r="F745" s="158"/>
      <c r="G745" s="158"/>
      <c r="H745" s="172"/>
      <c r="I745" s="160"/>
      <c r="J745" s="128"/>
      <c r="K745" s="128"/>
      <c r="L745" s="128"/>
      <c r="M745" s="174"/>
      <c r="N745" s="528"/>
      <c r="O745" s="128"/>
      <c r="P745" s="170"/>
      <c r="Q745" s="128"/>
      <c r="R745" s="128"/>
      <c r="S745" s="180" t="s">
        <v>360</v>
      </c>
      <c r="T745" s="128"/>
      <c r="U745" s="171"/>
      <c r="V745" s="128"/>
      <c r="W745" s="128"/>
    </row>
    <row r="746" spans="1:23" s="127" customFormat="1" ht="12.75" customHeight="1">
      <c r="A746" s="118">
        <v>745</v>
      </c>
      <c r="B746" s="128">
        <v>8</v>
      </c>
      <c r="C746" s="156">
        <v>36526</v>
      </c>
      <c r="D746" s="157" t="s">
        <v>44</v>
      </c>
      <c r="E746" s="8">
        <v>2000</v>
      </c>
      <c r="F746" s="158">
        <f t="shared" ref="F746:F753" si="190">C746-H746</f>
        <v>31</v>
      </c>
      <c r="G746" s="158">
        <f t="shared" ref="G746:G753" si="191">IF(F746&lt;365,1,2)</f>
        <v>1</v>
      </c>
      <c r="H746" s="172">
        <v>36495</v>
      </c>
      <c r="I746" s="179">
        <v>604000</v>
      </c>
      <c r="J746" s="11"/>
      <c r="K746" s="11"/>
      <c r="L746" s="11"/>
      <c r="M746" s="174"/>
      <c r="N746" s="528"/>
      <c r="O746" s="11"/>
      <c r="P746" s="8"/>
      <c r="Q746" s="11"/>
      <c r="R746" s="11"/>
      <c r="S746" s="155" t="s">
        <v>361</v>
      </c>
      <c r="T746" s="11"/>
      <c r="U746" s="161"/>
      <c r="V746" s="11"/>
      <c r="W746" s="11"/>
    </row>
    <row r="747" spans="1:23" s="127" customFormat="1" ht="12.75" customHeight="1">
      <c r="A747" s="118">
        <v>746</v>
      </c>
      <c r="B747" s="128">
        <v>8</v>
      </c>
      <c r="C747" s="156">
        <v>36557</v>
      </c>
      <c r="D747" s="157" t="s">
        <v>45</v>
      </c>
      <c r="E747" s="8">
        <v>2000</v>
      </c>
      <c r="F747" s="158">
        <f t="shared" si="190"/>
        <v>62</v>
      </c>
      <c r="G747" s="158">
        <f t="shared" si="191"/>
        <v>1</v>
      </c>
      <c r="H747" s="172">
        <v>36495</v>
      </c>
      <c r="I747" s="179">
        <v>604000</v>
      </c>
      <c r="J747" s="11"/>
      <c r="K747" s="11"/>
      <c r="L747" s="11"/>
      <c r="M747" s="174"/>
      <c r="N747" s="528"/>
      <c r="O747" s="11"/>
      <c r="P747" s="8"/>
      <c r="Q747" s="11"/>
      <c r="R747" s="11"/>
      <c r="S747" s="155"/>
      <c r="T747" s="11"/>
      <c r="U747" s="161"/>
      <c r="V747" s="11"/>
      <c r="W747" s="11"/>
    </row>
    <row r="748" spans="1:23" s="127" customFormat="1" ht="12.75" customHeight="1">
      <c r="A748" s="118">
        <v>747</v>
      </c>
      <c r="B748" s="128">
        <v>8</v>
      </c>
      <c r="C748" s="156">
        <v>36586</v>
      </c>
      <c r="D748" s="157" t="s">
        <v>46</v>
      </c>
      <c r="E748" s="8">
        <v>2000</v>
      </c>
      <c r="F748" s="158">
        <f t="shared" si="190"/>
        <v>91</v>
      </c>
      <c r="G748" s="158">
        <f t="shared" si="191"/>
        <v>1</v>
      </c>
      <c r="H748" s="172">
        <v>36495</v>
      </c>
      <c r="I748" s="179">
        <v>604000</v>
      </c>
      <c r="J748" s="11"/>
      <c r="K748" s="11"/>
      <c r="L748" s="11"/>
      <c r="M748" s="174"/>
      <c r="N748" s="528"/>
      <c r="O748" s="11"/>
      <c r="P748" s="8"/>
      <c r="Q748" s="11"/>
      <c r="R748" s="11"/>
      <c r="S748" s="155"/>
      <c r="T748" s="11"/>
      <c r="U748" s="161"/>
      <c r="V748" s="11"/>
      <c r="W748" s="11"/>
    </row>
    <row r="749" spans="1:23" s="127" customFormat="1" ht="12.75" customHeight="1">
      <c r="A749" s="118">
        <v>748</v>
      </c>
      <c r="B749" s="128">
        <v>8</v>
      </c>
      <c r="C749" s="156">
        <v>36617</v>
      </c>
      <c r="D749" s="157" t="s">
        <v>47</v>
      </c>
      <c r="E749" s="8">
        <v>2000</v>
      </c>
      <c r="F749" s="158">
        <f t="shared" si="190"/>
        <v>122</v>
      </c>
      <c r="G749" s="158">
        <f t="shared" si="191"/>
        <v>1</v>
      </c>
      <c r="H749" s="172">
        <v>36495</v>
      </c>
      <c r="I749" s="179">
        <v>604000</v>
      </c>
      <c r="J749" s="15">
        <v>0.73</v>
      </c>
      <c r="K749" s="15">
        <v>0.7466666666666667</v>
      </c>
      <c r="L749" s="15">
        <v>7.4999999999999997E-2</v>
      </c>
      <c r="M749" s="174"/>
      <c r="N749" s="528"/>
      <c r="O749" s="15">
        <v>1.4966666666666668</v>
      </c>
      <c r="P749" s="8"/>
      <c r="Q749" s="11"/>
      <c r="R749" s="11"/>
      <c r="S749" s="155"/>
      <c r="T749" s="161">
        <f t="shared" ref="T749:U753" si="192">$I749*K749</f>
        <v>450986.66666666669</v>
      </c>
      <c r="U749" s="161">
        <f t="shared" si="192"/>
        <v>45300</v>
      </c>
      <c r="V749" s="161">
        <f t="shared" ref="V749:V753" si="193">$I749*O749</f>
        <v>903986.66666666674</v>
      </c>
      <c r="W749" s="161">
        <f>V749*0.4</f>
        <v>361594.66666666674</v>
      </c>
    </row>
    <row r="750" spans="1:23" s="127" customFormat="1" ht="12.75" customHeight="1">
      <c r="A750" s="118">
        <v>749</v>
      </c>
      <c r="B750" s="128">
        <v>8</v>
      </c>
      <c r="C750" s="156">
        <v>36647</v>
      </c>
      <c r="D750" s="157" t="s">
        <v>48</v>
      </c>
      <c r="E750" s="8">
        <v>2000</v>
      </c>
      <c r="F750" s="158">
        <f t="shared" si="190"/>
        <v>152</v>
      </c>
      <c r="G750" s="158">
        <f t="shared" si="191"/>
        <v>1</v>
      </c>
      <c r="H750" s="172">
        <v>36495</v>
      </c>
      <c r="I750" s="179">
        <v>604000</v>
      </c>
      <c r="J750" s="15">
        <v>3</v>
      </c>
      <c r="K750" s="15">
        <v>1.0333333333333334</v>
      </c>
      <c r="L750" s="15">
        <v>5.8333333333333334E-2</v>
      </c>
      <c r="M750" s="174"/>
      <c r="N750" s="528"/>
      <c r="O750" s="15">
        <v>2.7833333333333337</v>
      </c>
      <c r="P750" s="8"/>
      <c r="Q750" s="11"/>
      <c r="R750" s="11"/>
      <c r="S750" s="155"/>
      <c r="T750" s="161">
        <f t="shared" si="192"/>
        <v>624133.33333333337</v>
      </c>
      <c r="U750" s="161">
        <f t="shared" si="192"/>
        <v>35233.333333333336</v>
      </c>
      <c r="V750" s="161">
        <f t="shared" si="193"/>
        <v>1681133.3333333335</v>
      </c>
      <c r="W750" s="161">
        <f>V750*0.4</f>
        <v>672453.33333333349</v>
      </c>
    </row>
    <row r="751" spans="1:23" s="127" customFormat="1" ht="12.75" customHeight="1">
      <c r="A751" s="118">
        <v>750</v>
      </c>
      <c r="B751" s="128">
        <v>8</v>
      </c>
      <c r="C751" s="156">
        <v>36678</v>
      </c>
      <c r="D751" s="157" t="s">
        <v>49</v>
      </c>
      <c r="E751" s="8">
        <v>2000</v>
      </c>
      <c r="F751" s="158">
        <f t="shared" si="190"/>
        <v>183</v>
      </c>
      <c r="G751" s="158">
        <f t="shared" si="191"/>
        <v>1</v>
      </c>
      <c r="H751" s="172">
        <v>36495</v>
      </c>
      <c r="I751" s="179">
        <v>604000</v>
      </c>
      <c r="J751" s="173"/>
      <c r="K751" s="165">
        <f>(K750+K752)/2</f>
        <v>1.7416666666666667</v>
      </c>
      <c r="L751" s="165">
        <f>(L750+L752)/2</f>
        <v>0.29166666666666669</v>
      </c>
      <c r="M751" s="174"/>
      <c r="N751" s="528">
        <v>1</v>
      </c>
      <c r="O751" s="165">
        <f>(O750+O752)/2</f>
        <v>1.5229166666666669</v>
      </c>
      <c r="P751" s="8"/>
      <c r="Q751" s="11"/>
      <c r="R751" s="11"/>
      <c r="S751" s="155"/>
      <c r="T751" s="161">
        <f t="shared" si="192"/>
        <v>1051966.6666666667</v>
      </c>
      <c r="U751" s="161">
        <f t="shared" si="192"/>
        <v>176166.66666666669</v>
      </c>
      <c r="V751" s="161">
        <f t="shared" si="193"/>
        <v>919841.66666666686</v>
      </c>
      <c r="W751" s="161">
        <f>V751*0.4</f>
        <v>367936.66666666674</v>
      </c>
    </row>
    <row r="752" spans="1:23" s="127" customFormat="1" ht="12.75" customHeight="1">
      <c r="A752" s="118">
        <v>751</v>
      </c>
      <c r="B752" s="128">
        <v>8</v>
      </c>
      <c r="C752" s="156">
        <v>36708</v>
      </c>
      <c r="D752" s="157" t="s">
        <v>50</v>
      </c>
      <c r="E752" s="8">
        <v>2000</v>
      </c>
      <c r="F752" s="158">
        <f t="shared" si="190"/>
        <v>213</v>
      </c>
      <c r="G752" s="158">
        <f t="shared" si="191"/>
        <v>1</v>
      </c>
      <c r="H752" s="172">
        <v>36495</v>
      </c>
      <c r="I752" s="179">
        <v>604000</v>
      </c>
      <c r="J752" s="15">
        <v>1.2500000000000001E-2</v>
      </c>
      <c r="K752" s="15">
        <v>2.4500000000000002</v>
      </c>
      <c r="L752" s="15">
        <v>0.52500000000000002</v>
      </c>
      <c r="M752" s="174"/>
      <c r="N752" s="528"/>
      <c r="O752" s="15">
        <v>0.26250000000000001</v>
      </c>
      <c r="P752" s="8"/>
      <c r="Q752" s="11"/>
      <c r="R752" s="11"/>
      <c r="S752" s="155"/>
      <c r="T752" s="161">
        <f t="shared" si="192"/>
        <v>1479800</v>
      </c>
      <c r="U752" s="161">
        <f t="shared" si="192"/>
        <v>317100</v>
      </c>
      <c r="V752" s="161">
        <f t="shared" si="193"/>
        <v>158550</v>
      </c>
      <c r="W752" s="161">
        <f>V752*0.4</f>
        <v>63420</v>
      </c>
    </row>
    <row r="753" spans="1:23" s="127" customFormat="1" ht="12.75" customHeight="1">
      <c r="A753" s="118">
        <v>752</v>
      </c>
      <c r="B753" s="128">
        <v>8</v>
      </c>
      <c r="C753" s="156">
        <v>36739</v>
      </c>
      <c r="D753" s="157" t="s">
        <v>51</v>
      </c>
      <c r="E753" s="8">
        <v>2000</v>
      </c>
      <c r="F753" s="158">
        <f t="shared" si="190"/>
        <v>244</v>
      </c>
      <c r="G753" s="158">
        <f t="shared" si="191"/>
        <v>1</v>
      </c>
      <c r="H753" s="172">
        <v>36495</v>
      </c>
      <c r="I753" s="179">
        <v>599000</v>
      </c>
      <c r="J753" s="15">
        <v>0.47499999999999998</v>
      </c>
      <c r="K753" s="15">
        <v>4.5250000000000004</v>
      </c>
      <c r="L753" s="15">
        <v>0.95</v>
      </c>
      <c r="M753" s="174"/>
      <c r="N753" s="528"/>
      <c r="O753" s="15">
        <v>0.05</v>
      </c>
      <c r="P753" s="8"/>
      <c r="Q753" s="11"/>
      <c r="R753" s="11"/>
      <c r="S753" s="155"/>
      <c r="T753" s="161">
        <f t="shared" si="192"/>
        <v>2710475</v>
      </c>
      <c r="U753" s="161">
        <f t="shared" si="192"/>
        <v>569050</v>
      </c>
      <c r="V753" s="161">
        <f t="shared" si="193"/>
        <v>29950</v>
      </c>
      <c r="W753" s="161">
        <f>V753*0.4</f>
        <v>11980</v>
      </c>
    </row>
    <row r="754" spans="1:23" s="127" customFormat="1" ht="12.75" customHeight="1">
      <c r="A754" s="118">
        <v>753</v>
      </c>
      <c r="B754" s="128">
        <v>8</v>
      </c>
      <c r="C754" s="156">
        <v>36770</v>
      </c>
      <c r="D754" s="157" t="s">
        <v>52</v>
      </c>
      <c r="E754" s="8">
        <v>2000</v>
      </c>
      <c r="F754" s="158"/>
      <c r="G754" s="162"/>
      <c r="H754" s="128"/>
      <c r="I754" s="160"/>
      <c r="J754" s="11"/>
      <c r="K754" s="11"/>
      <c r="L754" s="11"/>
      <c r="M754" s="174"/>
      <c r="N754" s="528"/>
      <c r="O754" s="11"/>
      <c r="P754" s="8"/>
      <c r="Q754" s="11"/>
      <c r="R754" s="11"/>
      <c r="S754" s="155" t="s">
        <v>314</v>
      </c>
      <c r="T754" s="11"/>
      <c r="U754" s="161"/>
      <c r="V754" s="11"/>
      <c r="W754" s="11"/>
    </row>
    <row r="755" spans="1:23" s="127" customFormat="1" ht="12.75" customHeight="1">
      <c r="A755" s="118">
        <v>754</v>
      </c>
      <c r="B755" s="128">
        <v>8</v>
      </c>
      <c r="C755" s="156">
        <v>36800</v>
      </c>
      <c r="D755" s="157" t="s">
        <v>53</v>
      </c>
      <c r="E755" s="8">
        <v>2000</v>
      </c>
      <c r="F755" s="158">
        <f t="shared" ref="F755:F763" si="194">C755-H755</f>
        <v>0</v>
      </c>
      <c r="G755" s="158">
        <f t="shared" ref="G755:G763" si="195">IF(F755&lt;365,1,2)</f>
        <v>1</v>
      </c>
      <c r="H755" s="162">
        <v>36800</v>
      </c>
      <c r="I755" s="160">
        <v>219336</v>
      </c>
      <c r="J755" s="11"/>
      <c r="K755" s="11"/>
      <c r="L755" s="11"/>
      <c r="M755" s="174"/>
      <c r="N755" s="528"/>
      <c r="O755" s="11"/>
      <c r="P755" s="8"/>
      <c r="Q755" s="11"/>
      <c r="R755" s="11"/>
      <c r="S755" s="155"/>
      <c r="T755" s="11"/>
      <c r="U755" s="161"/>
      <c r="V755" s="11"/>
      <c r="W755" s="11"/>
    </row>
    <row r="756" spans="1:23" s="127" customFormat="1" ht="12.75" customHeight="1">
      <c r="A756" s="118">
        <v>755</v>
      </c>
      <c r="B756" s="128">
        <v>8</v>
      </c>
      <c r="C756" s="156">
        <v>36831</v>
      </c>
      <c r="D756" s="157" t="s">
        <v>54</v>
      </c>
      <c r="E756" s="8">
        <v>2000</v>
      </c>
      <c r="F756" s="158">
        <f t="shared" si="194"/>
        <v>31</v>
      </c>
      <c r="G756" s="158">
        <f t="shared" si="195"/>
        <v>1</v>
      </c>
      <c r="H756" s="162">
        <v>36800</v>
      </c>
      <c r="I756" s="160">
        <v>546482</v>
      </c>
      <c r="J756" s="11"/>
      <c r="K756" s="11"/>
      <c r="L756" s="11"/>
      <c r="M756" s="174"/>
      <c r="N756" s="528"/>
      <c r="O756" s="11"/>
      <c r="P756" s="8"/>
      <c r="Q756" s="11"/>
      <c r="R756" s="11"/>
      <c r="S756" s="155"/>
      <c r="T756" s="11"/>
      <c r="U756" s="161"/>
      <c r="V756" s="11"/>
      <c r="W756" s="11"/>
    </row>
    <row r="757" spans="1:23" s="127" customFormat="1" ht="12.75" customHeight="1">
      <c r="A757" s="118">
        <v>756</v>
      </c>
      <c r="B757" s="128">
        <v>8</v>
      </c>
      <c r="C757" s="156">
        <v>36861</v>
      </c>
      <c r="D757" s="157" t="s">
        <v>55</v>
      </c>
      <c r="E757" s="8">
        <v>2000</v>
      </c>
      <c r="F757" s="158">
        <f t="shared" si="194"/>
        <v>61</v>
      </c>
      <c r="G757" s="158">
        <f t="shared" si="195"/>
        <v>1</v>
      </c>
      <c r="H757" s="172">
        <v>36800</v>
      </c>
      <c r="I757" s="160">
        <v>1074725</v>
      </c>
      <c r="J757" s="11"/>
      <c r="K757" s="11"/>
      <c r="L757" s="11"/>
      <c r="M757" s="174"/>
      <c r="N757" s="528"/>
      <c r="O757" s="11"/>
      <c r="P757" s="8"/>
      <c r="Q757" s="11"/>
      <c r="R757" s="11"/>
      <c r="S757" s="155" t="s">
        <v>11</v>
      </c>
      <c r="T757" s="11"/>
      <c r="U757" s="161"/>
      <c r="V757" s="11"/>
      <c r="W757" s="11"/>
    </row>
    <row r="758" spans="1:23" s="127" customFormat="1" ht="12.75" customHeight="1">
      <c r="A758" s="118">
        <v>757</v>
      </c>
      <c r="B758" s="128">
        <v>8</v>
      </c>
      <c r="C758" s="156">
        <v>36892</v>
      </c>
      <c r="D758" s="157" t="s">
        <v>44</v>
      </c>
      <c r="E758" s="8">
        <v>2001</v>
      </c>
      <c r="F758" s="158">
        <f t="shared" si="194"/>
        <v>92</v>
      </c>
      <c r="G758" s="158">
        <f t="shared" si="195"/>
        <v>1</v>
      </c>
      <c r="H758" s="172">
        <v>36800</v>
      </c>
      <c r="I758" s="160">
        <v>1065999</v>
      </c>
      <c r="J758" s="11"/>
      <c r="K758" s="200">
        <v>6.13</v>
      </c>
      <c r="L758" s="200">
        <v>0.05</v>
      </c>
      <c r="M758" s="174"/>
      <c r="N758" s="528"/>
      <c r="O758" s="11"/>
      <c r="P758" s="8"/>
      <c r="Q758" s="11"/>
      <c r="R758" s="11"/>
      <c r="S758" s="155"/>
      <c r="T758" s="161">
        <f t="shared" ref="T758:U763" si="196">$I758*K758</f>
        <v>6534573.8700000001</v>
      </c>
      <c r="U758" s="161">
        <f t="shared" si="196"/>
        <v>53299.950000000004</v>
      </c>
      <c r="V758" s="11"/>
      <c r="W758" s="11"/>
    </row>
    <row r="759" spans="1:23" s="127" customFormat="1" ht="12.75" customHeight="1">
      <c r="A759" s="118">
        <v>758</v>
      </c>
      <c r="B759" s="128">
        <v>8</v>
      </c>
      <c r="C759" s="156">
        <v>36923</v>
      </c>
      <c r="D759" s="157" t="s">
        <v>45</v>
      </c>
      <c r="E759" s="8">
        <v>2001</v>
      </c>
      <c r="F759" s="158">
        <f t="shared" si="194"/>
        <v>123</v>
      </c>
      <c r="G759" s="158">
        <f t="shared" si="195"/>
        <v>1</v>
      </c>
      <c r="H759" s="172">
        <v>36800</v>
      </c>
      <c r="I759" s="160">
        <v>1065999</v>
      </c>
      <c r="J759" s="11"/>
      <c r="K759" s="200">
        <v>2.5299999999999998</v>
      </c>
      <c r="L759" s="200">
        <v>0.18</v>
      </c>
      <c r="M759" s="174">
        <v>0</v>
      </c>
      <c r="N759" s="528"/>
      <c r="O759" s="161"/>
      <c r="P759" s="8"/>
      <c r="Q759" s="11"/>
      <c r="R759" s="11"/>
      <c r="S759" s="155"/>
      <c r="T759" s="161">
        <f t="shared" si="196"/>
        <v>2696977.4699999997</v>
      </c>
      <c r="U759" s="161">
        <f t="shared" si="196"/>
        <v>191879.82</v>
      </c>
      <c r="V759" s="161"/>
      <c r="W759" s="161"/>
    </row>
    <row r="760" spans="1:23" s="127" customFormat="1" ht="12.75" customHeight="1">
      <c r="A760" s="118">
        <v>759</v>
      </c>
      <c r="B760" s="128">
        <v>8</v>
      </c>
      <c r="C760" s="156">
        <v>36951</v>
      </c>
      <c r="D760" s="157" t="s">
        <v>46</v>
      </c>
      <c r="E760" s="8">
        <v>2001</v>
      </c>
      <c r="F760" s="158">
        <f t="shared" si="194"/>
        <v>151</v>
      </c>
      <c r="G760" s="158">
        <f t="shared" si="195"/>
        <v>1</v>
      </c>
      <c r="H760" s="172">
        <v>36800</v>
      </c>
      <c r="I760" s="160">
        <v>1065999</v>
      </c>
      <c r="J760" s="11"/>
      <c r="K760" s="200">
        <v>6.11</v>
      </c>
      <c r="L760" s="200">
        <v>1.07</v>
      </c>
      <c r="M760" s="174">
        <v>2</v>
      </c>
      <c r="N760" s="528"/>
      <c r="O760" s="161"/>
      <c r="P760" s="170">
        <v>1</v>
      </c>
      <c r="Q760" s="128"/>
      <c r="R760" s="128"/>
      <c r="S760" s="180"/>
      <c r="T760" s="161">
        <f t="shared" si="196"/>
        <v>6513253.8900000006</v>
      </c>
      <c r="U760" s="161">
        <f t="shared" si="196"/>
        <v>1140618.9300000002</v>
      </c>
      <c r="V760" s="161"/>
      <c r="W760" s="161"/>
    </row>
    <row r="761" spans="1:23" s="127" customFormat="1" ht="12.75" customHeight="1">
      <c r="A761" s="118">
        <v>760</v>
      </c>
      <c r="B761" s="259">
        <v>8</v>
      </c>
      <c r="C761" s="156">
        <v>36982</v>
      </c>
      <c r="D761" s="157" t="s">
        <v>47</v>
      </c>
      <c r="E761" s="8">
        <v>2001</v>
      </c>
      <c r="F761" s="158">
        <f t="shared" si="194"/>
        <v>182</v>
      </c>
      <c r="G761" s="158">
        <f t="shared" si="195"/>
        <v>1</v>
      </c>
      <c r="H761" s="172">
        <v>36800</v>
      </c>
      <c r="I761" s="160">
        <v>1065999</v>
      </c>
      <c r="J761" s="11"/>
      <c r="K761" s="200">
        <v>2.0699999999999998</v>
      </c>
      <c r="L761" s="200">
        <v>0.24</v>
      </c>
      <c r="M761" s="174"/>
      <c r="N761" s="528"/>
      <c r="O761" s="161"/>
      <c r="P761" s="170"/>
      <c r="Q761" s="128"/>
      <c r="R761" s="128"/>
      <c r="S761" s="180"/>
      <c r="T761" s="161">
        <f t="shared" si="196"/>
        <v>2206617.9299999997</v>
      </c>
      <c r="U761" s="161">
        <f t="shared" si="196"/>
        <v>255839.75999999998</v>
      </c>
      <c r="V761" s="161"/>
      <c r="W761" s="161"/>
    </row>
    <row r="762" spans="1:23" s="127" customFormat="1" ht="12.75" customHeight="1">
      <c r="A762" s="118">
        <v>761</v>
      </c>
      <c r="B762" s="259">
        <v>8</v>
      </c>
      <c r="C762" s="156">
        <v>37012</v>
      </c>
      <c r="D762" s="157" t="s">
        <v>48</v>
      </c>
      <c r="E762" s="8">
        <v>2001</v>
      </c>
      <c r="F762" s="158">
        <f t="shared" si="194"/>
        <v>212</v>
      </c>
      <c r="G762" s="158">
        <f t="shared" si="195"/>
        <v>1</v>
      </c>
      <c r="H762" s="172">
        <v>36800</v>
      </c>
      <c r="I762" s="160">
        <v>1065999</v>
      </c>
      <c r="J762" s="11"/>
      <c r="K762" s="201">
        <f>(K761+K763)/2</f>
        <v>1.0599999999999998</v>
      </c>
      <c r="L762" s="201">
        <f>(L761+L763)/2</f>
        <v>0.12</v>
      </c>
      <c r="M762" s="174"/>
      <c r="N762" s="528">
        <v>1</v>
      </c>
      <c r="O762" s="161"/>
      <c r="P762" s="8"/>
      <c r="Q762" s="11"/>
      <c r="R762" s="11"/>
      <c r="S762" s="155"/>
      <c r="T762" s="161">
        <f t="shared" si="196"/>
        <v>1129958.9399999997</v>
      </c>
      <c r="U762" s="161">
        <f t="shared" si="196"/>
        <v>127919.87999999999</v>
      </c>
      <c r="V762" s="161"/>
      <c r="W762" s="161"/>
    </row>
    <row r="763" spans="1:23" s="127" customFormat="1" ht="12.75" customHeight="1">
      <c r="A763" s="118">
        <v>762</v>
      </c>
      <c r="B763" s="259">
        <v>8</v>
      </c>
      <c r="C763" s="156">
        <v>37043</v>
      </c>
      <c r="D763" s="157" t="s">
        <v>49</v>
      </c>
      <c r="E763" s="8">
        <v>2001</v>
      </c>
      <c r="F763" s="158">
        <f t="shared" si="194"/>
        <v>243</v>
      </c>
      <c r="G763" s="158">
        <f t="shared" si="195"/>
        <v>1</v>
      </c>
      <c r="H763" s="172">
        <v>36800</v>
      </c>
      <c r="I763" s="160">
        <v>1065999</v>
      </c>
      <c r="J763" s="11"/>
      <c r="K763" s="200">
        <v>0.05</v>
      </c>
      <c r="L763" s="200">
        <v>0</v>
      </c>
      <c r="M763" s="174"/>
      <c r="N763" s="528"/>
      <c r="O763" s="161"/>
      <c r="P763" s="8"/>
      <c r="Q763" s="11"/>
      <c r="R763" s="11"/>
      <c r="S763" s="155"/>
      <c r="T763" s="161">
        <f t="shared" si="196"/>
        <v>53299.950000000004</v>
      </c>
      <c r="U763" s="161">
        <f t="shared" si="196"/>
        <v>0</v>
      </c>
      <c r="V763" s="161"/>
      <c r="W763" s="161"/>
    </row>
    <row r="764" spans="1:23" s="127" customFormat="1" ht="12.75" customHeight="1">
      <c r="A764" s="118">
        <v>763</v>
      </c>
      <c r="B764" s="128">
        <v>8</v>
      </c>
      <c r="C764" s="156">
        <v>37073</v>
      </c>
      <c r="D764" s="157" t="s">
        <v>50</v>
      </c>
      <c r="E764" s="8">
        <v>2001</v>
      </c>
      <c r="F764" s="158"/>
      <c r="G764" s="158"/>
      <c r="H764" s="172"/>
      <c r="I764" s="160"/>
      <c r="J764" s="11"/>
      <c r="K764" s="163"/>
      <c r="L764" s="163"/>
      <c r="M764" s="174"/>
      <c r="N764" s="528"/>
      <c r="O764" s="161"/>
      <c r="P764" s="8"/>
      <c r="Q764" s="11"/>
      <c r="R764" s="11"/>
      <c r="S764" s="155" t="s">
        <v>362</v>
      </c>
      <c r="T764" s="163"/>
      <c r="U764" s="163"/>
      <c r="V764" s="161"/>
      <c r="W764" s="161"/>
    </row>
    <row r="765" spans="1:23" s="127" customFormat="1" ht="12.75" customHeight="1">
      <c r="A765" s="118">
        <v>764</v>
      </c>
      <c r="B765" s="128">
        <v>8</v>
      </c>
      <c r="C765" s="156">
        <v>37104</v>
      </c>
      <c r="D765" s="157" t="s">
        <v>51</v>
      </c>
      <c r="E765" s="8">
        <v>2001</v>
      </c>
      <c r="F765" s="158"/>
      <c r="G765" s="162"/>
      <c r="H765" s="11"/>
      <c r="I765" s="163"/>
      <c r="J765" s="11"/>
      <c r="K765" s="163"/>
      <c r="L765" s="163"/>
      <c r="M765" s="174"/>
      <c r="N765" s="528"/>
      <c r="O765" s="161"/>
      <c r="P765" s="8"/>
      <c r="Q765" s="11"/>
      <c r="R765" s="11"/>
      <c r="S765" s="155"/>
      <c r="T765" s="163"/>
      <c r="U765" s="163"/>
      <c r="V765" s="161"/>
      <c r="W765" s="161"/>
    </row>
    <row r="766" spans="1:23" s="127" customFormat="1" ht="12.75" customHeight="1">
      <c r="A766" s="118">
        <v>765</v>
      </c>
      <c r="B766" s="128">
        <v>8</v>
      </c>
      <c r="C766" s="156">
        <v>37135</v>
      </c>
      <c r="D766" s="157" t="s">
        <v>52</v>
      </c>
      <c r="E766" s="8">
        <v>2001</v>
      </c>
      <c r="F766" s="158"/>
      <c r="G766" s="162"/>
      <c r="H766" s="11"/>
      <c r="I766" s="163"/>
      <c r="J766" s="11"/>
      <c r="K766" s="163"/>
      <c r="L766" s="163"/>
      <c r="M766" s="174"/>
      <c r="N766" s="528"/>
      <c r="O766" s="161"/>
      <c r="P766" s="8"/>
      <c r="Q766" s="11"/>
      <c r="R766" s="11"/>
      <c r="S766" s="155"/>
      <c r="T766" s="163"/>
      <c r="U766" s="163"/>
      <c r="V766" s="161"/>
      <c r="W766" s="161"/>
    </row>
    <row r="767" spans="1:23" s="127" customFormat="1" ht="12.75" customHeight="1">
      <c r="A767" s="118">
        <v>766</v>
      </c>
      <c r="B767" s="128">
        <v>8</v>
      </c>
      <c r="C767" s="156">
        <v>37165</v>
      </c>
      <c r="D767" s="157" t="s">
        <v>53</v>
      </c>
      <c r="E767" s="8">
        <v>2001</v>
      </c>
      <c r="F767" s="158">
        <f>C767-H767</f>
        <v>0</v>
      </c>
      <c r="G767" s="158">
        <f>IF(F767&lt;365,1,2)</f>
        <v>1</v>
      </c>
      <c r="H767" s="162">
        <v>37165</v>
      </c>
      <c r="I767" s="163">
        <v>135600</v>
      </c>
      <c r="J767" s="11"/>
      <c r="K767" s="163"/>
      <c r="L767" s="163"/>
      <c r="M767" s="174"/>
      <c r="N767" s="528"/>
      <c r="O767" s="161"/>
      <c r="P767" s="8"/>
      <c r="Q767" s="11">
        <v>8.8000000000000007</v>
      </c>
      <c r="R767" s="11">
        <v>30.2</v>
      </c>
      <c r="S767" s="155" t="s">
        <v>19</v>
      </c>
      <c r="T767" s="163"/>
      <c r="U767" s="163"/>
      <c r="V767" s="161"/>
      <c r="W767" s="161"/>
    </row>
    <row r="768" spans="1:23" s="127" customFormat="1" ht="12.75" customHeight="1">
      <c r="A768" s="118">
        <v>767</v>
      </c>
      <c r="B768" s="128">
        <v>8</v>
      </c>
      <c r="C768" s="156">
        <v>37196</v>
      </c>
      <c r="D768" s="157" t="s">
        <v>54</v>
      </c>
      <c r="E768" s="8">
        <v>2001</v>
      </c>
      <c r="F768" s="158">
        <f>C768-H768</f>
        <v>31</v>
      </c>
      <c r="G768" s="158">
        <f>IF(F768&lt;365,1,2)</f>
        <v>1</v>
      </c>
      <c r="H768" s="162">
        <v>37165</v>
      </c>
      <c r="I768" s="163">
        <v>1066953</v>
      </c>
      <c r="J768" s="11"/>
      <c r="K768" s="11"/>
      <c r="L768" s="11"/>
      <c r="M768" s="174"/>
      <c r="N768" s="528"/>
      <c r="O768" s="11"/>
      <c r="P768" s="8"/>
      <c r="Q768" s="11">
        <v>8.5</v>
      </c>
      <c r="R768" s="11">
        <v>30.6</v>
      </c>
      <c r="S768" s="155"/>
      <c r="T768" s="11"/>
      <c r="U768" s="161"/>
      <c r="V768" s="11"/>
      <c r="W768" s="11"/>
    </row>
    <row r="769" spans="1:23" s="127" customFormat="1" ht="12.75" customHeight="1">
      <c r="A769" s="118">
        <v>768</v>
      </c>
      <c r="B769" s="128">
        <v>8</v>
      </c>
      <c r="C769" s="156">
        <v>37226</v>
      </c>
      <c r="D769" s="157" t="s">
        <v>55</v>
      </c>
      <c r="E769" s="8">
        <v>2001</v>
      </c>
      <c r="F769" s="158">
        <f>C769-H769</f>
        <v>61</v>
      </c>
      <c r="G769" s="158">
        <f>IF(F769&lt;365,1,2)</f>
        <v>1</v>
      </c>
      <c r="H769" s="162">
        <v>37165</v>
      </c>
      <c r="I769" s="163">
        <v>1522718</v>
      </c>
      <c r="J769" s="11"/>
      <c r="K769" s="11"/>
      <c r="L769" s="11"/>
      <c r="M769" s="174"/>
      <c r="N769" s="528"/>
      <c r="O769" s="11"/>
      <c r="P769" s="8"/>
      <c r="Q769" s="11">
        <v>7.8</v>
      </c>
      <c r="R769" s="11">
        <v>31.2</v>
      </c>
      <c r="S769" s="155"/>
      <c r="T769" s="11"/>
      <c r="U769" s="161"/>
      <c r="V769" s="11"/>
      <c r="W769" s="11"/>
    </row>
    <row r="770" spans="1:23" s="127" customFormat="1" ht="12.75" customHeight="1">
      <c r="A770" s="118">
        <v>769</v>
      </c>
      <c r="B770" s="128">
        <v>8</v>
      </c>
      <c r="C770" s="156">
        <v>37257</v>
      </c>
      <c r="D770" s="157" t="s">
        <v>44</v>
      </c>
      <c r="E770" s="8">
        <v>2002</v>
      </c>
      <c r="F770" s="158">
        <f>C770-H770</f>
        <v>92</v>
      </c>
      <c r="G770" s="158">
        <f>IF(F770&lt;365,1,2)</f>
        <v>1</v>
      </c>
      <c r="H770" s="162">
        <v>37165</v>
      </c>
      <c r="I770" s="163">
        <v>1608232</v>
      </c>
      <c r="J770" s="11"/>
      <c r="K770" s="11"/>
      <c r="L770" s="11"/>
      <c r="M770" s="174"/>
      <c r="N770" s="528"/>
      <c r="O770" s="11"/>
      <c r="P770" s="8"/>
      <c r="Q770" s="11">
        <v>7.7</v>
      </c>
      <c r="R770" s="11">
        <v>30.7</v>
      </c>
      <c r="S770" s="155" t="s">
        <v>363</v>
      </c>
      <c r="T770" s="11"/>
      <c r="U770" s="161"/>
      <c r="V770" s="11"/>
      <c r="W770" s="11"/>
    </row>
    <row r="771" spans="1:23" s="127" customFormat="1" ht="12.75" customHeight="1">
      <c r="A771" s="118">
        <v>770</v>
      </c>
      <c r="B771" s="128">
        <v>8</v>
      </c>
      <c r="C771" s="156">
        <v>37288</v>
      </c>
      <c r="D771" s="157" t="s">
        <v>45</v>
      </c>
      <c r="E771" s="8">
        <v>2002</v>
      </c>
      <c r="F771" s="158">
        <f>C771-H771</f>
        <v>123</v>
      </c>
      <c r="G771" s="158">
        <f>IF(F771&lt;365,1,2)</f>
        <v>1</v>
      </c>
      <c r="H771" s="162">
        <v>37165</v>
      </c>
      <c r="I771" s="163">
        <v>1600000</v>
      </c>
      <c r="J771" s="11"/>
      <c r="K771" s="11"/>
      <c r="L771" s="11"/>
      <c r="M771" s="174"/>
      <c r="N771" s="528"/>
      <c r="O771" s="11"/>
      <c r="P771" s="8"/>
      <c r="Q771" s="11">
        <v>7.3</v>
      </c>
      <c r="R771" s="11">
        <v>30.5</v>
      </c>
      <c r="S771" s="155" t="s">
        <v>364</v>
      </c>
      <c r="T771" s="11"/>
      <c r="U771" s="161"/>
      <c r="V771" s="11"/>
      <c r="W771" s="11"/>
    </row>
    <row r="772" spans="1:23" s="127" customFormat="1" ht="12.75" customHeight="1">
      <c r="A772" s="118">
        <v>771</v>
      </c>
      <c r="B772" s="128">
        <v>8</v>
      </c>
      <c r="C772" s="156">
        <v>37316</v>
      </c>
      <c r="D772" s="157" t="s">
        <v>46</v>
      </c>
      <c r="E772" s="8">
        <v>2002</v>
      </c>
      <c r="F772" s="158"/>
      <c r="G772" s="162"/>
      <c r="H772" s="162"/>
      <c r="I772" s="163"/>
      <c r="J772" s="11"/>
      <c r="K772" s="11"/>
      <c r="L772" s="11"/>
      <c r="M772" s="174"/>
      <c r="N772" s="528"/>
      <c r="O772" s="11"/>
      <c r="P772" s="8"/>
      <c r="Q772" s="11"/>
      <c r="R772" s="11"/>
      <c r="S772" s="155" t="s">
        <v>286</v>
      </c>
      <c r="T772" s="11"/>
      <c r="U772" s="161"/>
      <c r="V772" s="11"/>
      <c r="W772" s="11"/>
    </row>
    <row r="773" spans="1:23" s="127" customFormat="1" ht="12.75" customHeight="1">
      <c r="A773" s="118">
        <v>772</v>
      </c>
      <c r="B773" s="128">
        <v>8</v>
      </c>
      <c r="C773" s="156">
        <v>37347</v>
      </c>
      <c r="D773" s="157" t="s">
        <v>47</v>
      </c>
      <c r="E773" s="8">
        <v>2002</v>
      </c>
      <c r="F773" s="158"/>
      <c r="G773" s="162"/>
      <c r="H773" s="11"/>
      <c r="I773" s="163"/>
      <c r="J773" s="166"/>
      <c r="K773" s="11"/>
      <c r="L773" s="11"/>
      <c r="M773" s="174"/>
      <c r="N773" s="528"/>
      <c r="O773" s="11"/>
      <c r="P773" s="8"/>
      <c r="Q773" s="11"/>
      <c r="R773" s="11"/>
      <c r="S773" s="155"/>
      <c r="T773" s="11"/>
      <c r="U773" s="161"/>
      <c r="V773" s="11"/>
      <c r="W773" s="11"/>
    </row>
    <row r="774" spans="1:23" s="127" customFormat="1" ht="12.75" customHeight="1">
      <c r="A774" s="118">
        <v>773</v>
      </c>
      <c r="B774" s="128">
        <v>8</v>
      </c>
      <c r="C774" s="156">
        <v>37377</v>
      </c>
      <c r="D774" s="157" t="s">
        <v>48</v>
      </c>
      <c r="E774" s="8">
        <v>2002</v>
      </c>
      <c r="F774" s="158"/>
      <c r="G774" s="162"/>
      <c r="H774" s="11"/>
      <c r="I774" s="163"/>
      <c r="J774" s="166"/>
      <c r="K774" s="11"/>
      <c r="L774" s="11"/>
      <c r="M774" s="174"/>
      <c r="N774" s="528"/>
      <c r="O774" s="11"/>
      <c r="P774" s="8"/>
      <c r="Q774" s="11"/>
      <c r="R774" s="11"/>
      <c r="S774" s="155"/>
      <c r="T774" s="11"/>
      <c r="U774" s="161"/>
      <c r="V774" s="11"/>
      <c r="W774" s="11"/>
    </row>
    <row r="775" spans="1:23" s="127" customFormat="1" ht="12.75" customHeight="1">
      <c r="A775" s="118">
        <v>774</v>
      </c>
      <c r="B775" s="128">
        <v>8</v>
      </c>
      <c r="C775" s="156">
        <v>37408</v>
      </c>
      <c r="D775" s="157" t="s">
        <v>49</v>
      </c>
      <c r="E775" s="8">
        <v>2002</v>
      </c>
      <c r="F775" s="158"/>
      <c r="G775" s="162"/>
      <c r="H775" s="11"/>
      <c r="I775" s="163"/>
      <c r="J775" s="166"/>
      <c r="K775" s="11"/>
      <c r="L775" s="11"/>
      <c r="M775" s="174"/>
      <c r="N775" s="528"/>
      <c r="O775" s="11"/>
      <c r="P775" s="8"/>
      <c r="Q775" s="11"/>
      <c r="R775" s="11"/>
      <c r="S775" s="155"/>
      <c r="T775" s="11"/>
      <c r="U775" s="161"/>
      <c r="V775" s="11"/>
      <c r="W775" s="11"/>
    </row>
    <row r="776" spans="1:23" s="127" customFormat="1" ht="12.75" customHeight="1">
      <c r="A776" s="118">
        <v>775</v>
      </c>
      <c r="B776" s="128">
        <v>8</v>
      </c>
      <c r="C776" s="156">
        <v>37438</v>
      </c>
      <c r="D776" s="157" t="s">
        <v>50</v>
      </c>
      <c r="E776" s="8">
        <v>2002</v>
      </c>
      <c r="F776" s="158"/>
      <c r="G776" s="162"/>
      <c r="H776" s="11"/>
      <c r="I776" s="163"/>
      <c r="J776" s="166"/>
      <c r="K776" s="11"/>
      <c r="L776" s="11"/>
      <c r="M776" s="174"/>
      <c r="N776" s="528"/>
      <c r="O776" s="11"/>
      <c r="P776" s="8"/>
      <c r="Q776" s="11"/>
      <c r="R776" s="11"/>
      <c r="S776" s="155"/>
      <c r="T776" s="11"/>
      <c r="U776" s="161"/>
      <c r="V776" s="11"/>
      <c r="W776" s="11"/>
    </row>
    <row r="777" spans="1:23" s="127" customFormat="1" ht="12.75" customHeight="1">
      <c r="A777" s="118">
        <v>776</v>
      </c>
      <c r="B777" s="128">
        <v>8</v>
      </c>
      <c r="C777" s="156">
        <v>37469</v>
      </c>
      <c r="D777" s="157" t="s">
        <v>51</v>
      </c>
      <c r="E777" s="8">
        <v>2002</v>
      </c>
      <c r="F777" s="158"/>
      <c r="G777" s="162"/>
      <c r="H777" s="11"/>
      <c r="I777" s="163"/>
      <c r="J777" s="166"/>
      <c r="K777" s="11"/>
      <c r="L777" s="11"/>
      <c r="M777" s="174"/>
      <c r="N777" s="528"/>
      <c r="O777" s="11"/>
      <c r="P777" s="8"/>
      <c r="Q777" s="11"/>
      <c r="R777" s="11"/>
      <c r="S777" s="155"/>
      <c r="T777" s="11"/>
      <c r="U777" s="161"/>
      <c r="V777" s="11"/>
      <c r="W777" s="11"/>
    </row>
    <row r="778" spans="1:23" s="127" customFormat="1" ht="12.75" customHeight="1">
      <c r="A778" s="118">
        <v>777</v>
      </c>
      <c r="B778" s="128">
        <v>8</v>
      </c>
      <c r="C778" s="156">
        <v>37500</v>
      </c>
      <c r="D778" s="157" t="s">
        <v>52</v>
      </c>
      <c r="E778" s="8">
        <v>2002</v>
      </c>
      <c r="F778" s="158"/>
      <c r="G778" s="162"/>
      <c r="H778" s="11"/>
      <c r="I778" s="163"/>
      <c r="J778" s="11"/>
      <c r="K778" s="11"/>
      <c r="L778" s="11"/>
      <c r="M778" s="174"/>
      <c r="N778" s="528"/>
      <c r="O778" s="11"/>
      <c r="P778" s="8"/>
      <c r="Q778" s="11"/>
      <c r="R778" s="11"/>
      <c r="S778" s="155"/>
      <c r="T778" s="11"/>
      <c r="U778" s="161"/>
      <c r="V778" s="11"/>
      <c r="W778" s="11"/>
    </row>
    <row r="779" spans="1:23" ht="12.75" customHeight="1">
      <c r="A779" s="118">
        <v>778</v>
      </c>
      <c r="B779" s="128">
        <v>8</v>
      </c>
      <c r="C779" s="156">
        <v>37530</v>
      </c>
      <c r="D779" s="157" t="s">
        <v>53</v>
      </c>
      <c r="E779" s="8">
        <v>2002</v>
      </c>
      <c r="F779" s="158"/>
      <c r="G779" s="162"/>
      <c r="J779" s="11"/>
      <c r="K779" s="11"/>
      <c r="L779" s="11"/>
      <c r="O779" s="11"/>
      <c r="T779" s="11"/>
      <c r="V779" s="11"/>
      <c r="W779" s="11"/>
    </row>
    <row r="780" spans="1:23" ht="12.75" customHeight="1">
      <c r="A780" s="118">
        <v>779</v>
      </c>
      <c r="B780" s="128">
        <v>8</v>
      </c>
      <c r="C780" s="156">
        <v>37561</v>
      </c>
      <c r="D780" s="157" t="s">
        <v>54</v>
      </c>
      <c r="E780" s="8">
        <v>2002</v>
      </c>
      <c r="F780" s="158"/>
      <c r="G780" s="162"/>
      <c r="J780" s="11"/>
      <c r="K780" s="11"/>
      <c r="L780" s="11"/>
      <c r="O780" s="11"/>
      <c r="T780" s="11"/>
      <c r="V780" s="11"/>
      <c r="W780" s="11"/>
    </row>
    <row r="781" spans="1:23" ht="12.75" customHeight="1">
      <c r="A781" s="118">
        <v>780</v>
      </c>
      <c r="B781" s="128">
        <v>8</v>
      </c>
      <c r="C781" s="156">
        <v>37591</v>
      </c>
      <c r="D781" s="157" t="s">
        <v>55</v>
      </c>
      <c r="E781" s="8">
        <v>2002</v>
      </c>
      <c r="F781" s="158"/>
      <c r="G781" s="162"/>
      <c r="J781" s="11"/>
      <c r="K781" s="11"/>
      <c r="L781" s="11"/>
      <c r="O781" s="11"/>
      <c r="T781" s="11"/>
      <c r="V781" s="11"/>
      <c r="W781" s="11"/>
    </row>
    <row r="782" spans="1:23" ht="12.75" customHeight="1">
      <c r="A782" s="118">
        <v>781</v>
      </c>
      <c r="B782" s="128">
        <v>8</v>
      </c>
      <c r="C782" s="156">
        <v>37622</v>
      </c>
      <c r="D782" s="157" t="s">
        <v>44</v>
      </c>
      <c r="E782" s="8">
        <v>2003</v>
      </c>
      <c r="F782" s="158"/>
      <c r="G782" s="162"/>
      <c r="J782" s="11"/>
      <c r="K782" s="11"/>
      <c r="L782" s="11"/>
      <c r="O782" s="11"/>
      <c r="T782" s="11"/>
      <c r="V782" s="11"/>
      <c r="W782" s="11"/>
    </row>
    <row r="783" spans="1:23" ht="12.75" customHeight="1">
      <c r="A783" s="118">
        <v>782</v>
      </c>
      <c r="B783" s="128">
        <v>8</v>
      </c>
      <c r="C783" s="156">
        <v>37653</v>
      </c>
      <c r="D783" s="157" t="s">
        <v>45</v>
      </c>
      <c r="E783" s="8">
        <v>2003</v>
      </c>
      <c r="F783" s="158">
        <f t="shared" ref="F783:F790" si="197">C783-H783</f>
        <v>29</v>
      </c>
      <c r="G783" s="158">
        <f t="shared" ref="G783:G790" si="198">IF(F783&lt;365,1,2)</f>
        <v>1</v>
      </c>
      <c r="H783" s="162">
        <v>37624</v>
      </c>
      <c r="I783" s="163">
        <v>298594</v>
      </c>
      <c r="J783" s="11"/>
      <c r="K783" s="11"/>
      <c r="L783" s="165">
        <v>0</v>
      </c>
      <c r="N783" s="528" t="s">
        <v>794</v>
      </c>
      <c r="O783" s="165">
        <v>0</v>
      </c>
      <c r="T783" s="11"/>
      <c r="U783" s="161">
        <f t="shared" ref="U783:U790" si="199">$I783*L783</f>
        <v>0</v>
      </c>
      <c r="V783" s="161">
        <f t="shared" ref="V783:V790" si="200">$I783*O783</f>
        <v>0</v>
      </c>
      <c r="W783" s="161">
        <f t="shared" ref="W783:W790" si="201">V783*0.4</f>
        <v>0</v>
      </c>
    </row>
    <row r="784" spans="1:23" ht="12.75" customHeight="1">
      <c r="A784" s="118">
        <v>783</v>
      </c>
      <c r="B784" s="128">
        <v>8</v>
      </c>
      <c r="C784" s="156">
        <v>37681</v>
      </c>
      <c r="D784" s="157" t="s">
        <v>46</v>
      </c>
      <c r="E784" s="8">
        <v>2003</v>
      </c>
      <c r="F784" s="158">
        <f t="shared" si="197"/>
        <v>57</v>
      </c>
      <c r="G784" s="158">
        <f t="shared" si="198"/>
        <v>1</v>
      </c>
      <c r="H784" s="162">
        <v>37624</v>
      </c>
      <c r="I784" s="163">
        <v>633549</v>
      </c>
      <c r="J784" s="15">
        <v>0.03</v>
      </c>
      <c r="K784" s="15">
        <v>0.37</v>
      </c>
      <c r="L784" s="15">
        <v>0</v>
      </c>
      <c r="O784" s="15">
        <v>0.1</v>
      </c>
      <c r="Q784" s="11">
        <v>7.68</v>
      </c>
      <c r="R784" s="11">
        <v>29.29</v>
      </c>
      <c r="T784" s="161">
        <f t="shared" ref="T784:T790" si="202">$I784*K784</f>
        <v>234413.13</v>
      </c>
      <c r="U784" s="161">
        <f t="shared" si="199"/>
        <v>0</v>
      </c>
      <c r="V784" s="161">
        <f t="shared" si="200"/>
        <v>63354.9</v>
      </c>
      <c r="W784" s="161">
        <f t="shared" si="201"/>
        <v>25341.960000000003</v>
      </c>
    </row>
    <row r="785" spans="1:23" ht="12.75" customHeight="1">
      <c r="A785" s="118">
        <v>784</v>
      </c>
      <c r="B785" s="128">
        <v>8</v>
      </c>
      <c r="C785" s="156">
        <v>37712</v>
      </c>
      <c r="D785" s="157" t="s">
        <v>47</v>
      </c>
      <c r="E785" s="8">
        <v>2003</v>
      </c>
      <c r="F785" s="158">
        <f t="shared" si="197"/>
        <v>88</v>
      </c>
      <c r="G785" s="158">
        <f t="shared" si="198"/>
        <v>1</v>
      </c>
      <c r="H785" s="162">
        <v>37624</v>
      </c>
      <c r="I785" s="163">
        <v>695091</v>
      </c>
      <c r="J785" s="173"/>
      <c r="K785" s="165">
        <f>(K784+K786)/2</f>
        <v>0.59000000000000008</v>
      </c>
      <c r="L785" s="165">
        <f>(L784+L786)/2</f>
        <v>5.0000000000000001E-3</v>
      </c>
      <c r="N785" s="528">
        <v>1</v>
      </c>
      <c r="O785" s="165">
        <f>(O784+O786)/2</f>
        <v>0.62</v>
      </c>
      <c r="Q785" s="11">
        <v>8.7100000000000009</v>
      </c>
      <c r="R785" s="11">
        <v>27.55</v>
      </c>
      <c r="T785" s="161">
        <f t="shared" si="202"/>
        <v>410103.69000000006</v>
      </c>
      <c r="U785" s="161">
        <f t="shared" si="199"/>
        <v>3475.4549999999999</v>
      </c>
      <c r="V785" s="161">
        <f t="shared" si="200"/>
        <v>430956.42</v>
      </c>
      <c r="W785" s="161">
        <f t="shared" si="201"/>
        <v>172382.568</v>
      </c>
    </row>
    <row r="786" spans="1:23" ht="12.75" customHeight="1">
      <c r="A786" s="118">
        <v>785</v>
      </c>
      <c r="B786" s="128">
        <v>8</v>
      </c>
      <c r="C786" s="156">
        <v>37742</v>
      </c>
      <c r="D786" s="157" t="s">
        <v>48</v>
      </c>
      <c r="E786" s="8">
        <v>2003</v>
      </c>
      <c r="F786" s="158">
        <f t="shared" si="197"/>
        <v>118</v>
      </c>
      <c r="G786" s="158">
        <f t="shared" si="198"/>
        <v>1</v>
      </c>
      <c r="H786" s="162">
        <v>37624</v>
      </c>
      <c r="I786" s="163">
        <v>690468</v>
      </c>
      <c r="J786" s="15">
        <v>0.97</v>
      </c>
      <c r="K786" s="15">
        <v>0.81</v>
      </c>
      <c r="L786" s="15">
        <v>0.01</v>
      </c>
      <c r="O786" s="15">
        <v>1.1399999999999999</v>
      </c>
      <c r="Q786" s="11">
        <v>10.15</v>
      </c>
      <c r="R786" s="11">
        <v>27.86</v>
      </c>
      <c r="T786" s="161">
        <f t="shared" si="202"/>
        <v>559279.08000000007</v>
      </c>
      <c r="U786" s="161">
        <f t="shared" si="199"/>
        <v>6904.68</v>
      </c>
      <c r="V786" s="161">
        <f t="shared" si="200"/>
        <v>787133.5199999999</v>
      </c>
      <c r="W786" s="161">
        <f t="shared" si="201"/>
        <v>314853.408</v>
      </c>
    </row>
    <row r="787" spans="1:23" ht="12.75" customHeight="1">
      <c r="A787" s="118">
        <v>786</v>
      </c>
      <c r="B787" s="128">
        <v>8</v>
      </c>
      <c r="C787" s="156">
        <v>37773</v>
      </c>
      <c r="D787" s="157" t="s">
        <v>49</v>
      </c>
      <c r="E787" s="8">
        <v>2003</v>
      </c>
      <c r="F787" s="158">
        <f t="shared" si="197"/>
        <v>149</v>
      </c>
      <c r="G787" s="158">
        <f t="shared" si="198"/>
        <v>1</v>
      </c>
      <c r="H787" s="162">
        <v>37624</v>
      </c>
      <c r="I787" s="163">
        <v>681613</v>
      </c>
      <c r="J787" s="15">
        <v>0.23</v>
      </c>
      <c r="K787" s="15">
        <v>0.68</v>
      </c>
      <c r="L787" s="15">
        <v>0.05</v>
      </c>
      <c r="M787" s="174">
        <v>0</v>
      </c>
      <c r="O787" s="15">
        <v>0.15</v>
      </c>
      <c r="Q787" s="11">
        <v>12.46</v>
      </c>
      <c r="R787" s="11">
        <v>22.86</v>
      </c>
      <c r="T787" s="161">
        <f t="shared" si="202"/>
        <v>463496.84</v>
      </c>
      <c r="U787" s="161">
        <f t="shared" si="199"/>
        <v>34080.65</v>
      </c>
      <c r="V787" s="161">
        <f t="shared" si="200"/>
        <v>102241.95</v>
      </c>
      <c r="W787" s="161">
        <f t="shared" si="201"/>
        <v>40896.78</v>
      </c>
    </row>
    <row r="788" spans="1:23" ht="12.75" customHeight="1">
      <c r="A788" s="118">
        <v>787</v>
      </c>
      <c r="B788" s="128">
        <v>8</v>
      </c>
      <c r="C788" s="156">
        <v>37803</v>
      </c>
      <c r="D788" s="157" t="s">
        <v>50</v>
      </c>
      <c r="E788" s="8">
        <v>2003</v>
      </c>
      <c r="F788" s="158">
        <f t="shared" si="197"/>
        <v>179</v>
      </c>
      <c r="G788" s="158">
        <f t="shared" si="198"/>
        <v>1</v>
      </c>
      <c r="H788" s="162">
        <v>37624</v>
      </c>
      <c r="I788" s="163">
        <v>671924</v>
      </c>
      <c r="J788" s="15">
        <v>0.03</v>
      </c>
      <c r="K788" s="15">
        <v>0.37</v>
      </c>
      <c r="L788" s="15">
        <v>0.02</v>
      </c>
      <c r="M788" s="174">
        <v>0</v>
      </c>
      <c r="O788" s="15">
        <v>0.1</v>
      </c>
      <c r="Q788" s="11">
        <v>12.92</v>
      </c>
      <c r="R788" s="11">
        <v>21.75</v>
      </c>
      <c r="T788" s="161">
        <f t="shared" si="202"/>
        <v>248611.88</v>
      </c>
      <c r="U788" s="161">
        <f t="shared" si="199"/>
        <v>13438.48</v>
      </c>
      <c r="V788" s="161">
        <f t="shared" si="200"/>
        <v>67192.400000000009</v>
      </c>
      <c r="W788" s="161">
        <f t="shared" si="201"/>
        <v>26876.960000000006</v>
      </c>
    </row>
    <row r="789" spans="1:23" ht="12.75" customHeight="1">
      <c r="A789" s="118">
        <v>788</v>
      </c>
      <c r="B789" s="128">
        <v>8</v>
      </c>
      <c r="C789" s="156">
        <v>37834</v>
      </c>
      <c r="D789" s="157" t="s">
        <v>51</v>
      </c>
      <c r="E789" s="8">
        <v>2003</v>
      </c>
      <c r="F789" s="158">
        <f t="shared" si="197"/>
        <v>210</v>
      </c>
      <c r="G789" s="158">
        <f t="shared" si="198"/>
        <v>1</v>
      </c>
      <c r="H789" s="162">
        <v>37624</v>
      </c>
      <c r="I789" s="163">
        <v>670560</v>
      </c>
      <c r="J789" s="15">
        <v>0.05</v>
      </c>
      <c r="K789" s="15">
        <v>0.28000000000000003</v>
      </c>
      <c r="L789" s="15">
        <v>0.02</v>
      </c>
      <c r="M789" s="174">
        <v>0</v>
      </c>
      <c r="O789" s="15">
        <v>0.12</v>
      </c>
      <c r="Q789" s="11">
        <v>12.29</v>
      </c>
      <c r="R789" s="11">
        <v>23.13</v>
      </c>
      <c r="T789" s="161">
        <f t="shared" si="202"/>
        <v>187756.80000000002</v>
      </c>
      <c r="U789" s="161">
        <f t="shared" si="199"/>
        <v>13411.2</v>
      </c>
      <c r="V789" s="161">
        <f t="shared" si="200"/>
        <v>80467.199999999997</v>
      </c>
      <c r="W789" s="161">
        <f t="shared" si="201"/>
        <v>32186.880000000001</v>
      </c>
    </row>
    <row r="790" spans="1:23" ht="12.75" customHeight="1">
      <c r="A790" s="118">
        <v>789</v>
      </c>
      <c r="B790" s="128">
        <v>8</v>
      </c>
      <c r="C790" s="156">
        <v>37865</v>
      </c>
      <c r="D790" s="157" t="s">
        <v>52</v>
      </c>
      <c r="E790" s="8">
        <v>2003</v>
      </c>
      <c r="F790" s="158">
        <f t="shared" si="197"/>
        <v>241</v>
      </c>
      <c r="G790" s="158">
        <f t="shared" si="198"/>
        <v>1</v>
      </c>
      <c r="H790" s="162">
        <v>37624</v>
      </c>
      <c r="I790" s="163">
        <v>670560</v>
      </c>
      <c r="J790" s="15">
        <v>0.3</v>
      </c>
      <c r="K790" s="15">
        <v>0.56999999999999995</v>
      </c>
      <c r="L790" s="15">
        <v>0</v>
      </c>
      <c r="O790" s="15">
        <v>0.22</v>
      </c>
      <c r="Q790" s="11">
        <v>11.99</v>
      </c>
      <c r="R790" s="11">
        <v>20.93</v>
      </c>
      <c r="S790" s="155" t="s">
        <v>315</v>
      </c>
      <c r="T790" s="161">
        <f t="shared" si="202"/>
        <v>382219.19999999995</v>
      </c>
      <c r="U790" s="161">
        <f t="shared" si="199"/>
        <v>0</v>
      </c>
      <c r="V790" s="161">
        <f t="shared" si="200"/>
        <v>147523.20000000001</v>
      </c>
      <c r="W790" s="161">
        <f t="shared" si="201"/>
        <v>59009.280000000006</v>
      </c>
    </row>
    <row r="791" spans="1:23" ht="12.75" customHeight="1">
      <c r="A791" s="118">
        <v>790</v>
      </c>
      <c r="B791" s="128">
        <v>8</v>
      </c>
      <c r="C791" s="156">
        <v>37895</v>
      </c>
      <c r="D791" s="157" t="s">
        <v>53</v>
      </c>
      <c r="E791" s="8">
        <v>2003</v>
      </c>
      <c r="F791" s="158"/>
      <c r="H791" s="162"/>
      <c r="I791" s="194"/>
    </row>
    <row r="792" spans="1:23" ht="12.75" customHeight="1">
      <c r="A792" s="118">
        <v>791</v>
      </c>
      <c r="B792" s="128">
        <v>8</v>
      </c>
      <c r="C792" s="156">
        <v>37926</v>
      </c>
      <c r="D792" s="157" t="s">
        <v>54</v>
      </c>
      <c r="E792" s="8">
        <v>2003</v>
      </c>
      <c r="F792" s="158">
        <f t="shared" ref="F792:F800" si="203">C792-H792</f>
        <v>31</v>
      </c>
      <c r="G792" s="158">
        <f t="shared" ref="G792:G800" si="204">IF(F792&lt;365,1,2)</f>
        <v>1</v>
      </c>
      <c r="H792" s="162">
        <v>37895</v>
      </c>
      <c r="I792" s="198">
        <v>620000</v>
      </c>
      <c r="J792" s="15">
        <v>0.25</v>
      </c>
      <c r="K792" s="15">
        <v>0.2</v>
      </c>
      <c r="L792" s="15">
        <v>0</v>
      </c>
      <c r="O792" s="15">
        <v>0.52</v>
      </c>
      <c r="Q792" s="11">
        <v>8.8000000000000007</v>
      </c>
      <c r="R792" s="11">
        <v>26</v>
      </c>
      <c r="T792" s="161">
        <f t="shared" ref="T792:T800" si="205">$I792*K792</f>
        <v>124000</v>
      </c>
      <c r="U792" s="161">
        <f t="shared" ref="U792:U800" si="206">$I792*L792</f>
        <v>0</v>
      </c>
      <c r="V792" s="161">
        <f t="shared" ref="V792:V800" si="207">$I792*O792</f>
        <v>322400</v>
      </c>
      <c r="W792" s="161">
        <f t="shared" ref="W792:W800" si="208">V792*0.4</f>
        <v>128960</v>
      </c>
    </row>
    <row r="793" spans="1:23" ht="12.75" customHeight="1">
      <c r="A793" s="118">
        <v>792</v>
      </c>
      <c r="B793" s="128">
        <v>8</v>
      </c>
      <c r="C793" s="156">
        <v>37956</v>
      </c>
      <c r="D793" s="157" t="s">
        <v>55</v>
      </c>
      <c r="E793" s="8">
        <v>2003</v>
      </c>
      <c r="F793" s="158">
        <f t="shared" si="203"/>
        <v>61</v>
      </c>
      <c r="G793" s="158">
        <f t="shared" si="204"/>
        <v>1</v>
      </c>
      <c r="H793" s="162">
        <v>37895</v>
      </c>
      <c r="I793" s="198">
        <v>620000</v>
      </c>
      <c r="J793" s="15">
        <v>0.82</v>
      </c>
      <c r="K793" s="15">
        <v>0.65</v>
      </c>
      <c r="L793" s="15">
        <v>0</v>
      </c>
      <c r="M793" s="174">
        <v>0</v>
      </c>
      <c r="O793" s="15">
        <v>0.27</v>
      </c>
      <c r="Q793" s="11">
        <v>7.5</v>
      </c>
      <c r="R793" s="11">
        <v>31</v>
      </c>
      <c r="T793" s="161">
        <f t="shared" si="205"/>
        <v>403000</v>
      </c>
      <c r="U793" s="161">
        <f t="shared" si="206"/>
        <v>0</v>
      </c>
      <c r="V793" s="161">
        <f t="shared" si="207"/>
        <v>167400</v>
      </c>
      <c r="W793" s="161">
        <f t="shared" si="208"/>
        <v>66960</v>
      </c>
    </row>
    <row r="794" spans="1:23" ht="12.75" customHeight="1">
      <c r="A794" s="118">
        <v>793</v>
      </c>
      <c r="B794" s="128">
        <v>8</v>
      </c>
      <c r="C794" s="156">
        <v>37987</v>
      </c>
      <c r="D794" s="157" t="s">
        <v>44</v>
      </c>
      <c r="E794" s="8">
        <v>2004</v>
      </c>
      <c r="F794" s="158">
        <f t="shared" si="203"/>
        <v>92</v>
      </c>
      <c r="G794" s="158">
        <f t="shared" si="204"/>
        <v>1</v>
      </c>
      <c r="H794" s="162">
        <v>37895</v>
      </c>
      <c r="I794" s="198">
        <v>620000</v>
      </c>
      <c r="J794" s="15">
        <v>0.4</v>
      </c>
      <c r="K794" s="15">
        <v>0.17</v>
      </c>
      <c r="L794" s="15">
        <v>0</v>
      </c>
      <c r="M794" s="174">
        <v>0</v>
      </c>
      <c r="O794" s="15">
        <v>0.12</v>
      </c>
      <c r="Q794" s="11">
        <v>7.17</v>
      </c>
      <c r="R794" s="11">
        <v>28.77</v>
      </c>
      <c r="T794" s="161">
        <f t="shared" si="205"/>
        <v>105400.00000000001</v>
      </c>
      <c r="U794" s="161">
        <f t="shared" si="206"/>
        <v>0</v>
      </c>
      <c r="V794" s="161">
        <f t="shared" si="207"/>
        <v>74400</v>
      </c>
      <c r="W794" s="161">
        <f t="shared" si="208"/>
        <v>29760</v>
      </c>
    </row>
    <row r="795" spans="1:23" ht="12.75" customHeight="1">
      <c r="A795" s="118">
        <v>794</v>
      </c>
      <c r="B795" s="128">
        <v>8</v>
      </c>
      <c r="C795" s="156">
        <v>38018</v>
      </c>
      <c r="D795" s="157" t="s">
        <v>45</v>
      </c>
      <c r="E795" s="8">
        <v>2004</v>
      </c>
      <c r="F795" s="158">
        <f t="shared" si="203"/>
        <v>123</v>
      </c>
      <c r="G795" s="158">
        <f t="shared" si="204"/>
        <v>1</v>
      </c>
      <c r="H795" s="162">
        <v>37895</v>
      </c>
      <c r="I795" s="198">
        <v>620000</v>
      </c>
      <c r="J795" s="15">
        <v>0.4</v>
      </c>
      <c r="K795" s="15">
        <v>1.1000000000000001</v>
      </c>
      <c r="L795" s="15">
        <v>0.2</v>
      </c>
      <c r="M795" s="174">
        <v>0</v>
      </c>
      <c r="O795" s="15">
        <v>0.1</v>
      </c>
      <c r="Q795" s="11">
        <v>7.28</v>
      </c>
      <c r="R795" s="11">
        <v>31.9</v>
      </c>
      <c r="T795" s="161">
        <f t="shared" si="205"/>
        <v>682000</v>
      </c>
      <c r="U795" s="161">
        <f t="shared" si="206"/>
        <v>124000</v>
      </c>
      <c r="V795" s="161">
        <f t="shared" si="207"/>
        <v>62000</v>
      </c>
      <c r="W795" s="161">
        <f t="shared" si="208"/>
        <v>24800</v>
      </c>
    </row>
    <row r="796" spans="1:23" ht="12.75" customHeight="1">
      <c r="A796" s="118">
        <v>795</v>
      </c>
      <c r="B796" s="128">
        <v>8</v>
      </c>
      <c r="C796" s="156">
        <v>38047</v>
      </c>
      <c r="D796" s="157" t="s">
        <v>46</v>
      </c>
      <c r="E796" s="8">
        <v>2004</v>
      </c>
      <c r="F796" s="158">
        <f t="shared" si="203"/>
        <v>152</v>
      </c>
      <c r="G796" s="158">
        <f t="shared" si="204"/>
        <v>1</v>
      </c>
      <c r="H796" s="162">
        <v>37895</v>
      </c>
      <c r="I796" s="194">
        <v>617125</v>
      </c>
      <c r="J796" s="15">
        <v>0.5</v>
      </c>
      <c r="K796" s="15">
        <v>0.9</v>
      </c>
      <c r="L796" s="15">
        <v>0.3</v>
      </c>
      <c r="M796" s="174">
        <v>1</v>
      </c>
      <c r="O796" s="15">
        <v>0.2</v>
      </c>
      <c r="Q796" s="11">
        <v>7.76</v>
      </c>
      <c r="R796" s="11">
        <v>29.32</v>
      </c>
      <c r="T796" s="161">
        <f t="shared" si="205"/>
        <v>555412.5</v>
      </c>
      <c r="U796" s="161">
        <f t="shared" si="206"/>
        <v>185137.5</v>
      </c>
      <c r="V796" s="161">
        <f t="shared" si="207"/>
        <v>123425</v>
      </c>
      <c r="W796" s="161">
        <f t="shared" si="208"/>
        <v>49370</v>
      </c>
    </row>
    <row r="797" spans="1:23" ht="12.75" customHeight="1">
      <c r="A797" s="118">
        <v>796</v>
      </c>
      <c r="B797" s="128">
        <v>8</v>
      </c>
      <c r="C797" s="156">
        <v>38078</v>
      </c>
      <c r="D797" s="157" t="s">
        <v>47</v>
      </c>
      <c r="E797" s="8">
        <v>2004</v>
      </c>
      <c r="F797" s="158">
        <f t="shared" si="203"/>
        <v>183</v>
      </c>
      <c r="G797" s="158">
        <f t="shared" si="204"/>
        <v>1</v>
      </c>
      <c r="H797" s="162">
        <v>37895</v>
      </c>
      <c r="I797" s="194">
        <v>615479</v>
      </c>
      <c r="J797" s="15">
        <v>2.2000000000000002</v>
      </c>
      <c r="K797" s="15">
        <v>1.97</v>
      </c>
      <c r="L797" s="15">
        <v>0.04</v>
      </c>
      <c r="M797" s="174">
        <v>1</v>
      </c>
      <c r="O797" s="15">
        <v>0.57999999999999996</v>
      </c>
      <c r="Q797" s="11">
        <v>9.3000000000000007</v>
      </c>
      <c r="R797" s="11">
        <v>28.5</v>
      </c>
      <c r="T797" s="161">
        <f t="shared" si="205"/>
        <v>1212493.6299999999</v>
      </c>
      <c r="U797" s="161">
        <f t="shared" si="206"/>
        <v>24619.16</v>
      </c>
      <c r="V797" s="161">
        <f t="shared" si="207"/>
        <v>356977.81999999995</v>
      </c>
      <c r="W797" s="161">
        <f t="shared" si="208"/>
        <v>142791.128</v>
      </c>
    </row>
    <row r="798" spans="1:23" ht="12.75" customHeight="1">
      <c r="A798" s="118">
        <v>797</v>
      </c>
      <c r="B798" s="128">
        <v>8</v>
      </c>
      <c r="C798" s="156">
        <v>38108</v>
      </c>
      <c r="D798" s="157" t="s">
        <v>48</v>
      </c>
      <c r="E798" s="8">
        <v>2004</v>
      </c>
      <c r="F798" s="158">
        <f t="shared" si="203"/>
        <v>213</v>
      </c>
      <c r="G798" s="158">
        <f t="shared" si="204"/>
        <v>1</v>
      </c>
      <c r="H798" s="162">
        <v>37895</v>
      </c>
      <c r="I798" s="194">
        <v>613093</v>
      </c>
      <c r="J798" s="15">
        <v>0.4</v>
      </c>
      <c r="K798" s="15">
        <v>3.8</v>
      </c>
      <c r="L798" s="15">
        <v>1.35</v>
      </c>
      <c r="M798" s="174">
        <v>0</v>
      </c>
      <c r="O798" s="15">
        <v>0.45</v>
      </c>
      <c r="Q798" s="11">
        <v>10.84</v>
      </c>
      <c r="R798" s="11">
        <v>24.93</v>
      </c>
      <c r="T798" s="161">
        <f t="shared" si="205"/>
        <v>2329753.4</v>
      </c>
      <c r="U798" s="161">
        <f t="shared" si="206"/>
        <v>827675.55</v>
      </c>
      <c r="V798" s="161">
        <f t="shared" si="207"/>
        <v>275891.85000000003</v>
      </c>
      <c r="W798" s="161">
        <f t="shared" si="208"/>
        <v>110356.74000000002</v>
      </c>
    </row>
    <row r="799" spans="1:23" ht="12.75" customHeight="1">
      <c r="A799" s="118">
        <v>798</v>
      </c>
      <c r="B799" s="128">
        <v>8</v>
      </c>
      <c r="C799" s="156">
        <v>38139</v>
      </c>
      <c r="D799" s="157" t="s">
        <v>49</v>
      </c>
      <c r="E799" s="8">
        <v>2004</v>
      </c>
      <c r="F799" s="158">
        <f t="shared" si="203"/>
        <v>244</v>
      </c>
      <c r="G799" s="158">
        <f t="shared" si="204"/>
        <v>1</v>
      </c>
      <c r="H799" s="162">
        <v>37895</v>
      </c>
      <c r="I799" s="194">
        <v>612745</v>
      </c>
      <c r="J799" s="15">
        <v>0.3</v>
      </c>
      <c r="K799" s="15">
        <v>4.0999999999999996</v>
      </c>
      <c r="L799" s="15">
        <v>1.3</v>
      </c>
      <c r="M799" s="174">
        <v>0</v>
      </c>
      <c r="O799" s="15">
        <v>0.1</v>
      </c>
      <c r="Q799" s="11">
        <v>11.34</v>
      </c>
      <c r="R799" s="11">
        <v>23.11</v>
      </c>
      <c r="T799" s="161">
        <f t="shared" si="205"/>
        <v>2512254.5</v>
      </c>
      <c r="U799" s="161">
        <f t="shared" si="206"/>
        <v>796568.5</v>
      </c>
      <c r="V799" s="161">
        <f t="shared" si="207"/>
        <v>61274.5</v>
      </c>
      <c r="W799" s="161">
        <f t="shared" si="208"/>
        <v>24509.800000000003</v>
      </c>
    </row>
    <row r="800" spans="1:23" ht="12.75" customHeight="1">
      <c r="A800" s="118">
        <v>799</v>
      </c>
      <c r="B800" s="128">
        <v>8</v>
      </c>
      <c r="C800" s="156">
        <v>38169</v>
      </c>
      <c r="D800" s="157" t="s">
        <v>50</v>
      </c>
      <c r="E800" s="8">
        <v>2004</v>
      </c>
      <c r="F800" s="158">
        <f t="shared" si="203"/>
        <v>274</v>
      </c>
      <c r="G800" s="158">
        <f t="shared" si="204"/>
        <v>1</v>
      </c>
      <c r="H800" s="162">
        <v>37895</v>
      </c>
      <c r="I800" s="194">
        <v>611960</v>
      </c>
      <c r="J800" s="15">
        <v>0</v>
      </c>
      <c r="K800" s="15">
        <v>4.8</v>
      </c>
      <c r="L800" s="15">
        <v>1</v>
      </c>
      <c r="O800" s="15">
        <v>0.2</v>
      </c>
      <c r="Q800" s="11">
        <v>12.86</v>
      </c>
      <c r="R800" s="11">
        <v>20.13</v>
      </c>
      <c r="S800" s="155" t="s">
        <v>294</v>
      </c>
      <c r="T800" s="161">
        <f t="shared" si="205"/>
        <v>2937408</v>
      </c>
      <c r="U800" s="161">
        <f t="shared" si="206"/>
        <v>611960</v>
      </c>
      <c r="V800" s="161">
        <f t="shared" si="207"/>
        <v>122392</v>
      </c>
      <c r="W800" s="161">
        <f t="shared" si="208"/>
        <v>48956.800000000003</v>
      </c>
    </row>
    <row r="801" spans="1:23" ht="12.75" customHeight="1">
      <c r="A801" s="118">
        <v>800</v>
      </c>
      <c r="B801" s="128">
        <v>8</v>
      </c>
      <c r="C801" s="156">
        <v>38200</v>
      </c>
      <c r="D801" s="157" t="s">
        <v>51</v>
      </c>
      <c r="E801" s="8">
        <v>2004</v>
      </c>
      <c r="F801" s="158"/>
      <c r="H801" s="162"/>
      <c r="I801" s="194"/>
    </row>
    <row r="802" spans="1:23" ht="12.75" customHeight="1">
      <c r="A802" s="118">
        <v>801</v>
      </c>
      <c r="B802" s="128">
        <v>8</v>
      </c>
      <c r="C802" s="156">
        <v>38231</v>
      </c>
      <c r="D802" s="157" t="s">
        <v>52</v>
      </c>
      <c r="E802" s="8">
        <v>2004</v>
      </c>
      <c r="F802" s="158"/>
      <c r="H802" s="162"/>
      <c r="I802" s="194"/>
    </row>
    <row r="803" spans="1:23" ht="12.75" customHeight="1">
      <c r="A803" s="118">
        <v>802</v>
      </c>
      <c r="B803" s="128">
        <v>8</v>
      </c>
      <c r="C803" s="156">
        <v>38261</v>
      </c>
      <c r="D803" s="157" t="s">
        <v>53</v>
      </c>
      <c r="E803" s="8">
        <v>2004</v>
      </c>
      <c r="F803" s="158"/>
      <c r="H803" s="162"/>
      <c r="I803" s="194"/>
    </row>
    <row r="804" spans="1:23" ht="12.75" customHeight="1">
      <c r="A804" s="118">
        <v>803</v>
      </c>
      <c r="B804" s="128">
        <v>8</v>
      </c>
      <c r="C804" s="156">
        <v>38292</v>
      </c>
      <c r="D804" s="157" t="s">
        <v>54</v>
      </c>
      <c r="E804" s="8">
        <v>2004</v>
      </c>
      <c r="F804" s="158">
        <f t="shared" ref="F804:F811" si="209">C804-H804</f>
        <v>0</v>
      </c>
      <c r="G804" s="158">
        <f t="shared" ref="G804:G811" si="210">IF(F804&lt;365,1,2)</f>
        <v>1</v>
      </c>
      <c r="H804" s="162">
        <v>38292</v>
      </c>
      <c r="I804" s="198">
        <v>750000</v>
      </c>
      <c r="L804" s="165">
        <v>0</v>
      </c>
      <c r="N804" s="528" t="s">
        <v>794</v>
      </c>
      <c r="O804" s="165">
        <v>0</v>
      </c>
      <c r="U804" s="161">
        <f t="shared" ref="U804:U811" si="211">$I804*L804</f>
        <v>0</v>
      </c>
      <c r="V804" s="161">
        <f t="shared" ref="V804:V811" si="212">$I804*O804</f>
        <v>0</v>
      </c>
      <c r="W804" s="161">
        <f t="shared" ref="W804:W811" si="213">V804*0.4</f>
        <v>0</v>
      </c>
    </row>
    <row r="805" spans="1:23" ht="12.75" customHeight="1">
      <c r="A805" s="118">
        <v>804</v>
      </c>
      <c r="B805" s="128">
        <v>8</v>
      </c>
      <c r="C805" s="156">
        <v>38322</v>
      </c>
      <c r="D805" s="157" t="s">
        <v>55</v>
      </c>
      <c r="E805" s="8">
        <v>2004</v>
      </c>
      <c r="F805" s="158">
        <f t="shared" si="209"/>
        <v>30</v>
      </c>
      <c r="G805" s="158">
        <f t="shared" si="210"/>
        <v>1</v>
      </c>
      <c r="H805" s="162">
        <v>38292</v>
      </c>
      <c r="I805" s="198">
        <v>750000</v>
      </c>
      <c r="L805" s="165">
        <v>0.09</v>
      </c>
      <c r="N805" s="528" t="s">
        <v>794</v>
      </c>
      <c r="O805" s="165">
        <v>1</v>
      </c>
      <c r="U805" s="161">
        <f t="shared" si="211"/>
        <v>67500</v>
      </c>
      <c r="V805" s="161">
        <f t="shared" si="212"/>
        <v>750000</v>
      </c>
      <c r="W805" s="161">
        <f t="shared" si="213"/>
        <v>300000</v>
      </c>
    </row>
    <row r="806" spans="1:23" ht="12.75" customHeight="1">
      <c r="A806" s="118">
        <v>805</v>
      </c>
      <c r="B806" s="128">
        <v>8</v>
      </c>
      <c r="C806" s="156">
        <v>38353</v>
      </c>
      <c r="D806" s="157" t="s">
        <v>44</v>
      </c>
      <c r="E806" s="8">
        <v>2005</v>
      </c>
      <c r="F806" s="158">
        <f t="shared" si="209"/>
        <v>61</v>
      </c>
      <c r="G806" s="158">
        <f t="shared" si="210"/>
        <v>1</v>
      </c>
      <c r="H806" s="162">
        <v>38292</v>
      </c>
      <c r="I806" s="198">
        <v>750000</v>
      </c>
      <c r="J806" s="15">
        <v>0.38</v>
      </c>
      <c r="K806" s="15">
        <v>0.87</v>
      </c>
      <c r="L806" s="15">
        <v>0.18</v>
      </c>
      <c r="O806" s="15">
        <v>1.65</v>
      </c>
      <c r="Q806" s="11">
        <v>7</v>
      </c>
      <c r="R806" s="11">
        <v>29</v>
      </c>
      <c r="T806" s="161">
        <f t="shared" ref="T806:T811" si="214">$I806*K806</f>
        <v>652500</v>
      </c>
      <c r="U806" s="161">
        <f t="shared" si="211"/>
        <v>135000</v>
      </c>
      <c r="V806" s="161">
        <f t="shared" si="212"/>
        <v>1237500</v>
      </c>
      <c r="W806" s="161">
        <f t="shared" si="213"/>
        <v>495000</v>
      </c>
    </row>
    <row r="807" spans="1:23" ht="12.75" customHeight="1">
      <c r="A807" s="118">
        <v>806</v>
      </c>
      <c r="B807" s="128">
        <v>8</v>
      </c>
      <c r="C807" s="156">
        <v>38384</v>
      </c>
      <c r="D807" s="157" t="s">
        <v>45</v>
      </c>
      <c r="E807" s="8">
        <v>2005</v>
      </c>
      <c r="F807" s="158">
        <f t="shared" si="209"/>
        <v>92</v>
      </c>
      <c r="G807" s="158">
        <f t="shared" si="210"/>
        <v>1</v>
      </c>
      <c r="H807" s="162">
        <v>38292</v>
      </c>
      <c r="I807" s="198">
        <v>750000</v>
      </c>
      <c r="J807" s="15">
        <v>0.62</v>
      </c>
      <c r="K807" s="15">
        <v>2.87</v>
      </c>
      <c r="L807" s="15">
        <v>0.98</v>
      </c>
      <c r="M807" s="174">
        <v>1</v>
      </c>
      <c r="O807" s="15">
        <v>1.7</v>
      </c>
      <c r="Q807" s="11">
        <v>7</v>
      </c>
      <c r="R807" s="11">
        <v>27</v>
      </c>
      <c r="T807" s="161">
        <f t="shared" si="214"/>
        <v>2152500</v>
      </c>
      <c r="U807" s="161">
        <f t="shared" si="211"/>
        <v>735000</v>
      </c>
      <c r="V807" s="161">
        <f t="shared" si="212"/>
        <v>1275000</v>
      </c>
      <c r="W807" s="161">
        <f t="shared" si="213"/>
        <v>510000</v>
      </c>
    </row>
    <row r="808" spans="1:23" ht="12.75" customHeight="1">
      <c r="A808" s="118">
        <v>807</v>
      </c>
      <c r="B808" s="128">
        <v>8</v>
      </c>
      <c r="C808" s="156">
        <v>38412</v>
      </c>
      <c r="D808" s="157" t="s">
        <v>46</v>
      </c>
      <c r="E808" s="8">
        <v>2005</v>
      </c>
      <c r="F808" s="158">
        <f t="shared" si="209"/>
        <v>120</v>
      </c>
      <c r="G808" s="158">
        <f t="shared" si="210"/>
        <v>1</v>
      </c>
      <c r="H808" s="162">
        <v>38292</v>
      </c>
      <c r="I808" s="194">
        <v>749706</v>
      </c>
      <c r="J808" s="15">
        <v>2.88</v>
      </c>
      <c r="K808" s="15">
        <v>2.15</v>
      </c>
      <c r="L808" s="15">
        <v>0.76</v>
      </c>
      <c r="M808" s="174">
        <v>1</v>
      </c>
      <c r="O808" s="15">
        <v>1.18</v>
      </c>
      <c r="Q808" s="11">
        <v>8</v>
      </c>
      <c r="R808" s="11">
        <v>28</v>
      </c>
      <c r="T808" s="161">
        <f t="shared" si="214"/>
        <v>1611867.9</v>
      </c>
      <c r="U808" s="161">
        <f t="shared" si="211"/>
        <v>569776.56000000006</v>
      </c>
      <c r="V808" s="161">
        <f t="shared" si="212"/>
        <v>884653.08</v>
      </c>
      <c r="W808" s="161">
        <f t="shared" si="213"/>
        <v>353861.23200000002</v>
      </c>
    </row>
    <row r="809" spans="1:23" ht="12.75" customHeight="1">
      <c r="A809" s="118">
        <v>808</v>
      </c>
      <c r="B809" s="128">
        <v>8</v>
      </c>
      <c r="C809" s="156">
        <v>38443</v>
      </c>
      <c r="D809" s="157" t="s">
        <v>47</v>
      </c>
      <c r="E809" s="8">
        <v>2005</v>
      </c>
      <c r="F809" s="158">
        <f t="shared" si="209"/>
        <v>151</v>
      </c>
      <c r="G809" s="158">
        <f t="shared" si="210"/>
        <v>1</v>
      </c>
      <c r="H809" s="162">
        <v>38292</v>
      </c>
      <c r="I809" s="194">
        <v>740554</v>
      </c>
      <c r="J809" s="15">
        <v>1.48</v>
      </c>
      <c r="K809" s="15">
        <v>2.86</v>
      </c>
      <c r="L809" s="15">
        <v>1.03</v>
      </c>
      <c r="M809" s="174">
        <v>0</v>
      </c>
      <c r="O809" s="15">
        <v>1.59</v>
      </c>
      <c r="Q809" s="11">
        <v>8</v>
      </c>
      <c r="R809" s="11">
        <v>29</v>
      </c>
      <c r="T809" s="161">
        <f t="shared" si="214"/>
        <v>2117984.44</v>
      </c>
      <c r="U809" s="161">
        <f t="shared" si="211"/>
        <v>762770.62</v>
      </c>
      <c r="V809" s="161">
        <f t="shared" si="212"/>
        <v>1177480.8600000001</v>
      </c>
      <c r="W809" s="161">
        <f t="shared" si="213"/>
        <v>470992.34400000004</v>
      </c>
    </row>
    <row r="810" spans="1:23" ht="12.75" customHeight="1">
      <c r="A810" s="118">
        <v>809</v>
      </c>
      <c r="B810" s="128">
        <v>8</v>
      </c>
      <c r="C810" s="156">
        <v>38473</v>
      </c>
      <c r="D810" s="157" t="s">
        <v>48</v>
      </c>
      <c r="E810" s="8">
        <v>2005</v>
      </c>
      <c r="F810" s="158">
        <f t="shared" si="209"/>
        <v>181</v>
      </c>
      <c r="G810" s="158">
        <f t="shared" si="210"/>
        <v>1</v>
      </c>
      <c r="H810" s="162">
        <v>38292</v>
      </c>
      <c r="I810" s="194">
        <v>729301</v>
      </c>
      <c r="J810" s="15">
        <v>0.88</v>
      </c>
      <c r="K810" s="15">
        <v>2.1800000000000002</v>
      </c>
      <c r="L810" s="15">
        <v>1.1200000000000001</v>
      </c>
      <c r="M810" s="174">
        <v>0</v>
      </c>
      <c r="O810" s="15">
        <v>0.56000000000000005</v>
      </c>
      <c r="P810" s="8">
        <v>1</v>
      </c>
      <c r="Q810" s="11">
        <v>10</v>
      </c>
      <c r="R810" s="11">
        <v>26</v>
      </c>
      <c r="T810" s="161">
        <f t="shared" si="214"/>
        <v>1589876.1800000002</v>
      </c>
      <c r="U810" s="161">
        <f t="shared" si="211"/>
        <v>816817.12000000011</v>
      </c>
      <c r="V810" s="161">
        <f t="shared" si="212"/>
        <v>408408.56000000006</v>
      </c>
      <c r="W810" s="161">
        <f t="shared" si="213"/>
        <v>163363.42400000003</v>
      </c>
    </row>
    <row r="811" spans="1:23" ht="12.75" customHeight="1">
      <c r="A811" s="118">
        <v>810</v>
      </c>
      <c r="B811" s="128">
        <v>8</v>
      </c>
      <c r="C811" s="156">
        <v>38504</v>
      </c>
      <c r="D811" s="157" t="s">
        <v>49</v>
      </c>
      <c r="E811" s="8">
        <v>2005</v>
      </c>
      <c r="F811" s="158">
        <f t="shared" si="209"/>
        <v>212</v>
      </c>
      <c r="G811" s="158">
        <f t="shared" si="210"/>
        <v>1</v>
      </c>
      <c r="H811" s="162">
        <v>38292</v>
      </c>
      <c r="I811" s="198">
        <v>720000</v>
      </c>
      <c r="J811" s="15">
        <v>0.08</v>
      </c>
      <c r="K811" s="15">
        <v>0.27</v>
      </c>
      <c r="L811" s="15">
        <v>0.1</v>
      </c>
      <c r="O811" s="15">
        <v>7.0000000000000007E-2</v>
      </c>
      <c r="Q811" s="11">
        <v>11</v>
      </c>
      <c r="R811" s="11">
        <v>23</v>
      </c>
      <c r="S811" s="155" t="s">
        <v>315</v>
      </c>
      <c r="T811" s="161">
        <f t="shared" si="214"/>
        <v>194400</v>
      </c>
      <c r="U811" s="161">
        <f t="shared" si="211"/>
        <v>72000</v>
      </c>
      <c r="V811" s="161">
        <f t="shared" si="212"/>
        <v>50400.000000000007</v>
      </c>
      <c r="W811" s="161">
        <f t="shared" si="213"/>
        <v>20160.000000000004</v>
      </c>
    </row>
    <row r="812" spans="1:23" ht="12.75" customHeight="1">
      <c r="A812" s="118">
        <v>811</v>
      </c>
      <c r="B812" s="128">
        <v>8</v>
      </c>
      <c r="C812" s="156">
        <v>38534</v>
      </c>
      <c r="D812" s="157" t="s">
        <v>50</v>
      </c>
      <c r="E812" s="8">
        <v>2005</v>
      </c>
      <c r="F812" s="158"/>
      <c r="H812" s="162"/>
      <c r="I812" s="194"/>
    </row>
    <row r="813" spans="1:23" ht="12.75" customHeight="1">
      <c r="A813" s="118">
        <v>812</v>
      </c>
      <c r="B813" s="128">
        <v>8</v>
      </c>
      <c r="C813" s="156">
        <v>38565</v>
      </c>
      <c r="D813" s="157" t="s">
        <v>51</v>
      </c>
      <c r="E813" s="8">
        <v>2005</v>
      </c>
      <c r="F813" s="158"/>
      <c r="H813" s="162"/>
      <c r="I813" s="194"/>
    </row>
    <row r="814" spans="1:23" ht="12.75" customHeight="1">
      <c r="A814" s="118">
        <v>813</v>
      </c>
      <c r="B814" s="128">
        <v>8</v>
      </c>
      <c r="C814" s="156">
        <v>38596</v>
      </c>
      <c r="D814" s="157" t="s">
        <v>52</v>
      </c>
      <c r="E814" s="8">
        <v>2005</v>
      </c>
      <c r="F814" s="158"/>
      <c r="H814" s="162"/>
      <c r="I814" s="194"/>
    </row>
    <row r="815" spans="1:23" ht="12.75" customHeight="1">
      <c r="A815" s="118">
        <v>814</v>
      </c>
      <c r="B815" s="128">
        <v>8</v>
      </c>
      <c r="C815" s="156">
        <v>38626</v>
      </c>
      <c r="D815" s="157" t="s">
        <v>53</v>
      </c>
      <c r="E815" s="8">
        <v>2005</v>
      </c>
      <c r="F815" s="158"/>
      <c r="H815" s="162"/>
      <c r="I815" s="194"/>
    </row>
    <row r="816" spans="1:23" ht="12.75" customHeight="1">
      <c r="A816" s="118">
        <v>815</v>
      </c>
      <c r="B816" s="128">
        <v>8</v>
      </c>
      <c r="C816" s="156">
        <v>38657</v>
      </c>
      <c r="D816" s="157" t="s">
        <v>54</v>
      </c>
      <c r="E816" s="8">
        <v>2005</v>
      </c>
      <c r="F816" s="158"/>
      <c r="H816" s="162"/>
      <c r="I816" s="194"/>
    </row>
    <row r="817" spans="1:23" ht="12.75" customHeight="1">
      <c r="A817" s="118">
        <v>816</v>
      </c>
      <c r="B817" s="128">
        <v>8</v>
      </c>
      <c r="C817" s="156">
        <v>38687</v>
      </c>
      <c r="D817" s="157" t="s">
        <v>55</v>
      </c>
      <c r="E817" s="8">
        <v>2005</v>
      </c>
      <c r="F817" s="158">
        <f t="shared" ref="F817:F822" si="215">C817-H817</f>
        <v>61</v>
      </c>
      <c r="G817" s="158">
        <f t="shared" ref="G817:G822" si="216">IF(F817&lt;365,1,2)</f>
        <v>1</v>
      </c>
      <c r="H817" s="162">
        <v>38626</v>
      </c>
      <c r="I817" s="198">
        <v>740000</v>
      </c>
      <c r="J817" s="15">
        <v>0.1</v>
      </c>
      <c r="K817" s="15">
        <v>0.08</v>
      </c>
      <c r="L817" s="15">
        <v>0.03</v>
      </c>
      <c r="O817" s="15">
        <v>0</v>
      </c>
      <c r="Q817" s="11">
        <v>8</v>
      </c>
      <c r="R817" s="11">
        <v>28</v>
      </c>
      <c r="T817" s="161">
        <f t="shared" ref="T817:U822" si="217">$I817*K817</f>
        <v>59200</v>
      </c>
      <c r="U817" s="161">
        <f t="shared" si="217"/>
        <v>22200</v>
      </c>
      <c r="V817" s="161">
        <f t="shared" ref="V817:V822" si="218">$I817*O817</f>
        <v>0</v>
      </c>
      <c r="W817" s="161">
        <f t="shared" ref="W817:W822" si="219">V817*0.4</f>
        <v>0</v>
      </c>
    </row>
    <row r="818" spans="1:23" ht="12.75" customHeight="1">
      <c r="A818" s="118">
        <v>817</v>
      </c>
      <c r="B818" s="128">
        <v>8</v>
      </c>
      <c r="C818" s="156">
        <v>38718</v>
      </c>
      <c r="D818" s="157" t="s">
        <v>44</v>
      </c>
      <c r="E818" s="8">
        <v>2006</v>
      </c>
      <c r="F818" s="158">
        <f t="shared" si="215"/>
        <v>92</v>
      </c>
      <c r="G818" s="158">
        <f t="shared" si="216"/>
        <v>1</v>
      </c>
      <c r="H818" s="162">
        <v>38626</v>
      </c>
      <c r="I818" s="198">
        <v>740000</v>
      </c>
      <c r="J818" s="15">
        <v>1.48</v>
      </c>
      <c r="K818" s="15">
        <v>0.72</v>
      </c>
      <c r="L818" s="15">
        <v>0.13</v>
      </c>
      <c r="M818" s="174">
        <v>0</v>
      </c>
      <c r="O818" s="15">
        <v>1.5</v>
      </c>
      <c r="Q818" s="11">
        <v>7</v>
      </c>
      <c r="R818" s="11">
        <v>27</v>
      </c>
      <c r="T818" s="161">
        <f t="shared" si="217"/>
        <v>532800</v>
      </c>
      <c r="U818" s="161">
        <f t="shared" si="217"/>
        <v>96200</v>
      </c>
      <c r="V818" s="161">
        <f t="shared" si="218"/>
        <v>1110000</v>
      </c>
      <c r="W818" s="161">
        <f t="shared" si="219"/>
        <v>444000</v>
      </c>
    </row>
    <row r="819" spans="1:23" ht="12.75" customHeight="1">
      <c r="A819" s="118">
        <v>818</v>
      </c>
      <c r="B819" s="128">
        <v>8</v>
      </c>
      <c r="C819" s="156">
        <v>38749</v>
      </c>
      <c r="D819" s="157" t="s">
        <v>45</v>
      </c>
      <c r="E819" s="8">
        <v>2006</v>
      </c>
      <c r="F819" s="158">
        <f t="shared" si="215"/>
        <v>123</v>
      </c>
      <c r="G819" s="158">
        <f t="shared" si="216"/>
        <v>1</v>
      </c>
      <c r="H819" s="162">
        <v>38626</v>
      </c>
      <c r="I819" s="198">
        <v>740000</v>
      </c>
      <c r="J819" s="15">
        <v>0.3</v>
      </c>
      <c r="K819" s="15">
        <v>1.97</v>
      </c>
      <c r="L819" s="15">
        <v>0.28000000000000003</v>
      </c>
      <c r="M819" s="174">
        <v>0</v>
      </c>
      <c r="O819" s="15">
        <v>0.17</v>
      </c>
      <c r="Q819" s="11">
        <v>7</v>
      </c>
      <c r="R819" s="11">
        <v>27</v>
      </c>
      <c r="T819" s="161">
        <f t="shared" si="217"/>
        <v>1457800</v>
      </c>
      <c r="U819" s="161">
        <f t="shared" si="217"/>
        <v>207200.00000000003</v>
      </c>
      <c r="V819" s="161">
        <f t="shared" si="218"/>
        <v>125800.00000000001</v>
      </c>
      <c r="W819" s="161">
        <f t="shared" si="219"/>
        <v>50320.000000000007</v>
      </c>
    </row>
    <row r="820" spans="1:23" ht="12.75" customHeight="1">
      <c r="A820" s="118">
        <v>819</v>
      </c>
      <c r="B820" s="128">
        <v>8</v>
      </c>
      <c r="C820" s="156">
        <v>38777</v>
      </c>
      <c r="D820" s="157" t="s">
        <v>46</v>
      </c>
      <c r="E820" s="8">
        <v>2006</v>
      </c>
      <c r="F820" s="158">
        <f t="shared" si="215"/>
        <v>151</v>
      </c>
      <c r="G820" s="158">
        <f t="shared" si="216"/>
        <v>1</v>
      </c>
      <c r="H820" s="162">
        <v>38626</v>
      </c>
      <c r="I820" s="194">
        <v>730659</v>
      </c>
      <c r="J820" s="15">
        <v>0.2</v>
      </c>
      <c r="K820" s="15">
        <v>2.73</v>
      </c>
      <c r="L820" s="15">
        <v>0.67</v>
      </c>
      <c r="M820" s="174">
        <v>2</v>
      </c>
      <c r="O820" s="15">
        <v>0.68</v>
      </c>
      <c r="Q820" s="11">
        <v>7</v>
      </c>
      <c r="R820" s="11">
        <v>29</v>
      </c>
      <c r="T820" s="161">
        <f t="shared" si="217"/>
        <v>1994699.07</v>
      </c>
      <c r="U820" s="161">
        <f t="shared" si="217"/>
        <v>489541.53</v>
      </c>
      <c r="V820" s="161">
        <f t="shared" si="218"/>
        <v>496848.12000000005</v>
      </c>
      <c r="W820" s="161">
        <f t="shared" si="219"/>
        <v>198739.24800000002</v>
      </c>
    </row>
    <row r="821" spans="1:23" ht="12.75" customHeight="1">
      <c r="A821" s="118">
        <v>820</v>
      </c>
      <c r="B821" s="128">
        <v>8</v>
      </c>
      <c r="C821" s="156">
        <v>38808</v>
      </c>
      <c r="D821" s="157" t="s">
        <v>47</v>
      </c>
      <c r="E821" s="8">
        <v>2006</v>
      </c>
      <c r="F821" s="158">
        <f t="shared" si="215"/>
        <v>182</v>
      </c>
      <c r="G821" s="158">
        <f t="shared" si="216"/>
        <v>1</v>
      </c>
      <c r="H821" s="162">
        <v>38626</v>
      </c>
      <c r="I821" s="194">
        <v>728391</v>
      </c>
      <c r="J821" s="15">
        <v>0</v>
      </c>
      <c r="K821" s="15">
        <v>2.2000000000000002</v>
      </c>
      <c r="L821" s="15">
        <v>0.6</v>
      </c>
      <c r="M821" s="174">
        <v>0</v>
      </c>
      <c r="O821" s="15">
        <v>0.73</v>
      </c>
      <c r="P821" s="8">
        <v>1</v>
      </c>
      <c r="Q821" s="11">
        <v>9</v>
      </c>
      <c r="R821" s="11">
        <v>29</v>
      </c>
      <c r="T821" s="161">
        <f t="shared" si="217"/>
        <v>1602460.2000000002</v>
      </c>
      <c r="U821" s="161">
        <f t="shared" si="217"/>
        <v>437034.6</v>
      </c>
      <c r="V821" s="161">
        <f t="shared" si="218"/>
        <v>531725.42999999993</v>
      </c>
      <c r="W821" s="161">
        <f t="shared" si="219"/>
        <v>212690.17199999999</v>
      </c>
    </row>
    <row r="822" spans="1:23" ht="12.75" customHeight="1">
      <c r="A822" s="118">
        <v>821</v>
      </c>
      <c r="B822" s="128">
        <v>8</v>
      </c>
      <c r="C822" s="181">
        <v>38838</v>
      </c>
      <c r="D822" s="157" t="s">
        <v>48</v>
      </c>
      <c r="E822" s="8">
        <v>2006</v>
      </c>
      <c r="F822" s="158">
        <f t="shared" si="215"/>
        <v>212</v>
      </c>
      <c r="G822" s="158">
        <f t="shared" si="216"/>
        <v>1</v>
      </c>
      <c r="H822" s="172">
        <v>38626</v>
      </c>
      <c r="I822" s="194">
        <v>726467</v>
      </c>
      <c r="J822" s="173">
        <v>0.23</v>
      </c>
      <c r="K822" s="173">
        <v>1.03</v>
      </c>
      <c r="L822" s="173">
        <v>0.03</v>
      </c>
      <c r="O822" s="173">
        <v>0</v>
      </c>
      <c r="P822" s="170"/>
      <c r="Q822" s="128">
        <v>9</v>
      </c>
      <c r="R822" s="128">
        <v>29</v>
      </c>
      <c r="S822" s="180"/>
      <c r="T822" s="161">
        <f t="shared" si="217"/>
        <v>748261.01</v>
      </c>
      <c r="U822" s="161">
        <f t="shared" si="217"/>
        <v>21794.01</v>
      </c>
      <c r="V822" s="161">
        <f t="shared" si="218"/>
        <v>0</v>
      </c>
      <c r="W822" s="161">
        <f t="shared" si="219"/>
        <v>0</v>
      </c>
    </row>
    <row r="823" spans="1:23" ht="12.75" customHeight="1">
      <c r="A823" s="118">
        <v>822</v>
      </c>
      <c r="B823" s="128">
        <v>8</v>
      </c>
      <c r="C823" s="181">
        <v>38869</v>
      </c>
      <c r="D823" s="157" t="s">
        <v>49</v>
      </c>
      <c r="E823" s="8">
        <v>2006</v>
      </c>
      <c r="F823" s="158"/>
      <c r="G823" s="128"/>
      <c r="H823" s="172"/>
      <c r="I823" s="194"/>
      <c r="J823" s="173"/>
      <c r="K823" s="173"/>
      <c r="L823" s="173"/>
      <c r="O823" s="173"/>
      <c r="P823" s="170"/>
      <c r="Q823" s="128"/>
      <c r="R823" s="128"/>
      <c r="S823" s="180" t="s">
        <v>17</v>
      </c>
      <c r="T823" s="173"/>
      <c r="U823" s="171"/>
      <c r="V823" s="173"/>
      <c r="W823" s="173"/>
    </row>
    <row r="824" spans="1:23" ht="12.75" customHeight="1">
      <c r="A824" s="118">
        <v>823</v>
      </c>
      <c r="B824" s="128">
        <v>8</v>
      </c>
      <c r="C824" s="181">
        <v>38899</v>
      </c>
      <c r="D824" s="157" t="s">
        <v>50</v>
      </c>
      <c r="E824" s="8">
        <v>2006</v>
      </c>
      <c r="F824" s="158"/>
      <c r="G824" s="128"/>
      <c r="H824" s="172"/>
      <c r="I824" s="194"/>
      <c r="J824" s="173"/>
      <c r="K824" s="173"/>
      <c r="L824" s="173"/>
      <c r="O824" s="173"/>
      <c r="P824" s="170"/>
      <c r="Q824" s="128"/>
      <c r="R824" s="128"/>
      <c r="S824" s="180"/>
      <c r="T824" s="173"/>
      <c r="U824" s="171"/>
      <c r="V824" s="173"/>
      <c r="W824" s="173"/>
    </row>
    <row r="825" spans="1:23" ht="12.75" customHeight="1">
      <c r="A825" s="118">
        <v>824</v>
      </c>
      <c r="B825" s="128">
        <v>8</v>
      </c>
      <c r="C825" s="181">
        <v>38930</v>
      </c>
      <c r="D825" s="157" t="s">
        <v>51</v>
      </c>
      <c r="E825" s="8">
        <v>2006</v>
      </c>
      <c r="F825" s="158"/>
      <c r="G825" s="128"/>
      <c r="H825" s="172"/>
      <c r="I825" s="194"/>
      <c r="J825" s="173"/>
      <c r="K825" s="173"/>
      <c r="L825" s="173"/>
      <c r="O825" s="173"/>
      <c r="P825" s="170"/>
      <c r="Q825" s="128"/>
      <c r="R825" s="128"/>
      <c r="S825" s="180"/>
      <c r="T825" s="173"/>
      <c r="U825" s="171"/>
      <c r="V825" s="173"/>
      <c r="W825" s="173"/>
    </row>
    <row r="826" spans="1:23" ht="12.75" customHeight="1">
      <c r="A826" s="118">
        <v>825</v>
      </c>
      <c r="B826" s="128">
        <v>8</v>
      </c>
      <c r="C826" s="181">
        <v>38961</v>
      </c>
      <c r="D826" s="157" t="s">
        <v>52</v>
      </c>
      <c r="E826" s="8">
        <v>2006</v>
      </c>
      <c r="F826" s="158"/>
      <c r="G826" s="128"/>
      <c r="H826" s="172"/>
      <c r="I826" s="194"/>
      <c r="J826" s="173"/>
      <c r="K826" s="173"/>
      <c r="L826" s="173"/>
      <c r="O826" s="173"/>
      <c r="P826" s="170"/>
      <c r="Q826" s="128"/>
      <c r="R826" s="128"/>
      <c r="S826" s="180"/>
      <c r="T826" s="173"/>
      <c r="U826" s="171"/>
      <c r="V826" s="173"/>
      <c r="W826" s="173"/>
    </row>
    <row r="827" spans="1:23" ht="12.75" customHeight="1">
      <c r="A827" s="118">
        <v>826</v>
      </c>
      <c r="B827" s="128">
        <v>8</v>
      </c>
      <c r="C827" s="181">
        <v>38991</v>
      </c>
      <c r="D827" s="157" t="s">
        <v>53</v>
      </c>
      <c r="E827" s="8">
        <v>2006</v>
      </c>
      <c r="F827" s="158"/>
      <c r="G827" s="128"/>
      <c r="H827" s="172"/>
      <c r="I827" s="194"/>
      <c r="J827" s="173"/>
      <c r="K827" s="173"/>
      <c r="L827" s="173"/>
      <c r="O827" s="173"/>
      <c r="P827" s="170"/>
      <c r="Q827" s="128"/>
      <c r="R827" s="128"/>
      <c r="S827" s="180"/>
      <c r="T827" s="173"/>
      <c r="U827" s="171"/>
      <c r="V827" s="173"/>
      <c r="W827" s="173"/>
    </row>
    <row r="828" spans="1:23" ht="12.75" customHeight="1">
      <c r="A828" s="118">
        <v>827</v>
      </c>
      <c r="B828" s="128">
        <v>8</v>
      </c>
      <c r="C828" s="181">
        <v>39022</v>
      </c>
      <c r="D828" s="157" t="s">
        <v>54</v>
      </c>
      <c r="E828" s="8">
        <v>2006</v>
      </c>
      <c r="F828" s="158"/>
      <c r="G828" s="128"/>
      <c r="H828" s="172"/>
      <c r="I828" s="194"/>
      <c r="J828" s="173"/>
      <c r="K828" s="173"/>
      <c r="L828" s="173"/>
      <c r="O828" s="173"/>
      <c r="P828" s="170"/>
      <c r="Q828" s="128"/>
      <c r="R828" s="128"/>
      <c r="S828" s="180"/>
      <c r="T828" s="173"/>
      <c r="U828" s="171"/>
      <c r="V828" s="173"/>
      <c r="W828" s="173"/>
    </row>
    <row r="829" spans="1:23" ht="12.75" customHeight="1">
      <c r="A829" s="118">
        <v>828</v>
      </c>
      <c r="B829" s="128">
        <v>8</v>
      </c>
      <c r="C829" s="181">
        <v>39052</v>
      </c>
      <c r="D829" s="157" t="s">
        <v>55</v>
      </c>
      <c r="E829" s="8">
        <v>2006</v>
      </c>
      <c r="F829" s="158"/>
      <c r="G829" s="128"/>
      <c r="H829" s="172"/>
      <c r="I829" s="194"/>
      <c r="J829" s="173"/>
      <c r="K829" s="173"/>
      <c r="L829" s="173"/>
      <c r="O829" s="173"/>
      <c r="P829" s="170"/>
      <c r="Q829" s="128"/>
      <c r="R829" s="128"/>
      <c r="S829" s="180"/>
      <c r="T829" s="173"/>
      <c r="U829" s="171"/>
      <c r="V829" s="173"/>
      <c r="W829" s="173"/>
    </row>
    <row r="830" spans="1:23" ht="12.75" customHeight="1">
      <c r="A830" s="118">
        <v>829</v>
      </c>
      <c r="B830" s="128">
        <v>8</v>
      </c>
      <c r="C830" s="156">
        <v>39083</v>
      </c>
      <c r="D830" s="157" t="s">
        <v>44</v>
      </c>
      <c r="E830" s="8">
        <v>2007</v>
      </c>
      <c r="H830" s="175"/>
      <c r="I830" s="194"/>
      <c r="J830" s="191"/>
      <c r="K830" s="191"/>
      <c r="L830" s="191"/>
      <c r="M830" s="193"/>
      <c r="N830" s="529"/>
      <c r="O830" s="191"/>
      <c r="P830" s="192"/>
      <c r="Q830" s="127"/>
      <c r="R830" s="127"/>
      <c r="S830" s="140"/>
      <c r="T830" s="191"/>
      <c r="U830" s="202"/>
      <c r="V830" s="191"/>
      <c r="W830" s="191"/>
    </row>
    <row r="831" spans="1:23" ht="12.75" customHeight="1">
      <c r="A831" s="118">
        <v>830</v>
      </c>
      <c r="B831" s="128">
        <v>8</v>
      </c>
      <c r="C831" s="156">
        <v>39114</v>
      </c>
      <c r="D831" s="157" t="s">
        <v>45</v>
      </c>
      <c r="E831" s="8">
        <v>2007</v>
      </c>
      <c r="H831" s="175"/>
      <c r="I831" s="194"/>
      <c r="J831" s="191"/>
      <c r="K831" s="191"/>
      <c r="L831" s="191"/>
      <c r="M831" s="193"/>
      <c r="N831" s="529"/>
      <c r="O831" s="191"/>
      <c r="P831" s="192"/>
      <c r="Q831" s="127"/>
      <c r="R831" s="127"/>
      <c r="S831" s="140"/>
      <c r="T831" s="191"/>
      <c r="U831" s="202"/>
      <c r="V831" s="191"/>
      <c r="W831" s="191"/>
    </row>
    <row r="832" spans="1:23">
      <c r="A832" s="118">
        <v>831</v>
      </c>
      <c r="B832" s="128">
        <v>8</v>
      </c>
      <c r="C832" s="156">
        <v>39142</v>
      </c>
      <c r="D832" s="157" t="s">
        <v>46</v>
      </c>
      <c r="E832" s="8">
        <v>2007</v>
      </c>
      <c r="F832" s="158">
        <f t="shared" ref="F832:F839" si="220">C832-H832</f>
        <v>0</v>
      </c>
      <c r="G832" s="158">
        <f t="shared" ref="G832:G839" si="221">IF(F832&lt;365,1,2)</f>
        <v>1</v>
      </c>
      <c r="H832" s="175">
        <v>39142</v>
      </c>
      <c r="I832" s="194">
        <v>257576</v>
      </c>
      <c r="J832" s="191"/>
      <c r="K832" s="191"/>
      <c r="L832" s="165">
        <v>0</v>
      </c>
      <c r="M832" s="193"/>
      <c r="N832" s="529" t="s">
        <v>794</v>
      </c>
      <c r="O832" s="195">
        <v>0</v>
      </c>
      <c r="P832" s="192"/>
      <c r="Q832" s="127"/>
      <c r="R832" s="127"/>
      <c r="S832" s="140" t="s">
        <v>36</v>
      </c>
      <c r="T832" s="191"/>
      <c r="U832" s="161">
        <f t="shared" ref="U832:U839" si="222">$I832*L832</f>
        <v>0</v>
      </c>
      <c r="V832" s="161">
        <f t="shared" ref="V832:V839" si="223">$I832*O832</f>
        <v>0</v>
      </c>
      <c r="W832" s="161">
        <f t="shared" ref="W832:W839" si="224">V832*0.4</f>
        <v>0</v>
      </c>
    </row>
    <row r="833" spans="1:23" ht="12.75" customHeight="1">
      <c r="A833" s="118">
        <v>832</v>
      </c>
      <c r="B833" s="128">
        <v>8</v>
      </c>
      <c r="C833" s="156">
        <v>39173</v>
      </c>
      <c r="D833" s="157" t="s">
        <v>47</v>
      </c>
      <c r="E833" s="8">
        <v>2007</v>
      </c>
      <c r="F833" s="158">
        <f t="shared" si="220"/>
        <v>31</v>
      </c>
      <c r="G833" s="158">
        <f t="shared" si="221"/>
        <v>1</v>
      </c>
      <c r="H833" s="175">
        <v>39142</v>
      </c>
      <c r="I833" s="194">
        <v>617360</v>
      </c>
      <c r="J833" s="191"/>
      <c r="K833" s="191"/>
      <c r="L833" s="165">
        <v>0</v>
      </c>
      <c r="M833" s="193"/>
      <c r="N833" s="529" t="s">
        <v>794</v>
      </c>
      <c r="O833" s="195">
        <v>0.04</v>
      </c>
      <c r="P833" s="192"/>
      <c r="Q833" s="127"/>
      <c r="R833" s="127"/>
      <c r="S833" s="140"/>
      <c r="T833" s="191"/>
      <c r="U833" s="161">
        <f t="shared" si="222"/>
        <v>0</v>
      </c>
      <c r="V833" s="161">
        <f t="shared" si="223"/>
        <v>24694.400000000001</v>
      </c>
      <c r="W833" s="161">
        <f t="shared" si="224"/>
        <v>9877.760000000002</v>
      </c>
    </row>
    <row r="834" spans="1:23">
      <c r="A834" s="118">
        <v>833</v>
      </c>
      <c r="B834" s="128">
        <v>8</v>
      </c>
      <c r="C834" s="156">
        <v>39203</v>
      </c>
      <c r="D834" s="157" t="s">
        <v>48</v>
      </c>
      <c r="E834" s="8">
        <v>2007</v>
      </c>
      <c r="F834" s="158">
        <f t="shared" si="220"/>
        <v>61</v>
      </c>
      <c r="G834" s="158">
        <f t="shared" si="221"/>
        <v>1</v>
      </c>
      <c r="H834" s="175">
        <v>39142</v>
      </c>
      <c r="I834" s="194">
        <v>1210143</v>
      </c>
      <c r="J834" s="191"/>
      <c r="K834" s="191"/>
      <c r="L834" s="165">
        <v>0</v>
      </c>
      <c r="M834" s="193"/>
      <c r="N834" s="529" t="s">
        <v>794</v>
      </c>
      <c r="O834" s="195">
        <v>0.08</v>
      </c>
      <c r="P834" s="192"/>
      <c r="Q834" s="127"/>
      <c r="R834" s="127"/>
      <c r="S834" s="140"/>
      <c r="T834" s="191"/>
      <c r="U834" s="161">
        <f t="shared" si="222"/>
        <v>0</v>
      </c>
      <c r="V834" s="161">
        <f t="shared" si="223"/>
        <v>96811.44</v>
      </c>
      <c r="W834" s="161">
        <f t="shared" si="224"/>
        <v>38724.576000000001</v>
      </c>
    </row>
    <row r="835" spans="1:23">
      <c r="A835" s="118">
        <v>834</v>
      </c>
      <c r="B835" s="128">
        <v>8</v>
      </c>
      <c r="C835" s="156">
        <v>39234</v>
      </c>
      <c r="D835" s="157" t="s">
        <v>49</v>
      </c>
      <c r="E835" s="8">
        <v>2007</v>
      </c>
      <c r="F835" s="158">
        <f t="shared" si="220"/>
        <v>92</v>
      </c>
      <c r="G835" s="158">
        <f t="shared" si="221"/>
        <v>1</v>
      </c>
      <c r="H835" s="175">
        <v>39142</v>
      </c>
      <c r="I835" s="194">
        <v>1199555</v>
      </c>
      <c r="J835" s="191">
        <v>0.25</v>
      </c>
      <c r="K835" s="191">
        <v>0</v>
      </c>
      <c r="L835" s="191">
        <v>0</v>
      </c>
      <c r="M835" s="193"/>
      <c r="N835" s="529"/>
      <c r="O835" s="191">
        <v>0.13</v>
      </c>
      <c r="P835" s="192"/>
      <c r="Q835" s="127">
        <v>11</v>
      </c>
      <c r="R835" s="127">
        <v>19</v>
      </c>
      <c r="S835" s="140"/>
      <c r="T835" s="161">
        <f>$I835*K835</f>
        <v>0</v>
      </c>
      <c r="U835" s="161">
        <f t="shared" si="222"/>
        <v>0</v>
      </c>
      <c r="V835" s="161">
        <f t="shared" si="223"/>
        <v>155942.15</v>
      </c>
      <c r="W835" s="161">
        <f t="shared" si="224"/>
        <v>62376.86</v>
      </c>
    </row>
    <row r="836" spans="1:23">
      <c r="A836" s="118">
        <v>835</v>
      </c>
      <c r="B836" s="128">
        <v>8</v>
      </c>
      <c r="C836" s="156">
        <v>39264</v>
      </c>
      <c r="D836" s="157" t="s">
        <v>50</v>
      </c>
      <c r="E836" s="8">
        <v>2007</v>
      </c>
      <c r="F836" s="158">
        <f t="shared" si="220"/>
        <v>122</v>
      </c>
      <c r="G836" s="158">
        <f t="shared" si="221"/>
        <v>1</v>
      </c>
      <c r="H836" s="175">
        <v>39142</v>
      </c>
      <c r="I836" s="194">
        <v>1177887</v>
      </c>
      <c r="J836" s="191">
        <v>0.02</v>
      </c>
      <c r="K836" s="191">
        <v>0</v>
      </c>
      <c r="L836" s="191">
        <v>0</v>
      </c>
      <c r="M836" s="193">
        <v>0</v>
      </c>
      <c r="N836" s="529"/>
      <c r="O836" s="191">
        <v>0</v>
      </c>
      <c r="P836" s="192"/>
      <c r="Q836" s="127">
        <v>12</v>
      </c>
      <c r="R836" s="127">
        <v>17</v>
      </c>
      <c r="S836" s="140" t="s">
        <v>37</v>
      </c>
      <c r="T836" s="161">
        <f>$I836*K836</f>
        <v>0</v>
      </c>
      <c r="U836" s="161">
        <f t="shared" si="222"/>
        <v>0</v>
      </c>
      <c r="V836" s="161">
        <f t="shared" si="223"/>
        <v>0</v>
      </c>
      <c r="W836" s="161">
        <f t="shared" si="224"/>
        <v>0</v>
      </c>
    </row>
    <row r="837" spans="1:23">
      <c r="A837" s="118">
        <v>836</v>
      </c>
      <c r="B837" s="128">
        <v>8</v>
      </c>
      <c r="C837" s="156">
        <v>39295</v>
      </c>
      <c r="D837" s="157" t="s">
        <v>51</v>
      </c>
      <c r="E837" s="8">
        <v>2007</v>
      </c>
      <c r="F837" s="158">
        <f t="shared" si="220"/>
        <v>153</v>
      </c>
      <c r="G837" s="158">
        <f t="shared" si="221"/>
        <v>1</v>
      </c>
      <c r="H837" s="175">
        <v>39142</v>
      </c>
      <c r="I837" s="194">
        <v>603902</v>
      </c>
      <c r="J837" s="191">
        <v>0</v>
      </c>
      <c r="K837" s="191">
        <v>0</v>
      </c>
      <c r="L837" s="191">
        <v>0</v>
      </c>
      <c r="M837" s="193">
        <v>0</v>
      </c>
      <c r="N837" s="529"/>
      <c r="O837" s="191">
        <v>0</v>
      </c>
      <c r="P837" s="192"/>
      <c r="Q837" s="127">
        <v>12</v>
      </c>
      <c r="R837" s="127">
        <v>18</v>
      </c>
      <c r="S837" s="140"/>
      <c r="T837" s="161">
        <f>$I837*K837</f>
        <v>0</v>
      </c>
      <c r="U837" s="161">
        <f t="shared" si="222"/>
        <v>0</v>
      </c>
      <c r="V837" s="161">
        <f t="shared" si="223"/>
        <v>0</v>
      </c>
      <c r="W837" s="161">
        <f t="shared" si="224"/>
        <v>0</v>
      </c>
    </row>
    <row r="838" spans="1:23">
      <c r="A838" s="118">
        <v>837</v>
      </c>
      <c r="B838" s="128">
        <v>8</v>
      </c>
      <c r="C838" s="156">
        <v>39326</v>
      </c>
      <c r="D838" s="157" t="s">
        <v>52</v>
      </c>
      <c r="E838" s="8">
        <v>2007</v>
      </c>
      <c r="F838" s="158">
        <f t="shared" si="220"/>
        <v>184</v>
      </c>
      <c r="G838" s="158">
        <f t="shared" si="221"/>
        <v>1</v>
      </c>
      <c r="H838" s="175">
        <v>39142</v>
      </c>
      <c r="I838" s="194">
        <v>603640</v>
      </c>
      <c r="J838" s="191">
        <v>0.03</v>
      </c>
      <c r="K838" s="191">
        <v>0.05</v>
      </c>
      <c r="L838" s="191">
        <v>0.03</v>
      </c>
      <c r="M838" s="193">
        <v>0</v>
      </c>
      <c r="N838" s="529"/>
      <c r="O838" s="191">
        <v>0</v>
      </c>
      <c r="P838" s="192"/>
      <c r="Q838" s="127">
        <v>11</v>
      </c>
      <c r="R838" s="127">
        <v>23</v>
      </c>
      <c r="S838" s="140"/>
      <c r="T838" s="161">
        <f>$I838*K838</f>
        <v>30182</v>
      </c>
      <c r="U838" s="161">
        <f t="shared" si="222"/>
        <v>18109.2</v>
      </c>
      <c r="V838" s="161">
        <f t="shared" si="223"/>
        <v>0</v>
      </c>
      <c r="W838" s="161">
        <f t="shared" si="224"/>
        <v>0</v>
      </c>
    </row>
    <row r="839" spans="1:23">
      <c r="A839" s="118">
        <v>838</v>
      </c>
      <c r="B839" s="128">
        <v>8</v>
      </c>
      <c r="C839" s="156">
        <v>39356</v>
      </c>
      <c r="D839" s="157" t="s">
        <v>53</v>
      </c>
      <c r="E839" s="8">
        <v>2007</v>
      </c>
      <c r="F839" s="158">
        <f t="shared" si="220"/>
        <v>214</v>
      </c>
      <c r="G839" s="158">
        <f t="shared" si="221"/>
        <v>1</v>
      </c>
      <c r="H839" s="175">
        <v>39142</v>
      </c>
      <c r="I839" s="194">
        <v>601917</v>
      </c>
      <c r="J839" s="191">
        <v>0.02</v>
      </c>
      <c r="K839" s="191">
        <v>0</v>
      </c>
      <c r="L839" s="191">
        <v>0</v>
      </c>
      <c r="M839" s="193"/>
      <c r="N839" s="529"/>
      <c r="O839" s="191">
        <v>0.02</v>
      </c>
      <c r="P839" s="192"/>
      <c r="Q839" s="127">
        <v>9</v>
      </c>
      <c r="R839" s="127">
        <v>22</v>
      </c>
      <c r="S839" s="140" t="s">
        <v>295</v>
      </c>
      <c r="T839" s="161">
        <f>$I839*K839</f>
        <v>0</v>
      </c>
      <c r="U839" s="161">
        <f t="shared" si="222"/>
        <v>0</v>
      </c>
      <c r="V839" s="161">
        <f t="shared" si="223"/>
        <v>12038.34</v>
      </c>
      <c r="W839" s="161">
        <f t="shared" si="224"/>
        <v>4815.3360000000002</v>
      </c>
    </row>
    <row r="840" spans="1:23">
      <c r="A840" s="118">
        <v>839</v>
      </c>
      <c r="B840" s="128">
        <v>8</v>
      </c>
      <c r="C840" s="156">
        <v>39387</v>
      </c>
      <c r="D840" s="157" t="s">
        <v>54</v>
      </c>
      <c r="E840" s="8">
        <v>2007</v>
      </c>
      <c r="H840" s="175"/>
      <c r="I840" s="194"/>
      <c r="J840" s="191"/>
      <c r="K840" s="191"/>
      <c r="L840" s="191"/>
      <c r="M840" s="193"/>
      <c r="N840" s="529"/>
      <c r="O840" s="191"/>
      <c r="P840" s="192"/>
      <c r="Q840" s="127"/>
      <c r="R840" s="127"/>
      <c r="S840" s="140"/>
      <c r="T840" s="191"/>
      <c r="U840" s="202"/>
      <c r="V840" s="191"/>
      <c r="W840" s="191"/>
    </row>
    <row r="841" spans="1:23">
      <c r="A841" s="118">
        <v>840</v>
      </c>
      <c r="B841" s="128">
        <v>8</v>
      </c>
      <c r="C841" s="156">
        <v>39417</v>
      </c>
      <c r="D841" s="157" t="s">
        <v>55</v>
      </c>
      <c r="E841" s="8">
        <v>2007</v>
      </c>
      <c r="H841" s="175"/>
      <c r="I841" s="194"/>
      <c r="J841" s="191"/>
      <c r="K841" s="191"/>
      <c r="L841" s="191"/>
      <c r="M841" s="193"/>
      <c r="N841" s="529"/>
      <c r="O841" s="191"/>
      <c r="P841" s="192"/>
      <c r="Q841" s="127"/>
      <c r="R841" s="127"/>
      <c r="S841" s="140"/>
      <c r="T841" s="191"/>
      <c r="U841" s="202"/>
      <c r="V841" s="191"/>
      <c r="W841" s="191"/>
    </row>
    <row r="842" spans="1:23">
      <c r="A842" s="118">
        <v>841</v>
      </c>
      <c r="B842" s="128">
        <v>8</v>
      </c>
      <c r="C842" s="156">
        <v>39448</v>
      </c>
      <c r="D842" s="157" t="s">
        <v>44</v>
      </c>
      <c r="E842" s="127">
        <v>2008</v>
      </c>
      <c r="F842" s="158">
        <f>C842-H842</f>
        <v>0</v>
      </c>
      <c r="G842" s="158">
        <f>IF(F842&lt;365,1,2)</f>
        <v>1</v>
      </c>
      <c r="H842" s="175">
        <v>39448</v>
      </c>
      <c r="I842" s="168">
        <v>609405</v>
      </c>
      <c r="J842" s="118">
        <v>0</v>
      </c>
      <c r="K842" s="118">
        <v>0</v>
      </c>
      <c r="L842" s="118">
        <v>0</v>
      </c>
      <c r="M842" s="193"/>
      <c r="N842" s="529"/>
      <c r="O842" s="118">
        <v>0</v>
      </c>
      <c r="P842" s="192"/>
      <c r="Q842" s="193"/>
      <c r="R842" s="193"/>
      <c r="S842" s="140"/>
      <c r="T842" s="161">
        <f t="shared" ref="T842:U845" si="225">$I842*K842</f>
        <v>0</v>
      </c>
      <c r="U842" s="161">
        <f t="shared" si="225"/>
        <v>0</v>
      </c>
      <c r="V842" s="161">
        <f t="shared" ref="V842:V845" si="226">$I842*O842</f>
        <v>0</v>
      </c>
      <c r="W842" s="161">
        <f>V842*0.4</f>
        <v>0</v>
      </c>
    </row>
    <row r="843" spans="1:23">
      <c r="A843" s="118">
        <v>842</v>
      </c>
      <c r="B843" s="128">
        <v>8</v>
      </c>
      <c r="C843" s="156">
        <v>39479</v>
      </c>
      <c r="D843" s="157" t="s">
        <v>45</v>
      </c>
      <c r="E843" s="127">
        <v>2008</v>
      </c>
      <c r="F843" s="158">
        <f>C843-H843</f>
        <v>31</v>
      </c>
      <c r="G843" s="158">
        <f>IF(F843&lt;365,1,2)</f>
        <v>1</v>
      </c>
      <c r="H843" s="175">
        <v>39448</v>
      </c>
      <c r="I843" s="168">
        <v>601667</v>
      </c>
      <c r="J843" s="173"/>
      <c r="K843" s="165">
        <f>(K842+K844)/2</f>
        <v>0.04</v>
      </c>
      <c r="L843" s="165">
        <f>(L842+L844)/2</f>
        <v>2.5000000000000001E-2</v>
      </c>
      <c r="N843" s="528">
        <v>1</v>
      </c>
      <c r="O843" s="165">
        <f>(O842+O844)/2</f>
        <v>2.5000000000000001E-2</v>
      </c>
      <c r="P843" s="192"/>
      <c r="Q843" s="193"/>
      <c r="R843" s="193"/>
      <c r="S843" s="140"/>
      <c r="T843" s="161">
        <f t="shared" si="225"/>
        <v>24066.68</v>
      </c>
      <c r="U843" s="161">
        <f t="shared" si="225"/>
        <v>15041.675000000001</v>
      </c>
      <c r="V843" s="161">
        <f t="shared" si="226"/>
        <v>15041.675000000001</v>
      </c>
      <c r="W843" s="161">
        <f>V843*0.4</f>
        <v>6016.670000000001</v>
      </c>
    </row>
    <row r="844" spans="1:23">
      <c r="A844" s="118">
        <v>843</v>
      </c>
      <c r="B844" s="128">
        <v>8</v>
      </c>
      <c r="C844" s="156">
        <v>39508</v>
      </c>
      <c r="D844" s="157" t="s">
        <v>46</v>
      </c>
      <c r="E844" s="127">
        <v>2008</v>
      </c>
      <c r="F844" s="158">
        <f>C844-H844</f>
        <v>60</v>
      </c>
      <c r="G844" s="158">
        <f>IF(F844&lt;365,1,2)</f>
        <v>1</v>
      </c>
      <c r="H844" s="175">
        <v>39448</v>
      </c>
      <c r="I844" s="168">
        <v>589207</v>
      </c>
      <c r="J844" s="118">
        <v>0</v>
      </c>
      <c r="K844" s="118">
        <v>0.08</v>
      </c>
      <c r="L844" s="118">
        <v>0.05</v>
      </c>
      <c r="M844" s="193"/>
      <c r="N844" s="529"/>
      <c r="O844" s="118">
        <v>0.05</v>
      </c>
      <c r="P844" s="192"/>
      <c r="Q844" s="193"/>
      <c r="R844" s="193"/>
      <c r="S844" s="140"/>
      <c r="T844" s="161">
        <f t="shared" si="225"/>
        <v>47136.56</v>
      </c>
      <c r="U844" s="161">
        <f t="shared" si="225"/>
        <v>29460.350000000002</v>
      </c>
      <c r="V844" s="161">
        <f t="shared" si="226"/>
        <v>29460.350000000002</v>
      </c>
      <c r="W844" s="161">
        <f>V844*0.4</f>
        <v>11784.140000000001</v>
      </c>
    </row>
    <row r="845" spans="1:23">
      <c r="A845" s="118">
        <v>844</v>
      </c>
      <c r="B845" s="128">
        <v>8</v>
      </c>
      <c r="C845" s="156">
        <v>39539</v>
      </c>
      <c r="D845" s="157" t="s">
        <v>47</v>
      </c>
      <c r="E845" s="127">
        <v>2008</v>
      </c>
      <c r="F845" s="158">
        <f>C845-H845</f>
        <v>91</v>
      </c>
      <c r="G845" s="158">
        <f>IF(F845&lt;365,1,2)</f>
        <v>1</v>
      </c>
      <c r="H845" s="175">
        <v>39448</v>
      </c>
      <c r="I845" s="194">
        <v>587574</v>
      </c>
      <c r="J845" s="118">
        <v>0</v>
      </c>
      <c r="K845" s="118">
        <v>0.33</v>
      </c>
      <c r="L845" s="118">
        <v>0.28000000000000003</v>
      </c>
      <c r="M845" s="193"/>
      <c r="N845" s="529"/>
      <c r="O845" s="118">
        <v>0.43</v>
      </c>
      <c r="P845" s="192"/>
      <c r="Q845" s="193"/>
      <c r="R845" s="193"/>
      <c r="T845" s="161">
        <f t="shared" si="225"/>
        <v>193899.42</v>
      </c>
      <c r="U845" s="161">
        <f t="shared" si="225"/>
        <v>164520.72</v>
      </c>
      <c r="V845" s="161">
        <f t="shared" si="226"/>
        <v>252656.82</v>
      </c>
      <c r="W845" s="161">
        <f>V845*0.4</f>
        <v>101062.728</v>
      </c>
    </row>
    <row r="846" spans="1:23" ht="12.75" customHeight="1">
      <c r="A846" s="118">
        <v>845</v>
      </c>
      <c r="B846" s="128">
        <v>8</v>
      </c>
      <c r="C846" s="156">
        <v>39569</v>
      </c>
      <c r="D846" s="157" t="s">
        <v>48</v>
      </c>
      <c r="E846" s="127">
        <v>2008</v>
      </c>
      <c r="F846" s="127"/>
      <c r="G846" s="127"/>
      <c r="I846" s="194"/>
      <c r="J846" s="191"/>
      <c r="K846" s="191"/>
      <c r="L846" s="191"/>
      <c r="M846" s="193"/>
      <c r="N846" s="529"/>
      <c r="O846" s="191"/>
      <c r="P846" s="192"/>
      <c r="Q846" s="193"/>
      <c r="R846" s="193"/>
      <c r="S846" s="140" t="s">
        <v>289</v>
      </c>
      <c r="T846" s="128"/>
      <c r="U846" s="118"/>
      <c r="V846" s="118"/>
      <c r="W846" s="118"/>
    </row>
    <row r="847" spans="1:23" ht="12.75" customHeight="1">
      <c r="A847" s="118">
        <v>846</v>
      </c>
      <c r="B847" s="128">
        <v>8</v>
      </c>
      <c r="C847" s="156">
        <v>39600</v>
      </c>
      <c r="D847" s="157" t="s">
        <v>49</v>
      </c>
      <c r="E847" s="127">
        <v>2008</v>
      </c>
      <c r="F847" s="127"/>
      <c r="G847" s="127"/>
      <c r="I847" s="194"/>
      <c r="J847" s="191"/>
      <c r="K847" s="191"/>
      <c r="L847" s="191"/>
      <c r="M847" s="193"/>
      <c r="N847" s="529"/>
      <c r="O847" s="191"/>
      <c r="P847" s="192"/>
      <c r="Q847" s="193"/>
      <c r="R847" s="193"/>
      <c r="S847" s="140"/>
      <c r="T847" s="128"/>
      <c r="U847" s="118"/>
      <c r="V847" s="118"/>
      <c r="W847" s="118"/>
    </row>
    <row r="848" spans="1:23" ht="12.75" customHeight="1">
      <c r="A848" s="118">
        <v>847</v>
      </c>
      <c r="B848" s="128">
        <v>8</v>
      </c>
      <c r="C848" s="156">
        <v>39630</v>
      </c>
      <c r="D848" s="176" t="s">
        <v>50</v>
      </c>
      <c r="E848" s="127">
        <v>2008</v>
      </c>
      <c r="F848" s="127"/>
      <c r="G848" s="127"/>
      <c r="I848" s="194"/>
      <c r="J848" s="191"/>
      <c r="K848" s="191"/>
      <c r="L848" s="191"/>
      <c r="M848" s="193"/>
      <c r="N848" s="529"/>
      <c r="O848" s="191"/>
      <c r="P848" s="127"/>
      <c r="Q848" s="193"/>
      <c r="R848" s="193"/>
      <c r="S848" s="140"/>
      <c r="T848" s="128"/>
      <c r="U848" s="128"/>
      <c r="V848" s="118"/>
      <c r="W848" s="118"/>
    </row>
    <row r="849" spans="1:23" ht="12.75" customHeight="1">
      <c r="A849" s="118">
        <v>848</v>
      </c>
      <c r="B849" s="128">
        <v>8</v>
      </c>
      <c r="C849" s="156">
        <v>39661</v>
      </c>
      <c r="D849" s="176" t="s">
        <v>51</v>
      </c>
      <c r="E849" s="127">
        <v>2008</v>
      </c>
      <c r="F849" s="127"/>
      <c r="G849" s="127"/>
      <c r="I849" s="194"/>
      <c r="J849" s="191"/>
      <c r="K849" s="191"/>
      <c r="L849" s="191"/>
      <c r="M849" s="193"/>
      <c r="N849" s="529"/>
      <c r="O849" s="191"/>
      <c r="P849" s="127"/>
      <c r="Q849" s="193"/>
      <c r="R849" s="193"/>
      <c r="S849" s="140"/>
      <c r="T849" s="128"/>
      <c r="U849" s="128"/>
      <c r="V849" s="118"/>
      <c r="W849" s="118"/>
    </row>
    <row r="850" spans="1:23" s="127" customFormat="1" ht="12.75" customHeight="1">
      <c r="A850" s="118">
        <v>849</v>
      </c>
      <c r="B850" s="128">
        <v>8</v>
      </c>
      <c r="C850" s="156">
        <v>39692</v>
      </c>
      <c r="D850" s="176" t="s">
        <v>52</v>
      </c>
      <c r="E850" s="127">
        <v>2008</v>
      </c>
      <c r="H850" s="11"/>
      <c r="I850" s="194"/>
      <c r="J850" s="191"/>
      <c r="K850" s="191"/>
      <c r="L850" s="191"/>
      <c r="M850" s="193"/>
      <c r="N850" s="529"/>
      <c r="O850" s="191"/>
      <c r="Q850" s="193"/>
      <c r="R850" s="193"/>
      <c r="S850" s="140"/>
      <c r="T850" s="128"/>
      <c r="U850" s="128"/>
      <c r="V850" s="118"/>
      <c r="W850" s="118"/>
    </row>
    <row r="851" spans="1:23" s="127" customFormat="1" ht="12.75" customHeight="1">
      <c r="A851" s="118">
        <v>850</v>
      </c>
      <c r="B851" s="128">
        <v>8</v>
      </c>
      <c r="C851" s="156">
        <v>39722</v>
      </c>
      <c r="D851" s="176" t="s">
        <v>53</v>
      </c>
      <c r="E851" s="127">
        <v>2008</v>
      </c>
      <c r="F851" s="158">
        <f t="shared" ref="F851:F857" si="227">C851-H851</f>
        <v>0</v>
      </c>
      <c r="G851" s="158">
        <f t="shared" ref="G851:G857" si="228">IF(F851&lt;365,1,2)</f>
        <v>1</v>
      </c>
      <c r="H851" s="175">
        <v>39722</v>
      </c>
      <c r="I851" s="194">
        <v>145000</v>
      </c>
      <c r="J851" s="191"/>
      <c r="K851" s="191"/>
      <c r="L851" s="177">
        <v>0</v>
      </c>
      <c r="M851" s="193"/>
      <c r="N851" s="529" t="s">
        <v>794</v>
      </c>
      <c r="O851" s="177">
        <v>0</v>
      </c>
      <c r="Q851" s="193"/>
      <c r="R851" s="193"/>
      <c r="S851" s="140" t="s">
        <v>11</v>
      </c>
      <c r="T851" s="161"/>
      <c r="U851" s="161">
        <f t="shared" ref="U851:U857" si="229">$I851*L851</f>
        <v>0</v>
      </c>
      <c r="V851" s="161">
        <f t="shared" ref="V851:V857" si="230">$I851*O851</f>
        <v>0</v>
      </c>
      <c r="W851" s="161">
        <f t="shared" ref="W851:W857" si="231">V851*0.4</f>
        <v>0</v>
      </c>
    </row>
    <row r="852" spans="1:23" s="127" customFormat="1" ht="12.75" customHeight="1">
      <c r="A852" s="118">
        <v>851</v>
      </c>
      <c r="B852" s="128">
        <v>8</v>
      </c>
      <c r="C852" s="156">
        <v>39753</v>
      </c>
      <c r="D852" s="176" t="s">
        <v>54</v>
      </c>
      <c r="E852" s="127">
        <v>2008</v>
      </c>
      <c r="F852" s="158">
        <f t="shared" si="227"/>
        <v>31</v>
      </c>
      <c r="G852" s="158">
        <f t="shared" si="228"/>
        <v>1</v>
      </c>
      <c r="H852" s="175">
        <v>39722</v>
      </c>
      <c r="I852" s="194">
        <v>762000</v>
      </c>
      <c r="J852" s="164">
        <v>0.6</v>
      </c>
      <c r="K852" s="164">
        <v>0.16666666666666666</v>
      </c>
      <c r="L852" s="164">
        <v>0</v>
      </c>
      <c r="M852" s="193"/>
      <c r="N852" s="529"/>
      <c r="O852" s="164">
        <v>0.18333333333333335</v>
      </c>
      <c r="Q852" s="193"/>
      <c r="R852" s="193"/>
      <c r="S852" s="140"/>
      <c r="T852" s="161">
        <f t="shared" ref="T852:T857" si="232">$I852*K852</f>
        <v>127000</v>
      </c>
      <c r="U852" s="161">
        <f t="shared" si="229"/>
        <v>0</v>
      </c>
      <c r="V852" s="161">
        <f t="shared" si="230"/>
        <v>139700</v>
      </c>
      <c r="W852" s="161">
        <f t="shared" si="231"/>
        <v>55880</v>
      </c>
    </row>
    <row r="853" spans="1:23" s="127" customFormat="1" ht="12.75" customHeight="1">
      <c r="A853" s="118">
        <v>852</v>
      </c>
      <c r="B853" s="128">
        <v>8</v>
      </c>
      <c r="C853" s="156">
        <v>39783</v>
      </c>
      <c r="D853" s="176" t="s">
        <v>55</v>
      </c>
      <c r="E853" s="127">
        <v>2008</v>
      </c>
      <c r="F853" s="158">
        <f t="shared" si="227"/>
        <v>61</v>
      </c>
      <c r="G853" s="158">
        <f t="shared" si="228"/>
        <v>1</v>
      </c>
      <c r="H853" s="175">
        <v>39722</v>
      </c>
      <c r="I853" s="194">
        <v>750000</v>
      </c>
      <c r="J853" s="164">
        <v>3.55</v>
      </c>
      <c r="K853" s="164">
        <v>0.05</v>
      </c>
      <c r="L853" s="164">
        <v>0</v>
      </c>
      <c r="M853" s="193">
        <v>0</v>
      </c>
      <c r="N853" s="529"/>
      <c r="O853" s="164">
        <v>1.25</v>
      </c>
      <c r="Q853" s="193"/>
      <c r="R853" s="193"/>
      <c r="S853" s="140"/>
      <c r="T853" s="161">
        <f t="shared" si="232"/>
        <v>37500</v>
      </c>
      <c r="U853" s="161">
        <f t="shared" si="229"/>
        <v>0</v>
      </c>
      <c r="V853" s="161">
        <f t="shared" si="230"/>
        <v>937500</v>
      </c>
      <c r="W853" s="161">
        <f t="shared" si="231"/>
        <v>375000</v>
      </c>
    </row>
    <row r="854" spans="1:23" s="127" customFormat="1" ht="12.75" customHeight="1">
      <c r="A854" s="118">
        <v>853</v>
      </c>
      <c r="B854" s="128">
        <v>8</v>
      </c>
      <c r="C854" s="156">
        <v>39814</v>
      </c>
      <c r="D854" s="157" t="s">
        <v>44</v>
      </c>
      <c r="E854" s="127">
        <v>2009</v>
      </c>
      <c r="F854" s="158">
        <f t="shared" si="227"/>
        <v>92</v>
      </c>
      <c r="G854" s="158">
        <f t="shared" si="228"/>
        <v>1</v>
      </c>
      <c r="H854" s="178">
        <v>39722</v>
      </c>
      <c r="I854" s="125">
        <v>727702</v>
      </c>
      <c r="J854" s="164">
        <v>1.23</v>
      </c>
      <c r="K854" s="164">
        <v>0.12</v>
      </c>
      <c r="L854" s="164">
        <v>0</v>
      </c>
      <c r="M854" s="193">
        <v>0</v>
      </c>
      <c r="N854" s="529"/>
      <c r="O854" s="164">
        <v>0.48</v>
      </c>
      <c r="P854" s="118"/>
      <c r="Q854" s="118"/>
      <c r="R854" s="118"/>
      <c r="S854" s="155"/>
      <c r="T854" s="161">
        <f t="shared" si="232"/>
        <v>87324.239999999991</v>
      </c>
      <c r="U854" s="161">
        <f t="shared" si="229"/>
        <v>0</v>
      </c>
      <c r="V854" s="161">
        <f t="shared" si="230"/>
        <v>349296.95999999996</v>
      </c>
      <c r="W854" s="161">
        <f t="shared" si="231"/>
        <v>139718.78399999999</v>
      </c>
    </row>
    <row r="855" spans="1:23" s="127" customFormat="1" ht="12.75" customHeight="1">
      <c r="A855" s="118">
        <v>854</v>
      </c>
      <c r="B855" s="128">
        <v>8</v>
      </c>
      <c r="C855" s="156">
        <v>39845</v>
      </c>
      <c r="D855" s="157" t="s">
        <v>45</v>
      </c>
      <c r="E855" s="127">
        <v>2009</v>
      </c>
      <c r="F855" s="158">
        <f t="shared" si="227"/>
        <v>123</v>
      </c>
      <c r="G855" s="158">
        <f t="shared" si="228"/>
        <v>1</v>
      </c>
      <c r="H855" s="178">
        <v>39722</v>
      </c>
      <c r="I855" s="125">
        <v>714079</v>
      </c>
      <c r="J855" s="164">
        <v>0.46666659999999999</v>
      </c>
      <c r="K855" s="164">
        <v>0.23333329999999999</v>
      </c>
      <c r="L855" s="164">
        <v>6.6666600000000006E-2</v>
      </c>
      <c r="M855" s="193">
        <v>0</v>
      </c>
      <c r="N855" s="529"/>
      <c r="O855" s="164">
        <v>0.4</v>
      </c>
      <c r="P855" s="118">
        <v>1</v>
      </c>
      <c r="Q855" s="118"/>
      <c r="R855" s="118"/>
      <c r="S855" s="221"/>
      <c r="T855" s="161">
        <f t="shared" si="232"/>
        <v>166618.40953070001</v>
      </c>
      <c r="U855" s="161">
        <f t="shared" si="229"/>
        <v>47605.219061400006</v>
      </c>
      <c r="V855" s="161">
        <f t="shared" si="230"/>
        <v>285631.60000000003</v>
      </c>
      <c r="W855" s="161">
        <f t="shared" si="231"/>
        <v>114252.64000000001</v>
      </c>
    </row>
    <row r="856" spans="1:23" s="127" customFormat="1" ht="12.75" customHeight="1">
      <c r="A856" s="118">
        <v>855</v>
      </c>
      <c r="B856" s="128">
        <v>8</v>
      </c>
      <c r="C856" s="156">
        <v>39873</v>
      </c>
      <c r="D856" s="157" t="s">
        <v>46</v>
      </c>
      <c r="E856" s="127">
        <v>2009</v>
      </c>
      <c r="F856" s="158">
        <f t="shared" si="227"/>
        <v>151</v>
      </c>
      <c r="G856" s="158">
        <f t="shared" si="228"/>
        <v>1</v>
      </c>
      <c r="H856" s="178">
        <v>39722</v>
      </c>
      <c r="I856" s="125">
        <v>695254</v>
      </c>
      <c r="J856" s="164">
        <v>0.2</v>
      </c>
      <c r="K856" s="164">
        <v>0.15</v>
      </c>
      <c r="L856" s="164">
        <v>0.02</v>
      </c>
      <c r="M856" s="193">
        <v>0</v>
      </c>
      <c r="N856" s="529"/>
      <c r="O856" s="164">
        <v>0</v>
      </c>
      <c r="P856" s="118"/>
      <c r="Q856" s="118"/>
      <c r="R856" s="118"/>
      <c r="S856" s="221"/>
      <c r="T856" s="161">
        <f t="shared" si="232"/>
        <v>104288.09999999999</v>
      </c>
      <c r="U856" s="161">
        <f t="shared" si="229"/>
        <v>13905.08</v>
      </c>
      <c r="V856" s="161">
        <f t="shared" si="230"/>
        <v>0</v>
      </c>
      <c r="W856" s="161">
        <f t="shared" si="231"/>
        <v>0</v>
      </c>
    </row>
    <row r="857" spans="1:23" s="127" customFormat="1" ht="12.75" customHeight="1">
      <c r="A857" s="118">
        <v>856</v>
      </c>
      <c r="B857" s="128">
        <v>8</v>
      </c>
      <c r="C857" s="156">
        <v>39904</v>
      </c>
      <c r="D857" s="157" t="s">
        <v>47</v>
      </c>
      <c r="E857" s="127">
        <v>2009</v>
      </c>
      <c r="F857" s="158">
        <f t="shared" si="227"/>
        <v>182</v>
      </c>
      <c r="G857" s="158">
        <f t="shared" si="228"/>
        <v>1</v>
      </c>
      <c r="H857" s="178">
        <v>39722</v>
      </c>
      <c r="I857" s="125">
        <v>680355</v>
      </c>
      <c r="J857" s="164">
        <v>0.02</v>
      </c>
      <c r="K857" s="164">
        <v>0.03</v>
      </c>
      <c r="L857" s="164">
        <v>0</v>
      </c>
      <c r="M857" s="193"/>
      <c r="N857" s="529"/>
      <c r="O857" s="164">
        <v>7.0000000000000007E-2</v>
      </c>
      <c r="P857" s="118"/>
      <c r="Q857" s="118"/>
      <c r="R857" s="118"/>
      <c r="S857" s="221"/>
      <c r="T857" s="161">
        <f t="shared" si="232"/>
        <v>20410.649999999998</v>
      </c>
      <c r="U857" s="161">
        <f t="shared" si="229"/>
        <v>0</v>
      </c>
      <c r="V857" s="161">
        <f t="shared" si="230"/>
        <v>47624.850000000006</v>
      </c>
      <c r="W857" s="161">
        <f t="shared" si="231"/>
        <v>19049.940000000002</v>
      </c>
    </row>
    <row r="858" spans="1:23" s="127" customFormat="1" ht="12.75" customHeight="1">
      <c r="A858" s="118">
        <v>857</v>
      </c>
      <c r="B858" s="128">
        <v>8</v>
      </c>
      <c r="C858" s="156">
        <v>39934</v>
      </c>
      <c r="D858" s="157" t="s">
        <v>48</v>
      </c>
      <c r="E858" s="127">
        <v>2009</v>
      </c>
      <c r="F858" s="118"/>
      <c r="G858" s="118"/>
      <c r="H858" s="118"/>
      <c r="I858" s="125"/>
      <c r="J858" s="164"/>
      <c r="K858" s="164"/>
      <c r="L858" s="164"/>
      <c r="M858" s="193"/>
      <c r="N858" s="529"/>
      <c r="O858" s="164"/>
      <c r="P858" s="118"/>
      <c r="Q858" s="118"/>
      <c r="R858" s="118"/>
      <c r="S858" s="221" t="s">
        <v>315</v>
      </c>
      <c r="T858" s="118"/>
      <c r="U858" s="118"/>
      <c r="V858" s="118"/>
      <c r="W858" s="118"/>
    </row>
    <row r="859" spans="1:23" s="127" customFormat="1" ht="12.75" customHeight="1">
      <c r="A859" s="118">
        <v>858</v>
      </c>
      <c r="B859" s="128">
        <v>8</v>
      </c>
      <c r="C859" s="156">
        <v>39965</v>
      </c>
      <c r="D859" s="157" t="s">
        <v>49</v>
      </c>
      <c r="E859" s="127">
        <v>2009</v>
      </c>
      <c r="F859" s="118"/>
      <c r="G859" s="118"/>
      <c r="H859" s="118"/>
      <c r="I859" s="125"/>
      <c r="J859" s="164"/>
      <c r="K859" s="164"/>
      <c r="L859" s="164"/>
      <c r="M859" s="193"/>
      <c r="N859" s="529"/>
      <c r="O859" s="164"/>
      <c r="P859" s="118"/>
      <c r="Q859" s="118"/>
      <c r="R859" s="118"/>
      <c r="S859" s="221"/>
      <c r="T859" s="118"/>
      <c r="U859" s="118"/>
      <c r="V859" s="118"/>
      <c r="W859" s="118"/>
    </row>
    <row r="860" spans="1:23" s="127" customFormat="1" ht="12.75" customHeight="1">
      <c r="A860" s="118">
        <v>859</v>
      </c>
      <c r="B860" s="128">
        <v>8</v>
      </c>
      <c r="C860" s="156">
        <v>39995</v>
      </c>
      <c r="D860" s="157" t="s">
        <v>50</v>
      </c>
      <c r="E860" s="127">
        <v>2009</v>
      </c>
      <c r="F860" s="118"/>
      <c r="G860" s="118"/>
      <c r="H860" s="118"/>
      <c r="I860" s="125"/>
      <c r="J860" s="164"/>
      <c r="K860" s="164"/>
      <c r="L860" s="164"/>
      <c r="M860" s="193"/>
      <c r="N860" s="529"/>
      <c r="O860" s="164"/>
      <c r="P860" s="118"/>
      <c r="Q860" s="118"/>
      <c r="R860" s="118"/>
      <c r="S860" s="221"/>
      <c r="T860" s="118"/>
      <c r="U860" s="118"/>
      <c r="V860" s="118"/>
      <c r="W860" s="118"/>
    </row>
    <row r="861" spans="1:23" s="127" customFormat="1" ht="12.75" customHeight="1">
      <c r="A861" s="118">
        <v>860</v>
      </c>
      <c r="B861" s="128">
        <v>8</v>
      </c>
      <c r="C861" s="156">
        <v>40026</v>
      </c>
      <c r="D861" s="157" t="s">
        <v>51</v>
      </c>
      <c r="E861" s="127">
        <v>2009</v>
      </c>
      <c r="F861" s="118"/>
      <c r="G861" s="118"/>
      <c r="H861" s="118"/>
      <c r="I861" s="125"/>
      <c r="J861" s="164"/>
      <c r="K861" s="164"/>
      <c r="L861" s="164"/>
      <c r="M861" s="193"/>
      <c r="N861" s="529"/>
      <c r="O861" s="164"/>
      <c r="P861" s="118"/>
      <c r="Q861" s="118"/>
      <c r="R861" s="118"/>
      <c r="S861" s="221"/>
      <c r="T861" s="118"/>
      <c r="U861" s="118"/>
      <c r="V861" s="118"/>
      <c r="W861" s="118"/>
    </row>
    <row r="862" spans="1:23" s="127" customFormat="1" ht="12.75" customHeight="1">
      <c r="A862" s="118">
        <v>861</v>
      </c>
      <c r="B862" s="128">
        <v>8</v>
      </c>
      <c r="C862" s="156">
        <v>40057</v>
      </c>
      <c r="D862" s="157" t="s">
        <v>52</v>
      </c>
      <c r="E862" s="127">
        <v>2009</v>
      </c>
      <c r="F862" s="118"/>
      <c r="G862" s="118"/>
      <c r="H862" s="118"/>
      <c r="I862" s="125"/>
      <c r="J862" s="164"/>
      <c r="K862" s="164"/>
      <c r="L862" s="164"/>
      <c r="M862" s="193"/>
      <c r="N862" s="529"/>
      <c r="O862" s="164"/>
      <c r="P862" s="118"/>
      <c r="Q862" s="118"/>
      <c r="R862" s="118"/>
      <c r="S862" s="221"/>
      <c r="T862" s="118"/>
      <c r="U862" s="118"/>
      <c r="V862" s="118"/>
      <c r="W862" s="118"/>
    </row>
    <row r="863" spans="1:23" s="127" customFormat="1" ht="12.75" customHeight="1">
      <c r="A863" s="118">
        <v>862</v>
      </c>
      <c r="B863" s="128">
        <v>8</v>
      </c>
      <c r="C863" s="156">
        <v>40087</v>
      </c>
      <c r="D863" s="157" t="s">
        <v>53</v>
      </c>
      <c r="E863" s="127">
        <v>2009</v>
      </c>
      <c r="F863" s="158">
        <f t="shared" ref="F863:F865" si="233">C863-H863</f>
        <v>0</v>
      </c>
      <c r="G863" s="158">
        <f t="shared" ref="G863:G865" si="234">IF(F863&lt;365,1,2)</f>
        <v>1</v>
      </c>
      <c r="H863" s="178">
        <v>40087</v>
      </c>
      <c r="I863" s="125">
        <v>119884</v>
      </c>
      <c r="J863" s="164"/>
      <c r="K863" s="164"/>
      <c r="L863" s="177">
        <v>0</v>
      </c>
      <c r="M863" s="193"/>
      <c r="N863" s="529" t="s">
        <v>794</v>
      </c>
      <c r="O863" s="177">
        <v>0</v>
      </c>
      <c r="P863" s="118"/>
      <c r="Q863" s="118"/>
      <c r="R863" s="118"/>
      <c r="S863" s="2" t="s">
        <v>411</v>
      </c>
      <c r="T863" s="161"/>
      <c r="U863" s="161">
        <f t="shared" ref="U863:U865" si="235">$I863*L863</f>
        <v>0</v>
      </c>
      <c r="V863" s="161">
        <f t="shared" ref="V863:V865" si="236">$I863*O863</f>
        <v>0</v>
      </c>
      <c r="W863" s="161">
        <f t="shared" ref="W863:W865" si="237">V863*0.4</f>
        <v>0</v>
      </c>
    </row>
    <row r="864" spans="1:23" s="127" customFormat="1" ht="12.75" customHeight="1">
      <c r="A864" s="118">
        <v>863</v>
      </c>
      <c r="B864" s="128">
        <v>8</v>
      </c>
      <c r="C864" s="156">
        <v>40118</v>
      </c>
      <c r="D864" s="157" t="s">
        <v>54</v>
      </c>
      <c r="E864" s="127">
        <v>2009</v>
      </c>
      <c r="F864" s="158">
        <f t="shared" si="233"/>
        <v>31</v>
      </c>
      <c r="G864" s="158">
        <f t="shared" si="234"/>
        <v>1</v>
      </c>
      <c r="H864" s="178">
        <v>40087</v>
      </c>
      <c r="I864" s="125">
        <v>325715</v>
      </c>
      <c r="J864" s="164">
        <v>0</v>
      </c>
      <c r="K864" s="164">
        <v>0</v>
      </c>
      <c r="L864" s="164">
        <v>0</v>
      </c>
      <c r="M864" s="193"/>
      <c r="N864" s="529"/>
      <c r="O864" s="164">
        <v>0.05</v>
      </c>
      <c r="P864" s="118"/>
      <c r="Q864" s="118"/>
      <c r="R864" s="118"/>
      <c r="S864" s="221"/>
      <c r="T864" s="161">
        <f t="shared" ref="T864:T865" si="238">$I864*K864</f>
        <v>0</v>
      </c>
      <c r="U864" s="161">
        <f t="shared" si="235"/>
        <v>0</v>
      </c>
      <c r="V864" s="161">
        <f t="shared" si="236"/>
        <v>16285.75</v>
      </c>
      <c r="W864" s="161">
        <f t="shared" si="237"/>
        <v>6514.3</v>
      </c>
    </row>
    <row r="865" spans="1:23" s="127" customFormat="1" ht="12.75" customHeight="1">
      <c r="A865" s="118">
        <v>864</v>
      </c>
      <c r="B865" s="128">
        <v>8</v>
      </c>
      <c r="C865" s="156">
        <v>40148</v>
      </c>
      <c r="D865" s="157" t="s">
        <v>55</v>
      </c>
      <c r="E865" s="127">
        <v>2009</v>
      </c>
      <c r="F865" s="158">
        <f t="shared" si="233"/>
        <v>61</v>
      </c>
      <c r="G865" s="158">
        <f t="shared" si="234"/>
        <v>1</v>
      </c>
      <c r="H865" s="178">
        <v>40087</v>
      </c>
      <c r="I865" s="125">
        <v>324449</v>
      </c>
      <c r="J865" s="164">
        <v>1.6666666666666666E-2</v>
      </c>
      <c r="K865" s="164">
        <v>0.71666666666666667</v>
      </c>
      <c r="L865" s="164">
        <v>0</v>
      </c>
      <c r="M865" s="193"/>
      <c r="N865" s="529"/>
      <c r="O865" s="164">
        <v>1.6666666666666666E-2</v>
      </c>
      <c r="P865" s="118">
        <v>1</v>
      </c>
      <c r="Q865" s="118"/>
      <c r="R865" s="118"/>
      <c r="S865" s="221"/>
      <c r="T865" s="161">
        <f t="shared" si="238"/>
        <v>232521.78333333333</v>
      </c>
      <c r="U865" s="161">
        <f t="shared" si="235"/>
        <v>0</v>
      </c>
      <c r="V865" s="161">
        <f t="shared" si="236"/>
        <v>5407.4833333333336</v>
      </c>
      <c r="W865" s="161">
        <f t="shared" si="237"/>
        <v>2162.9933333333333</v>
      </c>
    </row>
    <row r="866" spans="1:23" s="127" customFormat="1" ht="12.75" customHeight="1">
      <c r="A866" s="118">
        <v>865</v>
      </c>
      <c r="B866" s="128">
        <v>9</v>
      </c>
      <c r="C866" s="156">
        <v>36526</v>
      </c>
      <c r="D866" s="157" t="s">
        <v>44</v>
      </c>
      <c r="E866" s="8">
        <v>2000</v>
      </c>
      <c r="F866" s="158">
        <f t="shared" ref="F866:F874" si="239">C866-H866</f>
        <v>306</v>
      </c>
      <c r="G866" s="158">
        <f t="shared" ref="G866:G874" si="240">IF(F866&lt;365,1,2)</f>
        <v>1</v>
      </c>
      <c r="H866" s="162">
        <v>36220</v>
      </c>
      <c r="I866" s="163">
        <v>215463</v>
      </c>
      <c r="J866" s="11"/>
      <c r="K866" s="166"/>
      <c r="L866" s="11"/>
      <c r="M866" s="174"/>
      <c r="N866" s="528"/>
      <c r="O866" s="11"/>
      <c r="P866" s="8"/>
      <c r="Q866" s="11"/>
      <c r="R866" s="11"/>
      <c r="S866" s="155"/>
      <c r="T866" s="166"/>
      <c r="U866" s="161"/>
      <c r="V866" s="11"/>
      <c r="W866" s="11"/>
    </row>
    <row r="867" spans="1:23" s="127" customFormat="1" ht="12.75" customHeight="1">
      <c r="A867" s="118">
        <v>866</v>
      </c>
      <c r="B867" s="128">
        <v>9</v>
      </c>
      <c r="C867" s="156">
        <v>36557</v>
      </c>
      <c r="D867" s="157" t="s">
        <v>45</v>
      </c>
      <c r="E867" s="8">
        <v>2000</v>
      </c>
      <c r="F867" s="158">
        <f t="shared" si="239"/>
        <v>337</v>
      </c>
      <c r="G867" s="158">
        <f t="shared" si="240"/>
        <v>1</v>
      </c>
      <c r="H867" s="162">
        <v>36220</v>
      </c>
      <c r="I867" s="163">
        <v>215235</v>
      </c>
      <c r="J867" s="11"/>
      <c r="K867" s="166"/>
      <c r="L867" s="11"/>
      <c r="M867" s="174"/>
      <c r="N867" s="528"/>
      <c r="O867" s="11"/>
      <c r="P867" s="8"/>
      <c r="Q867" s="11"/>
      <c r="R867" s="11"/>
      <c r="S867" s="155"/>
      <c r="T867" s="166"/>
      <c r="U867" s="161"/>
      <c r="V867" s="11"/>
      <c r="W867" s="11"/>
    </row>
    <row r="868" spans="1:23" s="127" customFormat="1" ht="12.75" customHeight="1">
      <c r="A868" s="118">
        <v>867</v>
      </c>
      <c r="B868" s="128">
        <v>9</v>
      </c>
      <c r="C868" s="156">
        <v>36586</v>
      </c>
      <c r="D868" s="157" t="s">
        <v>46</v>
      </c>
      <c r="E868" s="8">
        <v>2000</v>
      </c>
      <c r="F868" s="158">
        <f t="shared" si="239"/>
        <v>366</v>
      </c>
      <c r="G868" s="158">
        <f t="shared" si="240"/>
        <v>2</v>
      </c>
      <c r="H868" s="162">
        <v>36220</v>
      </c>
      <c r="I868" s="163">
        <v>215024</v>
      </c>
      <c r="J868" s="11"/>
      <c r="K868" s="166"/>
      <c r="L868" s="11"/>
      <c r="M868" s="174"/>
      <c r="N868" s="528"/>
      <c r="O868" s="11"/>
      <c r="P868" s="8"/>
      <c r="Q868" s="11"/>
      <c r="R868" s="11"/>
      <c r="S868" s="155"/>
      <c r="T868" s="166"/>
      <c r="U868" s="161"/>
      <c r="V868" s="11"/>
      <c r="W868" s="11"/>
    </row>
    <row r="869" spans="1:23" s="127" customFormat="1" ht="12.75" customHeight="1">
      <c r="A869" s="118">
        <v>868</v>
      </c>
      <c r="B869" s="128">
        <v>9</v>
      </c>
      <c r="C869" s="156">
        <v>36617</v>
      </c>
      <c r="D869" s="157" t="s">
        <v>47</v>
      </c>
      <c r="E869" s="8">
        <v>2000</v>
      </c>
      <c r="F869" s="158">
        <f t="shared" si="239"/>
        <v>397</v>
      </c>
      <c r="G869" s="158">
        <f t="shared" si="240"/>
        <v>2</v>
      </c>
      <c r="H869" s="162">
        <v>36220</v>
      </c>
      <c r="I869" s="163">
        <v>214329</v>
      </c>
      <c r="J869" s="11"/>
      <c r="K869" s="166"/>
      <c r="L869" s="11"/>
      <c r="M869" s="174"/>
      <c r="N869" s="528"/>
      <c r="O869" s="11"/>
      <c r="P869" s="8"/>
      <c r="Q869" s="11"/>
      <c r="R869" s="11"/>
      <c r="S869" s="155"/>
      <c r="T869" s="166"/>
      <c r="U869" s="161"/>
      <c r="V869" s="11"/>
      <c r="W869" s="11"/>
    </row>
    <row r="870" spans="1:23" s="127" customFormat="1" ht="12.75" customHeight="1">
      <c r="A870" s="118">
        <v>869</v>
      </c>
      <c r="B870" s="128">
        <v>9</v>
      </c>
      <c r="C870" s="156">
        <v>36647</v>
      </c>
      <c r="D870" s="157" t="s">
        <v>48</v>
      </c>
      <c r="E870" s="8">
        <v>2000</v>
      </c>
      <c r="F870" s="158">
        <f t="shared" si="239"/>
        <v>427</v>
      </c>
      <c r="G870" s="158">
        <f t="shared" si="240"/>
        <v>2</v>
      </c>
      <c r="H870" s="162">
        <v>36220</v>
      </c>
      <c r="I870" s="163">
        <v>214169</v>
      </c>
      <c r="J870" s="11"/>
      <c r="K870" s="166"/>
      <c r="L870" s="11"/>
      <c r="M870" s="174"/>
      <c r="N870" s="528"/>
      <c r="O870" s="11"/>
      <c r="P870" s="8"/>
      <c r="Q870" s="11"/>
      <c r="R870" s="11"/>
      <c r="S870" s="155"/>
      <c r="T870" s="166"/>
      <c r="U870" s="161"/>
      <c r="V870" s="11"/>
      <c r="W870" s="11"/>
    </row>
    <row r="871" spans="1:23" s="127" customFormat="1" ht="12.75" customHeight="1">
      <c r="A871" s="118">
        <v>870</v>
      </c>
      <c r="B871" s="128">
        <v>9</v>
      </c>
      <c r="C871" s="156">
        <v>36678</v>
      </c>
      <c r="D871" s="157" t="s">
        <v>49</v>
      </c>
      <c r="E871" s="8">
        <v>2000</v>
      </c>
      <c r="F871" s="158">
        <f t="shared" si="239"/>
        <v>458</v>
      </c>
      <c r="G871" s="158">
        <f t="shared" si="240"/>
        <v>2</v>
      </c>
      <c r="H871" s="162">
        <v>36220</v>
      </c>
      <c r="I871" s="163">
        <v>214538</v>
      </c>
      <c r="J871" s="11"/>
      <c r="K871" s="166"/>
      <c r="L871" s="11"/>
      <c r="M871" s="174"/>
      <c r="N871" s="528"/>
      <c r="O871" s="11"/>
      <c r="P871" s="8"/>
      <c r="Q871" s="11"/>
      <c r="R871" s="11"/>
      <c r="S871" s="155"/>
      <c r="T871" s="166"/>
      <c r="U871" s="161"/>
      <c r="V871" s="11"/>
      <c r="W871" s="11"/>
    </row>
    <row r="872" spans="1:23" ht="12.75" customHeight="1">
      <c r="A872" s="118">
        <v>871</v>
      </c>
      <c r="B872" s="128">
        <v>9</v>
      </c>
      <c r="C872" s="156">
        <v>36708</v>
      </c>
      <c r="D872" s="157" t="s">
        <v>50</v>
      </c>
      <c r="E872" s="8">
        <v>2000</v>
      </c>
      <c r="F872" s="158">
        <f t="shared" si="239"/>
        <v>488</v>
      </c>
      <c r="G872" s="158">
        <f t="shared" si="240"/>
        <v>2</v>
      </c>
      <c r="H872" s="162">
        <v>36220</v>
      </c>
      <c r="I872" s="163">
        <v>210536</v>
      </c>
      <c r="J872" s="11"/>
      <c r="K872" s="166"/>
      <c r="L872" s="11"/>
      <c r="Q872" s="15"/>
      <c r="R872" s="15"/>
      <c r="T872" s="166"/>
    </row>
    <row r="873" spans="1:23" s="127" customFormat="1" ht="12.75" customHeight="1">
      <c r="A873" s="118">
        <v>872</v>
      </c>
      <c r="B873" s="128">
        <v>9</v>
      </c>
      <c r="C873" s="156">
        <v>36739</v>
      </c>
      <c r="D873" s="157" t="s">
        <v>51</v>
      </c>
      <c r="E873" s="8">
        <v>2000</v>
      </c>
      <c r="F873" s="158">
        <f t="shared" si="239"/>
        <v>519</v>
      </c>
      <c r="G873" s="158">
        <f t="shared" si="240"/>
        <v>2</v>
      </c>
      <c r="H873" s="162">
        <v>36220</v>
      </c>
      <c r="I873" s="163">
        <v>172979</v>
      </c>
      <c r="J873" s="11"/>
      <c r="K873" s="166"/>
      <c r="L873" s="11"/>
      <c r="M873" s="174"/>
      <c r="N873" s="528"/>
      <c r="O873" s="11"/>
      <c r="P873" s="8"/>
      <c r="Q873" s="11"/>
      <c r="R873" s="11"/>
      <c r="S873" s="155" t="s">
        <v>30</v>
      </c>
      <c r="T873" s="166"/>
      <c r="U873" s="161"/>
      <c r="V873" s="11"/>
      <c r="W873" s="11"/>
    </row>
    <row r="874" spans="1:23" s="127" customFormat="1" ht="12.75" customHeight="1">
      <c r="A874" s="118">
        <v>873</v>
      </c>
      <c r="B874" s="128">
        <v>9</v>
      </c>
      <c r="C874" s="156">
        <v>36770</v>
      </c>
      <c r="D874" s="157" t="s">
        <v>52</v>
      </c>
      <c r="E874" s="8">
        <v>2000</v>
      </c>
      <c r="F874" s="158">
        <f t="shared" si="239"/>
        <v>550</v>
      </c>
      <c r="G874" s="158">
        <f t="shared" si="240"/>
        <v>2</v>
      </c>
      <c r="H874" s="162">
        <v>36220</v>
      </c>
      <c r="I874" s="163">
        <v>164468</v>
      </c>
      <c r="J874" s="11"/>
      <c r="K874" s="11"/>
      <c r="L874" s="11"/>
      <c r="M874" s="174"/>
      <c r="N874" s="528"/>
      <c r="O874" s="11"/>
      <c r="P874" s="8"/>
      <c r="Q874" s="11"/>
      <c r="R874" s="11"/>
      <c r="S874" s="155"/>
      <c r="T874" s="11"/>
      <c r="U874" s="161"/>
      <c r="V874" s="11"/>
      <c r="W874" s="11"/>
    </row>
    <row r="875" spans="1:23" s="127" customFormat="1" ht="12.75" customHeight="1">
      <c r="A875" s="118">
        <v>874</v>
      </c>
      <c r="B875" s="128">
        <v>9</v>
      </c>
      <c r="C875" s="156">
        <v>36800</v>
      </c>
      <c r="D875" s="157" t="s">
        <v>53</v>
      </c>
      <c r="E875" s="8">
        <v>2000</v>
      </c>
      <c r="F875" s="158"/>
      <c r="G875" s="162"/>
      <c r="H875" s="11"/>
      <c r="I875" s="163"/>
      <c r="J875" s="11"/>
      <c r="K875" s="11"/>
      <c r="L875" s="11"/>
      <c r="M875" s="174"/>
      <c r="N875" s="528"/>
      <c r="O875" s="11"/>
      <c r="P875" s="8"/>
      <c r="Q875" s="11"/>
      <c r="R875" s="11"/>
      <c r="S875" s="155"/>
      <c r="T875" s="11"/>
      <c r="U875" s="161"/>
      <c r="V875" s="11"/>
      <c r="W875" s="11"/>
    </row>
    <row r="876" spans="1:23" s="127" customFormat="1" ht="12.75" customHeight="1">
      <c r="A876" s="118">
        <v>875</v>
      </c>
      <c r="B876" s="128">
        <v>9</v>
      </c>
      <c r="C876" s="156">
        <v>36831</v>
      </c>
      <c r="D876" s="157" t="s">
        <v>54</v>
      </c>
      <c r="E876" s="8">
        <v>2000</v>
      </c>
      <c r="F876" s="158"/>
      <c r="G876" s="162"/>
      <c r="H876" s="11"/>
      <c r="I876" s="163"/>
      <c r="J876" s="11"/>
      <c r="K876" s="11"/>
      <c r="L876" s="11"/>
      <c r="M876" s="174"/>
      <c r="N876" s="528"/>
      <c r="O876" s="11"/>
      <c r="P876" s="8"/>
      <c r="Q876" s="11"/>
      <c r="R876" s="11"/>
      <c r="S876" s="155"/>
      <c r="T876" s="11"/>
      <c r="U876" s="161"/>
      <c r="V876" s="11"/>
      <c r="W876" s="11"/>
    </row>
    <row r="877" spans="1:23" s="127" customFormat="1" ht="12.75" customHeight="1">
      <c r="A877" s="118">
        <v>876</v>
      </c>
      <c r="B877" s="128">
        <v>9</v>
      </c>
      <c r="C877" s="156">
        <v>36861</v>
      </c>
      <c r="D877" s="157" t="s">
        <v>55</v>
      </c>
      <c r="E877" s="8">
        <v>2000</v>
      </c>
      <c r="F877" s="158"/>
      <c r="G877" s="162"/>
      <c r="H877" s="11"/>
      <c r="I877" s="163"/>
      <c r="J877" s="11"/>
      <c r="K877" s="11"/>
      <c r="L877" s="11"/>
      <c r="M877" s="174"/>
      <c r="N877" s="528"/>
      <c r="O877" s="11"/>
      <c r="P877" s="8"/>
      <c r="Q877" s="11"/>
      <c r="R877" s="11"/>
      <c r="S877" s="155"/>
      <c r="T877" s="11"/>
      <c r="U877" s="161"/>
      <c r="V877" s="11"/>
      <c r="W877" s="11"/>
    </row>
    <row r="878" spans="1:23" s="127" customFormat="1" ht="12.75" customHeight="1">
      <c r="A878" s="118">
        <v>877</v>
      </c>
      <c r="B878" s="128">
        <v>9</v>
      </c>
      <c r="C878" s="156">
        <v>36892</v>
      </c>
      <c r="D878" s="157" t="s">
        <v>44</v>
      </c>
      <c r="E878" s="8">
        <v>2001</v>
      </c>
      <c r="F878" s="158"/>
      <c r="G878" s="162"/>
      <c r="H878" s="11"/>
      <c r="I878" s="163"/>
      <c r="J878" s="11"/>
      <c r="K878" s="11"/>
      <c r="L878" s="11"/>
      <c r="M878" s="174"/>
      <c r="N878" s="528"/>
      <c r="O878" s="11"/>
      <c r="P878" s="8"/>
      <c r="Q878" s="11"/>
      <c r="R878" s="11"/>
      <c r="S878" s="155"/>
      <c r="T878" s="11"/>
      <c r="U878" s="161"/>
      <c r="V878" s="11"/>
      <c r="W878" s="11"/>
    </row>
    <row r="879" spans="1:23" s="127" customFormat="1" ht="12.75" customHeight="1">
      <c r="A879" s="118">
        <v>878</v>
      </c>
      <c r="B879" s="128">
        <v>9</v>
      </c>
      <c r="C879" s="156">
        <v>36923</v>
      </c>
      <c r="D879" s="157" t="s">
        <v>45</v>
      </c>
      <c r="E879" s="8">
        <v>2001</v>
      </c>
      <c r="F879" s="158">
        <f t="shared" ref="F879:F892" si="241">C879-H879</f>
        <v>276</v>
      </c>
      <c r="G879" s="158">
        <f t="shared" ref="G879:G892" si="242">IF(F879&lt;365,1,2)</f>
        <v>1</v>
      </c>
      <c r="H879" s="162">
        <v>36647</v>
      </c>
      <c r="I879" s="163">
        <v>514395</v>
      </c>
      <c r="J879" s="11"/>
      <c r="K879" s="11"/>
      <c r="L879" s="11"/>
      <c r="M879" s="174"/>
      <c r="N879" s="528"/>
      <c r="O879" s="11"/>
      <c r="P879" s="8"/>
      <c r="Q879" s="11"/>
      <c r="R879" s="11"/>
      <c r="S879" s="155" t="s">
        <v>316</v>
      </c>
      <c r="T879" s="11"/>
      <c r="U879" s="161"/>
      <c r="V879" s="11"/>
      <c r="W879" s="11"/>
    </row>
    <row r="880" spans="1:23" s="127" customFormat="1" ht="12.75" customHeight="1">
      <c r="A880" s="118">
        <v>879</v>
      </c>
      <c r="B880" s="128">
        <v>9</v>
      </c>
      <c r="C880" s="156">
        <v>36951</v>
      </c>
      <c r="D880" s="157" t="s">
        <v>46</v>
      </c>
      <c r="E880" s="8">
        <v>2001</v>
      </c>
      <c r="F880" s="158">
        <f t="shared" si="241"/>
        <v>304</v>
      </c>
      <c r="G880" s="158">
        <f t="shared" si="242"/>
        <v>1</v>
      </c>
      <c r="H880" s="162">
        <v>36647</v>
      </c>
      <c r="I880" s="163">
        <v>513927</v>
      </c>
      <c r="J880" s="11"/>
      <c r="K880" s="11"/>
      <c r="L880" s="11"/>
      <c r="M880" s="174"/>
      <c r="N880" s="528"/>
      <c r="O880" s="11"/>
      <c r="P880" s="8"/>
      <c r="Q880" s="11"/>
      <c r="R880" s="11"/>
      <c r="S880" s="155"/>
      <c r="T880" s="11"/>
      <c r="U880" s="161"/>
      <c r="V880" s="11"/>
      <c r="W880" s="11"/>
    </row>
    <row r="881" spans="1:23" s="127" customFormat="1" ht="12.75" customHeight="1">
      <c r="A881" s="118">
        <v>880</v>
      </c>
      <c r="B881" s="128">
        <v>9</v>
      </c>
      <c r="C881" s="156">
        <v>36982</v>
      </c>
      <c r="D881" s="157" t="s">
        <v>47</v>
      </c>
      <c r="E881" s="8">
        <v>2001</v>
      </c>
      <c r="F881" s="158">
        <f t="shared" si="241"/>
        <v>335</v>
      </c>
      <c r="G881" s="158">
        <f t="shared" si="242"/>
        <v>1</v>
      </c>
      <c r="H881" s="162">
        <v>36647</v>
      </c>
      <c r="I881" s="163">
        <v>513392</v>
      </c>
      <c r="J881" s="15"/>
      <c r="K881" s="15"/>
      <c r="L881" s="203">
        <v>4</v>
      </c>
      <c r="M881" s="174"/>
      <c r="N881" s="528" t="s">
        <v>796</v>
      </c>
      <c r="O881" s="203">
        <v>0</v>
      </c>
      <c r="P881" s="8"/>
      <c r="Q881" s="11"/>
      <c r="R881" s="11"/>
      <c r="S881" s="155"/>
      <c r="T881" s="15"/>
      <c r="U881" s="161">
        <f t="shared" ref="U881:U886" si="243">$I881*L881</f>
        <v>2053568</v>
      </c>
      <c r="V881" s="161">
        <f t="shared" ref="V881:V886" si="244">$I881*O881</f>
        <v>0</v>
      </c>
      <c r="W881" s="161">
        <f t="shared" ref="W881:W886" si="245">V881*0.4</f>
        <v>0</v>
      </c>
    </row>
    <row r="882" spans="1:23" s="127" customFormat="1" ht="12.75" customHeight="1">
      <c r="A882" s="118">
        <v>881</v>
      </c>
      <c r="B882" s="128">
        <v>9</v>
      </c>
      <c r="C882" s="156">
        <v>37012</v>
      </c>
      <c r="D882" s="157" t="s">
        <v>48</v>
      </c>
      <c r="E882" s="8">
        <v>2001</v>
      </c>
      <c r="F882" s="158">
        <f t="shared" si="241"/>
        <v>365</v>
      </c>
      <c r="G882" s="158">
        <f t="shared" si="242"/>
        <v>2</v>
      </c>
      <c r="H882" s="162">
        <v>36647</v>
      </c>
      <c r="I882" s="163">
        <v>513056</v>
      </c>
      <c r="J882" s="15">
        <v>10.4</v>
      </c>
      <c r="K882" s="15">
        <v>21.8</v>
      </c>
      <c r="L882" s="15">
        <v>6.9</v>
      </c>
      <c r="M882" s="174"/>
      <c r="N882" s="528"/>
      <c r="O882" s="15">
        <v>0</v>
      </c>
      <c r="P882" s="8"/>
      <c r="Q882" s="11"/>
      <c r="R882" s="11"/>
      <c r="S882" s="155"/>
      <c r="T882" s="161">
        <f>$I882*K882</f>
        <v>11184620.800000001</v>
      </c>
      <c r="U882" s="161">
        <f t="shared" si="243"/>
        <v>3540086.4000000004</v>
      </c>
      <c r="V882" s="161">
        <f t="shared" si="244"/>
        <v>0</v>
      </c>
      <c r="W882" s="161">
        <f t="shared" si="245"/>
        <v>0</v>
      </c>
    </row>
    <row r="883" spans="1:23" s="127" customFormat="1" ht="12.75" customHeight="1">
      <c r="A883" s="118">
        <v>882</v>
      </c>
      <c r="B883" s="128">
        <v>9</v>
      </c>
      <c r="C883" s="156">
        <v>37043</v>
      </c>
      <c r="D883" s="157" t="s">
        <v>49</v>
      </c>
      <c r="E883" s="8">
        <v>2001</v>
      </c>
      <c r="F883" s="158">
        <f t="shared" si="241"/>
        <v>396</v>
      </c>
      <c r="G883" s="158">
        <f t="shared" si="242"/>
        <v>2</v>
      </c>
      <c r="H883" s="162">
        <v>36647</v>
      </c>
      <c r="I883" s="163">
        <v>511965</v>
      </c>
      <c r="J883" s="173"/>
      <c r="K883" s="165">
        <f>(K882+K884)/2</f>
        <v>22.774999999999999</v>
      </c>
      <c r="L883" s="165">
        <f>(L882+L884)/2</f>
        <v>7.55</v>
      </c>
      <c r="M883" s="174"/>
      <c r="N883" s="528">
        <v>1</v>
      </c>
      <c r="O883" s="165">
        <f>(O882+O884)/2</f>
        <v>0</v>
      </c>
      <c r="P883" s="8"/>
      <c r="Q883" s="11">
        <v>10</v>
      </c>
      <c r="R883" s="11"/>
      <c r="S883" s="155"/>
      <c r="T883" s="161">
        <f>$I883*K883</f>
        <v>11660002.875</v>
      </c>
      <c r="U883" s="161">
        <f t="shared" si="243"/>
        <v>3865335.75</v>
      </c>
      <c r="V883" s="161">
        <f t="shared" si="244"/>
        <v>0</v>
      </c>
      <c r="W883" s="161">
        <f t="shared" si="245"/>
        <v>0</v>
      </c>
    </row>
    <row r="884" spans="1:23" s="127" customFormat="1" ht="12.75" customHeight="1">
      <c r="A884" s="118">
        <v>883</v>
      </c>
      <c r="B884" s="128">
        <v>9</v>
      </c>
      <c r="C884" s="156">
        <v>37073</v>
      </c>
      <c r="D884" s="157" t="s">
        <v>50</v>
      </c>
      <c r="E884" s="8">
        <v>2001</v>
      </c>
      <c r="F884" s="158">
        <f t="shared" si="241"/>
        <v>426</v>
      </c>
      <c r="G884" s="158">
        <f t="shared" si="242"/>
        <v>2</v>
      </c>
      <c r="H884" s="162">
        <v>36647</v>
      </c>
      <c r="I884" s="163">
        <v>498493</v>
      </c>
      <c r="J884" s="11">
        <v>11.95</v>
      </c>
      <c r="K884" s="11">
        <v>23.75</v>
      </c>
      <c r="L884" s="11">
        <v>8.1999999999999993</v>
      </c>
      <c r="M884" s="174"/>
      <c r="N884" s="528"/>
      <c r="O884" s="11">
        <v>0</v>
      </c>
      <c r="P884" s="8">
        <v>1</v>
      </c>
      <c r="Q884" s="11"/>
      <c r="R884" s="11"/>
      <c r="S884" s="155"/>
      <c r="T884" s="161">
        <f>$I884*K884</f>
        <v>11839208.75</v>
      </c>
      <c r="U884" s="161">
        <f t="shared" si="243"/>
        <v>4087642.5999999996</v>
      </c>
      <c r="V884" s="161">
        <f t="shared" si="244"/>
        <v>0</v>
      </c>
      <c r="W884" s="161">
        <f t="shared" si="245"/>
        <v>0</v>
      </c>
    </row>
    <row r="885" spans="1:23" s="127" customFormat="1" ht="12.75" customHeight="1">
      <c r="A885" s="118">
        <v>884</v>
      </c>
      <c r="B885" s="259">
        <v>9</v>
      </c>
      <c r="C885" s="156">
        <v>37104</v>
      </c>
      <c r="D885" s="157" t="s">
        <v>51</v>
      </c>
      <c r="E885" s="8">
        <v>2001</v>
      </c>
      <c r="F885" s="158">
        <f t="shared" si="241"/>
        <v>457</v>
      </c>
      <c r="G885" s="158">
        <f t="shared" si="242"/>
        <v>2</v>
      </c>
      <c r="H885" s="162">
        <v>36647</v>
      </c>
      <c r="I885" s="163">
        <v>484500</v>
      </c>
      <c r="J885" s="11">
        <v>0.5</v>
      </c>
      <c r="K885" s="11">
        <v>1.2</v>
      </c>
      <c r="L885" s="11">
        <v>0.53</v>
      </c>
      <c r="M885" s="174">
        <v>0</v>
      </c>
      <c r="N885" s="528"/>
      <c r="O885" s="11">
        <v>0</v>
      </c>
      <c r="P885" s="8"/>
      <c r="Q885" s="11">
        <v>10.5</v>
      </c>
      <c r="R885" s="11"/>
      <c r="S885" s="155"/>
      <c r="T885" s="161">
        <f>$I885*K885</f>
        <v>581400</v>
      </c>
      <c r="U885" s="161">
        <f t="shared" si="243"/>
        <v>256785</v>
      </c>
      <c r="V885" s="161">
        <f t="shared" si="244"/>
        <v>0</v>
      </c>
      <c r="W885" s="161">
        <f t="shared" si="245"/>
        <v>0</v>
      </c>
    </row>
    <row r="886" spans="1:23" s="127" customFormat="1" ht="12.75" customHeight="1">
      <c r="A886" s="118">
        <v>885</v>
      </c>
      <c r="B886" s="259">
        <v>9</v>
      </c>
      <c r="C886" s="156">
        <v>37135</v>
      </c>
      <c r="D886" s="157" t="s">
        <v>52</v>
      </c>
      <c r="E886" s="8">
        <v>2001</v>
      </c>
      <c r="F886" s="158">
        <f t="shared" si="241"/>
        <v>488</v>
      </c>
      <c r="G886" s="158">
        <f t="shared" si="242"/>
        <v>2</v>
      </c>
      <c r="H886" s="162">
        <v>36647</v>
      </c>
      <c r="I886" s="163">
        <v>481461</v>
      </c>
      <c r="J886" s="11">
        <v>3.8</v>
      </c>
      <c r="K886" s="11">
        <v>0.1</v>
      </c>
      <c r="L886" s="11">
        <v>0</v>
      </c>
      <c r="M886" s="174"/>
      <c r="N886" s="528"/>
      <c r="O886" s="11">
        <v>0</v>
      </c>
      <c r="P886" s="8"/>
      <c r="Q886" s="11">
        <v>10.1</v>
      </c>
      <c r="R886" s="11"/>
      <c r="S886" s="155"/>
      <c r="T886" s="161">
        <f>$I886*K886</f>
        <v>48146.100000000006</v>
      </c>
      <c r="U886" s="161">
        <f t="shared" si="243"/>
        <v>0</v>
      </c>
      <c r="V886" s="161">
        <f t="shared" si="244"/>
        <v>0</v>
      </c>
      <c r="W886" s="161">
        <f t="shared" si="245"/>
        <v>0</v>
      </c>
    </row>
    <row r="887" spans="1:23" s="127" customFormat="1" ht="12.75" customHeight="1">
      <c r="A887" s="118">
        <v>886</v>
      </c>
      <c r="B887" s="128">
        <v>9</v>
      </c>
      <c r="C887" s="156">
        <v>37165</v>
      </c>
      <c r="D887" s="157" t="s">
        <v>53</v>
      </c>
      <c r="E887" s="8">
        <v>2001</v>
      </c>
      <c r="F887" s="158">
        <f t="shared" si="241"/>
        <v>518</v>
      </c>
      <c r="G887" s="158">
        <f t="shared" si="242"/>
        <v>2</v>
      </c>
      <c r="H887" s="162">
        <v>36647</v>
      </c>
      <c r="I887" s="163">
        <v>408270</v>
      </c>
      <c r="J887" s="15"/>
      <c r="K887" s="15"/>
      <c r="L887" s="15"/>
      <c r="M887" s="174"/>
      <c r="N887" s="528"/>
      <c r="O887" s="15"/>
      <c r="P887" s="8"/>
      <c r="Q887" s="11">
        <v>8.6999999999999993</v>
      </c>
      <c r="R887" s="11"/>
      <c r="S887" s="155" t="s">
        <v>26</v>
      </c>
      <c r="T887" s="15"/>
      <c r="U887" s="161"/>
      <c r="V887" s="15"/>
      <c r="W887" s="15"/>
    </row>
    <row r="888" spans="1:23" ht="12.75" customHeight="1">
      <c r="A888" s="118">
        <v>887</v>
      </c>
      <c r="B888" s="128">
        <v>9</v>
      </c>
      <c r="C888" s="156">
        <v>37196</v>
      </c>
      <c r="D888" s="157" t="s">
        <v>54</v>
      </c>
      <c r="E888" s="8">
        <v>2001</v>
      </c>
      <c r="F888" s="158">
        <f t="shared" si="241"/>
        <v>549</v>
      </c>
      <c r="G888" s="158">
        <f t="shared" si="242"/>
        <v>2</v>
      </c>
      <c r="H888" s="162">
        <v>36647</v>
      </c>
      <c r="I888" s="163">
        <v>398326</v>
      </c>
      <c r="Q888" s="11">
        <v>7.9</v>
      </c>
    </row>
    <row r="889" spans="1:23" ht="12.75" customHeight="1">
      <c r="A889" s="118">
        <v>888</v>
      </c>
      <c r="B889" s="128">
        <v>9</v>
      </c>
      <c r="C889" s="156">
        <v>37226</v>
      </c>
      <c r="D889" s="157" t="s">
        <v>55</v>
      </c>
      <c r="E889" s="8">
        <v>2001</v>
      </c>
      <c r="F889" s="158">
        <f t="shared" si="241"/>
        <v>579</v>
      </c>
      <c r="G889" s="158">
        <f t="shared" si="242"/>
        <v>2</v>
      </c>
      <c r="H889" s="162">
        <v>36647</v>
      </c>
      <c r="I889" s="163">
        <v>331690</v>
      </c>
      <c r="J889" s="11"/>
      <c r="K889" s="11"/>
      <c r="L889" s="11"/>
      <c r="O889" s="11"/>
      <c r="Q889" s="11">
        <v>7.4</v>
      </c>
      <c r="T889" s="11"/>
      <c r="V889" s="11"/>
      <c r="W889" s="11"/>
    </row>
    <row r="890" spans="1:23" ht="12.75" customHeight="1">
      <c r="A890" s="118">
        <v>889</v>
      </c>
      <c r="B890" s="260">
        <v>9</v>
      </c>
      <c r="C890" s="156">
        <v>37257</v>
      </c>
      <c r="D890" s="157" t="s">
        <v>44</v>
      </c>
      <c r="E890" s="8">
        <v>2002</v>
      </c>
      <c r="F890" s="158">
        <f t="shared" si="241"/>
        <v>610</v>
      </c>
      <c r="G890" s="158">
        <f t="shared" si="242"/>
        <v>2</v>
      </c>
      <c r="H890" s="162">
        <v>36647</v>
      </c>
      <c r="I890" s="163">
        <v>233770</v>
      </c>
      <c r="J890" s="11"/>
      <c r="K890" s="11"/>
      <c r="L890" s="11"/>
      <c r="O890" s="11"/>
      <c r="T890" s="11"/>
      <c r="V890" s="11"/>
      <c r="W890" s="11"/>
    </row>
    <row r="891" spans="1:23" ht="12.75" customHeight="1">
      <c r="A891" s="118">
        <v>890</v>
      </c>
      <c r="B891" s="260">
        <v>9</v>
      </c>
      <c r="C891" s="156">
        <v>37288</v>
      </c>
      <c r="D891" s="157" t="s">
        <v>45</v>
      </c>
      <c r="E891" s="8">
        <v>2002</v>
      </c>
      <c r="F891" s="158">
        <f t="shared" si="241"/>
        <v>641</v>
      </c>
      <c r="G891" s="158">
        <f t="shared" si="242"/>
        <v>2</v>
      </c>
      <c r="H891" s="162">
        <v>36647</v>
      </c>
      <c r="I891" s="163">
        <v>184996</v>
      </c>
      <c r="Q891" s="15">
        <v>7</v>
      </c>
    </row>
    <row r="892" spans="1:23" ht="12.75" customHeight="1">
      <c r="A892" s="118">
        <v>891</v>
      </c>
      <c r="B892" s="260">
        <v>9</v>
      </c>
      <c r="C892" s="156">
        <v>37316</v>
      </c>
      <c r="D892" s="157" t="s">
        <v>46</v>
      </c>
      <c r="E892" s="8">
        <v>2002</v>
      </c>
      <c r="F892" s="158">
        <f t="shared" si="241"/>
        <v>669</v>
      </c>
      <c r="G892" s="158">
        <f t="shared" si="242"/>
        <v>2</v>
      </c>
      <c r="H892" s="162">
        <v>36647</v>
      </c>
      <c r="I892" s="163">
        <v>111718</v>
      </c>
      <c r="Q892" s="15">
        <v>7</v>
      </c>
    </row>
    <row r="893" spans="1:23" ht="12.75" customHeight="1">
      <c r="A893" s="118">
        <v>892</v>
      </c>
      <c r="B893" s="128">
        <v>9</v>
      </c>
      <c r="C893" s="156">
        <v>37347</v>
      </c>
      <c r="D893" s="157" t="s">
        <v>47</v>
      </c>
      <c r="E893" s="8">
        <v>2002</v>
      </c>
      <c r="F893" s="158"/>
      <c r="G893" s="158"/>
      <c r="H893" s="162"/>
      <c r="Q893" s="11">
        <v>7.7</v>
      </c>
      <c r="S893" s="155" t="s">
        <v>27</v>
      </c>
    </row>
    <row r="894" spans="1:23" ht="12.75" customHeight="1">
      <c r="A894" s="118">
        <v>893</v>
      </c>
      <c r="B894" s="128">
        <v>9</v>
      </c>
      <c r="C894" s="156">
        <v>37377</v>
      </c>
      <c r="D894" s="157" t="s">
        <v>48</v>
      </c>
      <c r="E894" s="8">
        <v>2002</v>
      </c>
      <c r="F894" s="158"/>
      <c r="G894" s="162"/>
      <c r="H894" s="162"/>
      <c r="J894" s="11"/>
      <c r="K894" s="11"/>
      <c r="L894" s="11"/>
      <c r="O894" s="11"/>
      <c r="T894" s="11"/>
      <c r="V894" s="11"/>
      <c r="W894" s="11"/>
    </row>
    <row r="895" spans="1:23" ht="12.75" customHeight="1">
      <c r="A895" s="118">
        <v>894</v>
      </c>
      <c r="B895" s="128">
        <v>9</v>
      </c>
      <c r="C895" s="156">
        <v>37408</v>
      </c>
      <c r="D895" s="157" t="s">
        <v>49</v>
      </c>
      <c r="E895" s="8">
        <v>2002</v>
      </c>
      <c r="F895" s="158"/>
      <c r="G895" s="162"/>
      <c r="H895" s="162"/>
      <c r="J895" s="11"/>
      <c r="K895" s="11"/>
      <c r="L895" s="11"/>
      <c r="O895" s="11"/>
      <c r="T895" s="11"/>
      <c r="V895" s="11"/>
      <c r="W895" s="11"/>
    </row>
    <row r="896" spans="1:23" ht="12.75" customHeight="1">
      <c r="A896" s="118">
        <v>895</v>
      </c>
      <c r="B896" s="128">
        <v>9</v>
      </c>
      <c r="C896" s="156">
        <v>37438</v>
      </c>
      <c r="D896" s="157" t="s">
        <v>50</v>
      </c>
      <c r="E896" s="8">
        <v>2002</v>
      </c>
      <c r="F896" s="158"/>
      <c r="G896" s="162"/>
      <c r="H896" s="162"/>
    </row>
    <row r="897" spans="1:23" ht="12.75" customHeight="1">
      <c r="A897" s="118">
        <v>896</v>
      </c>
      <c r="B897" s="128">
        <v>9</v>
      </c>
      <c r="C897" s="156">
        <v>37469</v>
      </c>
      <c r="D897" s="157" t="s">
        <v>51</v>
      </c>
      <c r="E897" s="8">
        <v>2002</v>
      </c>
      <c r="F897" s="158"/>
      <c r="G897" s="162"/>
      <c r="H897" s="162"/>
      <c r="J897" s="11"/>
      <c r="K897" s="11"/>
      <c r="L897" s="11"/>
      <c r="O897" s="11"/>
      <c r="T897" s="11"/>
      <c r="V897" s="11"/>
      <c r="W897" s="11"/>
    </row>
    <row r="898" spans="1:23" ht="12.75" customHeight="1">
      <c r="A898" s="118">
        <v>897</v>
      </c>
      <c r="B898" s="128">
        <v>9</v>
      </c>
      <c r="C898" s="156">
        <v>37500</v>
      </c>
      <c r="D898" s="157" t="s">
        <v>52</v>
      </c>
      <c r="E898" s="8">
        <v>2002</v>
      </c>
      <c r="F898" s="158"/>
      <c r="G898" s="162"/>
      <c r="H898" s="162"/>
      <c r="J898" s="11"/>
      <c r="K898" s="11"/>
      <c r="L898" s="11"/>
      <c r="O898" s="11"/>
      <c r="T898" s="11"/>
      <c r="V898" s="11"/>
      <c r="W898" s="11"/>
    </row>
    <row r="899" spans="1:23" ht="12.75" customHeight="1">
      <c r="A899" s="118">
        <v>898</v>
      </c>
      <c r="B899" s="128">
        <v>9</v>
      </c>
      <c r="C899" s="156">
        <v>37530</v>
      </c>
      <c r="D899" s="157" t="s">
        <v>53</v>
      </c>
      <c r="E899" s="8">
        <v>2002</v>
      </c>
      <c r="F899" s="158"/>
      <c r="G899" s="162"/>
      <c r="H899" s="162"/>
      <c r="J899" s="11"/>
      <c r="K899" s="11"/>
      <c r="L899" s="11"/>
      <c r="O899" s="11"/>
      <c r="T899" s="11"/>
      <c r="V899" s="11"/>
      <c r="W899" s="11"/>
    </row>
    <row r="900" spans="1:23" ht="12.75" customHeight="1">
      <c r="A900" s="118">
        <v>899</v>
      </c>
      <c r="B900" s="128">
        <v>9</v>
      </c>
      <c r="C900" s="156">
        <v>37561</v>
      </c>
      <c r="D900" s="157" t="s">
        <v>54</v>
      </c>
      <c r="E900" s="8">
        <v>2002</v>
      </c>
      <c r="F900" s="158"/>
      <c r="G900" s="162"/>
      <c r="H900" s="162"/>
    </row>
    <row r="901" spans="1:23" ht="12.75" customHeight="1">
      <c r="A901" s="118">
        <v>900</v>
      </c>
      <c r="B901" s="128">
        <v>9</v>
      </c>
      <c r="C901" s="156">
        <v>37591</v>
      </c>
      <c r="D901" s="157" t="s">
        <v>55</v>
      </c>
      <c r="E901" s="8">
        <v>2002</v>
      </c>
      <c r="F901" s="158"/>
      <c r="G901" s="162"/>
      <c r="H901" s="162"/>
    </row>
    <row r="902" spans="1:23" ht="12.75" customHeight="1">
      <c r="A902" s="118">
        <v>901</v>
      </c>
      <c r="B902" s="128">
        <v>9</v>
      </c>
      <c r="C902" s="156">
        <v>37622</v>
      </c>
      <c r="D902" s="157" t="s">
        <v>44</v>
      </c>
      <c r="E902" s="8">
        <v>2003</v>
      </c>
      <c r="F902" s="158"/>
      <c r="H902" s="162"/>
      <c r="I902" s="194"/>
    </row>
    <row r="903" spans="1:23" ht="12.75" customHeight="1">
      <c r="A903" s="118">
        <v>902</v>
      </c>
      <c r="B903" s="128">
        <v>9</v>
      </c>
      <c r="C903" s="156">
        <v>37653</v>
      </c>
      <c r="D903" s="157" t="s">
        <v>45</v>
      </c>
      <c r="E903" s="8">
        <v>2003</v>
      </c>
      <c r="F903" s="158"/>
      <c r="H903" s="162"/>
      <c r="I903" s="194"/>
    </row>
    <row r="904" spans="1:23" ht="12.75" customHeight="1">
      <c r="A904" s="118">
        <v>903</v>
      </c>
      <c r="B904" s="128">
        <v>9</v>
      </c>
      <c r="C904" s="156">
        <v>37681</v>
      </c>
      <c r="D904" s="157" t="s">
        <v>46</v>
      </c>
      <c r="E904" s="8">
        <v>2003</v>
      </c>
      <c r="F904" s="158"/>
      <c r="H904" s="162"/>
      <c r="I904" s="194"/>
    </row>
    <row r="905" spans="1:23" ht="12.75" customHeight="1">
      <c r="A905" s="118">
        <v>904</v>
      </c>
      <c r="B905" s="128">
        <v>9</v>
      </c>
      <c r="C905" s="156">
        <v>37712</v>
      </c>
      <c r="D905" s="157" t="s">
        <v>47</v>
      </c>
      <c r="E905" s="8">
        <v>2003</v>
      </c>
      <c r="F905" s="158"/>
      <c r="H905" s="162"/>
      <c r="I905" s="194"/>
    </row>
    <row r="906" spans="1:23" ht="12.75" customHeight="1">
      <c r="A906" s="118">
        <v>905</v>
      </c>
      <c r="B906" s="128">
        <v>9</v>
      </c>
      <c r="C906" s="156">
        <v>37742</v>
      </c>
      <c r="D906" s="157" t="s">
        <v>48</v>
      </c>
      <c r="E906" s="8">
        <v>2003</v>
      </c>
      <c r="F906" s="158"/>
      <c r="H906" s="162"/>
      <c r="I906" s="194"/>
    </row>
    <row r="907" spans="1:23" ht="12.75" customHeight="1">
      <c r="A907" s="118">
        <v>906</v>
      </c>
      <c r="B907" s="128">
        <v>9</v>
      </c>
      <c r="C907" s="156">
        <v>37773</v>
      </c>
      <c r="D907" s="157" t="s">
        <v>49</v>
      </c>
      <c r="E907" s="8">
        <v>2003</v>
      </c>
      <c r="F907" s="158"/>
      <c r="H907" s="162"/>
      <c r="I907" s="194"/>
    </row>
    <row r="908" spans="1:23" ht="12.75" customHeight="1">
      <c r="A908" s="118">
        <v>907</v>
      </c>
      <c r="B908" s="128">
        <v>9</v>
      </c>
      <c r="C908" s="156">
        <v>37803</v>
      </c>
      <c r="D908" s="157" t="s">
        <v>50</v>
      </c>
      <c r="E908" s="8">
        <v>2003</v>
      </c>
      <c r="F908" s="158">
        <f t="shared" ref="F908:F923" si="246">C908-H908</f>
        <v>212</v>
      </c>
      <c r="G908" s="158">
        <f t="shared" ref="G908:G923" si="247">IF(F908&lt;365,1,2)</f>
        <v>1</v>
      </c>
      <c r="H908" s="162">
        <v>37591</v>
      </c>
      <c r="I908" s="194">
        <v>655755</v>
      </c>
      <c r="J908" s="15">
        <v>0.1</v>
      </c>
      <c r="K908" s="15">
        <v>0.45</v>
      </c>
      <c r="L908" s="15">
        <v>0.1</v>
      </c>
      <c r="O908" s="15">
        <v>0.15</v>
      </c>
      <c r="Q908" s="11">
        <v>10.9</v>
      </c>
      <c r="R908" s="11">
        <v>25</v>
      </c>
      <c r="S908" s="155" t="s">
        <v>320</v>
      </c>
      <c r="T908" s="161">
        <f t="shared" ref="T908:T922" si="248">$I908*K908</f>
        <v>295089.75</v>
      </c>
      <c r="U908" s="161">
        <f t="shared" ref="U908:U922" si="249">$I908*L908</f>
        <v>65575.5</v>
      </c>
      <c r="V908" s="161">
        <f t="shared" ref="V908:V923" si="250">$I908*O908</f>
        <v>98363.25</v>
      </c>
      <c r="W908" s="161">
        <f t="shared" ref="W908:W923" si="251">V908*0.4</f>
        <v>39345.300000000003</v>
      </c>
    </row>
    <row r="909" spans="1:23" ht="12.75" customHeight="1">
      <c r="A909" s="118">
        <v>908</v>
      </c>
      <c r="B909" s="128">
        <v>9</v>
      </c>
      <c r="C909" s="156">
        <v>37834</v>
      </c>
      <c r="D909" s="157" t="s">
        <v>51</v>
      </c>
      <c r="E909" s="8">
        <v>2003</v>
      </c>
      <c r="F909" s="158">
        <f t="shared" si="246"/>
        <v>243</v>
      </c>
      <c r="G909" s="158">
        <f t="shared" si="247"/>
        <v>1</v>
      </c>
      <c r="H909" s="162">
        <v>37591</v>
      </c>
      <c r="I909" s="194">
        <v>662747</v>
      </c>
      <c r="J909" s="15">
        <v>0.12</v>
      </c>
      <c r="K909" s="15">
        <v>0.65</v>
      </c>
      <c r="L909" s="15">
        <v>0.1</v>
      </c>
      <c r="M909" s="174">
        <v>0</v>
      </c>
      <c r="O909" s="15">
        <v>0.1</v>
      </c>
      <c r="Q909" s="11">
        <v>11.7</v>
      </c>
      <c r="R909" s="11">
        <v>25</v>
      </c>
      <c r="T909" s="161">
        <f t="shared" si="248"/>
        <v>430785.55</v>
      </c>
      <c r="U909" s="161">
        <f t="shared" si="249"/>
        <v>66274.7</v>
      </c>
      <c r="V909" s="161">
        <f t="shared" si="250"/>
        <v>66274.7</v>
      </c>
      <c r="W909" s="161">
        <f t="shared" si="251"/>
        <v>26509.88</v>
      </c>
    </row>
    <row r="910" spans="1:23" ht="12.75" customHeight="1">
      <c r="A910" s="118">
        <v>909</v>
      </c>
      <c r="B910" s="128">
        <v>9</v>
      </c>
      <c r="C910" s="156">
        <v>37865</v>
      </c>
      <c r="D910" s="157" t="s">
        <v>52</v>
      </c>
      <c r="E910" s="8">
        <v>2003</v>
      </c>
      <c r="F910" s="158">
        <f t="shared" si="246"/>
        <v>274</v>
      </c>
      <c r="G910" s="158">
        <f t="shared" si="247"/>
        <v>1</v>
      </c>
      <c r="H910" s="162">
        <v>37591</v>
      </c>
      <c r="I910" s="194">
        <v>654295</v>
      </c>
      <c r="J910" s="15">
        <v>0.9</v>
      </c>
      <c r="K910" s="15">
        <v>1.3</v>
      </c>
      <c r="L910" s="15">
        <v>0.3</v>
      </c>
      <c r="M910" s="174">
        <v>0</v>
      </c>
      <c r="O910" s="15">
        <v>0</v>
      </c>
      <c r="Q910" s="11">
        <v>10.4</v>
      </c>
      <c r="R910" s="11">
        <v>32</v>
      </c>
      <c r="T910" s="161">
        <f t="shared" si="248"/>
        <v>850583.5</v>
      </c>
      <c r="U910" s="161">
        <f t="shared" si="249"/>
        <v>196288.5</v>
      </c>
      <c r="V910" s="161">
        <f t="shared" si="250"/>
        <v>0</v>
      </c>
      <c r="W910" s="161">
        <f t="shared" si="251"/>
        <v>0</v>
      </c>
    </row>
    <row r="911" spans="1:23" ht="12.75" customHeight="1">
      <c r="A911" s="118">
        <v>910</v>
      </c>
      <c r="B911" s="128">
        <v>9</v>
      </c>
      <c r="C911" s="156">
        <v>37895</v>
      </c>
      <c r="D911" s="157" t="s">
        <v>53</v>
      </c>
      <c r="E911" s="8">
        <v>2003</v>
      </c>
      <c r="F911" s="158">
        <f t="shared" si="246"/>
        <v>304</v>
      </c>
      <c r="G911" s="158">
        <f t="shared" si="247"/>
        <v>1</v>
      </c>
      <c r="H911" s="162">
        <v>37591</v>
      </c>
      <c r="I911" s="198">
        <v>654000</v>
      </c>
      <c r="J911" s="15">
        <v>0.57999999999999996</v>
      </c>
      <c r="K911" s="15">
        <v>4.68</v>
      </c>
      <c r="L911" s="15">
        <v>2</v>
      </c>
      <c r="M911" s="174">
        <v>0</v>
      </c>
      <c r="O911" s="15">
        <v>0.15</v>
      </c>
      <c r="Q911" s="11">
        <v>8.4</v>
      </c>
      <c r="T911" s="161">
        <f t="shared" si="248"/>
        <v>3060720</v>
      </c>
      <c r="U911" s="161">
        <f t="shared" si="249"/>
        <v>1308000</v>
      </c>
      <c r="V911" s="161">
        <f t="shared" si="250"/>
        <v>98100</v>
      </c>
      <c r="W911" s="161">
        <f t="shared" si="251"/>
        <v>39240</v>
      </c>
    </row>
    <row r="912" spans="1:23" ht="12.75" customHeight="1">
      <c r="A912" s="118">
        <v>911</v>
      </c>
      <c r="B912" s="128">
        <v>9</v>
      </c>
      <c r="C912" s="156">
        <v>37926</v>
      </c>
      <c r="D912" s="157" t="s">
        <v>54</v>
      </c>
      <c r="E912" s="8">
        <v>2003</v>
      </c>
      <c r="F912" s="158">
        <f t="shared" si="246"/>
        <v>335</v>
      </c>
      <c r="G912" s="158">
        <f t="shared" si="247"/>
        <v>1</v>
      </c>
      <c r="H912" s="162">
        <v>37591</v>
      </c>
      <c r="I912" s="198">
        <v>653000</v>
      </c>
      <c r="J912" s="15">
        <v>0.73</v>
      </c>
      <c r="K912" s="15">
        <v>4.67</v>
      </c>
      <c r="L912" s="15">
        <v>2.1</v>
      </c>
      <c r="M912" s="174">
        <v>2</v>
      </c>
      <c r="O912" s="15">
        <v>1.37</v>
      </c>
      <c r="P912" s="8">
        <v>1</v>
      </c>
      <c r="Q912" s="11">
        <v>7.5</v>
      </c>
      <c r="R912" s="11">
        <v>29</v>
      </c>
      <c r="T912" s="161">
        <f t="shared" si="248"/>
        <v>3049510</v>
      </c>
      <c r="U912" s="161">
        <f t="shared" si="249"/>
        <v>1371300</v>
      </c>
      <c r="V912" s="161">
        <f t="shared" si="250"/>
        <v>894610.00000000012</v>
      </c>
      <c r="W912" s="161">
        <f t="shared" si="251"/>
        <v>357844.00000000006</v>
      </c>
    </row>
    <row r="913" spans="1:23" ht="12.75" customHeight="1">
      <c r="A913" s="118">
        <v>912</v>
      </c>
      <c r="B913" s="128">
        <v>9</v>
      </c>
      <c r="C913" s="156">
        <v>37956</v>
      </c>
      <c r="D913" s="157" t="s">
        <v>55</v>
      </c>
      <c r="E913" s="8">
        <v>2003</v>
      </c>
      <c r="F913" s="158">
        <f t="shared" si="246"/>
        <v>365</v>
      </c>
      <c r="G913" s="158">
        <f t="shared" si="247"/>
        <v>2</v>
      </c>
      <c r="H913" s="162">
        <v>37591</v>
      </c>
      <c r="I913" s="198">
        <v>652000</v>
      </c>
      <c r="J913" s="15">
        <v>0.27</v>
      </c>
      <c r="K913" s="15">
        <v>3.47</v>
      </c>
      <c r="L913" s="15">
        <v>1.63</v>
      </c>
      <c r="M913" s="174">
        <v>0</v>
      </c>
      <c r="O913" s="15">
        <v>0.83</v>
      </c>
      <c r="Q913" s="11">
        <v>7.5</v>
      </c>
      <c r="R913" s="11">
        <v>30</v>
      </c>
      <c r="T913" s="161">
        <f t="shared" si="248"/>
        <v>2262440</v>
      </c>
      <c r="U913" s="161">
        <f t="shared" si="249"/>
        <v>1062760</v>
      </c>
      <c r="V913" s="161">
        <f t="shared" si="250"/>
        <v>541160</v>
      </c>
      <c r="W913" s="161">
        <f t="shared" si="251"/>
        <v>216464</v>
      </c>
    </row>
    <row r="914" spans="1:23" ht="12.75" customHeight="1">
      <c r="A914" s="118">
        <v>913</v>
      </c>
      <c r="B914" s="128">
        <v>9</v>
      </c>
      <c r="C914" s="156">
        <v>37987</v>
      </c>
      <c r="D914" s="157" t="s">
        <v>44</v>
      </c>
      <c r="E914" s="8">
        <v>2004</v>
      </c>
      <c r="F914" s="158">
        <f t="shared" si="246"/>
        <v>396</v>
      </c>
      <c r="G914" s="158">
        <f t="shared" si="247"/>
        <v>2</v>
      </c>
      <c r="H914" s="162">
        <v>37591</v>
      </c>
      <c r="I914" s="198">
        <v>651000</v>
      </c>
      <c r="J914" s="15">
        <v>0</v>
      </c>
      <c r="K914" s="15">
        <v>0.4</v>
      </c>
      <c r="L914" s="15">
        <v>0.23</v>
      </c>
      <c r="M914" s="174">
        <v>0</v>
      </c>
      <c r="O914" s="15">
        <v>0</v>
      </c>
      <c r="Q914" s="11">
        <v>7</v>
      </c>
      <c r="R914" s="11">
        <v>32</v>
      </c>
      <c r="T914" s="161">
        <f t="shared" si="248"/>
        <v>260400</v>
      </c>
      <c r="U914" s="161">
        <f t="shared" si="249"/>
        <v>149730</v>
      </c>
      <c r="V914" s="161">
        <f t="shared" si="250"/>
        <v>0</v>
      </c>
      <c r="W914" s="161">
        <f t="shared" si="251"/>
        <v>0</v>
      </c>
    </row>
    <row r="915" spans="1:23" ht="12.75" customHeight="1">
      <c r="A915" s="118">
        <v>914</v>
      </c>
      <c r="B915" s="128">
        <v>9</v>
      </c>
      <c r="C915" s="156">
        <v>38018</v>
      </c>
      <c r="D915" s="157" t="s">
        <v>45</v>
      </c>
      <c r="E915" s="8">
        <v>2004</v>
      </c>
      <c r="F915" s="158">
        <f t="shared" si="246"/>
        <v>427</v>
      </c>
      <c r="G915" s="158">
        <f t="shared" si="247"/>
        <v>2</v>
      </c>
      <c r="H915" s="162">
        <v>37591</v>
      </c>
      <c r="I915" s="198">
        <v>650500</v>
      </c>
      <c r="J915" s="15">
        <v>0</v>
      </c>
      <c r="K915" s="15">
        <v>0.1</v>
      </c>
      <c r="L915" s="15">
        <v>0</v>
      </c>
      <c r="M915" s="174">
        <v>0</v>
      </c>
      <c r="O915" s="15">
        <v>0</v>
      </c>
      <c r="Q915" s="11">
        <v>6.7</v>
      </c>
      <c r="R915" s="11">
        <v>29</v>
      </c>
      <c r="T915" s="161">
        <f t="shared" si="248"/>
        <v>65050</v>
      </c>
      <c r="U915" s="161">
        <f t="shared" si="249"/>
        <v>0</v>
      </c>
      <c r="V915" s="161">
        <f t="shared" si="250"/>
        <v>0</v>
      </c>
      <c r="W915" s="161">
        <f t="shared" si="251"/>
        <v>0</v>
      </c>
    </row>
    <row r="916" spans="1:23" ht="12.75" customHeight="1">
      <c r="A916" s="118">
        <v>915</v>
      </c>
      <c r="B916" s="128">
        <v>9</v>
      </c>
      <c r="C916" s="156">
        <v>38047</v>
      </c>
      <c r="D916" s="157" t="s">
        <v>46</v>
      </c>
      <c r="E916" s="8">
        <v>2004</v>
      </c>
      <c r="F916" s="158">
        <f t="shared" si="246"/>
        <v>456</v>
      </c>
      <c r="G916" s="158">
        <f t="shared" si="247"/>
        <v>2</v>
      </c>
      <c r="H916" s="162">
        <v>37591</v>
      </c>
      <c r="I916" s="194">
        <v>650270</v>
      </c>
      <c r="J916" s="15">
        <v>0.3</v>
      </c>
      <c r="K916" s="15">
        <v>0</v>
      </c>
      <c r="L916" s="15">
        <v>0</v>
      </c>
      <c r="M916" s="174">
        <v>0</v>
      </c>
      <c r="O916" s="15">
        <v>0</v>
      </c>
      <c r="Q916" s="11">
        <v>6.9</v>
      </c>
      <c r="R916" s="11">
        <v>31</v>
      </c>
      <c r="T916" s="161">
        <f t="shared" si="248"/>
        <v>0</v>
      </c>
      <c r="U916" s="161">
        <f t="shared" si="249"/>
        <v>0</v>
      </c>
      <c r="V916" s="161">
        <f t="shared" si="250"/>
        <v>0</v>
      </c>
      <c r="W916" s="161">
        <f t="shared" si="251"/>
        <v>0</v>
      </c>
    </row>
    <row r="917" spans="1:23" ht="12.75" customHeight="1">
      <c r="A917" s="118">
        <v>916</v>
      </c>
      <c r="B917" s="128">
        <v>9</v>
      </c>
      <c r="C917" s="156">
        <v>38078</v>
      </c>
      <c r="D917" s="157" t="s">
        <v>47</v>
      </c>
      <c r="E917" s="8">
        <v>2004</v>
      </c>
      <c r="F917" s="158">
        <f t="shared" si="246"/>
        <v>487</v>
      </c>
      <c r="G917" s="158">
        <f t="shared" si="247"/>
        <v>2</v>
      </c>
      <c r="H917" s="162">
        <v>37591</v>
      </c>
      <c r="I917" s="194">
        <v>649460</v>
      </c>
      <c r="J917" s="15">
        <v>1.07</v>
      </c>
      <c r="K917" s="15">
        <v>0.49</v>
      </c>
      <c r="L917" s="15">
        <v>0.15</v>
      </c>
      <c r="M917" s="174">
        <v>0</v>
      </c>
      <c r="O917" s="15">
        <v>0.02</v>
      </c>
      <c r="Q917" s="11">
        <v>8.6</v>
      </c>
      <c r="R917" s="11">
        <v>30.7</v>
      </c>
      <c r="T917" s="161">
        <f t="shared" si="248"/>
        <v>318235.40000000002</v>
      </c>
      <c r="U917" s="161">
        <f t="shared" si="249"/>
        <v>97419</v>
      </c>
      <c r="V917" s="161">
        <f t="shared" si="250"/>
        <v>12989.2</v>
      </c>
      <c r="W917" s="161">
        <f t="shared" si="251"/>
        <v>5195.68</v>
      </c>
    </row>
    <row r="918" spans="1:23" ht="12.75" customHeight="1">
      <c r="A918" s="118">
        <v>917</v>
      </c>
      <c r="B918" s="128">
        <v>9</v>
      </c>
      <c r="C918" s="156">
        <v>38108</v>
      </c>
      <c r="D918" s="157" t="s">
        <v>48</v>
      </c>
      <c r="E918" s="8">
        <v>2004</v>
      </c>
      <c r="F918" s="158">
        <f t="shared" si="246"/>
        <v>517</v>
      </c>
      <c r="G918" s="158">
        <f t="shared" si="247"/>
        <v>2</v>
      </c>
      <c r="H918" s="162">
        <v>37591</v>
      </c>
      <c r="I918" s="194">
        <v>647832</v>
      </c>
      <c r="J918" s="15">
        <v>1.95</v>
      </c>
      <c r="K918" s="15">
        <v>2.75</v>
      </c>
      <c r="L918" s="15">
        <v>0.5</v>
      </c>
      <c r="M918" s="174">
        <v>0</v>
      </c>
      <c r="O918" s="15">
        <v>0.65</v>
      </c>
      <c r="Q918" s="11">
        <v>9.9</v>
      </c>
      <c r="R918" s="11">
        <v>30</v>
      </c>
      <c r="T918" s="161">
        <f t="shared" si="248"/>
        <v>1781538</v>
      </c>
      <c r="U918" s="161">
        <f t="shared" si="249"/>
        <v>323916</v>
      </c>
      <c r="V918" s="161">
        <f t="shared" si="250"/>
        <v>421090.8</v>
      </c>
      <c r="W918" s="161">
        <f t="shared" si="251"/>
        <v>168436.32</v>
      </c>
    </row>
    <row r="919" spans="1:23" ht="12.75" customHeight="1">
      <c r="A919" s="118">
        <v>918</v>
      </c>
      <c r="B919" s="128">
        <v>9</v>
      </c>
      <c r="C919" s="156">
        <v>38139</v>
      </c>
      <c r="D919" s="157" t="s">
        <v>49</v>
      </c>
      <c r="E919" s="8">
        <v>2004</v>
      </c>
      <c r="F919" s="158">
        <f t="shared" si="246"/>
        <v>548</v>
      </c>
      <c r="G919" s="158">
        <f t="shared" si="247"/>
        <v>2</v>
      </c>
      <c r="H919" s="162">
        <v>37591</v>
      </c>
      <c r="I919" s="194">
        <v>646794</v>
      </c>
      <c r="J919" s="15">
        <v>3.2</v>
      </c>
      <c r="K919" s="15">
        <v>10.3</v>
      </c>
      <c r="L919" s="15">
        <v>2.9</v>
      </c>
      <c r="M919" s="174">
        <v>2</v>
      </c>
      <c r="O919" s="15">
        <v>0.9</v>
      </c>
      <c r="P919" s="8">
        <v>1</v>
      </c>
      <c r="Q919" s="11">
        <v>11.2</v>
      </c>
      <c r="R919" s="11">
        <v>27</v>
      </c>
      <c r="T919" s="161">
        <f t="shared" si="248"/>
        <v>6661978.2000000002</v>
      </c>
      <c r="U919" s="161">
        <f t="shared" si="249"/>
        <v>1875702.5999999999</v>
      </c>
      <c r="V919" s="161">
        <f t="shared" si="250"/>
        <v>582114.6</v>
      </c>
      <c r="W919" s="161">
        <f t="shared" si="251"/>
        <v>232845.84</v>
      </c>
    </row>
    <row r="920" spans="1:23" ht="12.75" customHeight="1">
      <c r="A920" s="118">
        <v>919</v>
      </c>
      <c r="B920" s="128">
        <v>9</v>
      </c>
      <c r="C920" s="156">
        <v>38169</v>
      </c>
      <c r="D920" s="157" t="s">
        <v>50</v>
      </c>
      <c r="E920" s="8">
        <v>2004</v>
      </c>
      <c r="F920" s="158">
        <f t="shared" si="246"/>
        <v>578</v>
      </c>
      <c r="G920" s="158">
        <f t="shared" si="247"/>
        <v>2</v>
      </c>
      <c r="H920" s="162">
        <v>37591</v>
      </c>
      <c r="I920" s="194">
        <v>632796</v>
      </c>
      <c r="J920" s="15">
        <v>0</v>
      </c>
      <c r="K920" s="15">
        <v>6.5</v>
      </c>
      <c r="L920" s="15">
        <v>2.8</v>
      </c>
      <c r="M920" s="174">
        <v>0</v>
      </c>
      <c r="O920" s="15">
        <v>0.1</v>
      </c>
      <c r="Q920" s="11">
        <v>9.6</v>
      </c>
      <c r="R920" s="11">
        <v>26</v>
      </c>
      <c r="T920" s="161">
        <f t="shared" si="248"/>
        <v>4113174</v>
      </c>
      <c r="U920" s="161">
        <f t="shared" si="249"/>
        <v>1771828.7999999998</v>
      </c>
      <c r="V920" s="161">
        <f t="shared" si="250"/>
        <v>63279.600000000006</v>
      </c>
      <c r="W920" s="161">
        <f t="shared" si="251"/>
        <v>25311.840000000004</v>
      </c>
    </row>
    <row r="921" spans="1:23" ht="12.75" customHeight="1">
      <c r="A921" s="118">
        <v>920</v>
      </c>
      <c r="B921" s="128">
        <v>9</v>
      </c>
      <c r="C921" s="156">
        <v>38200</v>
      </c>
      <c r="D921" s="157" t="s">
        <v>51</v>
      </c>
      <c r="E921" s="8">
        <v>2004</v>
      </c>
      <c r="F921" s="158">
        <f t="shared" si="246"/>
        <v>609</v>
      </c>
      <c r="G921" s="158">
        <f t="shared" si="247"/>
        <v>2</v>
      </c>
      <c r="H921" s="162">
        <v>37591</v>
      </c>
      <c r="I921" s="194">
        <v>616632</v>
      </c>
      <c r="J921" s="15">
        <v>0</v>
      </c>
      <c r="K921" s="15">
        <v>0.73</v>
      </c>
      <c r="L921" s="15">
        <v>0.56999999999999995</v>
      </c>
      <c r="M921" s="174">
        <v>0</v>
      </c>
      <c r="O921" s="15">
        <v>0</v>
      </c>
      <c r="Q921" s="11">
        <v>10.8</v>
      </c>
      <c r="R921" s="11">
        <v>21</v>
      </c>
      <c r="S921" s="155" t="s">
        <v>7</v>
      </c>
      <c r="T921" s="161">
        <f t="shared" si="248"/>
        <v>450141.36</v>
      </c>
      <c r="U921" s="161">
        <f t="shared" si="249"/>
        <v>351480.24</v>
      </c>
      <c r="V921" s="161">
        <f t="shared" si="250"/>
        <v>0</v>
      </c>
      <c r="W921" s="161">
        <f t="shared" si="251"/>
        <v>0</v>
      </c>
    </row>
    <row r="922" spans="1:23" ht="12.75" customHeight="1">
      <c r="A922" s="118">
        <v>921</v>
      </c>
      <c r="B922" s="128">
        <v>9</v>
      </c>
      <c r="C922" s="156">
        <v>38231</v>
      </c>
      <c r="D922" s="157" t="s">
        <v>52</v>
      </c>
      <c r="E922" s="8">
        <v>2004</v>
      </c>
      <c r="F922" s="158">
        <f t="shared" si="246"/>
        <v>640</v>
      </c>
      <c r="G922" s="158">
        <f t="shared" si="247"/>
        <v>2</v>
      </c>
      <c r="H922" s="162">
        <v>37591</v>
      </c>
      <c r="I922" s="194">
        <v>400511</v>
      </c>
      <c r="J922" s="15">
        <v>0.4</v>
      </c>
      <c r="K922" s="15">
        <v>0.5</v>
      </c>
      <c r="L922" s="15">
        <v>0.2</v>
      </c>
      <c r="O922" s="15">
        <v>0.1</v>
      </c>
      <c r="Q922" s="11">
        <v>10.199999999999999</v>
      </c>
      <c r="R922" s="11">
        <v>23.2</v>
      </c>
      <c r="S922" s="155" t="s">
        <v>7</v>
      </c>
      <c r="T922" s="161">
        <f t="shared" si="248"/>
        <v>200255.5</v>
      </c>
      <c r="U922" s="161">
        <f t="shared" si="249"/>
        <v>80102.200000000012</v>
      </c>
      <c r="V922" s="161">
        <f t="shared" si="250"/>
        <v>40051.100000000006</v>
      </c>
      <c r="W922" s="161">
        <f t="shared" si="251"/>
        <v>16020.440000000002</v>
      </c>
    </row>
    <row r="923" spans="1:23" ht="12.75" customHeight="1">
      <c r="A923" s="118">
        <v>922</v>
      </c>
      <c r="B923" s="128">
        <v>9</v>
      </c>
      <c r="C923" s="156">
        <v>38261</v>
      </c>
      <c r="D923" s="157" t="s">
        <v>53</v>
      </c>
      <c r="E923" s="8">
        <v>2004</v>
      </c>
      <c r="F923" s="158">
        <f t="shared" si="246"/>
        <v>670</v>
      </c>
      <c r="G923" s="158">
        <f t="shared" si="247"/>
        <v>2</v>
      </c>
      <c r="H923" s="162">
        <v>37591</v>
      </c>
      <c r="I923" s="194">
        <v>131637</v>
      </c>
      <c r="L923" s="165">
        <v>0.3</v>
      </c>
      <c r="N923" s="528" t="s">
        <v>795</v>
      </c>
      <c r="O923" s="165">
        <v>0.2</v>
      </c>
      <c r="U923" s="161">
        <f>$I923*L923</f>
        <v>39491.1</v>
      </c>
      <c r="V923" s="161">
        <f t="shared" si="250"/>
        <v>26327.4</v>
      </c>
      <c r="W923" s="161">
        <f t="shared" si="251"/>
        <v>10530.960000000001</v>
      </c>
    </row>
    <row r="924" spans="1:23" ht="12.75" customHeight="1">
      <c r="A924" s="118">
        <v>923</v>
      </c>
      <c r="B924" s="128">
        <v>9</v>
      </c>
      <c r="C924" s="156">
        <v>38292</v>
      </c>
      <c r="D924" s="157" t="s">
        <v>54</v>
      </c>
      <c r="E924" s="8">
        <v>2004</v>
      </c>
      <c r="F924" s="158"/>
      <c r="H924" s="162"/>
      <c r="I924" s="194"/>
    </row>
    <row r="925" spans="1:23" ht="12.75" customHeight="1">
      <c r="A925" s="118">
        <v>924</v>
      </c>
      <c r="B925" s="128">
        <v>9</v>
      </c>
      <c r="C925" s="156">
        <v>38322</v>
      </c>
      <c r="D925" s="157" t="s">
        <v>55</v>
      </c>
      <c r="E925" s="8">
        <v>2004</v>
      </c>
      <c r="F925" s="158"/>
      <c r="H925" s="162"/>
      <c r="I925" s="194"/>
    </row>
    <row r="926" spans="1:23" ht="12.75" customHeight="1">
      <c r="A926" s="118">
        <v>925</v>
      </c>
      <c r="B926" s="128">
        <v>9</v>
      </c>
      <c r="C926" s="156">
        <v>38353</v>
      </c>
      <c r="D926" s="157" t="s">
        <v>44</v>
      </c>
      <c r="E926" s="8">
        <v>2005</v>
      </c>
      <c r="F926" s="158"/>
      <c r="H926" s="162"/>
      <c r="I926" s="194"/>
    </row>
    <row r="927" spans="1:23" ht="12.75" customHeight="1">
      <c r="A927" s="118">
        <v>926</v>
      </c>
      <c r="B927" s="128">
        <v>9</v>
      </c>
      <c r="C927" s="156">
        <v>38384</v>
      </c>
      <c r="D927" s="157" t="s">
        <v>45</v>
      </c>
      <c r="E927" s="8">
        <v>2005</v>
      </c>
      <c r="F927" s="158"/>
      <c r="H927" s="162"/>
      <c r="I927" s="194"/>
    </row>
    <row r="928" spans="1:23" ht="12.75" customHeight="1">
      <c r="A928" s="118">
        <v>927</v>
      </c>
      <c r="B928" s="128">
        <v>9</v>
      </c>
      <c r="C928" s="156">
        <v>38412</v>
      </c>
      <c r="D928" s="157" t="s">
        <v>46</v>
      </c>
      <c r="E928" s="8">
        <v>2005</v>
      </c>
      <c r="F928" s="158"/>
      <c r="H928" s="162"/>
      <c r="I928" s="194"/>
    </row>
    <row r="929" spans="1:23" ht="12.75" customHeight="1">
      <c r="A929" s="118">
        <v>928</v>
      </c>
      <c r="B929" s="128">
        <v>9</v>
      </c>
      <c r="C929" s="156">
        <v>38443</v>
      </c>
      <c r="D929" s="157" t="s">
        <v>47</v>
      </c>
      <c r="E929" s="8">
        <v>2005</v>
      </c>
      <c r="F929" s="158"/>
      <c r="H929" s="162"/>
      <c r="I929" s="194"/>
    </row>
    <row r="930" spans="1:23" ht="12.75" customHeight="1">
      <c r="A930" s="118">
        <v>929</v>
      </c>
      <c r="B930" s="128">
        <v>9</v>
      </c>
      <c r="C930" s="156">
        <v>38473</v>
      </c>
      <c r="D930" s="157" t="s">
        <v>48</v>
      </c>
      <c r="E930" s="8">
        <v>2005</v>
      </c>
      <c r="F930" s="158"/>
      <c r="H930" s="162"/>
      <c r="I930" s="194"/>
    </row>
    <row r="931" spans="1:23" ht="12.75" customHeight="1">
      <c r="A931" s="118">
        <v>930</v>
      </c>
      <c r="B931" s="128">
        <v>9</v>
      </c>
      <c r="C931" s="156">
        <v>38504</v>
      </c>
      <c r="D931" s="157" t="s">
        <v>49</v>
      </c>
      <c r="E931" s="8">
        <v>2005</v>
      </c>
      <c r="F931" s="158"/>
      <c r="H931" s="162"/>
      <c r="I931" s="194"/>
    </row>
    <row r="932" spans="1:23" ht="12.75" customHeight="1">
      <c r="A932" s="118">
        <v>931</v>
      </c>
      <c r="B932" s="128">
        <v>9</v>
      </c>
      <c r="C932" s="156">
        <v>38534</v>
      </c>
      <c r="D932" s="157" t="s">
        <v>50</v>
      </c>
      <c r="E932" s="8">
        <v>2005</v>
      </c>
      <c r="F932" s="158"/>
      <c r="H932" s="162"/>
      <c r="I932" s="194"/>
    </row>
    <row r="933" spans="1:23" ht="12.75" customHeight="1">
      <c r="A933" s="118">
        <v>932</v>
      </c>
      <c r="B933" s="128">
        <v>9</v>
      </c>
      <c r="C933" s="156">
        <v>38565</v>
      </c>
      <c r="D933" s="157" t="s">
        <v>51</v>
      </c>
      <c r="E933" s="8">
        <v>2005</v>
      </c>
      <c r="F933" s="158">
        <f t="shared" ref="F933:F939" si="252">C933-H933</f>
        <v>243</v>
      </c>
      <c r="G933" s="158">
        <f t="shared" ref="G933:G939" si="253">IF(F933&lt;365,1,2)</f>
        <v>1</v>
      </c>
      <c r="H933" s="172">
        <v>38322</v>
      </c>
      <c r="I933" s="194">
        <v>511000</v>
      </c>
      <c r="J933" s="173"/>
      <c r="K933" s="165">
        <v>0.4</v>
      </c>
      <c r="L933" s="165">
        <v>0.02</v>
      </c>
      <c r="N933" s="528" t="s">
        <v>446</v>
      </c>
      <c r="O933" s="165">
        <v>0</v>
      </c>
      <c r="S933" s="180" t="s">
        <v>367</v>
      </c>
      <c r="T933" s="161">
        <f t="shared" ref="T933:U939" si="254">$I933*K933</f>
        <v>204400</v>
      </c>
      <c r="U933" s="161">
        <f t="shared" si="254"/>
        <v>10220</v>
      </c>
      <c r="V933" s="161">
        <f t="shared" ref="V933:V939" si="255">$I933*O933</f>
        <v>0</v>
      </c>
      <c r="W933" s="161">
        <f t="shared" ref="W933:W939" si="256">V933*0.4</f>
        <v>0</v>
      </c>
    </row>
    <row r="934" spans="1:23" ht="12.75" customHeight="1">
      <c r="A934" s="118">
        <v>933</v>
      </c>
      <c r="B934" s="128">
        <v>9</v>
      </c>
      <c r="C934" s="156">
        <v>38596</v>
      </c>
      <c r="D934" s="157" t="s">
        <v>52</v>
      </c>
      <c r="E934" s="8">
        <v>2005</v>
      </c>
      <c r="F934" s="158">
        <f t="shared" si="252"/>
        <v>274</v>
      </c>
      <c r="G934" s="158">
        <f t="shared" si="253"/>
        <v>1</v>
      </c>
      <c r="H934" s="172">
        <v>38322</v>
      </c>
      <c r="I934" s="194">
        <v>615000</v>
      </c>
      <c r="J934" s="173">
        <v>0.43</v>
      </c>
      <c r="K934" s="173">
        <v>0.08</v>
      </c>
      <c r="L934" s="173">
        <v>0</v>
      </c>
      <c r="O934" s="173">
        <v>0</v>
      </c>
      <c r="P934" s="170"/>
      <c r="Q934" s="128">
        <v>10</v>
      </c>
      <c r="R934" s="128">
        <v>32</v>
      </c>
      <c r="S934" s="180" t="s">
        <v>324</v>
      </c>
      <c r="T934" s="161">
        <f t="shared" si="254"/>
        <v>49200</v>
      </c>
      <c r="U934" s="161">
        <f t="shared" si="254"/>
        <v>0</v>
      </c>
      <c r="V934" s="161">
        <f t="shared" si="255"/>
        <v>0</v>
      </c>
      <c r="W934" s="161">
        <f t="shared" si="256"/>
        <v>0</v>
      </c>
    </row>
    <row r="935" spans="1:23" ht="12.75" customHeight="1">
      <c r="A935" s="118">
        <v>934</v>
      </c>
      <c r="B935" s="128">
        <v>9</v>
      </c>
      <c r="C935" s="156">
        <v>38626</v>
      </c>
      <c r="D935" s="157" t="s">
        <v>53</v>
      </c>
      <c r="E935" s="8">
        <v>2005</v>
      </c>
      <c r="F935" s="158">
        <f t="shared" si="252"/>
        <v>304</v>
      </c>
      <c r="G935" s="158">
        <f t="shared" si="253"/>
        <v>1</v>
      </c>
      <c r="H935" s="172">
        <v>38322</v>
      </c>
      <c r="I935" s="248">
        <v>615000</v>
      </c>
      <c r="J935" s="173">
        <v>2.59</v>
      </c>
      <c r="K935" s="173">
        <v>2.2400000000000002</v>
      </c>
      <c r="L935" s="173">
        <v>0.77</v>
      </c>
      <c r="M935" s="174">
        <v>0</v>
      </c>
      <c r="O935" s="173">
        <v>3.2</v>
      </c>
      <c r="P935" s="170"/>
      <c r="Q935" s="128">
        <v>9</v>
      </c>
      <c r="R935" s="128">
        <v>30</v>
      </c>
      <c r="S935" s="180"/>
      <c r="T935" s="161">
        <f t="shared" si="254"/>
        <v>1377600.0000000002</v>
      </c>
      <c r="U935" s="161">
        <f t="shared" si="254"/>
        <v>473550</v>
      </c>
      <c r="V935" s="161">
        <f t="shared" si="255"/>
        <v>1968000</v>
      </c>
      <c r="W935" s="161">
        <f t="shared" si="256"/>
        <v>787200</v>
      </c>
    </row>
    <row r="936" spans="1:23" ht="12.75" customHeight="1">
      <c r="A936" s="118">
        <v>935</v>
      </c>
      <c r="B936" s="128">
        <v>9</v>
      </c>
      <c r="C936" s="156">
        <v>38657</v>
      </c>
      <c r="D936" s="157" t="s">
        <v>54</v>
      </c>
      <c r="E936" s="8">
        <v>2005</v>
      </c>
      <c r="F936" s="158">
        <f t="shared" si="252"/>
        <v>335</v>
      </c>
      <c r="G936" s="158">
        <f t="shared" si="253"/>
        <v>1</v>
      </c>
      <c r="H936" s="172">
        <v>38322</v>
      </c>
      <c r="I936" s="248">
        <v>615000</v>
      </c>
      <c r="J936" s="173">
        <v>0.88</v>
      </c>
      <c r="K936" s="173">
        <v>1.53</v>
      </c>
      <c r="L936" s="173">
        <v>0.78</v>
      </c>
      <c r="M936" s="174">
        <v>0</v>
      </c>
      <c r="O936" s="173">
        <v>1.02</v>
      </c>
      <c r="P936" s="170"/>
      <c r="Q936" s="128">
        <v>9</v>
      </c>
      <c r="R936" s="128">
        <v>31</v>
      </c>
      <c r="S936" s="180"/>
      <c r="T936" s="161">
        <f t="shared" si="254"/>
        <v>940950</v>
      </c>
      <c r="U936" s="161">
        <f t="shared" si="254"/>
        <v>479700</v>
      </c>
      <c r="V936" s="161">
        <f t="shared" si="255"/>
        <v>627300</v>
      </c>
      <c r="W936" s="161">
        <f t="shared" si="256"/>
        <v>250920</v>
      </c>
    </row>
    <row r="937" spans="1:23" ht="12.75" customHeight="1">
      <c r="A937" s="118">
        <v>936</v>
      </c>
      <c r="B937" s="128">
        <v>9</v>
      </c>
      <c r="C937" s="156">
        <v>38687</v>
      </c>
      <c r="D937" s="157" t="s">
        <v>55</v>
      </c>
      <c r="E937" s="8">
        <v>2005</v>
      </c>
      <c r="F937" s="158">
        <f t="shared" si="252"/>
        <v>365</v>
      </c>
      <c r="G937" s="158">
        <f t="shared" si="253"/>
        <v>2</v>
      </c>
      <c r="H937" s="172">
        <v>38322</v>
      </c>
      <c r="I937" s="194">
        <v>613000</v>
      </c>
      <c r="J937" s="173">
        <v>2.2799999999999998</v>
      </c>
      <c r="K937" s="173">
        <v>1.92</v>
      </c>
      <c r="L937" s="173">
        <v>0.98</v>
      </c>
      <c r="M937" s="174">
        <v>0</v>
      </c>
      <c r="O937" s="173">
        <v>0.72</v>
      </c>
      <c r="P937" s="170"/>
      <c r="Q937" s="128">
        <v>8</v>
      </c>
      <c r="R937" s="128">
        <v>30</v>
      </c>
      <c r="S937" s="180"/>
      <c r="T937" s="161">
        <f t="shared" si="254"/>
        <v>1176960</v>
      </c>
      <c r="U937" s="161">
        <f t="shared" si="254"/>
        <v>600740</v>
      </c>
      <c r="V937" s="161">
        <f t="shared" si="255"/>
        <v>441360</v>
      </c>
      <c r="W937" s="161">
        <f t="shared" si="256"/>
        <v>176544</v>
      </c>
    </row>
    <row r="938" spans="1:23" ht="12.75" customHeight="1">
      <c r="A938" s="118">
        <v>937</v>
      </c>
      <c r="B938" s="128">
        <v>9</v>
      </c>
      <c r="C938" s="156">
        <v>38718</v>
      </c>
      <c r="D938" s="157" t="s">
        <v>44</v>
      </c>
      <c r="E938" s="8">
        <v>2006</v>
      </c>
      <c r="F938" s="158">
        <f t="shared" si="252"/>
        <v>396</v>
      </c>
      <c r="G938" s="158">
        <f t="shared" si="253"/>
        <v>2</v>
      </c>
      <c r="H938" s="172">
        <v>38322</v>
      </c>
      <c r="I938" s="194">
        <v>614000</v>
      </c>
      <c r="J938" s="173">
        <v>1.57</v>
      </c>
      <c r="K938" s="173">
        <v>1.8</v>
      </c>
      <c r="L938" s="173">
        <v>1.33</v>
      </c>
      <c r="M938" s="174">
        <v>0</v>
      </c>
      <c r="O938" s="173">
        <v>0.37</v>
      </c>
      <c r="P938" s="170"/>
      <c r="Q938" s="128">
        <v>8</v>
      </c>
      <c r="R938" s="128">
        <v>31</v>
      </c>
      <c r="S938" s="180"/>
      <c r="T938" s="161">
        <f t="shared" si="254"/>
        <v>1105200</v>
      </c>
      <c r="U938" s="161">
        <f t="shared" si="254"/>
        <v>816620</v>
      </c>
      <c r="V938" s="161">
        <f t="shared" si="255"/>
        <v>227180</v>
      </c>
      <c r="W938" s="161">
        <f t="shared" si="256"/>
        <v>90872</v>
      </c>
    </row>
    <row r="939" spans="1:23" ht="12.75" customHeight="1">
      <c r="A939" s="118">
        <v>938</v>
      </c>
      <c r="B939" s="128">
        <v>9</v>
      </c>
      <c r="C939" s="156">
        <v>38749</v>
      </c>
      <c r="D939" s="157" t="s">
        <v>45</v>
      </c>
      <c r="E939" s="8">
        <v>2006</v>
      </c>
      <c r="F939" s="158">
        <f t="shared" si="252"/>
        <v>427</v>
      </c>
      <c r="G939" s="158">
        <f t="shared" si="253"/>
        <v>2</v>
      </c>
      <c r="H939" s="172">
        <v>38322</v>
      </c>
      <c r="I939" s="194">
        <v>614000</v>
      </c>
      <c r="J939" s="173">
        <v>0.23</v>
      </c>
      <c r="K939" s="173">
        <v>1.93</v>
      </c>
      <c r="L939" s="173">
        <v>0.77</v>
      </c>
      <c r="O939" s="173">
        <v>0</v>
      </c>
      <c r="P939" s="170">
        <v>1</v>
      </c>
      <c r="Q939" s="128">
        <v>7</v>
      </c>
      <c r="R939" s="128">
        <v>31</v>
      </c>
      <c r="S939" s="180" t="s">
        <v>368</v>
      </c>
      <c r="T939" s="161">
        <f t="shared" si="254"/>
        <v>1185020</v>
      </c>
      <c r="U939" s="161">
        <f t="shared" si="254"/>
        <v>472780</v>
      </c>
      <c r="V939" s="161">
        <f t="shared" si="255"/>
        <v>0</v>
      </c>
      <c r="W939" s="161">
        <f t="shared" si="256"/>
        <v>0</v>
      </c>
    </row>
    <row r="940" spans="1:23" ht="12.75" customHeight="1">
      <c r="A940" s="118">
        <v>939</v>
      </c>
      <c r="B940" s="128">
        <v>9</v>
      </c>
      <c r="C940" s="156">
        <v>38777</v>
      </c>
      <c r="D940" s="157" t="s">
        <v>46</v>
      </c>
      <c r="E940" s="8">
        <v>2006</v>
      </c>
      <c r="F940" s="158"/>
      <c r="G940" s="158"/>
      <c r="H940" s="172"/>
      <c r="I940" s="194"/>
      <c r="J940" s="173"/>
      <c r="K940" s="173"/>
      <c r="L940" s="173"/>
      <c r="O940" s="173"/>
      <c r="P940" s="170"/>
      <c r="Q940" s="128"/>
      <c r="R940" s="128"/>
      <c r="S940" s="180" t="s">
        <v>369</v>
      </c>
      <c r="T940" s="173"/>
      <c r="U940" s="171"/>
      <c r="V940" s="173"/>
      <c r="W940" s="173"/>
    </row>
    <row r="941" spans="1:23" ht="12.75" customHeight="1">
      <c r="A941" s="118">
        <v>940</v>
      </c>
      <c r="B941" s="128">
        <v>9</v>
      </c>
      <c r="C941" s="156">
        <v>38808</v>
      </c>
      <c r="D941" s="157" t="s">
        <v>47</v>
      </c>
      <c r="E941" s="8">
        <v>2006</v>
      </c>
      <c r="F941" s="158"/>
      <c r="G941" s="128"/>
      <c r="H941" s="172"/>
      <c r="I941" s="194"/>
      <c r="J941" s="173"/>
      <c r="K941" s="173"/>
      <c r="L941" s="173"/>
      <c r="O941" s="173"/>
      <c r="P941" s="170"/>
      <c r="Q941" s="128"/>
      <c r="R941" s="128"/>
      <c r="S941" s="180"/>
      <c r="T941" s="173"/>
      <c r="U941" s="171"/>
      <c r="V941" s="173"/>
      <c r="W941" s="173"/>
    </row>
    <row r="942" spans="1:23" ht="12.75" customHeight="1">
      <c r="A942" s="118">
        <v>941</v>
      </c>
      <c r="B942" s="128">
        <v>9</v>
      </c>
      <c r="C942" s="156">
        <v>38838</v>
      </c>
      <c r="D942" s="157" t="s">
        <v>48</v>
      </c>
      <c r="E942" s="8">
        <v>2006</v>
      </c>
      <c r="F942" s="158"/>
      <c r="G942" s="128"/>
      <c r="H942" s="172"/>
      <c r="I942" s="194"/>
      <c r="J942" s="173"/>
      <c r="K942" s="173"/>
      <c r="L942" s="173"/>
      <c r="O942" s="173"/>
      <c r="P942" s="170"/>
      <c r="Q942" s="128"/>
      <c r="R942" s="128"/>
      <c r="S942" s="180"/>
      <c r="T942" s="173"/>
      <c r="U942" s="171"/>
      <c r="V942" s="173"/>
      <c r="W942" s="173"/>
    </row>
    <row r="943" spans="1:23" ht="12.75" customHeight="1">
      <c r="A943" s="118">
        <v>942</v>
      </c>
      <c r="B943" s="128">
        <v>9</v>
      </c>
      <c r="C943" s="156">
        <v>38869</v>
      </c>
      <c r="D943" s="157" t="s">
        <v>49</v>
      </c>
      <c r="E943" s="8">
        <v>2006</v>
      </c>
      <c r="F943" s="158"/>
      <c r="G943" s="128"/>
      <c r="H943" s="172"/>
      <c r="I943" s="194"/>
      <c r="J943" s="173"/>
      <c r="K943" s="173"/>
      <c r="L943" s="173"/>
      <c r="O943" s="173"/>
      <c r="P943" s="170"/>
      <c r="Q943" s="128"/>
      <c r="R943" s="128"/>
      <c r="S943" s="180"/>
      <c r="T943" s="173"/>
      <c r="U943" s="171"/>
      <c r="V943" s="173"/>
      <c r="W943" s="173"/>
    </row>
    <row r="944" spans="1:23" ht="12.75" customHeight="1">
      <c r="A944" s="118">
        <v>943</v>
      </c>
      <c r="B944" s="128">
        <v>9</v>
      </c>
      <c r="C944" s="156">
        <v>38899</v>
      </c>
      <c r="D944" s="157" t="s">
        <v>50</v>
      </c>
      <c r="E944" s="8">
        <v>2006</v>
      </c>
      <c r="F944" s="158"/>
      <c r="G944" s="128"/>
      <c r="H944" s="172"/>
      <c r="I944" s="194"/>
      <c r="J944" s="173"/>
      <c r="K944" s="173"/>
      <c r="L944" s="173"/>
      <c r="O944" s="173"/>
      <c r="P944" s="170"/>
      <c r="Q944" s="128"/>
      <c r="R944" s="128"/>
      <c r="S944" s="180"/>
      <c r="T944" s="173"/>
      <c r="U944" s="171"/>
      <c r="V944" s="173"/>
      <c r="W944" s="173"/>
    </row>
    <row r="945" spans="1:23" ht="12.75" customHeight="1">
      <c r="A945" s="118">
        <v>944</v>
      </c>
      <c r="B945" s="128">
        <v>9</v>
      </c>
      <c r="C945" s="156">
        <v>38930</v>
      </c>
      <c r="D945" s="157" t="s">
        <v>51</v>
      </c>
      <c r="E945" s="8">
        <v>2006</v>
      </c>
      <c r="F945" s="158"/>
      <c r="G945" s="128"/>
      <c r="H945" s="172"/>
      <c r="I945" s="194"/>
      <c r="J945" s="173"/>
      <c r="K945" s="173"/>
      <c r="L945" s="173"/>
      <c r="O945" s="173"/>
      <c r="P945" s="170"/>
      <c r="Q945" s="128"/>
      <c r="R945" s="128"/>
      <c r="S945" s="180"/>
      <c r="T945" s="173"/>
      <c r="U945" s="171"/>
      <c r="V945" s="173"/>
      <c r="W945" s="173"/>
    </row>
    <row r="946" spans="1:23" ht="12.75" customHeight="1">
      <c r="A946" s="118">
        <v>945</v>
      </c>
      <c r="B946" s="128">
        <v>9</v>
      </c>
      <c r="C946" s="156">
        <v>38961</v>
      </c>
      <c r="D946" s="157" t="s">
        <v>52</v>
      </c>
      <c r="E946" s="8">
        <v>2006</v>
      </c>
      <c r="F946" s="158"/>
      <c r="G946" s="128"/>
      <c r="H946" s="172"/>
      <c r="I946" s="194"/>
      <c r="J946" s="173"/>
      <c r="K946" s="173"/>
      <c r="L946" s="173"/>
      <c r="O946" s="173"/>
      <c r="P946" s="170"/>
      <c r="Q946" s="128"/>
      <c r="R946" s="128"/>
      <c r="S946" s="180"/>
      <c r="T946" s="173"/>
      <c r="U946" s="171"/>
      <c r="V946" s="173"/>
      <c r="W946" s="173"/>
    </row>
    <row r="947" spans="1:23" ht="12.75" customHeight="1">
      <c r="A947" s="118">
        <v>946</v>
      </c>
      <c r="B947" s="128">
        <v>9</v>
      </c>
      <c r="C947" s="156">
        <v>38991</v>
      </c>
      <c r="D947" s="157" t="s">
        <v>53</v>
      </c>
      <c r="E947" s="8">
        <v>2006</v>
      </c>
      <c r="F947" s="158"/>
      <c r="G947" s="128"/>
      <c r="H947" s="172"/>
      <c r="I947" s="194"/>
      <c r="J947" s="173"/>
      <c r="K947" s="173"/>
      <c r="L947" s="173"/>
      <c r="O947" s="173"/>
      <c r="P947" s="170"/>
      <c r="Q947" s="128"/>
      <c r="R947" s="128"/>
      <c r="S947" s="180"/>
      <c r="T947" s="173"/>
      <c r="U947" s="171"/>
      <c r="V947" s="173"/>
      <c r="W947" s="173"/>
    </row>
    <row r="948" spans="1:23" ht="12.75" customHeight="1">
      <c r="A948" s="118">
        <v>947</v>
      </c>
      <c r="B948" s="128">
        <v>9</v>
      </c>
      <c r="C948" s="156">
        <v>39022</v>
      </c>
      <c r="D948" s="157" t="s">
        <v>54</v>
      </c>
      <c r="E948" s="8">
        <v>2006</v>
      </c>
      <c r="F948" s="158"/>
      <c r="G948" s="128"/>
      <c r="H948" s="172"/>
      <c r="I948" s="194"/>
      <c r="J948" s="173"/>
      <c r="K948" s="173"/>
      <c r="L948" s="173"/>
      <c r="O948" s="173"/>
      <c r="P948" s="170"/>
      <c r="Q948" s="128"/>
      <c r="R948" s="128"/>
      <c r="S948" s="180"/>
      <c r="T948" s="173"/>
      <c r="U948" s="171"/>
      <c r="V948" s="173"/>
      <c r="W948" s="173"/>
    </row>
    <row r="949" spans="1:23" ht="12.75" customHeight="1">
      <c r="A949" s="118">
        <v>948</v>
      </c>
      <c r="B949" s="128">
        <v>9</v>
      </c>
      <c r="C949" s="156">
        <v>39052</v>
      </c>
      <c r="D949" s="157" t="s">
        <v>55</v>
      </c>
      <c r="E949" s="8">
        <v>2006</v>
      </c>
      <c r="F949" s="158"/>
      <c r="G949" s="128"/>
      <c r="H949" s="172"/>
      <c r="I949" s="194"/>
      <c r="J949" s="173"/>
      <c r="K949" s="173"/>
      <c r="L949" s="173"/>
      <c r="O949" s="173"/>
      <c r="P949" s="170"/>
      <c r="Q949" s="128"/>
      <c r="R949" s="128"/>
      <c r="S949" s="180"/>
      <c r="T949" s="173"/>
      <c r="U949" s="171"/>
      <c r="V949" s="173"/>
      <c r="W949" s="173"/>
    </row>
    <row r="950" spans="1:23" ht="12.75" customHeight="1">
      <c r="A950" s="118">
        <v>949</v>
      </c>
      <c r="B950" s="128">
        <v>9</v>
      </c>
      <c r="C950" s="156">
        <v>39083</v>
      </c>
      <c r="D950" s="157" t="s">
        <v>44</v>
      </c>
      <c r="E950" s="8">
        <v>2007</v>
      </c>
      <c r="H950" s="172"/>
      <c r="I950" s="194"/>
      <c r="J950" s="173"/>
      <c r="K950" s="173"/>
      <c r="L950" s="173"/>
      <c r="O950" s="173"/>
      <c r="P950" s="170"/>
      <c r="Q950" s="128"/>
      <c r="R950" s="128"/>
      <c r="S950" s="180"/>
      <c r="T950" s="173"/>
      <c r="U950" s="171"/>
      <c r="V950" s="173"/>
      <c r="W950" s="173"/>
    </row>
    <row r="951" spans="1:23" ht="12.75" customHeight="1">
      <c r="A951" s="118">
        <v>950</v>
      </c>
      <c r="B951" s="128">
        <v>9</v>
      </c>
      <c r="C951" s="156">
        <v>39114</v>
      </c>
      <c r="D951" s="157" t="s">
        <v>45</v>
      </c>
      <c r="E951" s="8">
        <v>2007</v>
      </c>
      <c r="H951" s="172"/>
      <c r="I951" s="194"/>
      <c r="J951" s="173"/>
      <c r="K951" s="173"/>
      <c r="L951" s="173"/>
      <c r="O951" s="173"/>
      <c r="P951" s="170"/>
      <c r="Q951" s="128"/>
      <c r="R951" s="128"/>
      <c r="S951" s="180"/>
      <c r="T951" s="173"/>
      <c r="U951" s="171"/>
      <c r="V951" s="173"/>
      <c r="W951" s="173"/>
    </row>
    <row r="952" spans="1:23" ht="12.75" customHeight="1">
      <c r="A952" s="118">
        <v>951</v>
      </c>
      <c r="B952" s="128">
        <v>9</v>
      </c>
      <c r="C952" s="156">
        <v>39142</v>
      </c>
      <c r="D952" s="157" t="s">
        <v>46</v>
      </c>
      <c r="E952" s="8">
        <v>2007</v>
      </c>
      <c r="H952" s="172"/>
      <c r="I952" s="194"/>
      <c r="J952" s="173"/>
      <c r="K952" s="173"/>
      <c r="L952" s="173"/>
      <c r="O952" s="173"/>
      <c r="P952" s="170"/>
      <c r="Q952" s="128"/>
      <c r="R952" s="128"/>
      <c r="S952" s="180"/>
      <c r="T952" s="173"/>
      <c r="U952" s="171"/>
      <c r="V952" s="173"/>
      <c r="W952" s="173"/>
    </row>
    <row r="953" spans="1:23" ht="12.75" customHeight="1">
      <c r="A953" s="118">
        <v>952</v>
      </c>
      <c r="B953" s="128">
        <v>9</v>
      </c>
      <c r="C953" s="156">
        <v>39173</v>
      </c>
      <c r="D953" s="157" t="s">
        <v>47</v>
      </c>
      <c r="E953" s="8">
        <v>2007</v>
      </c>
      <c r="H953" s="172"/>
      <c r="I953" s="194"/>
      <c r="J953" s="173"/>
      <c r="K953" s="173"/>
      <c r="L953" s="173"/>
      <c r="O953" s="173"/>
      <c r="P953" s="170"/>
      <c r="Q953" s="128"/>
      <c r="R953" s="128"/>
      <c r="S953" s="180"/>
      <c r="T953" s="173"/>
      <c r="U953" s="171"/>
      <c r="V953" s="173"/>
      <c r="W953" s="173"/>
    </row>
    <row r="954" spans="1:23" ht="12.75" customHeight="1">
      <c r="A954" s="118">
        <v>953</v>
      </c>
      <c r="B954" s="128">
        <v>9</v>
      </c>
      <c r="C954" s="156">
        <v>39203</v>
      </c>
      <c r="D954" s="157" t="s">
        <v>48</v>
      </c>
      <c r="E954" s="8">
        <v>2007</v>
      </c>
      <c r="H954" s="172"/>
      <c r="I954" s="194"/>
      <c r="J954" s="173"/>
      <c r="K954" s="173"/>
      <c r="L954" s="173"/>
      <c r="O954" s="173"/>
      <c r="P954" s="170"/>
      <c r="Q954" s="128"/>
      <c r="R954" s="128"/>
      <c r="S954" s="180"/>
      <c r="T954" s="173"/>
      <c r="U954" s="171"/>
      <c r="V954" s="173"/>
      <c r="W954" s="173"/>
    </row>
    <row r="955" spans="1:23" ht="12.75" customHeight="1">
      <c r="A955" s="118">
        <v>954</v>
      </c>
      <c r="B955" s="128">
        <v>9</v>
      </c>
      <c r="C955" s="156">
        <v>39234</v>
      </c>
      <c r="D955" s="157" t="s">
        <v>49</v>
      </c>
      <c r="E955" s="8">
        <v>2007</v>
      </c>
      <c r="H955" s="172"/>
      <c r="I955" s="194"/>
      <c r="J955" s="173"/>
      <c r="K955" s="173"/>
      <c r="L955" s="173"/>
      <c r="O955" s="173"/>
      <c r="P955" s="170"/>
      <c r="Q955" s="128"/>
      <c r="R955" s="128"/>
      <c r="S955" s="180"/>
      <c r="T955" s="173"/>
      <c r="U955" s="171"/>
      <c r="V955" s="173"/>
      <c r="W955" s="173"/>
    </row>
    <row r="956" spans="1:23" s="127" customFormat="1" ht="12.75" customHeight="1">
      <c r="A956" s="118">
        <v>955</v>
      </c>
      <c r="B956" s="128">
        <v>9</v>
      </c>
      <c r="C956" s="156">
        <v>39264</v>
      </c>
      <c r="D956" s="157" t="s">
        <v>50</v>
      </c>
      <c r="E956" s="8">
        <v>2007</v>
      </c>
      <c r="F956" s="158">
        <f t="shared" ref="F956:F972" si="257">C956-H956</f>
        <v>242</v>
      </c>
      <c r="G956" s="158">
        <f t="shared" ref="G956:G972" si="258">IF(F956&lt;365,1,2)</f>
        <v>1</v>
      </c>
      <c r="H956" s="172">
        <v>39022</v>
      </c>
      <c r="I956" s="194">
        <v>617382</v>
      </c>
      <c r="J956" s="173"/>
      <c r="K956" s="173"/>
      <c r="L956" s="165">
        <v>0.02</v>
      </c>
      <c r="M956" s="174"/>
      <c r="N956" s="528" t="s">
        <v>446</v>
      </c>
      <c r="O956" s="165">
        <v>0.33</v>
      </c>
      <c r="P956" s="170"/>
      <c r="Q956" s="128"/>
      <c r="R956" s="128"/>
      <c r="S956" s="180" t="s">
        <v>324</v>
      </c>
      <c r="T956" s="173"/>
      <c r="U956" s="161">
        <f t="shared" ref="U956:U972" si="259">$I956*L956</f>
        <v>12347.64</v>
      </c>
      <c r="V956" s="161">
        <f t="shared" ref="V956:V972" si="260">$I956*O956</f>
        <v>203736.06</v>
      </c>
      <c r="W956" s="161">
        <f t="shared" ref="W956:W972" si="261">V956*0.4</f>
        <v>81494.423999999999</v>
      </c>
    </row>
    <row r="957" spans="1:23" s="127" customFormat="1" ht="12.75" customHeight="1">
      <c r="A957" s="118">
        <v>956</v>
      </c>
      <c r="B957" s="128">
        <v>9</v>
      </c>
      <c r="C957" s="156">
        <v>39295</v>
      </c>
      <c r="D957" s="157" t="s">
        <v>51</v>
      </c>
      <c r="E957" s="8">
        <v>2007</v>
      </c>
      <c r="F957" s="158">
        <f t="shared" si="257"/>
        <v>273</v>
      </c>
      <c r="G957" s="158">
        <f t="shared" si="258"/>
        <v>1</v>
      </c>
      <c r="H957" s="172">
        <v>39022</v>
      </c>
      <c r="I957" s="194">
        <v>616649</v>
      </c>
      <c r="J957" s="173">
        <v>0.13</v>
      </c>
      <c r="K957" s="173">
        <v>0.12</v>
      </c>
      <c r="L957" s="173">
        <v>0.02</v>
      </c>
      <c r="M957" s="174"/>
      <c r="N957" s="528"/>
      <c r="O957" s="173">
        <v>0</v>
      </c>
      <c r="P957" s="170"/>
      <c r="Q957" s="128">
        <v>10</v>
      </c>
      <c r="R957" s="128">
        <v>25</v>
      </c>
      <c r="S957" s="180"/>
      <c r="T957" s="161">
        <f t="shared" ref="T957:T972" si="262">$I957*K957</f>
        <v>73997.87999999999</v>
      </c>
      <c r="U957" s="161">
        <f t="shared" si="259"/>
        <v>12332.98</v>
      </c>
      <c r="V957" s="161">
        <f t="shared" si="260"/>
        <v>0</v>
      </c>
      <c r="W957" s="161">
        <f t="shared" si="261"/>
        <v>0</v>
      </c>
    </row>
    <row r="958" spans="1:23" s="127" customFormat="1" ht="12.75" customHeight="1">
      <c r="A958" s="118">
        <v>957</v>
      </c>
      <c r="B958" s="128">
        <v>9</v>
      </c>
      <c r="C958" s="156">
        <v>39326</v>
      </c>
      <c r="D958" s="157" t="s">
        <v>52</v>
      </c>
      <c r="E958" s="8">
        <v>2007</v>
      </c>
      <c r="F958" s="158">
        <f t="shared" si="257"/>
        <v>304</v>
      </c>
      <c r="G958" s="158">
        <f t="shared" si="258"/>
        <v>1</v>
      </c>
      <c r="H958" s="172">
        <v>39022</v>
      </c>
      <c r="I958" s="194">
        <v>616186</v>
      </c>
      <c r="J958" s="173">
        <v>0.48</v>
      </c>
      <c r="K958" s="173">
        <v>1.75</v>
      </c>
      <c r="L958" s="173">
        <v>0.73</v>
      </c>
      <c r="M958" s="174">
        <v>0</v>
      </c>
      <c r="N958" s="528"/>
      <c r="O958" s="173">
        <v>0</v>
      </c>
      <c r="P958" s="170"/>
      <c r="Q958" s="128">
        <v>10</v>
      </c>
      <c r="R958" s="128">
        <v>29</v>
      </c>
      <c r="S958" s="180"/>
      <c r="T958" s="161">
        <f t="shared" si="262"/>
        <v>1078325.5</v>
      </c>
      <c r="U958" s="161">
        <f t="shared" si="259"/>
        <v>449815.77999999997</v>
      </c>
      <c r="V958" s="161">
        <f t="shared" si="260"/>
        <v>0</v>
      </c>
      <c r="W958" s="161">
        <f t="shared" si="261"/>
        <v>0</v>
      </c>
    </row>
    <row r="959" spans="1:23" s="127" customFormat="1" ht="12.75" customHeight="1">
      <c r="A959" s="118">
        <v>958</v>
      </c>
      <c r="B959" s="128">
        <v>9</v>
      </c>
      <c r="C959" s="156">
        <v>39356</v>
      </c>
      <c r="D959" s="157" t="s">
        <v>53</v>
      </c>
      <c r="E959" s="8">
        <v>2007</v>
      </c>
      <c r="F959" s="158">
        <f t="shared" si="257"/>
        <v>334</v>
      </c>
      <c r="G959" s="158">
        <f t="shared" si="258"/>
        <v>1</v>
      </c>
      <c r="H959" s="172">
        <v>39022</v>
      </c>
      <c r="I959" s="194">
        <v>615951</v>
      </c>
      <c r="J959" s="173">
        <v>7.0000000000000007E-2</v>
      </c>
      <c r="K959" s="173">
        <v>1.92</v>
      </c>
      <c r="L959" s="173">
        <v>0.95</v>
      </c>
      <c r="M959" s="174">
        <v>0</v>
      </c>
      <c r="N959" s="528"/>
      <c r="O959" s="173">
        <v>0.08</v>
      </c>
      <c r="P959" s="170"/>
      <c r="Q959" s="128">
        <v>9</v>
      </c>
      <c r="R959" s="128"/>
      <c r="S959" s="180"/>
      <c r="T959" s="161">
        <f t="shared" si="262"/>
        <v>1182625.92</v>
      </c>
      <c r="U959" s="161">
        <f t="shared" si="259"/>
        <v>585153.44999999995</v>
      </c>
      <c r="V959" s="161">
        <f t="shared" si="260"/>
        <v>49276.08</v>
      </c>
      <c r="W959" s="161">
        <f t="shared" si="261"/>
        <v>19710.432000000001</v>
      </c>
    </row>
    <row r="960" spans="1:23" s="127" customFormat="1" ht="12.75" customHeight="1">
      <c r="A960" s="118">
        <v>959</v>
      </c>
      <c r="B960" s="128">
        <v>9</v>
      </c>
      <c r="C960" s="156">
        <v>39387</v>
      </c>
      <c r="D960" s="157" t="s">
        <v>54</v>
      </c>
      <c r="E960" s="8">
        <v>2007</v>
      </c>
      <c r="F960" s="158">
        <f t="shared" si="257"/>
        <v>365</v>
      </c>
      <c r="G960" s="158">
        <f t="shared" si="258"/>
        <v>2</v>
      </c>
      <c r="H960" s="172">
        <v>39022</v>
      </c>
      <c r="I960" s="194">
        <v>615582</v>
      </c>
      <c r="J960" s="173">
        <v>0.08</v>
      </c>
      <c r="K960" s="173">
        <v>2.2000000000000002</v>
      </c>
      <c r="L960" s="173">
        <v>1.18</v>
      </c>
      <c r="M960" s="174">
        <v>0</v>
      </c>
      <c r="N960" s="528"/>
      <c r="O960" s="173">
        <v>0.23</v>
      </c>
      <c r="P960" s="170"/>
      <c r="Q960" s="128">
        <v>8</v>
      </c>
      <c r="R960" s="128"/>
      <c r="S960" s="180"/>
      <c r="T960" s="161">
        <f t="shared" si="262"/>
        <v>1354280.4000000001</v>
      </c>
      <c r="U960" s="161">
        <f t="shared" si="259"/>
        <v>726386.76</v>
      </c>
      <c r="V960" s="161">
        <f t="shared" si="260"/>
        <v>141583.86000000002</v>
      </c>
      <c r="W960" s="161">
        <f t="shared" si="261"/>
        <v>56633.544000000009</v>
      </c>
    </row>
    <row r="961" spans="1:23" ht="12.75" customHeight="1">
      <c r="A961" s="118">
        <v>960</v>
      </c>
      <c r="B961" s="128">
        <v>9</v>
      </c>
      <c r="C961" s="156">
        <v>39417</v>
      </c>
      <c r="D961" s="157" t="s">
        <v>55</v>
      </c>
      <c r="E961" s="8">
        <v>2007</v>
      </c>
      <c r="F961" s="158">
        <f t="shared" si="257"/>
        <v>395</v>
      </c>
      <c r="G961" s="158">
        <f t="shared" si="258"/>
        <v>2</v>
      </c>
      <c r="H961" s="172">
        <v>39022</v>
      </c>
      <c r="I961" s="194">
        <v>615539</v>
      </c>
      <c r="J961" s="173">
        <v>0.57999999999999996</v>
      </c>
      <c r="K961" s="173">
        <v>2.0699999999999998</v>
      </c>
      <c r="L961" s="173">
        <v>1.32</v>
      </c>
      <c r="M961" s="174">
        <v>2</v>
      </c>
      <c r="O961" s="173">
        <v>0.15</v>
      </c>
      <c r="P961" s="170"/>
      <c r="Q961" s="128">
        <v>7</v>
      </c>
      <c r="R961" s="128"/>
      <c r="S961" s="180"/>
      <c r="T961" s="161">
        <f t="shared" si="262"/>
        <v>1274165.73</v>
      </c>
      <c r="U961" s="161">
        <f t="shared" si="259"/>
        <v>812511.48</v>
      </c>
      <c r="V961" s="161">
        <f t="shared" si="260"/>
        <v>92330.849999999991</v>
      </c>
      <c r="W961" s="161">
        <f t="shared" si="261"/>
        <v>36932.339999999997</v>
      </c>
    </row>
    <row r="962" spans="1:23" ht="12.75" customHeight="1">
      <c r="A962" s="118">
        <v>961</v>
      </c>
      <c r="B962" s="128">
        <v>9</v>
      </c>
      <c r="C962" s="156">
        <v>39448</v>
      </c>
      <c r="D962" s="157" t="s">
        <v>44</v>
      </c>
      <c r="E962" s="127">
        <v>2008</v>
      </c>
      <c r="F962" s="158">
        <f t="shared" si="257"/>
        <v>426</v>
      </c>
      <c r="G962" s="158">
        <f t="shared" si="258"/>
        <v>2</v>
      </c>
      <c r="H962" s="172">
        <v>39022</v>
      </c>
      <c r="I962" s="194">
        <v>614889</v>
      </c>
      <c r="J962" s="118">
        <v>0.42</v>
      </c>
      <c r="K962" s="118">
        <v>1.5</v>
      </c>
      <c r="L962" s="118">
        <v>1.03</v>
      </c>
      <c r="M962" s="193"/>
      <c r="N962" s="529"/>
      <c r="O962" s="118">
        <v>0.25</v>
      </c>
      <c r="P962" s="170">
        <v>1</v>
      </c>
      <c r="Q962" s="174"/>
      <c r="R962" s="174"/>
      <c r="S962" s="180"/>
      <c r="T962" s="161">
        <f t="shared" si="262"/>
        <v>922333.5</v>
      </c>
      <c r="U962" s="161">
        <f t="shared" si="259"/>
        <v>633335.67000000004</v>
      </c>
      <c r="V962" s="161">
        <f t="shared" si="260"/>
        <v>153722.25</v>
      </c>
      <c r="W962" s="161">
        <f t="shared" si="261"/>
        <v>61488.9</v>
      </c>
    </row>
    <row r="963" spans="1:23" ht="12.75" customHeight="1">
      <c r="A963" s="118">
        <v>962</v>
      </c>
      <c r="B963" s="128">
        <v>9</v>
      </c>
      <c r="C963" s="156">
        <v>39479</v>
      </c>
      <c r="D963" s="157" t="s">
        <v>45</v>
      </c>
      <c r="E963" s="127">
        <v>2008</v>
      </c>
      <c r="F963" s="158">
        <f t="shared" si="257"/>
        <v>457</v>
      </c>
      <c r="G963" s="158">
        <f t="shared" si="258"/>
        <v>2</v>
      </c>
      <c r="H963" s="172">
        <v>39022</v>
      </c>
      <c r="I963" s="179">
        <f>(I962+I964)/2</f>
        <v>614703</v>
      </c>
      <c r="J963" s="128"/>
      <c r="K963" s="165">
        <f>(K962+K964)/2</f>
        <v>0.82499999999999996</v>
      </c>
      <c r="L963" s="165">
        <f>(L962+L964)/2</f>
        <v>0.55500000000000005</v>
      </c>
      <c r="N963" s="528">
        <v>1</v>
      </c>
      <c r="O963" s="165">
        <f>(O962+O964)/2</f>
        <v>0.125</v>
      </c>
      <c r="P963" s="170"/>
      <c r="Q963" s="174"/>
      <c r="R963" s="174"/>
      <c r="S963" s="180"/>
      <c r="T963" s="161">
        <f t="shared" si="262"/>
        <v>507129.97499999998</v>
      </c>
      <c r="U963" s="161">
        <f t="shared" si="259"/>
        <v>341160.16500000004</v>
      </c>
      <c r="V963" s="161">
        <f t="shared" si="260"/>
        <v>76837.875</v>
      </c>
      <c r="W963" s="161">
        <f t="shared" si="261"/>
        <v>30735.15</v>
      </c>
    </row>
    <row r="964" spans="1:23" ht="12.75" customHeight="1">
      <c r="A964" s="118">
        <v>963</v>
      </c>
      <c r="B964" s="128">
        <v>9</v>
      </c>
      <c r="C964" s="156">
        <v>39508</v>
      </c>
      <c r="D964" s="157" t="s">
        <v>46</v>
      </c>
      <c r="E964" s="127">
        <v>2008</v>
      </c>
      <c r="F964" s="158">
        <f t="shared" si="257"/>
        <v>486</v>
      </c>
      <c r="G964" s="158">
        <f t="shared" si="258"/>
        <v>2</v>
      </c>
      <c r="H964" s="172">
        <v>39022</v>
      </c>
      <c r="I964" s="194">
        <v>614517</v>
      </c>
      <c r="J964" s="118">
        <v>0.02</v>
      </c>
      <c r="K964" s="118">
        <v>0.15</v>
      </c>
      <c r="L964" s="118">
        <v>0.08</v>
      </c>
      <c r="M964" s="193"/>
      <c r="N964" s="529"/>
      <c r="O964" s="118">
        <v>0</v>
      </c>
      <c r="P964" s="170"/>
      <c r="Q964" s="174"/>
      <c r="R964" s="174"/>
      <c r="S964" s="180"/>
      <c r="T964" s="161">
        <f t="shared" si="262"/>
        <v>92177.55</v>
      </c>
      <c r="U964" s="161">
        <f t="shared" si="259"/>
        <v>49161.36</v>
      </c>
      <c r="V964" s="161">
        <f t="shared" si="260"/>
        <v>0</v>
      </c>
      <c r="W964" s="161">
        <f t="shared" si="261"/>
        <v>0</v>
      </c>
    </row>
    <row r="965" spans="1:23" ht="12.75" customHeight="1">
      <c r="A965" s="118">
        <v>964</v>
      </c>
      <c r="B965" s="128">
        <v>9</v>
      </c>
      <c r="C965" s="156">
        <v>39539</v>
      </c>
      <c r="D965" s="157" t="s">
        <v>47</v>
      </c>
      <c r="E965" s="127">
        <v>2008</v>
      </c>
      <c r="F965" s="158">
        <f t="shared" si="257"/>
        <v>517</v>
      </c>
      <c r="G965" s="158">
        <f t="shared" si="258"/>
        <v>2</v>
      </c>
      <c r="H965" s="172">
        <v>39022</v>
      </c>
      <c r="I965" s="194">
        <v>614183</v>
      </c>
      <c r="J965" s="118">
        <v>0.03</v>
      </c>
      <c r="K965" s="118">
        <v>0.05</v>
      </c>
      <c r="L965" s="118">
        <v>0.02</v>
      </c>
      <c r="M965" s="193">
        <v>0</v>
      </c>
      <c r="N965" s="529"/>
      <c r="O965" s="118">
        <v>0</v>
      </c>
      <c r="P965" s="170"/>
      <c r="Q965" s="174"/>
      <c r="R965" s="174"/>
      <c r="S965" s="180"/>
      <c r="T965" s="161">
        <f t="shared" si="262"/>
        <v>30709.15</v>
      </c>
      <c r="U965" s="161">
        <f t="shared" si="259"/>
        <v>12283.66</v>
      </c>
      <c r="V965" s="161">
        <f t="shared" si="260"/>
        <v>0</v>
      </c>
      <c r="W965" s="161">
        <f t="shared" si="261"/>
        <v>0</v>
      </c>
    </row>
    <row r="966" spans="1:23" ht="12.75" customHeight="1">
      <c r="A966" s="118">
        <v>965</v>
      </c>
      <c r="B966" s="128">
        <v>9</v>
      </c>
      <c r="C966" s="156">
        <v>39569</v>
      </c>
      <c r="D966" s="157" t="s">
        <v>48</v>
      </c>
      <c r="E966" s="127">
        <v>2008</v>
      </c>
      <c r="F966" s="158">
        <f t="shared" si="257"/>
        <v>547</v>
      </c>
      <c r="G966" s="158">
        <f t="shared" si="258"/>
        <v>2</v>
      </c>
      <c r="H966" s="172">
        <v>39022</v>
      </c>
      <c r="I966" s="194">
        <v>613831</v>
      </c>
      <c r="J966" s="173">
        <v>0.28000000000000003</v>
      </c>
      <c r="K966" s="173">
        <v>0</v>
      </c>
      <c r="L966" s="173">
        <v>0</v>
      </c>
      <c r="M966" s="174">
        <v>0</v>
      </c>
      <c r="O966" s="173">
        <v>0.45</v>
      </c>
      <c r="P966" s="170"/>
      <c r="Q966" s="174"/>
      <c r="R966" s="174"/>
      <c r="S966" s="180"/>
      <c r="T966" s="161">
        <f t="shared" si="262"/>
        <v>0</v>
      </c>
      <c r="U966" s="161">
        <f t="shared" si="259"/>
        <v>0</v>
      </c>
      <c r="V966" s="161">
        <f t="shared" si="260"/>
        <v>276223.95</v>
      </c>
      <c r="W966" s="161">
        <f t="shared" si="261"/>
        <v>110489.58000000002</v>
      </c>
    </row>
    <row r="967" spans="1:23" ht="12.75" customHeight="1">
      <c r="A967" s="118">
        <v>966</v>
      </c>
      <c r="B967" s="128">
        <v>9</v>
      </c>
      <c r="C967" s="156">
        <v>39600</v>
      </c>
      <c r="D967" s="157" t="s">
        <v>49</v>
      </c>
      <c r="E967" s="127">
        <v>2008</v>
      </c>
      <c r="F967" s="158">
        <f t="shared" si="257"/>
        <v>578</v>
      </c>
      <c r="G967" s="158">
        <f t="shared" si="258"/>
        <v>2</v>
      </c>
      <c r="H967" s="172">
        <v>39022</v>
      </c>
      <c r="I967" s="194">
        <v>613501</v>
      </c>
      <c r="J967" s="173">
        <v>7.0000000000000007E-2</v>
      </c>
      <c r="K967" s="173">
        <v>0.12</v>
      </c>
      <c r="L967" s="173">
        <v>0.02</v>
      </c>
      <c r="M967" s="174">
        <v>0</v>
      </c>
      <c r="O967" s="173">
        <v>0.15</v>
      </c>
      <c r="P967" s="170"/>
      <c r="Q967" s="174"/>
      <c r="R967" s="174"/>
      <c r="S967" s="180" t="s">
        <v>336</v>
      </c>
      <c r="T967" s="161">
        <f t="shared" si="262"/>
        <v>73620.12</v>
      </c>
      <c r="U967" s="161">
        <f t="shared" si="259"/>
        <v>12270.02</v>
      </c>
      <c r="V967" s="161">
        <f t="shared" si="260"/>
        <v>92025.15</v>
      </c>
      <c r="W967" s="161">
        <f t="shared" si="261"/>
        <v>36810.06</v>
      </c>
    </row>
    <row r="968" spans="1:23" s="127" customFormat="1" ht="12.75" customHeight="1">
      <c r="A968" s="118">
        <v>967</v>
      </c>
      <c r="B968" s="128">
        <v>9</v>
      </c>
      <c r="C968" s="156">
        <v>39630</v>
      </c>
      <c r="D968" s="176" t="s">
        <v>50</v>
      </c>
      <c r="E968" s="127">
        <v>2008</v>
      </c>
      <c r="F968" s="158">
        <f t="shared" si="257"/>
        <v>608</v>
      </c>
      <c r="G968" s="158">
        <f t="shared" si="258"/>
        <v>2</v>
      </c>
      <c r="H968" s="172">
        <v>39022</v>
      </c>
      <c r="I968" s="194">
        <v>376000</v>
      </c>
      <c r="J968" s="173">
        <v>0.08</v>
      </c>
      <c r="K968" s="173">
        <v>0.22</v>
      </c>
      <c r="L968" s="173">
        <v>0.2</v>
      </c>
      <c r="M968" s="174">
        <v>0</v>
      </c>
      <c r="N968" s="528"/>
      <c r="O968" s="173">
        <v>0.08</v>
      </c>
      <c r="P968" s="128"/>
      <c r="Q968" s="174"/>
      <c r="R968" s="174"/>
      <c r="S968" s="180"/>
      <c r="T968" s="161">
        <f t="shared" si="262"/>
        <v>82720</v>
      </c>
      <c r="U968" s="161">
        <f t="shared" si="259"/>
        <v>75200</v>
      </c>
      <c r="V968" s="161">
        <f t="shared" si="260"/>
        <v>30080</v>
      </c>
      <c r="W968" s="161">
        <f t="shared" si="261"/>
        <v>12032</v>
      </c>
    </row>
    <row r="969" spans="1:23" s="127" customFormat="1" ht="12.75" customHeight="1">
      <c r="A969" s="118">
        <v>968</v>
      </c>
      <c r="B969" s="128">
        <v>9</v>
      </c>
      <c r="C969" s="156">
        <v>39661</v>
      </c>
      <c r="D969" s="176" t="s">
        <v>51</v>
      </c>
      <c r="E969" s="127">
        <v>2008</v>
      </c>
      <c r="F969" s="158">
        <f t="shared" si="257"/>
        <v>639</v>
      </c>
      <c r="G969" s="158">
        <f t="shared" si="258"/>
        <v>2</v>
      </c>
      <c r="H969" s="172">
        <v>39022</v>
      </c>
      <c r="I969" s="194">
        <v>376000</v>
      </c>
      <c r="J969" s="173">
        <v>0</v>
      </c>
      <c r="K969" s="173">
        <v>0.38</v>
      </c>
      <c r="L969" s="173">
        <v>0.16</v>
      </c>
      <c r="M969" s="174">
        <v>0</v>
      </c>
      <c r="N969" s="528"/>
      <c r="O969" s="173">
        <v>0</v>
      </c>
      <c r="P969" s="128"/>
      <c r="Q969" s="174"/>
      <c r="R969" s="174"/>
      <c r="S969" s="180"/>
      <c r="T969" s="161">
        <f t="shared" si="262"/>
        <v>142880</v>
      </c>
      <c r="U969" s="161">
        <f t="shared" si="259"/>
        <v>60160</v>
      </c>
      <c r="V969" s="161">
        <f t="shared" si="260"/>
        <v>0</v>
      </c>
      <c r="W969" s="161">
        <f t="shared" si="261"/>
        <v>0</v>
      </c>
    </row>
    <row r="970" spans="1:23" s="127" customFormat="1" ht="12.75" customHeight="1">
      <c r="A970" s="118">
        <v>969</v>
      </c>
      <c r="B970" s="128">
        <v>9</v>
      </c>
      <c r="C970" s="156">
        <v>39692</v>
      </c>
      <c r="D970" s="176" t="s">
        <v>52</v>
      </c>
      <c r="E970" s="127">
        <v>2008</v>
      </c>
      <c r="F970" s="158">
        <f t="shared" si="257"/>
        <v>670</v>
      </c>
      <c r="G970" s="158">
        <f t="shared" si="258"/>
        <v>2</v>
      </c>
      <c r="H970" s="172">
        <v>39022</v>
      </c>
      <c r="I970" s="194">
        <v>376000</v>
      </c>
      <c r="J970" s="173">
        <v>0</v>
      </c>
      <c r="K970" s="173">
        <v>0.35</v>
      </c>
      <c r="L970" s="173">
        <v>0.12</v>
      </c>
      <c r="M970" s="174">
        <v>0</v>
      </c>
      <c r="N970" s="528"/>
      <c r="O970" s="173">
        <v>0.02</v>
      </c>
      <c r="P970" s="128"/>
      <c r="Q970" s="174"/>
      <c r="R970" s="174"/>
      <c r="S970" s="180"/>
      <c r="T970" s="161">
        <f t="shared" si="262"/>
        <v>131600</v>
      </c>
      <c r="U970" s="161">
        <f t="shared" si="259"/>
        <v>45120</v>
      </c>
      <c r="V970" s="161">
        <f t="shared" si="260"/>
        <v>7520</v>
      </c>
      <c r="W970" s="161">
        <f t="shared" si="261"/>
        <v>3008</v>
      </c>
    </row>
    <row r="971" spans="1:23" s="127" customFormat="1" ht="12.75" customHeight="1">
      <c r="A971" s="118">
        <v>970</v>
      </c>
      <c r="B971" s="128">
        <v>9</v>
      </c>
      <c r="C971" s="156">
        <v>39722</v>
      </c>
      <c r="D971" s="176" t="s">
        <v>53</v>
      </c>
      <c r="E971" s="127">
        <v>2008</v>
      </c>
      <c r="F971" s="158">
        <f t="shared" si="257"/>
        <v>700</v>
      </c>
      <c r="G971" s="158">
        <f t="shared" si="258"/>
        <v>2</v>
      </c>
      <c r="H971" s="172">
        <v>39022</v>
      </c>
      <c r="I971" s="194">
        <v>375000</v>
      </c>
      <c r="J971" s="173">
        <v>0.05</v>
      </c>
      <c r="K971" s="173">
        <v>1.08</v>
      </c>
      <c r="L971" s="173">
        <v>0.51</v>
      </c>
      <c r="M971" s="174"/>
      <c r="N971" s="528"/>
      <c r="O971" s="173">
        <v>0.33</v>
      </c>
      <c r="P971" s="128"/>
      <c r="Q971" s="174"/>
      <c r="R971" s="174"/>
      <c r="S971" s="180"/>
      <c r="T971" s="161">
        <f t="shared" si="262"/>
        <v>405000</v>
      </c>
      <c r="U971" s="161">
        <f t="shared" si="259"/>
        <v>191250</v>
      </c>
      <c r="V971" s="161">
        <f t="shared" si="260"/>
        <v>123750</v>
      </c>
      <c r="W971" s="161">
        <f t="shared" si="261"/>
        <v>49500</v>
      </c>
    </row>
    <row r="972" spans="1:23" ht="12.75" customHeight="1">
      <c r="A972" s="118">
        <v>971</v>
      </c>
      <c r="B972" s="128">
        <v>9</v>
      </c>
      <c r="C972" s="156">
        <v>39753</v>
      </c>
      <c r="D972" s="176" t="s">
        <v>54</v>
      </c>
      <c r="E972" s="127">
        <v>2008</v>
      </c>
      <c r="F972" s="158">
        <f t="shared" si="257"/>
        <v>731</v>
      </c>
      <c r="G972" s="158">
        <f t="shared" si="258"/>
        <v>2</v>
      </c>
      <c r="H972" s="172">
        <v>39022</v>
      </c>
      <c r="I972" s="194">
        <v>21786</v>
      </c>
      <c r="J972" s="173"/>
      <c r="K972" s="203">
        <v>1.81</v>
      </c>
      <c r="L972" s="203">
        <v>0.9</v>
      </c>
      <c r="N972" s="528" t="s">
        <v>795</v>
      </c>
      <c r="O972" s="203">
        <v>0.64</v>
      </c>
      <c r="P972" s="128"/>
      <c r="Q972" s="174"/>
      <c r="R972" s="174"/>
      <c r="S972" s="180" t="s">
        <v>20</v>
      </c>
      <c r="T972" s="161">
        <f t="shared" si="262"/>
        <v>39432.660000000003</v>
      </c>
      <c r="U972" s="161">
        <f t="shared" si="259"/>
        <v>19607.400000000001</v>
      </c>
      <c r="V972" s="161">
        <f t="shared" si="260"/>
        <v>13943.04</v>
      </c>
      <c r="W972" s="161">
        <f t="shared" si="261"/>
        <v>5577.2160000000003</v>
      </c>
    </row>
    <row r="973" spans="1:23" ht="12.75" customHeight="1">
      <c r="A973" s="118">
        <v>972</v>
      </c>
      <c r="B973" s="128">
        <v>9</v>
      </c>
      <c r="C973" s="156">
        <v>39783</v>
      </c>
      <c r="D973" s="176" t="s">
        <v>55</v>
      </c>
      <c r="E973" s="127">
        <v>2008</v>
      </c>
      <c r="F973" s="127"/>
      <c r="G973" s="127"/>
      <c r="H973" s="172"/>
      <c r="I973" s="194"/>
      <c r="J973" s="164"/>
      <c r="K973" s="164"/>
      <c r="L973" s="164"/>
      <c r="M973" s="193"/>
      <c r="N973" s="529"/>
      <c r="O973" s="164"/>
      <c r="P973" s="173"/>
      <c r="Q973" s="174"/>
      <c r="R973" s="174"/>
      <c r="S973" s="180"/>
      <c r="T973" s="128"/>
      <c r="U973" s="128"/>
      <c r="V973" s="11"/>
      <c r="W973" s="11"/>
    </row>
    <row r="974" spans="1:23" ht="12.75" customHeight="1">
      <c r="A974" s="118">
        <v>973</v>
      </c>
      <c r="B974" s="128">
        <v>9</v>
      </c>
      <c r="C974" s="156">
        <v>39814</v>
      </c>
      <c r="D974" s="157" t="s">
        <v>44</v>
      </c>
      <c r="E974" s="127">
        <v>2009</v>
      </c>
      <c r="F974" s="118"/>
      <c r="G974" s="118"/>
      <c r="H974" s="118"/>
      <c r="I974" s="125"/>
      <c r="J974" s="164"/>
      <c r="K974" s="164"/>
      <c r="L974" s="164"/>
      <c r="M974" s="193"/>
      <c r="N974" s="529"/>
      <c r="O974" s="164"/>
      <c r="P974" s="118"/>
      <c r="Q974" s="118"/>
      <c r="R974" s="118"/>
      <c r="S974" s="221"/>
      <c r="T974" s="118"/>
      <c r="U974" s="118"/>
      <c r="V974" s="118"/>
      <c r="W974" s="118"/>
    </row>
    <row r="975" spans="1:23" ht="12.75" customHeight="1">
      <c r="A975" s="118">
        <v>974</v>
      </c>
      <c r="B975" s="128">
        <v>9</v>
      </c>
      <c r="C975" s="156">
        <v>39845</v>
      </c>
      <c r="D975" s="157" t="s">
        <v>45</v>
      </c>
      <c r="E975" s="127">
        <v>2009</v>
      </c>
      <c r="F975" s="118"/>
      <c r="G975" s="118"/>
      <c r="H975" s="118"/>
      <c r="I975" s="125"/>
      <c r="J975" s="164"/>
      <c r="K975" s="164"/>
      <c r="L975" s="164"/>
      <c r="M975" s="193"/>
      <c r="N975" s="529"/>
      <c r="O975" s="164"/>
      <c r="P975" s="118"/>
      <c r="Q975" s="118"/>
      <c r="R975" s="118"/>
      <c r="S975" s="221"/>
      <c r="T975" s="118"/>
      <c r="U975" s="118"/>
      <c r="V975" s="118"/>
      <c r="W975" s="118"/>
    </row>
    <row r="976" spans="1:23" ht="12.75" customHeight="1">
      <c r="A976" s="118">
        <v>975</v>
      </c>
      <c r="B976" s="128">
        <v>9</v>
      </c>
      <c r="C976" s="156">
        <v>39873</v>
      </c>
      <c r="D976" s="157" t="s">
        <v>46</v>
      </c>
      <c r="E976" s="127">
        <v>2009</v>
      </c>
      <c r="F976" s="118"/>
      <c r="G976" s="118"/>
      <c r="H976" s="118"/>
      <c r="I976" s="125"/>
      <c r="J976" s="164"/>
      <c r="K976" s="164"/>
      <c r="L976" s="164"/>
      <c r="M976" s="193"/>
      <c r="N976" s="529"/>
      <c r="O976" s="164"/>
      <c r="P976" s="118"/>
      <c r="Q976" s="118"/>
      <c r="R976" s="118"/>
      <c r="S976" s="221"/>
      <c r="T976" s="118"/>
      <c r="U976" s="118"/>
      <c r="V976" s="118"/>
      <c r="W976" s="118"/>
    </row>
    <row r="977" spans="1:244" ht="12.75" customHeight="1">
      <c r="A977" s="118">
        <v>976</v>
      </c>
      <c r="B977" s="128">
        <v>9</v>
      </c>
      <c r="C977" s="156">
        <v>39904</v>
      </c>
      <c r="D977" s="157" t="s">
        <v>47</v>
      </c>
      <c r="E977" s="127">
        <v>2009</v>
      </c>
      <c r="F977" s="118"/>
      <c r="G977" s="118"/>
      <c r="H977" s="118"/>
      <c r="I977" s="125"/>
      <c r="J977" s="164"/>
      <c r="K977" s="164"/>
      <c r="L977" s="164"/>
      <c r="M977" s="193"/>
      <c r="N977" s="529"/>
      <c r="O977" s="164"/>
      <c r="P977" s="118"/>
      <c r="Q977" s="118"/>
      <c r="R977" s="118"/>
      <c r="S977" s="221"/>
      <c r="T977" s="118"/>
      <c r="U977" s="118"/>
      <c r="V977" s="118"/>
      <c r="W977" s="118"/>
    </row>
    <row r="978" spans="1:244" ht="12.75" customHeight="1">
      <c r="A978" s="118">
        <v>977</v>
      </c>
      <c r="B978" s="128">
        <v>9</v>
      </c>
      <c r="C978" s="156">
        <v>39934</v>
      </c>
      <c r="D978" s="157" t="s">
        <v>48</v>
      </c>
      <c r="E978" s="127">
        <v>2009</v>
      </c>
      <c r="F978" s="118"/>
      <c r="G978" s="118"/>
      <c r="H978" s="118"/>
      <c r="I978" s="125"/>
      <c r="J978" s="164"/>
      <c r="K978" s="164"/>
      <c r="L978" s="164"/>
      <c r="M978" s="193"/>
      <c r="N978" s="529"/>
      <c r="O978" s="164"/>
      <c r="P978" s="118"/>
      <c r="Q978" s="118"/>
      <c r="R978" s="118"/>
      <c r="S978" s="221"/>
      <c r="T978" s="118"/>
      <c r="U978" s="118"/>
      <c r="V978" s="118"/>
      <c r="W978" s="118"/>
    </row>
    <row r="979" spans="1:244" ht="12.75" customHeight="1">
      <c r="A979" s="118">
        <v>978</v>
      </c>
      <c r="B979" s="128">
        <v>9</v>
      </c>
      <c r="C979" s="156">
        <v>39965</v>
      </c>
      <c r="D979" s="157" t="s">
        <v>49</v>
      </c>
      <c r="E979" s="127">
        <v>2009</v>
      </c>
      <c r="F979" s="118"/>
      <c r="G979" s="118"/>
      <c r="H979" s="118"/>
      <c r="I979" s="125"/>
      <c r="J979" s="164"/>
      <c r="K979" s="164"/>
      <c r="L979" s="164"/>
      <c r="M979" s="193"/>
      <c r="N979" s="529"/>
      <c r="O979" s="164"/>
      <c r="P979" s="118"/>
      <c r="Q979" s="118"/>
      <c r="R979" s="118"/>
      <c r="S979" s="221"/>
      <c r="T979" s="118"/>
      <c r="U979" s="118"/>
      <c r="V979" s="118"/>
      <c r="W979" s="118"/>
    </row>
    <row r="980" spans="1:244">
      <c r="A980" s="118">
        <v>979</v>
      </c>
      <c r="B980" s="128">
        <v>9</v>
      </c>
      <c r="C980" s="156">
        <v>39995</v>
      </c>
      <c r="D980" s="157" t="s">
        <v>50</v>
      </c>
      <c r="E980" s="127">
        <v>2009</v>
      </c>
      <c r="F980" s="158">
        <f t="shared" ref="F980" si="263">C980-H980</f>
        <v>266</v>
      </c>
      <c r="G980" s="158">
        <f t="shared" ref="G980" si="264">IF(F980&lt;365,1,2)</f>
        <v>1</v>
      </c>
      <c r="H980" s="175">
        <v>39729</v>
      </c>
      <c r="I980" s="204">
        <v>421346</v>
      </c>
      <c r="J980" s="191"/>
      <c r="K980" s="177">
        <v>0.05</v>
      </c>
      <c r="L980" s="177">
        <v>0.02</v>
      </c>
      <c r="M980" s="193"/>
      <c r="N980" s="529" t="s">
        <v>446</v>
      </c>
      <c r="O980" s="177">
        <v>7.0000000000000007E-2</v>
      </c>
      <c r="P980" s="127"/>
      <c r="Q980" s="127"/>
      <c r="R980" s="127"/>
      <c r="S980" s="140" t="s">
        <v>325</v>
      </c>
      <c r="T980" s="161">
        <f t="shared" ref="T980:T985" si="265">$I980*K980</f>
        <v>21067.300000000003</v>
      </c>
      <c r="U980" s="161">
        <f t="shared" ref="U980:U985" si="266">$I980*L980</f>
        <v>8426.92</v>
      </c>
      <c r="V980" s="161">
        <f t="shared" ref="V980:V985" si="267">$I980*O980</f>
        <v>29494.22</v>
      </c>
      <c r="W980" s="161">
        <f t="shared" ref="W980:W985" si="268">V980*0.4</f>
        <v>11797.688000000002</v>
      </c>
    </row>
    <row r="981" spans="1:244">
      <c r="A981" s="118">
        <v>980</v>
      </c>
      <c r="B981" s="128">
        <v>9</v>
      </c>
      <c r="C981" s="156">
        <v>40026</v>
      </c>
      <c r="D981" s="157" t="s">
        <v>51</v>
      </c>
      <c r="E981" s="127">
        <v>2009</v>
      </c>
      <c r="F981" s="158">
        <f t="shared" ref="F981:F985" si="269">C981-H981</f>
        <v>297</v>
      </c>
      <c r="G981" s="158">
        <f t="shared" ref="G981:G985" si="270">IF(F981&lt;365,1,2)</f>
        <v>1</v>
      </c>
      <c r="H981" s="175">
        <v>39729</v>
      </c>
      <c r="I981" s="139">
        <v>420975</v>
      </c>
      <c r="J981" s="191">
        <v>0.11700000000000001</v>
      </c>
      <c r="K981" s="191">
        <v>0.3</v>
      </c>
      <c r="L981" s="191">
        <v>6.7000000000000004E-2</v>
      </c>
      <c r="M981" s="193"/>
      <c r="N981" s="529"/>
      <c r="O981" s="191">
        <v>0</v>
      </c>
      <c r="P981" s="127"/>
      <c r="Q981" s="127"/>
      <c r="R981" s="127"/>
      <c r="S981" s="140"/>
      <c r="T981" s="161">
        <f t="shared" si="265"/>
        <v>126292.5</v>
      </c>
      <c r="U981" s="161">
        <f t="shared" si="266"/>
        <v>28205.325000000001</v>
      </c>
      <c r="V981" s="161">
        <f t="shared" si="267"/>
        <v>0</v>
      </c>
      <c r="W981" s="161">
        <f t="shared" si="268"/>
        <v>0</v>
      </c>
    </row>
    <row r="982" spans="1:244">
      <c r="A982" s="118">
        <v>981</v>
      </c>
      <c r="B982" s="128">
        <v>9</v>
      </c>
      <c r="C982" s="156">
        <v>40057</v>
      </c>
      <c r="D982" s="157" t="s">
        <v>52</v>
      </c>
      <c r="E982" s="127">
        <v>2009</v>
      </c>
      <c r="F982" s="158">
        <f t="shared" si="269"/>
        <v>328</v>
      </c>
      <c r="G982" s="158">
        <f t="shared" si="270"/>
        <v>1</v>
      </c>
      <c r="H982" s="175">
        <v>39729</v>
      </c>
      <c r="I982" s="205">
        <v>420604</v>
      </c>
      <c r="J982" s="191">
        <v>0.63</v>
      </c>
      <c r="K982" s="191">
        <v>0.32</v>
      </c>
      <c r="L982" s="191">
        <v>7.0000000000000007E-2</v>
      </c>
      <c r="M982" s="193">
        <v>0</v>
      </c>
      <c r="N982" s="529"/>
      <c r="O982" s="191">
        <v>0</v>
      </c>
      <c r="P982" s="127"/>
      <c r="Q982" s="127"/>
      <c r="R982" s="127"/>
      <c r="S982" s="140"/>
      <c r="T982" s="161">
        <f t="shared" si="265"/>
        <v>134593.28</v>
      </c>
      <c r="U982" s="161">
        <f t="shared" si="266"/>
        <v>29442.280000000002</v>
      </c>
      <c r="V982" s="161">
        <f t="shared" si="267"/>
        <v>0</v>
      </c>
      <c r="W982" s="161">
        <f t="shared" si="268"/>
        <v>0</v>
      </c>
    </row>
    <row r="983" spans="1:244">
      <c r="A983" s="118">
        <v>982</v>
      </c>
      <c r="B983" s="128">
        <v>9</v>
      </c>
      <c r="C983" s="156">
        <v>40087</v>
      </c>
      <c r="D983" s="157" t="s">
        <v>53</v>
      </c>
      <c r="E983" s="127">
        <v>2009</v>
      </c>
      <c r="F983" s="158">
        <f t="shared" si="269"/>
        <v>358</v>
      </c>
      <c r="G983" s="158">
        <f t="shared" si="270"/>
        <v>1</v>
      </c>
      <c r="H983" s="175">
        <v>39729</v>
      </c>
      <c r="I983" s="205">
        <v>420096</v>
      </c>
      <c r="J983" s="191">
        <v>0.3</v>
      </c>
      <c r="K983" s="191">
        <v>3.55</v>
      </c>
      <c r="L983" s="191">
        <v>1.9</v>
      </c>
      <c r="M983" s="193">
        <v>0</v>
      </c>
      <c r="N983" s="529"/>
      <c r="O983" s="191">
        <v>0.05</v>
      </c>
      <c r="P983" s="127"/>
      <c r="Q983" s="127"/>
      <c r="R983" s="127"/>
      <c r="S983" s="140"/>
      <c r="T983" s="161">
        <f t="shared" si="265"/>
        <v>1491340.7999999998</v>
      </c>
      <c r="U983" s="161">
        <f t="shared" si="266"/>
        <v>798182.39999999991</v>
      </c>
      <c r="V983" s="161">
        <f t="shared" si="267"/>
        <v>21004.800000000003</v>
      </c>
      <c r="W983" s="161">
        <f t="shared" si="268"/>
        <v>8401.9200000000019</v>
      </c>
    </row>
    <row r="984" spans="1:244">
      <c r="A984" s="118">
        <v>983</v>
      </c>
      <c r="B984" s="128">
        <v>9</v>
      </c>
      <c r="C984" s="156">
        <v>40118</v>
      </c>
      <c r="D984" s="157" t="s">
        <v>54</v>
      </c>
      <c r="E984" s="127">
        <v>2009</v>
      </c>
      <c r="F984" s="158">
        <f t="shared" si="269"/>
        <v>389</v>
      </c>
      <c r="G984" s="158">
        <f t="shared" si="270"/>
        <v>2</v>
      </c>
      <c r="H984" s="175">
        <v>39729</v>
      </c>
      <c r="I984" s="205">
        <v>419527</v>
      </c>
      <c r="J984" s="191">
        <v>3.4169999999999998</v>
      </c>
      <c r="K984" s="191">
        <v>5.4169999999999998</v>
      </c>
      <c r="L984" s="191">
        <v>2.5329999999999999</v>
      </c>
      <c r="M984" s="193">
        <v>2</v>
      </c>
      <c r="N984" s="529"/>
      <c r="O984" s="191">
        <v>0.56699999999999995</v>
      </c>
      <c r="P984" s="127">
        <v>1</v>
      </c>
      <c r="Q984" s="127"/>
      <c r="R984" s="127"/>
      <c r="S984" s="244"/>
      <c r="T984" s="161">
        <f t="shared" si="265"/>
        <v>2272577.7590000001</v>
      </c>
      <c r="U984" s="161">
        <f t="shared" si="266"/>
        <v>1062661.8910000001</v>
      </c>
      <c r="V984" s="161">
        <f t="shared" si="267"/>
        <v>237871.80899999998</v>
      </c>
      <c r="W984" s="161">
        <f t="shared" si="268"/>
        <v>95148.723599999998</v>
      </c>
    </row>
    <row r="985" spans="1:244">
      <c r="A985" s="118">
        <v>984</v>
      </c>
      <c r="B985" s="128">
        <v>9</v>
      </c>
      <c r="C985" s="156">
        <v>40148</v>
      </c>
      <c r="D985" s="157" t="s">
        <v>55</v>
      </c>
      <c r="E985" s="127">
        <v>2009</v>
      </c>
      <c r="F985" s="158">
        <f t="shared" si="269"/>
        <v>419</v>
      </c>
      <c r="G985" s="158">
        <f t="shared" si="270"/>
        <v>2</v>
      </c>
      <c r="H985" s="175">
        <v>39729</v>
      </c>
      <c r="I985" s="205">
        <v>419363</v>
      </c>
      <c r="J985" s="191">
        <v>3.73</v>
      </c>
      <c r="K985" s="191">
        <v>2.23</v>
      </c>
      <c r="L985" s="191">
        <v>0.9</v>
      </c>
      <c r="M985" s="193"/>
      <c r="N985" s="529"/>
      <c r="O985" s="191">
        <v>0.08</v>
      </c>
      <c r="P985" s="127"/>
      <c r="Q985" s="127"/>
      <c r="R985" s="127"/>
      <c r="S985" s="140"/>
      <c r="T985" s="161">
        <f t="shared" si="265"/>
        <v>935179.49</v>
      </c>
      <c r="U985" s="161">
        <f t="shared" si="266"/>
        <v>377426.7</v>
      </c>
      <c r="V985" s="161">
        <f t="shared" si="267"/>
        <v>33549.040000000001</v>
      </c>
      <c r="W985" s="161">
        <f t="shared" si="268"/>
        <v>13419.616000000002</v>
      </c>
    </row>
    <row r="986" spans="1:244" s="127" customFormat="1" ht="12.75" customHeight="1">
      <c r="A986" s="118">
        <v>985</v>
      </c>
      <c r="B986" s="128">
        <v>11</v>
      </c>
      <c r="C986" s="156">
        <v>36526</v>
      </c>
      <c r="D986" s="157" t="s">
        <v>44</v>
      </c>
      <c r="E986" s="8">
        <v>2000</v>
      </c>
      <c r="F986" s="158"/>
      <c r="G986" s="162"/>
      <c r="H986" s="172"/>
      <c r="I986" s="160"/>
      <c r="J986" s="11"/>
      <c r="K986" s="11"/>
      <c r="L986" s="11"/>
      <c r="M986" s="174"/>
      <c r="N986" s="528"/>
      <c r="O986" s="11"/>
      <c r="P986" s="8"/>
      <c r="Q986" s="11"/>
      <c r="R986" s="11"/>
      <c r="S986" s="155"/>
      <c r="T986" s="11"/>
      <c r="U986" s="161"/>
      <c r="V986" s="11"/>
      <c r="W986" s="11"/>
      <c r="X986" s="118"/>
      <c r="Y986" s="118"/>
      <c r="Z986" s="118"/>
      <c r="AA986" s="118"/>
      <c r="AB986" s="118"/>
      <c r="AC986" s="118"/>
      <c r="AD986" s="118"/>
      <c r="AE986" s="118"/>
      <c r="AF986" s="118"/>
      <c r="AG986" s="118"/>
      <c r="AH986" s="118"/>
      <c r="AI986" s="118"/>
      <c r="AJ986" s="118"/>
      <c r="AK986" s="118"/>
      <c r="AL986" s="118"/>
      <c r="AM986" s="118"/>
      <c r="AN986" s="118"/>
      <c r="AO986" s="118"/>
      <c r="AP986" s="118"/>
      <c r="AQ986" s="118"/>
      <c r="AR986" s="118"/>
      <c r="AS986" s="118"/>
      <c r="AT986" s="118"/>
      <c r="AU986" s="118"/>
      <c r="AV986" s="118"/>
      <c r="AW986" s="118"/>
      <c r="AX986" s="118"/>
      <c r="AY986" s="118"/>
      <c r="AZ986" s="118"/>
      <c r="BA986" s="118"/>
      <c r="BB986" s="118"/>
      <c r="BC986" s="118"/>
      <c r="BD986" s="118"/>
      <c r="BE986" s="118"/>
      <c r="BF986" s="118"/>
      <c r="BG986" s="118"/>
      <c r="BH986" s="118"/>
      <c r="BI986" s="118"/>
      <c r="BJ986" s="118"/>
      <c r="BK986" s="118"/>
      <c r="BL986" s="118"/>
      <c r="BM986" s="118"/>
      <c r="BN986" s="118"/>
      <c r="BO986" s="118"/>
      <c r="BP986" s="118"/>
      <c r="BQ986" s="118"/>
      <c r="BR986" s="118"/>
      <c r="BS986" s="118"/>
      <c r="BT986" s="118"/>
      <c r="BU986" s="118"/>
      <c r="BV986" s="118"/>
      <c r="BW986" s="118"/>
      <c r="BX986" s="118"/>
      <c r="BY986" s="118"/>
      <c r="BZ986" s="118"/>
      <c r="CA986" s="118"/>
      <c r="CB986" s="118"/>
      <c r="CC986" s="118"/>
      <c r="CD986" s="118"/>
      <c r="CE986" s="118"/>
      <c r="CF986" s="118"/>
      <c r="CG986" s="118"/>
      <c r="CH986" s="118"/>
      <c r="CI986" s="118"/>
      <c r="CJ986" s="118"/>
      <c r="CK986" s="118"/>
      <c r="CL986" s="118"/>
      <c r="CM986" s="118"/>
      <c r="CN986" s="118"/>
      <c r="CO986" s="118"/>
      <c r="CP986" s="118"/>
      <c r="CQ986" s="118"/>
      <c r="CR986" s="118"/>
      <c r="CS986" s="118"/>
      <c r="CT986" s="118"/>
      <c r="CU986" s="118"/>
      <c r="CV986" s="118"/>
      <c r="CW986" s="118"/>
      <c r="CX986" s="118"/>
      <c r="CY986" s="118"/>
      <c r="CZ986" s="118"/>
      <c r="DA986" s="118"/>
      <c r="DB986" s="118"/>
      <c r="DC986" s="118"/>
      <c r="DD986" s="118"/>
      <c r="DE986" s="118"/>
      <c r="DF986" s="118"/>
      <c r="DG986" s="118"/>
      <c r="DH986" s="118"/>
      <c r="DI986" s="118"/>
      <c r="DJ986" s="118"/>
      <c r="DK986" s="118"/>
      <c r="DL986" s="118"/>
      <c r="DM986" s="118"/>
      <c r="DN986" s="118"/>
      <c r="DO986" s="118"/>
      <c r="DP986" s="118"/>
      <c r="DQ986" s="118"/>
      <c r="DR986" s="118"/>
      <c r="DS986" s="118"/>
      <c r="DT986" s="118"/>
      <c r="DU986" s="118"/>
      <c r="DV986" s="118"/>
      <c r="DW986" s="118"/>
      <c r="DX986" s="118"/>
      <c r="DY986" s="118"/>
      <c r="DZ986" s="118"/>
      <c r="EA986" s="118"/>
      <c r="EB986" s="118"/>
      <c r="EC986" s="118"/>
      <c r="ED986" s="118"/>
      <c r="EE986" s="118"/>
      <c r="EF986" s="118"/>
      <c r="EG986" s="118"/>
      <c r="EH986" s="118"/>
      <c r="EI986" s="118"/>
      <c r="EJ986" s="118"/>
      <c r="EK986" s="118"/>
      <c r="EL986" s="118"/>
      <c r="EM986" s="118"/>
      <c r="EN986" s="118"/>
      <c r="EO986" s="118"/>
      <c r="EP986" s="118"/>
      <c r="EQ986" s="118"/>
      <c r="ER986" s="118"/>
      <c r="ES986" s="118"/>
      <c r="ET986" s="118"/>
      <c r="EU986" s="118"/>
      <c r="EV986" s="118"/>
      <c r="EW986" s="118"/>
      <c r="EX986" s="118"/>
      <c r="EY986" s="118"/>
      <c r="EZ986" s="118"/>
      <c r="FA986" s="118"/>
      <c r="FB986" s="118"/>
      <c r="FC986" s="118"/>
      <c r="FD986" s="118"/>
      <c r="FE986" s="118"/>
      <c r="FF986" s="118"/>
      <c r="FG986" s="118"/>
      <c r="FH986" s="118"/>
      <c r="FI986" s="118"/>
      <c r="FJ986" s="118"/>
      <c r="FK986" s="118"/>
      <c r="FL986" s="118"/>
      <c r="FM986" s="118"/>
      <c r="FN986" s="118"/>
      <c r="FO986" s="118"/>
      <c r="FP986" s="118"/>
      <c r="FQ986" s="118"/>
      <c r="FR986" s="118"/>
      <c r="FS986" s="118"/>
      <c r="FT986" s="118"/>
      <c r="FU986" s="118"/>
      <c r="FV986" s="118"/>
      <c r="FW986" s="118"/>
      <c r="FX986" s="118"/>
      <c r="FY986" s="118"/>
      <c r="FZ986" s="118"/>
      <c r="GA986" s="118"/>
      <c r="GB986" s="118"/>
      <c r="GC986" s="118"/>
      <c r="GD986" s="118"/>
      <c r="GE986" s="118"/>
      <c r="GF986" s="118"/>
      <c r="GG986" s="118"/>
      <c r="GH986" s="118"/>
      <c r="GI986" s="118"/>
      <c r="GJ986" s="118"/>
      <c r="GK986" s="118"/>
      <c r="GL986" s="118"/>
      <c r="GM986" s="118"/>
      <c r="GN986" s="118"/>
      <c r="GO986" s="118"/>
      <c r="GP986" s="118"/>
      <c r="GQ986" s="118"/>
      <c r="GR986" s="118"/>
      <c r="GS986" s="118"/>
      <c r="GT986" s="118"/>
      <c r="GU986" s="118"/>
      <c r="GV986" s="118"/>
      <c r="GW986" s="118"/>
      <c r="GX986" s="118"/>
      <c r="GY986" s="118"/>
      <c r="GZ986" s="118"/>
      <c r="HA986" s="118"/>
      <c r="HB986" s="118"/>
      <c r="HC986" s="118"/>
      <c r="HD986" s="118"/>
      <c r="HE986" s="118"/>
      <c r="HF986" s="118"/>
      <c r="HG986" s="118"/>
      <c r="HH986" s="118"/>
      <c r="HI986" s="118"/>
      <c r="HJ986" s="118"/>
      <c r="HK986" s="118"/>
      <c r="HL986" s="118"/>
      <c r="HM986" s="118"/>
      <c r="HN986" s="118"/>
      <c r="HO986" s="118"/>
      <c r="HP986" s="118"/>
      <c r="HQ986" s="118"/>
      <c r="HR986" s="118"/>
      <c r="HS986" s="118"/>
      <c r="HT986" s="118"/>
      <c r="HU986" s="118"/>
      <c r="HV986" s="118"/>
      <c r="HW986" s="118"/>
      <c r="HX986" s="118"/>
      <c r="HY986" s="118"/>
      <c r="HZ986" s="118"/>
      <c r="IA986" s="118"/>
      <c r="IB986" s="118"/>
      <c r="IC986" s="118"/>
      <c r="ID986" s="118"/>
      <c r="IE986" s="118"/>
      <c r="IF986" s="118"/>
      <c r="IG986" s="118"/>
      <c r="IH986" s="118"/>
      <c r="II986" s="118"/>
      <c r="IJ986" s="118"/>
    </row>
    <row r="987" spans="1:244" s="127" customFormat="1" ht="12.75" customHeight="1">
      <c r="A987" s="118">
        <v>986</v>
      </c>
      <c r="B987" s="128">
        <v>11</v>
      </c>
      <c r="C987" s="156">
        <v>36557</v>
      </c>
      <c r="D987" s="157" t="s">
        <v>45</v>
      </c>
      <c r="E987" s="8">
        <v>2000</v>
      </c>
      <c r="F987" s="158"/>
      <c r="G987" s="162"/>
      <c r="H987" s="172"/>
      <c r="I987" s="160"/>
      <c r="J987" s="11"/>
      <c r="K987" s="11"/>
      <c r="L987" s="11"/>
      <c r="M987" s="174"/>
      <c r="N987" s="528"/>
      <c r="O987" s="11"/>
      <c r="P987" s="8"/>
      <c r="Q987" s="11"/>
      <c r="R987" s="11"/>
      <c r="S987" s="155"/>
      <c r="T987" s="11"/>
      <c r="U987" s="161"/>
      <c r="V987" s="11"/>
      <c r="W987" s="11"/>
      <c r="X987" s="118"/>
      <c r="Y987" s="118"/>
      <c r="Z987" s="118"/>
      <c r="AA987" s="118"/>
      <c r="AB987" s="118"/>
      <c r="AC987" s="118"/>
      <c r="AD987" s="118"/>
      <c r="AE987" s="118"/>
      <c r="AF987" s="118"/>
      <c r="AG987" s="118"/>
      <c r="AH987" s="118"/>
      <c r="AI987" s="118"/>
      <c r="AJ987" s="118"/>
      <c r="AK987" s="118"/>
      <c r="AL987" s="118"/>
      <c r="AM987" s="118"/>
      <c r="AN987" s="118"/>
      <c r="AO987" s="118"/>
      <c r="AP987" s="118"/>
      <c r="AQ987" s="118"/>
      <c r="AR987" s="118"/>
      <c r="AS987" s="118"/>
      <c r="AT987" s="118"/>
      <c r="AU987" s="118"/>
      <c r="AV987" s="118"/>
      <c r="AW987" s="118"/>
      <c r="AX987" s="118"/>
      <c r="AY987" s="118"/>
      <c r="AZ987" s="118"/>
      <c r="BA987" s="118"/>
      <c r="BB987" s="118"/>
      <c r="BC987" s="118"/>
      <c r="BD987" s="118"/>
      <c r="BE987" s="118"/>
      <c r="BF987" s="118"/>
      <c r="BG987" s="118"/>
      <c r="BH987" s="118"/>
      <c r="BI987" s="118"/>
      <c r="BJ987" s="118"/>
      <c r="BK987" s="118"/>
      <c r="BL987" s="118"/>
      <c r="BM987" s="118"/>
      <c r="BN987" s="118"/>
      <c r="BO987" s="118"/>
      <c r="BP987" s="118"/>
      <c r="BQ987" s="118"/>
      <c r="BR987" s="118"/>
      <c r="BS987" s="118"/>
      <c r="BT987" s="118"/>
      <c r="BU987" s="118"/>
      <c r="BV987" s="118"/>
      <c r="BW987" s="118"/>
      <c r="BX987" s="118"/>
      <c r="BY987" s="118"/>
      <c r="BZ987" s="118"/>
      <c r="CA987" s="118"/>
      <c r="CB987" s="118"/>
      <c r="CC987" s="118"/>
      <c r="CD987" s="118"/>
      <c r="CE987" s="118"/>
      <c r="CF987" s="118"/>
      <c r="CG987" s="118"/>
      <c r="CH987" s="118"/>
      <c r="CI987" s="118"/>
      <c r="CJ987" s="118"/>
      <c r="CK987" s="118"/>
      <c r="CL987" s="118"/>
      <c r="CM987" s="118"/>
      <c r="CN987" s="118"/>
      <c r="CO987" s="118"/>
      <c r="CP987" s="118"/>
      <c r="CQ987" s="118"/>
      <c r="CR987" s="118"/>
      <c r="CS987" s="118"/>
      <c r="CT987" s="118"/>
      <c r="CU987" s="118"/>
      <c r="CV987" s="118"/>
      <c r="CW987" s="118"/>
      <c r="CX987" s="118"/>
      <c r="CY987" s="118"/>
      <c r="CZ987" s="118"/>
      <c r="DA987" s="118"/>
      <c r="DB987" s="118"/>
      <c r="DC987" s="118"/>
      <c r="DD987" s="118"/>
      <c r="DE987" s="118"/>
      <c r="DF987" s="118"/>
      <c r="DG987" s="118"/>
      <c r="DH987" s="118"/>
      <c r="DI987" s="118"/>
      <c r="DJ987" s="118"/>
      <c r="DK987" s="118"/>
      <c r="DL987" s="118"/>
      <c r="DM987" s="118"/>
      <c r="DN987" s="118"/>
      <c r="DO987" s="118"/>
      <c r="DP987" s="118"/>
      <c r="DQ987" s="118"/>
      <c r="DR987" s="118"/>
      <c r="DS987" s="118"/>
      <c r="DT987" s="118"/>
      <c r="DU987" s="118"/>
      <c r="DV987" s="118"/>
      <c r="DW987" s="118"/>
      <c r="DX987" s="118"/>
      <c r="DY987" s="118"/>
      <c r="DZ987" s="118"/>
      <c r="EA987" s="118"/>
      <c r="EB987" s="118"/>
      <c r="EC987" s="118"/>
      <c r="ED987" s="118"/>
      <c r="EE987" s="118"/>
      <c r="EF987" s="118"/>
      <c r="EG987" s="118"/>
      <c r="EH987" s="118"/>
      <c r="EI987" s="118"/>
      <c r="EJ987" s="118"/>
      <c r="EK987" s="118"/>
      <c r="EL987" s="118"/>
      <c r="EM987" s="118"/>
      <c r="EN987" s="118"/>
      <c r="EO987" s="118"/>
      <c r="EP987" s="118"/>
      <c r="EQ987" s="118"/>
      <c r="ER987" s="118"/>
      <c r="ES987" s="118"/>
      <c r="ET987" s="118"/>
      <c r="EU987" s="118"/>
      <c r="EV987" s="118"/>
      <c r="EW987" s="118"/>
      <c r="EX987" s="118"/>
      <c r="EY987" s="118"/>
      <c r="EZ987" s="118"/>
      <c r="FA987" s="118"/>
      <c r="FB987" s="118"/>
      <c r="FC987" s="118"/>
      <c r="FD987" s="118"/>
      <c r="FE987" s="118"/>
      <c r="FF987" s="118"/>
      <c r="FG987" s="118"/>
      <c r="FH987" s="118"/>
      <c r="FI987" s="118"/>
      <c r="FJ987" s="118"/>
      <c r="FK987" s="118"/>
      <c r="FL987" s="118"/>
      <c r="FM987" s="118"/>
      <c r="FN987" s="118"/>
      <c r="FO987" s="118"/>
      <c r="FP987" s="118"/>
      <c r="FQ987" s="118"/>
      <c r="FR987" s="118"/>
      <c r="FS987" s="118"/>
      <c r="FT987" s="118"/>
      <c r="FU987" s="118"/>
      <c r="FV987" s="118"/>
      <c r="FW987" s="118"/>
      <c r="FX987" s="118"/>
      <c r="FY987" s="118"/>
      <c r="FZ987" s="118"/>
      <c r="GA987" s="118"/>
      <c r="GB987" s="118"/>
      <c r="GC987" s="118"/>
      <c r="GD987" s="118"/>
      <c r="GE987" s="118"/>
      <c r="GF987" s="118"/>
      <c r="GG987" s="118"/>
      <c r="GH987" s="118"/>
      <c r="GI987" s="118"/>
      <c r="GJ987" s="118"/>
      <c r="GK987" s="118"/>
      <c r="GL987" s="118"/>
      <c r="GM987" s="118"/>
      <c r="GN987" s="118"/>
      <c r="GO987" s="118"/>
      <c r="GP987" s="118"/>
      <c r="GQ987" s="118"/>
      <c r="GR987" s="118"/>
      <c r="GS987" s="118"/>
      <c r="GT987" s="118"/>
      <c r="GU987" s="118"/>
      <c r="GV987" s="118"/>
      <c r="GW987" s="118"/>
      <c r="GX987" s="118"/>
      <c r="GY987" s="118"/>
      <c r="GZ987" s="118"/>
      <c r="HA987" s="118"/>
      <c r="HB987" s="118"/>
      <c r="HC987" s="118"/>
      <c r="HD987" s="118"/>
      <c r="HE987" s="118"/>
      <c r="HF987" s="118"/>
      <c r="HG987" s="118"/>
      <c r="HH987" s="118"/>
      <c r="HI987" s="118"/>
      <c r="HJ987" s="118"/>
      <c r="HK987" s="118"/>
      <c r="HL987" s="118"/>
      <c r="HM987" s="118"/>
      <c r="HN987" s="118"/>
      <c r="HO987" s="118"/>
      <c r="HP987" s="118"/>
      <c r="HQ987" s="118"/>
      <c r="HR987" s="118"/>
      <c r="HS987" s="118"/>
      <c r="HT987" s="118"/>
      <c r="HU987" s="118"/>
      <c r="HV987" s="118"/>
      <c r="HW987" s="118"/>
      <c r="HX987" s="118"/>
      <c r="HY987" s="118"/>
      <c r="HZ987" s="118"/>
      <c r="IA987" s="118"/>
      <c r="IB987" s="118"/>
      <c r="IC987" s="118"/>
      <c r="ID987" s="118"/>
      <c r="IE987" s="118"/>
      <c r="IF987" s="118"/>
      <c r="IG987" s="118"/>
      <c r="IH987" s="118"/>
      <c r="II987" s="118"/>
      <c r="IJ987" s="118"/>
    </row>
    <row r="988" spans="1:244" s="127" customFormat="1">
      <c r="A988" s="118">
        <v>987</v>
      </c>
      <c r="B988" s="128">
        <v>11</v>
      </c>
      <c r="C988" s="156">
        <v>36586</v>
      </c>
      <c r="D988" s="157" t="s">
        <v>46</v>
      </c>
      <c r="E988" s="8">
        <v>2000</v>
      </c>
      <c r="F988" s="158"/>
      <c r="G988" s="162"/>
      <c r="H988" s="172"/>
      <c r="I988" s="160"/>
      <c r="J988" s="11"/>
      <c r="K988" s="11"/>
      <c r="L988" s="11"/>
      <c r="M988" s="174"/>
      <c r="N988" s="528"/>
      <c r="O988" s="11"/>
      <c r="P988" s="8"/>
      <c r="Q988" s="11"/>
      <c r="R988" s="11"/>
      <c r="S988" s="155"/>
      <c r="T988" s="11"/>
      <c r="U988" s="161"/>
      <c r="V988" s="11"/>
      <c r="W988" s="11"/>
      <c r="X988" s="118"/>
      <c r="Y988" s="118"/>
      <c r="Z988" s="118"/>
      <c r="AA988" s="118"/>
      <c r="AB988" s="118"/>
      <c r="AC988" s="118"/>
      <c r="AD988" s="118"/>
      <c r="AE988" s="118"/>
      <c r="AF988" s="118"/>
      <c r="AG988" s="118"/>
      <c r="AH988" s="118"/>
      <c r="AI988" s="118"/>
      <c r="AJ988" s="118"/>
      <c r="AK988" s="118"/>
      <c r="AL988" s="118"/>
      <c r="AM988" s="118"/>
      <c r="AN988" s="118"/>
      <c r="AO988" s="118"/>
      <c r="AP988" s="118"/>
      <c r="AQ988" s="118"/>
      <c r="AR988" s="118"/>
      <c r="AS988" s="118"/>
      <c r="AT988" s="118"/>
      <c r="AU988" s="118"/>
      <c r="AV988" s="118"/>
      <c r="AW988" s="118"/>
      <c r="AX988" s="118"/>
      <c r="AY988" s="118"/>
      <c r="AZ988" s="118"/>
      <c r="BA988" s="118"/>
      <c r="BB988" s="118"/>
      <c r="BC988" s="118"/>
      <c r="BD988" s="118"/>
      <c r="BE988" s="118"/>
      <c r="BF988" s="118"/>
      <c r="BG988" s="118"/>
      <c r="BH988" s="118"/>
      <c r="BI988" s="118"/>
      <c r="BJ988" s="118"/>
      <c r="BK988" s="118"/>
      <c r="BL988" s="118"/>
      <c r="BM988" s="118"/>
      <c r="BN988" s="118"/>
      <c r="BO988" s="118"/>
      <c r="BP988" s="118"/>
      <c r="BQ988" s="118"/>
      <c r="BR988" s="118"/>
      <c r="BS988" s="118"/>
      <c r="BT988" s="118"/>
      <c r="BU988" s="118"/>
      <c r="BV988" s="118"/>
      <c r="BW988" s="118"/>
      <c r="BX988" s="118"/>
      <c r="BY988" s="118"/>
      <c r="BZ988" s="118"/>
      <c r="CA988" s="118"/>
      <c r="CB988" s="118"/>
      <c r="CC988" s="118"/>
      <c r="CD988" s="118"/>
      <c r="CE988" s="118"/>
      <c r="CF988" s="118"/>
      <c r="CG988" s="118"/>
      <c r="CH988" s="118"/>
      <c r="CI988" s="118"/>
      <c r="CJ988" s="118"/>
      <c r="CK988" s="118"/>
      <c r="CL988" s="118"/>
      <c r="CM988" s="118"/>
      <c r="CN988" s="118"/>
      <c r="CO988" s="118"/>
      <c r="CP988" s="118"/>
      <c r="CQ988" s="118"/>
      <c r="CR988" s="118"/>
      <c r="CS988" s="118"/>
      <c r="CT988" s="118"/>
      <c r="CU988" s="118"/>
      <c r="CV988" s="118"/>
      <c r="CW988" s="118"/>
      <c r="CX988" s="118"/>
      <c r="CY988" s="118"/>
      <c r="CZ988" s="118"/>
      <c r="DA988" s="118"/>
      <c r="DB988" s="118"/>
      <c r="DC988" s="118"/>
      <c r="DD988" s="118"/>
      <c r="DE988" s="118"/>
      <c r="DF988" s="118"/>
      <c r="DG988" s="118"/>
      <c r="DH988" s="118"/>
      <c r="DI988" s="118"/>
      <c r="DJ988" s="118"/>
      <c r="DK988" s="118"/>
      <c r="DL988" s="118"/>
      <c r="DM988" s="118"/>
      <c r="DN988" s="118"/>
      <c r="DO988" s="118"/>
      <c r="DP988" s="118"/>
      <c r="DQ988" s="118"/>
      <c r="DR988" s="118"/>
      <c r="DS988" s="118"/>
      <c r="DT988" s="118"/>
      <c r="DU988" s="118"/>
      <c r="DV988" s="118"/>
      <c r="DW988" s="118"/>
      <c r="DX988" s="118"/>
      <c r="DY988" s="118"/>
      <c r="DZ988" s="118"/>
      <c r="EA988" s="118"/>
      <c r="EB988" s="118"/>
      <c r="EC988" s="118"/>
      <c r="ED988" s="118"/>
      <c r="EE988" s="118"/>
      <c r="EF988" s="118"/>
      <c r="EG988" s="118"/>
      <c r="EH988" s="118"/>
      <c r="EI988" s="118"/>
      <c r="EJ988" s="118"/>
      <c r="EK988" s="118"/>
      <c r="EL988" s="118"/>
      <c r="EM988" s="118"/>
      <c r="EN988" s="118"/>
      <c r="EO988" s="118"/>
      <c r="EP988" s="118"/>
      <c r="EQ988" s="118"/>
      <c r="ER988" s="118"/>
      <c r="ES988" s="118"/>
      <c r="ET988" s="118"/>
      <c r="EU988" s="118"/>
      <c r="EV988" s="118"/>
      <c r="EW988" s="118"/>
      <c r="EX988" s="118"/>
      <c r="EY988" s="118"/>
      <c r="EZ988" s="118"/>
      <c r="FA988" s="118"/>
      <c r="FB988" s="118"/>
      <c r="FC988" s="118"/>
      <c r="FD988" s="118"/>
      <c r="FE988" s="118"/>
      <c r="FF988" s="118"/>
      <c r="FG988" s="118"/>
      <c r="FH988" s="118"/>
      <c r="FI988" s="118"/>
      <c r="FJ988" s="118"/>
      <c r="FK988" s="118"/>
      <c r="FL988" s="118"/>
      <c r="FM988" s="118"/>
      <c r="FN988" s="118"/>
      <c r="FO988" s="118"/>
      <c r="FP988" s="118"/>
      <c r="FQ988" s="118"/>
      <c r="FR988" s="118"/>
      <c r="FS988" s="118"/>
      <c r="FT988" s="118"/>
      <c r="FU988" s="118"/>
      <c r="FV988" s="118"/>
      <c r="FW988" s="118"/>
      <c r="FX988" s="118"/>
      <c r="FY988" s="118"/>
      <c r="FZ988" s="118"/>
      <c r="GA988" s="118"/>
      <c r="GB988" s="118"/>
      <c r="GC988" s="118"/>
      <c r="GD988" s="118"/>
      <c r="GE988" s="118"/>
      <c r="GF988" s="118"/>
      <c r="GG988" s="118"/>
      <c r="GH988" s="118"/>
      <c r="GI988" s="118"/>
      <c r="GJ988" s="118"/>
      <c r="GK988" s="118"/>
      <c r="GL988" s="118"/>
      <c r="GM988" s="118"/>
      <c r="GN988" s="118"/>
      <c r="GO988" s="118"/>
      <c r="GP988" s="118"/>
      <c r="GQ988" s="118"/>
      <c r="GR988" s="118"/>
      <c r="GS988" s="118"/>
      <c r="GT988" s="118"/>
      <c r="GU988" s="118"/>
      <c r="GV988" s="118"/>
      <c r="GW988" s="118"/>
      <c r="GX988" s="118"/>
      <c r="GY988" s="118"/>
      <c r="GZ988" s="118"/>
      <c r="HA988" s="118"/>
      <c r="HB988" s="118"/>
      <c r="HC988" s="118"/>
      <c r="HD988" s="118"/>
      <c r="HE988" s="118"/>
      <c r="HF988" s="118"/>
      <c r="HG988" s="118"/>
      <c r="HH988" s="118"/>
      <c r="HI988" s="118"/>
      <c r="HJ988" s="118"/>
      <c r="HK988" s="118"/>
      <c r="HL988" s="118"/>
      <c r="HM988" s="118"/>
      <c r="HN988" s="118"/>
      <c r="HO988" s="118"/>
      <c r="HP988" s="118"/>
      <c r="HQ988" s="118"/>
      <c r="HR988" s="118"/>
      <c r="HS988" s="118"/>
      <c r="HT988" s="118"/>
      <c r="HU988" s="118"/>
      <c r="HV988" s="118"/>
      <c r="HW988" s="118"/>
      <c r="HX988" s="118"/>
      <c r="HY988" s="118"/>
      <c r="HZ988" s="118"/>
      <c r="IA988" s="118"/>
      <c r="IB988" s="118"/>
      <c r="IC988" s="118"/>
      <c r="ID988" s="118"/>
      <c r="IE988" s="118"/>
      <c r="IF988" s="118"/>
      <c r="IG988" s="118"/>
      <c r="IH988" s="118"/>
      <c r="II988" s="118"/>
      <c r="IJ988" s="118"/>
    </row>
    <row r="989" spans="1:244" s="127" customFormat="1" ht="12.75" customHeight="1">
      <c r="A989" s="118">
        <v>988</v>
      </c>
      <c r="B989" s="128">
        <v>11</v>
      </c>
      <c r="C989" s="156">
        <v>36617</v>
      </c>
      <c r="D989" s="157" t="s">
        <v>47</v>
      </c>
      <c r="E989" s="8">
        <v>2000</v>
      </c>
      <c r="F989" s="158"/>
      <c r="G989" s="162"/>
      <c r="H989" s="172"/>
      <c r="I989" s="160"/>
      <c r="J989" s="11"/>
      <c r="K989" s="11"/>
      <c r="L989" s="11"/>
      <c r="M989" s="174"/>
      <c r="N989" s="528"/>
      <c r="O989" s="11"/>
      <c r="P989" s="8"/>
      <c r="Q989" s="11"/>
      <c r="R989" s="11"/>
      <c r="S989" s="155"/>
      <c r="T989" s="11"/>
      <c r="U989" s="161"/>
      <c r="V989" s="11"/>
      <c r="W989" s="11"/>
      <c r="X989" s="118"/>
      <c r="Y989" s="118"/>
      <c r="Z989" s="118"/>
      <c r="AA989" s="118"/>
      <c r="AB989" s="118"/>
      <c r="AC989" s="118"/>
      <c r="AD989" s="118"/>
      <c r="AE989" s="118"/>
      <c r="AF989" s="118"/>
      <c r="AG989" s="118"/>
      <c r="AH989" s="118"/>
      <c r="AI989" s="118"/>
      <c r="AJ989" s="118"/>
      <c r="AK989" s="118"/>
      <c r="AL989" s="118"/>
      <c r="AM989" s="118"/>
      <c r="AN989" s="118"/>
      <c r="AO989" s="118"/>
      <c r="AP989" s="118"/>
      <c r="AQ989" s="118"/>
      <c r="AR989" s="118"/>
      <c r="AS989" s="118"/>
      <c r="AT989" s="118"/>
      <c r="AU989" s="118"/>
      <c r="AV989" s="118"/>
      <c r="AW989" s="118"/>
      <c r="AX989" s="118"/>
      <c r="AY989" s="118"/>
      <c r="AZ989" s="118"/>
      <c r="BA989" s="118"/>
      <c r="BB989" s="118"/>
      <c r="BC989" s="118"/>
      <c r="BD989" s="118"/>
      <c r="BE989" s="118"/>
      <c r="BF989" s="118"/>
      <c r="BG989" s="118"/>
      <c r="BH989" s="118"/>
      <c r="BI989" s="118"/>
      <c r="BJ989" s="118"/>
      <c r="BK989" s="118"/>
      <c r="BL989" s="118"/>
      <c r="BM989" s="118"/>
      <c r="BN989" s="118"/>
      <c r="BO989" s="118"/>
      <c r="BP989" s="118"/>
      <c r="BQ989" s="118"/>
      <c r="BR989" s="118"/>
      <c r="BS989" s="118"/>
      <c r="BT989" s="118"/>
      <c r="BU989" s="118"/>
      <c r="BV989" s="118"/>
      <c r="BW989" s="118"/>
      <c r="BX989" s="118"/>
      <c r="BY989" s="118"/>
      <c r="BZ989" s="118"/>
      <c r="CA989" s="118"/>
      <c r="CB989" s="118"/>
      <c r="CC989" s="118"/>
      <c r="CD989" s="118"/>
      <c r="CE989" s="118"/>
      <c r="CF989" s="118"/>
      <c r="CG989" s="118"/>
      <c r="CH989" s="118"/>
      <c r="CI989" s="118"/>
      <c r="CJ989" s="118"/>
      <c r="CK989" s="118"/>
      <c r="CL989" s="118"/>
      <c r="CM989" s="118"/>
      <c r="CN989" s="118"/>
      <c r="CO989" s="118"/>
      <c r="CP989" s="118"/>
      <c r="CQ989" s="118"/>
      <c r="CR989" s="118"/>
      <c r="CS989" s="118"/>
      <c r="CT989" s="118"/>
      <c r="CU989" s="118"/>
      <c r="CV989" s="118"/>
      <c r="CW989" s="118"/>
      <c r="CX989" s="118"/>
      <c r="CY989" s="118"/>
      <c r="CZ989" s="118"/>
      <c r="DA989" s="118"/>
      <c r="DB989" s="118"/>
      <c r="DC989" s="118"/>
      <c r="DD989" s="118"/>
      <c r="DE989" s="118"/>
      <c r="DF989" s="118"/>
      <c r="DG989" s="118"/>
      <c r="DH989" s="118"/>
      <c r="DI989" s="118"/>
      <c r="DJ989" s="118"/>
      <c r="DK989" s="118"/>
      <c r="DL989" s="118"/>
      <c r="DM989" s="118"/>
      <c r="DN989" s="118"/>
      <c r="DO989" s="118"/>
      <c r="DP989" s="118"/>
      <c r="DQ989" s="118"/>
      <c r="DR989" s="118"/>
      <c r="DS989" s="118"/>
      <c r="DT989" s="118"/>
      <c r="DU989" s="118"/>
      <c r="DV989" s="118"/>
      <c r="DW989" s="118"/>
      <c r="DX989" s="118"/>
      <c r="DY989" s="118"/>
      <c r="DZ989" s="118"/>
      <c r="EA989" s="118"/>
      <c r="EB989" s="118"/>
      <c r="EC989" s="118"/>
      <c r="ED989" s="118"/>
      <c r="EE989" s="118"/>
      <c r="EF989" s="118"/>
      <c r="EG989" s="118"/>
      <c r="EH989" s="118"/>
      <c r="EI989" s="118"/>
      <c r="EJ989" s="118"/>
      <c r="EK989" s="118"/>
      <c r="EL989" s="118"/>
      <c r="EM989" s="118"/>
      <c r="EN989" s="118"/>
      <c r="EO989" s="118"/>
      <c r="EP989" s="118"/>
      <c r="EQ989" s="118"/>
      <c r="ER989" s="118"/>
      <c r="ES989" s="118"/>
      <c r="ET989" s="118"/>
      <c r="EU989" s="118"/>
      <c r="EV989" s="118"/>
      <c r="EW989" s="118"/>
      <c r="EX989" s="118"/>
      <c r="EY989" s="118"/>
      <c r="EZ989" s="118"/>
      <c r="FA989" s="118"/>
      <c r="FB989" s="118"/>
      <c r="FC989" s="118"/>
      <c r="FD989" s="118"/>
      <c r="FE989" s="118"/>
      <c r="FF989" s="118"/>
      <c r="FG989" s="118"/>
      <c r="FH989" s="118"/>
      <c r="FI989" s="118"/>
      <c r="FJ989" s="118"/>
      <c r="FK989" s="118"/>
      <c r="FL989" s="118"/>
      <c r="FM989" s="118"/>
      <c r="FN989" s="118"/>
      <c r="FO989" s="118"/>
      <c r="FP989" s="118"/>
      <c r="FQ989" s="118"/>
      <c r="FR989" s="118"/>
      <c r="FS989" s="118"/>
      <c r="FT989" s="118"/>
      <c r="FU989" s="118"/>
      <c r="FV989" s="118"/>
      <c r="FW989" s="118"/>
      <c r="FX989" s="118"/>
      <c r="FY989" s="118"/>
      <c r="FZ989" s="118"/>
      <c r="GA989" s="118"/>
      <c r="GB989" s="118"/>
      <c r="GC989" s="118"/>
      <c r="GD989" s="118"/>
      <c r="GE989" s="118"/>
      <c r="GF989" s="118"/>
      <c r="GG989" s="118"/>
      <c r="GH989" s="118"/>
      <c r="GI989" s="118"/>
      <c r="GJ989" s="118"/>
      <c r="GK989" s="118"/>
      <c r="GL989" s="118"/>
      <c r="GM989" s="118"/>
      <c r="GN989" s="118"/>
      <c r="GO989" s="118"/>
      <c r="GP989" s="118"/>
      <c r="GQ989" s="118"/>
      <c r="GR989" s="118"/>
      <c r="GS989" s="118"/>
      <c r="GT989" s="118"/>
      <c r="GU989" s="118"/>
      <c r="GV989" s="118"/>
      <c r="GW989" s="118"/>
      <c r="GX989" s="118"/>
      <c r="GY989" s="118"/>
      <c r="GZ989" s="118"/>
      <c r="HA989" s="118"/>
      <c r="HB989" s="118"/>
      <c r="HC989" s="118"/>
      <c r="HD989" s="118"/>
      <c r="HE989" s="118"/>
      <c r="HF989" s="118"/>
      <c r="HG989" s="118"/>
      <c r="HH989" s="118"/>
      <c r="HI989" s="118"/>
      <c r="HJ989" s="118"/>
      <c r="HK989" s="118"/>
      <c r="HL989" s="118"/>
      <c r="HM989" s="118"/>
      <c r="HN989" s="118"/>
      <c r="HO989" s="118"/>
      <c r="HP989" s="118"/>
      <c r="HQ989" s="118"/>
      <c r="HR989" s="118"/>
      <c r="HS989" s="118"/>
      <c r="HT989" s="118"/>
      <c r="HU989" s="118"/>
      <c r="HV989" s="118"/>
      <c r="HW989" s="118"/>
      <c r="HX989" s="118"/>
      <c r="HY989" s="118"/>
      <c r="HZ989" s="118"/>
      <c r="IA989" s="118"/>
      <c r="IB989" s="118"/>
      <c r="IC989" s="118"/>
      <c r="ID989" s="118"/>
      <c r="IE989" s="118"/>
      <c r="IF989" s="118"/>
      <c r="IG989" s="118"/>
      <c r="IH989" s="118"/>
      <c r="II989" s="118"/>
      <c r="IJ989" s="118"/>
    </row>
    <row r="990" spans="1:244" s="127" customFormat="1">
      <c r="A990" s="118">
        <v>989</v>
      </c>
      <c r="B990" s="128">
        <v>11</v>
      </c>
      <c r="C990" s="156">
        <v>36647</v>
      </c>
      <c r="D990" s="157" t="s">
        <v>48</v>
      </c>
      <c r="E990" s="8">
        <v>2000</v>
      </c>
      <c r="F990" s="158"/>
      <c r="G990" s="162"/>
      <c r="H990" s="172"/>
      <c r="I990" s="160"/>
      <c r="J990" s="11"/>
      <c r="K990" s="11"/>
      <c r="L990" s="11"/>
      <c r="M990" s="174"/>
      <c r="N990" s="528"/>
      <c r="O990" s="11"/>
      <c r="P990" s="8"/>
      <c r="Q990" s="11"/>
      <c r="R990" s="11"/>
      <c r="S990" s="155"/>
      <c r="T990" s="11"/>
      <c r="U990" s="161"/>
      <c r="V990" s="11"/>
      <c r="W990" s="11"/>
    </row>
    <row r="991" spans="1:244" s="127" customFormat="1">
      <c r="A991" s="118">
        <v>990</v>
      </c>
      <c r="B991" s="128">
        <v>11</v>
      </c>
      <c r="C991" s="156">
        <v>36678</v>
      </c>
      <c r="D991" s="157" t="s">
        <v>49</v>
      </c>
      <c r="E991" s="8">
        <v>2000</v>
      </c>
      <c r="F991" s="158"/>
      <c r="G991" s="162"/>
      <c r="H991" s="172"/>
      <c r="I991" s="160"/>
      <c r="J991" s="11"/>
      <c r="K991" s="11"/>
      <c r="L991" s="11"/>
      <c r="M991" s="174"/>
      <c r="N991" s="528"/>
      <c r="O991" s="11"/>
      <c r="P991" s="8"/>
      <c r="Q991" s="11"/>
      <c r="R991" s="11"/>
      <c r="S991" s="155"/>
      <c r="T991" s="11"/>
      <c r="U991" s="161"/>
      <c r="V991" s="11"/>
      <c r="W991" s="11"/>
    </row>
    <row r="992" spans="1:244" s="127" customFormat="1">
      <c r="A992" s="118">
        <v>991</v>
      </c>
      <c r="B992" s="128">
        <v>11</v>
      </c>
      <c r="C992" s="156">
        <v>36708</v>
      </c>
      <c r="D992" s="157" t="s">
        <v>50</v>
      </c>
      <c r="E992" s="8">
        <v>2000</v>
      </c>
      <c r="F992" s="158"/>
      <c r="G992" s="162"/>
      <c r="H992" s="172"/>
      <c r="I992" s="160"/>
      <c r="J992" s="11"/>
      <c r="K992" s="11"/>
      <c r="L992" s="11"/>
      <c r="M992" s="174"/>
      <c r="N992" s="528"/>
      <c r="O992" s="11"/>
      <c r="P992" s="8"/>
      <c r="Q992" s="11"/>
      <c r="R992" s="11"/>
      <c r="S992" s="155"/>
      <c r="T992" s="11"/>
      <c r="U992" s="161"/>
      <c r="V992" s="11"/>
      <c r="W992" s="11"/>
    </row>
    <row r="993" spans="1:244" s="127" customFormat="1">
      <c r="A993" s="118">
        <v>992</v>
      </c>
      <c r="B993" s="128">
        <v>11</v>
      </c>
      <c r="C993" s="156">
        <v>36739</v>
      </c>
      <c r="D993" s="157" t="s">
        <v>51</v>
      </c>
      <c r="E993" s="8">
        <v>2000</v>
      </c>
      <c r="F993" s="158"/>
      <c r="G993" s="162"/>
      <c r="H993" s="172"/>
      <c r="I993" s="160"/>
      <c r="J993" s="11"/>
      <c r="K993" s="11"/>
      <c r="L993" s="11"/>
      <c r="M993" s="174"/>
      <c r="N993" s="528"/>
      <c r="O993" s="11"/>
      <c r="P993" s="8"/>
      <c r="Q993" s="11"/>
      <c r="R993" s="11"/>
      <c r="S993" s="155" t="s">
        <v>301</v>
      </c>
      <c r="T993" s="11"/>
      <c r="U993" s="161"/>
      <c r="V993" s="11"/>
      <c r="W993" s="11"/>
    </row>
    <row r="994" spans="1:244" s="127" customFormat="1">
      <c r="A994" s="118">
        <v>993</v>
      </c>
      <c r="B994" s="128">
        <v>11</v>
      </c>
      <c r="C994" s="156">
        <v>36770</v>
      </c>
      <c r="D994" s="157" t="s">
        <v>52</v>
      </c>
      <c r="E994" s="8">
        <v>2000</v>
      </c>
      <c r="F994" s="158">
        <f t="shared" ref="F994:F1006" si="271">C994-H994</f>
        <v>275</v>
      </c>
      <c r="G994" s="158">
        <f t="shared" ref="G994:G1006" si="272">IF(F994&lt;365,1,2)</f>
        <v>1</v>
      </c>
      <c r="H994" s="172">
        <v>36495</v>
      </c>
      <c r="I994" s="160">
        <v>599058</v>
      </c>
      <c r="J994" s="15">
        <v>0.2</v>
      </c>
      <c r="K994" s="15">
        <v>9.625</v>
      </c>
      <c r="L994" s="15">
        <v>3.3</v>
      </c>
      <c r="M994" s="174"/>
      <c r="N994" s="528"/>
      <c r="O994" s="15">
        <v>0</v>
      </c>
      <c r="P994" s="8"/>
      <c r="Q994" s="11"/>
      <c r="R994" s="11"/>
      <c r="S994" s="155"/>
      <c r="T994" s="161">
        <f t="shared" ref="T994:T1004" si="273">$I994*K994</f>
        <v>5765933.25</v>
      </c>
      <c r="U994" s="161">
        <f t="shared" ref="U994:U1004" si="274">$I994*L994</f>
        <v>1976891.4</v>
      </c>
      <c r="V994" s="161">
        <f t="shared" ref="V994:V1006" si="275">$I994*O994</f>
        <v>0</v>
      </c>
      <c r="W994" s="161">
        <f t="shared" ref="W994:W1006" si="276">V994*0.4</f>
        <v>0</v>
      </c>
    </row>
    <row r="995" spans="1:244" s="127" customFormat="1">
      <c r="A995" s="118">
        <v>994</v>
      </c>
      <c r="B995" s="128">
        <v>11</v>
      </c>
      <c r="C995" s="156">
        <v>36800</v>
      </c>
      <c r="D995" s="157" t="s">
        <v>53</v>
      </c>
      <c r="E995" s="8">
        <v>2000</v>
      </c>
      <c r="F995" s="158">
        <f t="shared" si="271"/>
        <v>305</v>
      </c>
      <c r="G995" s="158">
        <f t="shared" si="272"/>
        <v>1</v>
      </c>
      <c r="H995" s="172">
        <v>36495</v>
      </c>
      <c r="I995" s="160">
        <v>584022</v>
      </c>
      <c r="J995" s="15">
        <v>0.82499999999999996</v>
      </c>
      <c r="K995" s="15">
        <v>12.6</v>
      </c>
      <c r="L995" s="15">
        <v>6.25</v>
      </c>
      <c r="M995" s="174">
        <v>2</v>
      </c>
      <c r="N995" s="528"/>
      <c r="O995" s="15">
        <v>0.17499999999999999</v>
      </c>
      <c r="P995" s="8"/>
      <c r="Q995" s="11"/>
      <c r="R995" s="11"/>
      <c r="S995" s="155"/>
      <c r="T995" s="161">
        <f t="shared" si="273"/>
        <v>7358677.2000000002</v>
      </c>
      <c r="U995" s="161">
        <f t="shared" si="274"/>
        <v>3650137.5</v>
      </c>
      <c r="V995" s="161">
        <f t="shared" si="275"/>
        <v>102203.84999999999</v>
      </c>
      <c r="W995" s="161">
        <f t="shared" si="276"/>
        <v>40881.54</v>
      </c>
    </row>
    <row r="996" spans="1:244">
      <c r="A996" s="118">
        <v>995</v>
      </c>
      <c r="B996" s="128">
        <v>11</v>
      </c>
      <c r="C996" s="156">
        <v>36831</v>
      </c>
      <c r="D996" s="157" t="s">
        <v>54</v>
      </c>
      <c r="E996" s="8">
        <v>2000</v>
      </c>
      <c r="F996" s="158">
        <f t="shared" si="271"/>
        <v>336</v>
      </c>
      <c r="G996" s="158">
        <f t="shared" si="272"/>
        <v>1</v>
      </c>
      <c r="H996" s="172">
        <v>36495</v>
      </c>
      <c r="I996" s="160">
        <v>583351</v>
      </c>
      <c r="J996" s="15">
        <v>1.6666666666666667</v>
      </c>
      <c r="K996" s="15">
        <v>10.283333333333333</v>
      </c>
      <c r="L996" s="15">
        <v>5.1166666666666671</v>
      </c>
      <c r="M996" s="174">
        <v>0</v>
      </c>
      <c r="O996" s="15">
        <v>0.11666666666666668</v>
      </c>
      <c r="P996" s="8">
        <v>1</v>
      </c>
      <c r="T996" s="161">
        <f t="shared" si="273"/>
        <v>5998792.7833333332</v>
      </c>
      <c r="U996" s="161">
        <f t="shared" si="274"/>
        <v>2984812.6166666672</v>
      </c>
      <c r="V996" s="161">
        <f t="shared" si="275"/>
        <v>68057.616666666669</v>
      </c>
      <c r="W996" s="161">
        <f t="shared" si="276"/>
        <v>27223.046666666669</v>
      </c>
      <c r="X996" s="127"/>
      <c r="Y996" s="127"/>
      <c r="Z996" s="127"/>
      <c r="AA996" s="127"/>
      <c r="AB996" s="127"/>
      <c r="AC996" s="127"/>
      <c r="AD996" s="127"/>
      <c r="AE996" s="127"/>
      <c r="AF996" s="127"/>
      <c r="AG996" s="127"/>
      <c r="AH996" s="127"/>
      <c r="AI996" s="127"/>
      <c r="AJ996" s="127"/>
      <c r="AK996" s="127"/>
      <c r="AL996" s="127"/>
      <c r="AM996" s="127"/>
      <c r="AN996" s="127"/>
      <c r="AO996" s="127"/>
      <c r="AP996" s="127"/>
      <c r="AQ996" s="127"/>
      <c r="AR996" s="127"/>
      <c r="AS996" s="127"/>
      <c r="AT996" s="127"/>
      <c r="AU996" s="127"/>
      <c r="AV996" s="127"/>
      <c r="AW996" s="127"/>
      <c r="AX996" s="127"/>
      <c r="AY996" s="127"/>
      <c r="AZ996" s="127"/>
      <c r="BA996" s="127"/>
      <c r="BB996" s="127"/>
      <c r="BC996" s="127"/>
      <c r="BD996" s="127"/>
      <c r="BE996" s="127"/>
      <c r="BF996" s="127"/>
      <c r="BG996" s="127"/>
      <c r="BH996" s="127"/>
      <c r="BI996" s="127"/>
      <c r="BJ996" s="127"/>
      <c r="BK996" s="127"/>
      <c r="BL996" s="127"/>
      <c r="BM996" s="127"/>
      <c r="BN996" s="127"/>
      <c r="BO996" s="127"/>
      <c r="BP996" s="127"/>
      <c r="BQ996" s="127"/>
      <c r="BR996" s="127"/>
      <c r="BS996" s="127"/>
      <c r="BT996" s="127"/>
      <c r="BU996" s="127"/>
      <c r="BV996" s="127"/>
      <c r="BW996" s="127"/>
      <c r="BX996" s="127"/>
      <c r="BY996" s="127"/>
      <c r="BZ996" s="127"/>
      <c r="CA996" s="127"/>
      <c r="CB996" s="127"/>
      <c r="CC996" s="127"/>
      <c r="CD996" s="127"/>
      <c r="CE996" s="127"/>
      <c r="CF996" s="127"/>
      <c r="CG996" s="127"/>
      <c r="CH996" s="127"/>
      <c r="CI996" s="127"/>
      <c r="CJ996" s="127"/>
      <c r="CK996" s="127"/>
      <c r="CL996" s="127"/>
      <c r="CM996" s="127"/>
      <c r="CN996" s="127"/>
      <c r="CO996" s="127"/>
      <c r="CP996" s="127"/>
      <c r="CQ996" s="127"/>
      <c r="CR996" s="127"/>
      <c r="CS996" s="127"/>
      <c r="CT996" s="127"/>
      <c r="CU996" s="127"/>
      <c r="CV996" s="127"/>
      <c r="CW996" s="127"/>
      <c r="CX996" s="127"/>
      <c r="CY996" s="127"/>
      <c r="CZ996" s="127"/>
      <c r="DA996" s="127"/>
      <c r="DB996" s="127"/>
      <c r="DC996" s="127"/>
      <c r="DD996" s="127"/>
      <c r="DE996" s="127"/>
      <c r="DF996" s="127"/>
      <c r="DG996" s="127"/>
      <c r="DH996" s="127"/>
      <c r="DI996" s="127"/>
      <c r="DJ996" s="127"/>
      <c r="DK996" s="127"/>
      <c r="DL996" s="127"/>
      <c r="DM996" s="127"/>
      <c r="DN996" s="127"/>
      <c r="DO996" s="127"/>
      <c r="DP996" s="127"/>
      <c r="DQ996" s="127"/>
      <c r="DR996" s="127"/>
      <c r="DS996" s="127"/>
      <c r="DT996" s="127"/>
      <c r="DU996" s="127"/>
      <c r="DV996" s="127"/>
      <c r="DW996" s="127"/>
      <c r="DX996" s="127"/>
      <c r="DY996" s="127"/>
      <c r="DZ996" s="127"/>
      <c r="EA996" s="127"/>
      <c r="EB996" s="127"/>
      <c r="EC996" s="127"/>
      <c r="ED996" s="127"/>
      <c r="EE996" s="127"/>
      <c r="EF996" s="127"/>
      <c r="EG996" s="127"/>
      <c r="EH996" s="127"/>
      <c r="EI996" s="127"/>
      <c r="EJ996" s="127"/>
      <c r="EK996" s="127"/>
      <c r="EL996" s="127"/>
      <c r="EM996" s="127"/>
      <c r="EN996" s="127"/>
      <c r="EO996" s="127"/>
      <c r="EP996" s="127"/>
      <c r="EQ996" s="127"/>
      <c r="ER996" s="127"/>
      <c r="ES996" s="127"/>
      <c r="ET996" s="127"/>
      <c r="EU996" s="127"/>
      <c r="EV996" s="127"/>
      <c r="EW996" s="127"/>
      <c r="EX996" s="127"/>
      <c r="EY996" s="127"/>
      <c r="EZ996" s="127"/>
      <c r="FA996" s="127"/>
      <c r="FB996" s="127"/>
      <c r="FC996" s="127"/>
      <c r="FD996" s="127"/>
      <c r="FE996" s="127"/>
      <c r="FF996" s="127"/>
      <c r="FG996" s="127"/>
      <c r="FH996" s="127"/>
      <c r="FI996" s="127"/>
      <c r="FJ996" s="127"/>
      <c r="FK996" s="127"/>
      <c r="FL996" s="127"/>
      <c r="FM996" s="127"/>
      <c r="FN996" s="127"/>
      <c r="FO996" s="127"/>
      <c r="FP996" s="127"/>
      <c r="FQ996" s="127"/>
      <c r="FR996" s="127"/>
      <c r="FS996" s="127"/>
      <c r="FT996" s="127"/>
      <c r="FU996" s="127"/>
      <c r="FV996" s="127"/>
      <c r="FW996" s="127"/>
      <c r="FX996" s="127"/>
      <c r="FY996" s="127"/>
      <c r="FZ996" s="127"/>
      <c r="GA996" s="127"/>
      <c r="GB996" s="127"/>
      <c r="GC996" s="127"/>
      <c r="GD996" s="127"/>
      <c r="GE996" s="127"/>
      <c r="GF996" s="127"/>
      <c r="GG996" s="127"/>
      <c r="GH996" s="127"/>
      <c r="GI996" s="127"/>
      <c r="GJ996" s="127"/>
      <c r="GK996" s="127"/>
      <c r="GL996" s="127"/>
      <c r="GM996" s="127"/>
      <c r="GN996" s="127"/>
      <c r="GO996" s="127"/>
      <c r="GP996" s="127"/>
      <c r="GQ996" s="127"/>
      <c r="GR996" s="127"/>
      <c r="GS996" s="127"/>
      <c r="GT996" s="127"/>
      <c r="GU996" s="127"/>
      <c r="GV996" s="127"/>
      <c r="GW996" s="127"/>
      <c r="GX996" s="127"/>
      <c r="GY996" s="127"/>
      <c r="GZ996" s="127"/>
      <c r="HA996" s="127"/>
      <c r="HB996" s="127"/>
      <c r="HC996" s="127"/>
      <c r="HD996" s="127"/>
      <c r="HE996" s="127"/>
      <c r="HF996" s="127"/>
      <c r="HG996" s="127"/>
      <c r="HH996" s="127"/>
      <c r="HI996" s="127"/>
      <c r="HJ996" s="127"/>
      <c r="HK996" s="127"/>
      <c r="HL996" s="127"/>
      <c r="HM996" s="127"/>
      <c r="HN996" s="127"/>
      <c r="HO996" s="127"/>
      <c r="HP996" s="127"/>
      <c r="HQ996" s="127"/>
      <c r="HR996" s="127"/>
      <c r="HS996" s="127"/>
      <c r="HT996" s="127"/>
      <c r="HU996" s="127"/>
      <c r="HV996" s="127"/>
      <c r="HW996" s="127"/>
      <c r="HX996" s="127"/>
      <c r="HY996" s="127"/>
      <c r="HZ996" s="127"/>
      <c r="IA996" s="127"/>
      <c r="IB996" s="127"/>
      <c r="IC996" s="127"/>
      <c r="ID996" s="127"/>
      <c r="IE996" s="127"/>
      <c r="IF996" s="127"/>
      <c r="IG996" s="127"/>
      <c r="IH996" s="127"/>
      <c r="II996" s="127"/>
      <c r="IJ996" s="127"/>
    </row>
    <row r="997" spans="1:244">
      <c r="A997" s="118">
        <v>996</v>
      </c>
      <c r="B997" s="259">
        <v>11</v>
      </c>
      <c r="C997" s="156">
        <v>36861</v>
      </c>
      <c r="D997" s="157" t="s">
        <v>55</v>
      </c>
      <c r="E997" s="8">
        <v>2000</v>
      </c>
      <c r="F997" s="158">
        <f t="shared" si="271"/>
        <v>366</v>
      </c>
      <c r="G997" s="158">
        <f t="shared" si="272"/>
        <v>2</v>
      </c>
      <c r="H997" s="172">
        <v>36495</v>
      </c>
      <c r="I997" s="160">
        <v>582660</v>
      </c>
      <c r="J997" s="15">
        <v>0.375</v>
      </c>
      <c r="K997" s="15">
        <v>4.5</v>
      </c>
      <c r="L997" s="15">
        <v>2.4750000000000001</v>
      </c>
      <c r="M997" s="174">
        <v>0</v>
      </c>
      <c r="O997" s="15">
        <v>0.625</v>
      </c>
      <c r="S997" s="180"/>
      <c r="T997" s="161">
        <f t="shared" si="273"/>
        <v>2621970</v>
      </c>
      <c r="U997" s="161">
        <f t="shared" si="274"/>
        <v>1442083.5</v>
      </c>
      <c r="V997" s="161">
        <f t="shared" si="275"/>
        <v>364162.5</v>
      </c>
      <c r="W997" s="161">
        <f t="shared" si="276"/>
        <v>145665</v>
      </c>
      <c r="X997" s="127"/>
      <c r="Y997" s="127"/>
      <c r="Z997" s="127"/>
      <c r="AA997" s="127"/>
      <c r="AB997" s="127"/>
      <c r="AC997" s="127"/>
      <c r="AD997" s="127"/>
      <c r="AE997" s="127"/>
      <c r="AF997" s="127"/>
      <c r="AG997" s="127"/>
      <c r="AH997" s="127"/>
      <c r="AI997" s="127"/>
      <c r="AJ997" s="127"/>
      <c r="AK997" s="127"/>
      <c r="AL997" s="127"/>
      <c r="AM997" s="127"/>
      <c r="AN997" s="127"/>
      <c r="AO997" s="127"/>
      <c r="AP997" s="127"/>
      <c r="AQ997" s="127"/>
      <c r="AR997" s="127"/>
      <c r="AS997" s="127"/>
      <c r="AT997" s="127"/>
      <c r="AU997" s="127"/>
      <c r="AV997" s="127"/>
      <c r="AW997" s="127"/>
      <c r="AX997" s="127"/>
      <c r="AY997" s="127"/>
      <c r="AZ997" s="127"/>
      <c r="BA997" s="127"/>
      <c r="BB997" s="127"/>
      <c r="BC997" s="127"/>
      <c r="BD997" s="127"/>
      <c r="BE997" s="127"/>
      <c r="BF997" s="127"/>
      <c r="BG997" s="127"/>
      <c r="BH997" s="127"/>
      <c r="BI997" s="127"/>
      <c r="BJ997" s="127"/>
      <c r="BK997" s="127"/>
      <c r="BL997" s="127"/>
      <c r="BM997" s="127"/>
      <c r="BN997" s="127"/>
      <c r="BO997" s="127"/>
      <c r="BP997" s="127"/>
      <c r="BQ997" s="127"/>
      <c r="BR997" s="127"/>
      <c r="BS997" s="127"/>
      <c r="BT997" s="127"/>
      <c r="BU997" s="127"/>
      <c r="BV997" s="127"/>
      <c r="BW997" s="127"/>
      <c r="BX997" s="127"/>
      <c r="BY997" s="127"/>
      <c r="BZ997" s="127"/>
      <c r="CA997" s="127"/>
      <c r="CB997" s="127"/>
      <c r="CC997" s="127"/>
      <c r="CD997" s="127"/>
      <c r="CE997" s="127"/>
      <c r="CF997" s="127"/>
      <c r="CG997" s="127"/>
      <c r="CH997" s="127"/>
      <c r="CI997" s="127"/>
      <c r="CJ997" s="127"/>
      <c r="CK997" s="127"/>
      <c r="CL997" s="127"/>
      <c r="CM997" s="127"/>
      <c r="CN997" s="127"/>
      <c r="CO997" s="127"/>
      <c r="CP997" s="127"/>
      <c r="CQ997" s="127"/>
      <c r="CR997" s="127"/>
      <c r="CS997" s="127"/>
      <c r="CT997" s="127"/>
      <c r="CU997" s="127"/>
      <c r="CV997" s="127"/>
      <c r="CW997" s="127"/>
      <c r="CX997" s="127"/>
      <c r="CY997" s="127"/>
      <c r="CZ997" s="127"/>
      <c r="DA997" s="127"/>
      <c r="DB997" s="127"/>
      <c r="DC997" s="127"/>
      <c r="DD997" s="127"/>
      <c r="DE997" s="127"/>
      <c r="DF997" s="127"/>
      <c r="DG997" s="127"/>
      <c r="DH997" s="127"/>
      <c r="DI997" s="127"/>
      <c r="DJ997" s="127"/>
      <c r="DK997" s="127"/>
      <c r="DL997" s="127"/>
      <c r="DM997" s="127"/>
      <c r="DN997" s="127"/>
      <c r="DO997" s="127"/>
      <c r="DP997" s="127"/>
      <c r="DQ997" s="127"/>
      <c r="DR997" s="127"/>
      <c r="DS997" s="127"/>
      <c r="DT997" s="127"/>
      <c r="DU997" s="127"/>
      <c r="DV997" s="127"/>
      <c r="DW997" s="127"/>
      <c r="DX997" s="127"/>
      <c r="DY997" s="127"/>
      <c r="DZ997" s="127"/>
      <c r="EA997" s="127"/>
      <c r="EB997" s="127"/>
      <c r="EC997" s="127"/>
      <c r="ED997" s="127"/>
      <c r="EE997" s="127"/>
      <c r="EF997" s="127"/>
      <c r="EG997" s="127"/>
      <c r="EH997" s="127"/>
      <c r="EI997" s="127"/>
      <c r="EJ997" s="127"/>
      <c r="EK997" s="127"/>
      <c r="EL997" s="127"/>
      <c r="EM997" s="127"/>
      <c r="EN997" s="127"/>
      <c r="EO997" s="127"/>
      <c r="EP997" s="127"/>
      <c r="EQ997" s="127"/>
      <c r="ER997" s="127"/>
      <c r="ES997" s="127"/>
      <c r="ET997" s="127"/>
      <c r="EU997" s="127"/>
      <c r="EV997" s="127"/>
      <c r="EW997" s="127"/>
      <c r="EX997" s="127"/>
      <c r="EY997" s="127"/>
      <c r="EZ997" s="127"/>
      <c r="FA997" s="127"/>
      <c r="FB997" s="127"/>
      <c r="FC997" s="127"/>
      <c r="FD997" s="127"/>
      <c r="FE997" s="127"/>
      <c r="FF997" s="127"/>
      <c r="FG997" s="127"/>
      <c r="FH997" s="127"/>
      <c r="FI997" s="127"/>
      <c r="FJ997" s="127"/>
      <c r="FK997" s="127"/>
      <c r="FL997" s="127"/>
      <c r="FM997" s="127"/>
      <c r="FN997" s="127"/>
      <c r="FO997" s="127"/>
      <c r="FP997" s="127"/>
      <c r="FQ997" s="127"/>
      <c r="FR997" s="127"/>
      <c r="FS997" s="127"/>
      <c r="FT997" s="127"/>
      <c r="FU997" s="127"/>
      <c r="FV997" s="127"/>
      <c r="FW997" s="127"/>
      <c r="FX997" s="127"/>
      <c r="FY997" s="127"/>
      <c r="FZ997" s="127"/>
      <c r="GA997" s="127"/>
      <c r="GB997" s="127"/>
      <c r="GC997" s="127"/>
      <c r="GD997" s="127"/>
      <c r="GE997" s="127"/>
      <c r="GF997" s="127"/>
      <c r="GG997" s="127"/>
      <c r="GH997" s="127"/>
      <c r="GI997" s="127"/>
      <c r="GJ997" s="127"/>
      <c r="GK997" s="127"/>
      <c r="GL997" s="127"/>
      <c r="GM997" s="127"/>
      <c r="GN997" s="127"/>
      <c r="GO997" s="127"/>
      <c r="GP997" s="127"/>
      <c r="GQ997" s="127"/>
      <c r="GR997" s="127"/>
      <c r="GS997" s="127"/>
      <c r="GT997" s="127"/>
      <c r="GU997" s="127"/>
      <c r="GV997" s="127"/>
      <c r="GW997" s="127"/>
      <c r="GX997" s="127"/>
      <c r="GY997" s="127"/>
      <c r="GZ997" s="127"/>
      <c r="HA997" s="127"/>
      <c r="HB997" s="127"/>
      <c r="HC997" s="127"/>
      <c r="HD997" s="127"/>
      <c r="HE997" s="127"/>
      <c r="HF997" s="127"/>
      <c r="HG997" s="127"/>
      <c r="HH997" s="127"/>
      <c r="HI997" s="127"/>
      <c r="HJ997" s="127"/>
      <c r="HK997" s="127"/>
      <c r="HL997" s="127"/>
      <c r="HM997" s="127"/>
      <c r="HN997" s="127"/>
      <c r="HO997" s="127"/>
      <c r="HP997" s="127"/>
      <c r="HQ997" s="127"/>
      <c r="HR997" s="127"/>
      <c r="HS997" s="127"/>
      <c r="HT997" s="127"/>
      <c r="HU997" s="127"/>
      <c r="HV997" s="127"/>
      <c r="HW997" s="127"/>
      <c r="HX997" s="127"/>
      <c r="HY997" s="127"/>
      <c r="HZ997" s="127"/>
      <c r="IA997" s="127"/>
      <c r="IB997" s="127"/>
      <c r="IC997" s="127"/>
      <c r="ID997" s="127"/>
      <c r="IE997" s="127"/>
      <c r="IF997" s="127"/>
      <c r="IG997" s="127"/>
      <c r="IH997" s="127"/>
      <c r="II997" s="127"/>
      <c r="IJ997" s="127"/>
    </row>
    <row r="998" spans="1:244">
      <c r="A998" s="118">
        <v>997</v>
      </c>
      <c r="B998" s="259">
        <v>11</v>
      </c>
      <c r="C998" s="156">
        <v>36892</v>
      </c>
      <c r="D998" s="157" t="s">
        <v>44</v>
      </c>
      <c r="E998" s="8">
        <v>2001</v>
      </c>
      <c r="F998" s="158">
        <f t="shared" si="271"/>
        <v>397</v>
      </c>
      <c r="G998" s="158">
        <f t="shared" si="272"/>
        <v>2</v>
      </c>
      <c r="H998" s="172">
        <v>36495</v>
      </c>
      <c r="I998" s="160">
        <v>581640</v>
      </c>
      <c r="J998" s="15">
        <v>0</v>
      </c>
      <c r="K998" s="15">
        <v>0.2</v>
      </c>
      <c r="L998" s="15">
        <v>0.12</v>
      </c>
      <c r="M998" s="174">
        <v>0</v>
      </c>
      <c r="O998" s="15">
        <v>0.02</v>
      </c>
      <c r="T998" s="161">
        <f t="shared" si="273"/>
        <v>116328</v>
      </c>
      <c r="U998" s="161">
        <f t="shared" si="274"/>
        <v>69796.800000000003</v>
      </c>
      <c r="V998" s="161">
        <f t="shared" si="275"/>
        <v>11632.800000000001</v>
      </c>
      <c r="W998" s="161">
        <f t="shared" si="276"/>
        <v>4653.1200000000008</v>
      </c>
      <c r="X998" s="127"/>
      <c r="Y998" s="127"/>
      <c r="Z998" s="127"/>
      <c r="AA998" s="127"/>
      <c r="AB998" s="127"/>
      <c r="AC998" s="127"/>
      <c r="AD998" s="127"/>
      <c r="AE998" s="127"/>
      <c r="AF998" s="127"/>
      <c r="AG998" s="127"/>
      <c r="AH998" s="127"/>
      <c r="AI998" s="127"/>
      <c r="AJ998" s="127"/>
      <c r="AK998" s="127"/>
      <c r="AL998" s="127"/>
      <c r="AM998" s="127"/>
      <c r="AN998" s="127"/>
      <c r="AO998" s="127"/>
      <c r="AP998" s="127"/>
      <c r="AQ998" s="127"/>
      <c r="AR998" s="127"/>
      <c r="AS998" s="127"/>
      <c r="AT998" s="127"/>
      <c r="AU998" s="127"/>
      <c r="AV998" s="127"/>
      <c r="AW998" s="127"/>
      <c r="AX998" s="127"/>
      <c r="AY998" s="127"/>
      <c r="AZ998" s="127"/>
      <c r="BA998" s="127"/>
      <c r="BB998" s="127"/>
      <c r="BC998" s="127"/>
      <c r="BD998" s="127"/>
      <c r="BE998" s="127"/>
      <c r="BF998" s="127"/>
      <c r="BG998" s="127"/>
      <c r="BH998" s="127"/>
      <c r="BI998" s="127"/>
      <c r="BJ998" s="127"/>
      <c r="BK998" s="127"/>
      <c r="BL998" s="127"/>
      <c r="BM998" s="127"/>
      <c r="BN998" s="127"/>
      <c r="BO998" s="127"/>
      <c r="BP998" s="127"/>
      <c r="BQ998" s="127"/>
      <c r="BR998" s="127"/>
      <c r="BS998" s="127"/>
      <c r="BT998" s="127"/>
      <c r="BU998" s="127"/>
      <c r="BV998" s="127"/>
      <c r="BW998" s="127"/>
      <c r="BX998" s="127"/>
      <c r="BY998" s="127"/>
      <c r="BZ998" s="127"/>
      <c r="CA998" s="127"/>
      <c r="CB998" s="127"/>
      <c r="CC998" s="127"/>
      <c r="CD998" s="127"/>
      <c r="CE998" s="127"/>
      <c r="CF998" s="127"/>
      <c r="CG998" s="127"/>
      <c r="CH998" s="127"/>
      <c r="CI998" s="127"/>
      <c r="CJ998" s="127"/>
      <c r="CK998" s="127"/>
      <c r="CL998" s="127"/>
      <c r="CM998" s="127"/>
      <c r="CN998" s="127"/>
      <c r="CO998" s="127"/>
      <c r="CP998" s="127"/>
      <c r="CQ998" s="127"/>
      <c r="CR998" s="127"/>
      <c r="CS998" s="127"/>
      <c r="CT998" s="127"/>
      <c r="CU998" s="127"/>
      <c r="CV998" s="127"/>
      <c r="CW998" s="127"/>
      <c r="CX998" s="127"/>
      <c r="CY998" s="127"/>
      <c r="CZ998" s="127"/>
      <c r="DA998" s="127"/>
      <c r="DB998" s="127"/>
      <c r="DC998" s="127"/>
      <c r="DD998" s="127"/>
      <c r="DE998" s="127"/>
      <c r="DF998" s="127"/>
      <c r="DG998" s="127"/>
      <c r="DH998" s="127"/>
      <c r="DI998" s="127"/>
      <c r="DJ998" s="127"/>
      <c r="DK998" s="127"/>
      <c r="DL998" s="127"/>
      <c r="DM998" s="127"/>
      <c r="DN998" s="127"/>
      <c r="DO998" s="127"/>
      <c r="DP998" s="127"/>
      <c r="DQ998" s="127"/>
      <c r="DR998" s="127"/>
      <c r="DS998" s="127"/>
      <c r="DT998" s="127"/>
      <c r="DU998" s="127"/>
      <c r="DV998" s="127"/>
      <c r="DW998" s="127"/>
      <c r="DX998" s="127"/>
      <c r="DY998" s="127"/>
      <c r="DZ998" s="127"/>
      <c r="EA998" s="127"/>
      <c r="EB998" s="127"/>
      <c r="EC998" s="127"/>
      <c r="ED998" s="127"/>
      <c r="EE998" s="127"/>
      <c r="EF998" s="127"/>
      <c r="EG998" s="127"/>
      <c r="EH998" s="127"/>
      <c r="EI998" s="127"/>
      <c r="EJ998" s="127"/>
      <c r="EK998" s="127"/>
      <c r="EL998" s="127"/>
      <c r="EM998" s="127"/>
      <c r="EN998" s="127"/>
      <c r="EO998" s="127"/>
      <c r="EP998" s="127"/>
      <c r="EQ998" s="127"/>
      <c r="ER998" s="127"/>
      <c r="ES998" s="127"/>
      <c r="ET998" s="127"/>
      <c r="EU998" s="127"/>
      <c r="EV998" s="127"/>
      <c r="EW998" s="127"/>
      <c r="EX998" s="127"/>
      <c r="EY998" s="127"/>
      <c r="EZ998" s="127"/>
      <c r="FA998" s="127"/>
      <c r="FB998" s="127"/>
      <c r="FC998" s="127"/>
      <c r="FD998" s="127"/>
      <c r="FE998" s="127"/>
      <c r="FF998" s="127"/>
      <c r="FG998" s="127"/>
      <c r="FH998" s="127"/>
      <c r="FI998" s="127"/>
      <c r="FJ998" s="127"/>
      <c r="FK998" s="127"/>
      <c r="FL998" s="127"/>
      <c r="FM998" s="127"/>
      <c r="FN998" s="127"/>
      <c r="FO998" s="127"/>
      <c r="FP998" s="127"/>
      <c r="FQ998" s="127"/>
      <c r="FR998" s="127"/>
      <c r="FS998" s="127"/>
      <c r="FT998" s="127"/>
      <c r="FU998" s="127"/>
      <c r="FV998" s="127"/>
      <c r="FW998" s="127"/>
      <c r="FX998" s="127"/>
      <c r="FY998" s="127"/>
      <c r="FZ998" s="127"/>
      <c r="GA998" s="127"/>
      <c r="GB998" s="127"/>
      <c r="GC998" s="127"/>
      <c r="GD998" s="127"/>
      <c r="GE998" s="127"/>
      <c r="GF998" s="127"/>
      <c r="GG998" s="127"/>
      <c r="GH998" s="127"/>
      <c r="GI998" s="127"/>
      <c r="GJ998" s="127"/>
      <c r="GK998" s="127"/>
      <c r="GL998" s="127"/>
      <c r="GM998" s="127"/>
      <c r="GN998" s="127"/>
      <c r="GO998" s="127"/>
      <c r="GP998" s="127"/>
      <c r="GQ998" s="127"/>
      <c r="GR998" s="127"/>
      <c r="GS998" s="127"/>
      <c r="GT998" s="127"/>
      <c r="GU998" s="127"/>
      <c r="GV998" s="127"/>
      <c r="GW998" s="127"/>
      <c r="GX998" s="127"/>
      <c r="GY998" s="127"/>
      <c r="GZ998" s="127"/>
      <c r="HA998" s="127"/>
      <c r="HB998" s="127"/>
      <c r="HC998" s="127"/>
      <c r="HD998" s="127"/>
      <c r="HE998" s="127"/>
      <c r="HF998" s="127"/>
      <c r="HG998" s="127"/>
      <c r="HH998" s="127"/>
      <c r="HI998" s="127"/>
      <c r="HJ998" s="127"/>
      <c r="HK998" s="127"/>
      <c r="HL998" s="127"/>
      <c r="HM998" s="127"/>
      <c r="HN998" s="127"/>
      <c r="HO998" s="127"/>
      <c r="HP998" s="127"/>
      <c r="HQ998" s="127"/>
      <c r="HR998" s="127"/>
      <c r="HS998" s="127"/>
      <c r="HT998" s="127"/>
      <c r="HU998" s="127"/>
      <c r="HV998" s="127"/>
      <c r="HW998" s="127"/>
      <c r="HX998" s="127"/>
      <c r="HY998" s="127"/>
      <c r="HZ998" s="127"/>
      <c r="IA998" s="127"/>
      <c r="IB998" s="127"/>
      <c r="IC998" s="127"/>
      <c r="ID998" s="127"/>
      <c r="IE998" s="127"/>
      <c r="IF998" s="127"/>
      <c r="IG998" s="127"/>
      <c r="IH998" s="127"/>
      <c r="II998" s="127"/>
      <c r="IJ998" s="127"/>
    </row>
    <row r="999" spans="1:244">
      <c r="A999" s="118">
        <v>998</v>
      </c>
      <c r="B999" s="259">
        <v>11</v>
      </c>
      <c r="C999" s="156">
        <v>36923</v>
      </c>
      <c r="D999" s="157" t="s">
        <v>45</v>
      </c>
      <c r="E999" s="8">
        <v>2001</v>
      </c>
      <c r="F999" s="158">
        <f t="shared" si="271"/>
        <v>428</v>
      </c>
      <c r="G999" s="158">
        <f t="shared" si="272"/>
        <v>2</v>
      </c>
      <c r="H999" s="172">
        <v>36495</v>
      </c>
      <c r="I999" s="160">
        <v>580752</v>
      </c>
      <c r="J999" s="15">
        <v>0</v>
      </c>
      <c r="K999" s="15">
        <v>0.04</v>
      </c>
      <c r="L999" s="15">
        <v>0.02</v>
      </c>
      <c r="M999" s="174">
        <v>2</v>
      </c>
      <c r="O999" s="15">
        <v>0</v>
      </c>
      <c r="T999" s="161">
        <f t="shared" si="273"/>
        <v>23230.080000000002</v>
      </c>
      <c r="U999" s="161">
        <f t="shared" si="274"/>
        <v>11615.04</v>
      </c>
      <c r="V999" s="161">
        <f t="shared" si="275"/>
        <v>0</v>
      </c>
      <c r="W999" s="161">
        <f t="shared" si="276"/>
        <v>0</v>
      </c>
      <c r="X999" s="127"/>
      <c r="Y999" s="127"/>
      <c r="Z999" s="127"/>
      <c r="AA999" s="127"/>
      <c r="AB999" s="127"/>
      <c r="AC999" s="127"/>
      <c r="AD999" s="127"/>
      <c r="AE999" s="127"/>
      <c r="AF999" s="127"/>
      <c r="AG999" s="127"/>
      <c r="AH999" s="127"/>
      <c r="AI999" s="127"/>
      <c r="AJ999" s="127"/>
      <c r="AK999" s="127"/>
      <c r="AL999" s="127"/>
      <c r="AM999" s="127"/>
      <c r="AN999" s="127"/>
      <c r="AO999" s="127"/>
      <c r="AP999" s="127"/>
      <c r="AQ999" s="127"/>
      <c r="AR999" s="127"/>
      <c r="AS999" s="127"/>
      <c r="AT999" s="127"/>
      <c r="AU999" s="127"/>
      <c r="AV999" s="127"/>
      <c r="AW999" s="127"/>
      <c r="AX999" s="127"/>
      <c r="AY999" s="127"/>
      <c r="AZ999" s="127"/>
      <c r="BA999" s="127"/>
      <c r="BB999" s="127"/>
      <c r="BC999" s="127"/>
      <c r="BD999" s="127"/>
      <c r="BE999" s="127"/>
      <c r="BF999" s="127"/>
      <c r="BG999" s="127"/>
      <c r="BH999" s="127"/>
      <c r="BI999" s="127"/>
      <c r="BJ999" s="127"/>
      <c r="BK999" s="127"/>
      <c r="BL999" s="127"/>
      <c r="BM999" s="127"/>
      <c r="BN999" s="127"/>
      <c r="BO999" s="127"/>
      <c r="BP999" s="127"/>
      <c r="BQ999" s="127"/>
      <c r="BR999" s="127"/>
      <c r="BS999" s="127"/>
      <c r="BT999" s="127"/>
      <c r="BU999" s="127"/>
      <c r="BV999" s="127"/>
      <c r="BW999" s="127"/>
      <c r="BX999" s="127"/>
      <c r="BY999" s="127"/>
      <c r="BZ999" s="127"/>
      <c r="CA999" s="127"/>
      <c r="CB999" s="127"/>
      <c r="CC999" s="127"/>
      <c r="CD999" s="127"/>
      <c r="CE999" s="127"/>
      <c r="CF999" s="127"/>
      <c r="CG999" s="127"/>
      <c r="CH999" s="127"/>
      <c r="CI999" s="127"/>
      <c r="CJ999" s="127"/>
      <c r="CK999" s="127"/>
      <c r="CL999" s="127"/>
      <c r="CM999" s="127"/>
      <c r="CN999" s="127"/>
      <c r="CO999" s="127"/>
      <c r="CP999" s="127"/>
      <c r="CQ999" s="127"/>
      <c r="CR999" s="127"/>
      <c r="CS999" s="127"/>
      <c r="CT999" s="127"/>
      <c r="CU999" s="127"/>
      <c r="CV999" s="127"/>
      <c r="CW999" s="127"/>
      <c r="CX999" s="127"/>
      <c r="CY999" s="127"/>
      <c r="CZ999" s="127"/>
      <c r="DA999" s="127"/>
      <c r="DB999" s="127"/>
      <c r="DC999" s="127"/>
      <c r="DD999" s="127"/>
      <c r="DE999" s="127"/>
      <c r="DF999" s="127"/>
      <c r="DG999" s="127"/>
      <c r="DH999" s="127"/>
      <c r="DI999" s="127"/>
      <c r="DJ999" s="127"/>
      <c r="DK999" s="127"/>
      <c r="DL999" s="127"/>
      <c r="DM999" s="127"/>
      <c r="DN999" s="127"/>
      <c r="DO999" s="127"/>
      <c r="DP999" s="127"/>
      <c r="DQ999" s="127"/>
      <c r="DR999" s="127"/>
      <c r="DS999" s="127"/>
      <c r="DT999" s="127"/>
      <c r="DU999" s="127"/>
      <c r="DV999" s="127"/>
      <c r="DW999" s="127"/>
      <c r="DX999" s="127"/>
      <c r="DY999" s="127"/>
      <c r="DZ999" s="127"/>
      <c r="EA999" s="127"/>
      <c r="EB999" s="127"/>
      <c r="EC999" s="127"/>
      <c r="ED999" s="127"/>
      <c r="EE999" s="127"/>
      <c r="EF999" s="127"/>
      <c r="EG999" s="127"/>
      <c r="EH999" s="127"/>
      <c r="EI999" s="127"/>
      <c r="EJ999" s="127"/>
      <c r="EK999" s="127"/>
      <c r="EL999" s="127"/>
      <c r="EM999" s="127"/>
      <c r="EN999" s="127"/>
      <c r="EO999" s="127"/>
      <c r="EP999" s="127"/>
      <c r="EQ999" s="127"/>
      <c r="ER999" s="127"/>
      <c r="ES999" s="127"/>
      <c r="ET999" s="127"/>
      <c r="EU999" s="127"/>
      <c r="EV999" s="127"/>
      <c r="EW999" s="127"/>
      <c r="EX999" s="127"/>
      <c r="EY999" s="127"/>
      <c r="EZ999" s="127"/>
      <c r="FA999" s="127"/>
      <c r="FB999" s="127"/>
      <c r="FC999" s="127"/>
      <c r="FD999" s="127"/>
      <c r="FE999" s="127"/>
      <c r="FF999" s="127"/>
      <c r="FG999" s="127"/>
      <c r="FH999" s="127"/>
      <c r="FI999" s="127"/>
      <c r="FJ999" s="127"/>
      <c r="FK999" s="127"/>
      <c r="FL999" s="127"/>
      <c r="FM999" s="127"/>
      <c r="FN999" s="127"/>
      <c r="FO999" s="127"/>
      <c r="FP999" s="127"/>
      <c r="FQ999" s="127"/>
      <c r="FR999" s="127"/>
      <c r="FS999" s="127"/>
      <c r="FT999" s="127"/>
      <c r="FU999" s="127"/>
      <c r="FV999" s="127"/>
      <c r="FW999" s="127"/>
      <c r="FX999" s="127"/>
      <c r="FY999" s="127"/>
      <c r="FZ999" s="127"/>
      <c r="GA999" s="127"/>
      <c r="GB999" s="127"/>
      <c r="GC999" s="127"/>
      <c r="GD999" s="127"/>
      <c r="GE999" s="127"/>
      <c r="GF999" s="127"/>
      <c r="GG999" s="127"/>
      <c r="GH999" s="127"/>
      <c r="GI999" s="127"/>
      <c r="GJ999" s="127"/>
      <c r="GK999" s="127"/>
      <c r="GL999" s="127"/>
      <c r="GM999" s="127"/>
      <c r="GN999" s="127"/>
      <c r="GO999" s="127"/>
      <c r="GP999" s="127"/>
      <c r="GQ999" s="127"/>
      <c r="GR999" s="127"/>
      <c r="GS999" s="127"/>
      <c r="GT999" s="127"/>
      <c r="GU999" s="127"/>
      <c r="GV999" s="127"/>
      <c r="GW999" s="127"/>
      <c r="GX999" s="127"/>
      <c r="GY999" s="127"/>
      <c r="GZ999" s="127"/>
      <c r="HA999" s="127"/>
      <c r="HB999" s="127"/>
      <c r="HC999" s="127"/>
      <c r="HD999" s="127"/>
      <c r="HE999" s="127"/>
      <c r="HF999" s="127"/>
      <c r="HG999" s="127"/>
      <c r="HH999" s="127"/>
      <c r="HI999" s="127"/>
      <c r="HJ999" s="127"/>
      <c r="HK999" s="127"/>
      <c r="HL999" s="127"/>
      <c r="HM999" s="127"/>
      <c r="HN999" s="127"/>
      <c r="HO999" s="127"/>
      <c r="HP999" s="127"/>
      <c r="HQ999" s="127"/>
      <c r="HR999" s="127"/>
      <c r="HS999" s="127"/>
      <c r="HT999" s="127"/>
      <c r="HU999" s="127"/>
      <c r="HV999" s="127"/>
      <c r="HW999" s="127"/>
      <c r="HX999" s="127"/>
      <c r="HY999" s="127"/>
      <c r="HZ999" s="127"/>
      <c r="IA999" s="127"/>
      <c r="IB999" s="127"/>
      <c r="IC999" s="127"/>
      <c r="ID999" s="127"/>
      <c r="IE999" s="127"/>
      <c r="IF999" s="127"/>
      <c r="IG999" s="127"/>
      <c r="IH999" s="127"/>
      <c r="II999" s="127"/>
      <c r="IJ999" s="127"/>
    </row>
    <row r="1000" spans="1:244">
      <c r="A1000" s="118">
        <v>999</v>
      </c>
      <c r="B1000" s="259">
        <v>11</v>
      </c>
      <c r="C1000" s="156">
        <v>36951</v>
      </c>
      <c r="D1000" s="157" t="s">
        <v>46</v>
      </c>
      <c r="E1000" s="8">
        <v>2001</v>
      </c>
      <c r="F1000" s="158">
        <f t="shared" si="271"/>
        <v>456</v>
      </c>
      <c r="G1000" s="158">
        <f t="shared" si="272"/>
        <v>2</v>
      </c>
      <c r="H1000" s="172">
        <v>36495</v>
      </c>
      <c r="I1000" s="160">
        <v>580283</v>
      </c>
      <c r="J1000" s="15">
        <v>0.9</v>
      </c>
      <c r="K1000" s="15">
        <v>0.48333333333333334</v>
      </c>
      <c r="L1000" s="15">
        <v>0.33333333333333337</v>
      </c>
      <c r="O1000" s="15">
        <v>0.22500000000000001</v>
      </c>
      <c r="T1000" s="161">
        <f t="shared" si="273"/>
        <v>280470.1166666667</v>
      </c>
      <c r="U1000" s="161">
        <f t="shared" si="274"/>
        <v>193427.66666666669</v>
      </c>
      <c r="V1000" s="161">
        <f t="shared" si="275"/>
        <v>130563.675</v>
      </c>
      <c r="W1000" s="161">
        <f t="shared" si="276"/>
        <v>52225.47</v>
      </c>
      <c r="X1000" s="127"/>
      <c r="Y1000" s="127"/>
      <c r="Z1000" s="127"/>
      <c r="AA1000" s="127"/>
      <c r="AB1000" s="127"/>
      <c r="AC1000" s="127"/>
      <c r="AD1000" s="127"/>
      <c r="AE1000" s="127"/>
      <c r="AF1000" s="127"/>
      <c r="AG1000" s="127"/>
      <c r="AH1000" s="127"/>
      <c r="AI1000" s="127"/>
      <c r="AJ1000" s="127"/>
      <c r="AK1000" s="127"/>
      <c r="AL1000" s="127"/>
      <c r="AM1000" s="127"/>
      <c r="AN1000" s="127"/>
      <c r="AO1000" s="127"/>
      <c r="AP1000" s="127"/>
      <c r="AQ1000" s="127"/>
      <c r="AR1000" s="127"/>
      <c r="AS1000" s="127"/>
      <c r="AT1000" s="127"/>
      <c r="AU1000" s="127"/>
      <c r="AV1000" s="127"/>
      <c r="AW1000" s="127"/>
      <c r="AX1000" s="127"/>
      <c r="AY1000" s="127"/>
      <c r="AZ1000" s="127"/>
      <c r="BA1000" s="127"/>
      <c r="BB1000" s="127"/>
      <c r="BC1000" s="127"/>
      <c r="BD1000" s="127"/>
      <c r="BE1000" s="127"/>
      <c r="BF1000" s="127"/>
      <c r="BG1000" s="127"/>
      <c r="BH1000" s="127"/>
      <c r="BI1000" s="127"/>
      <c r="BJ1000" s="127"/>
      <c r="BK1000" s="127"/>
      <c r="BL1000" s="127"/>
      <c r="BM1000" s="127"/>
      <c r="BN1000" s="127"/>
      <c r="BO1000" s="127"/>
      <c r="BP1000" s="127"/>
      <c r="BQ1000" s="127"/>
      <c r="BR1000" s="127"/>
      <c r="BS1000" s="127"/>
      <c r="BT1000" s="127"/>
      <c r="BU1000" s="127"/>
      <c r="BV1000" s="127"/>
      <c r="BW1000" s="127"/>
      <c r="BX1000" s="127"/>
      <c r="BY1000" s="127"/>
      <c r="BZ1000" s="127"/>
      <c r="CA1000" s="127"/>
      <c r="CB1000" s="127"/>
      <c r="CC1000" s="127"/>
      <c r="CD1000" s="127"/>
      <c r="CE1000" s="127"/>
      <c r="CF1000" s="127"/>
      <c r="CG1000" s="127"/>
      <c r="CH1000" s="127"/>
      <c r="CI1000" s="127"/>
      <c r="CJ1000" s="127"/>
      <c r="CK1000" s="127"/>
      <c r="CL1000" s="127"/>
      <c r="CM1000" s="127"/>
      <c r="CN1000" s="127"/>
      <c r="CO1000" s="127"/>
      <c r="CP1000" s="127"/>
      <c r="CQ1000" s="127"/>
      <c r="CR1000" s="127"/>
      <c r="CS1000" s="127"/>
      <c r="CT1000" s="127"/>
      <c r="CU1000" s="127"/>
      <c r="CV1000" s="127"/>
      <c r="CW1000" s="127"/>
      <c r="CX1000" s="127"/>
      <c r="CY1000" s="127"/>
      <c r="CZ1000" s="127"/>
      <c r="DA1000" s="127"/>
      <c r="DB1000" s="127"/>
      <c r="DC1000" s="127"/>
      <c r="DD1000" s="127"/>
      <c r="DE1000" s="127"/>
      <c r="DF1000" s="127"/>
      <c r="DG1000" s="127"/>
      <c r="DH1000" s="127"/>
      <c r="DI1000" s="127"/>
      <c r="DJ1000" s="127"/>
      <c r="DK1000" s="127"/>
      <c r="DL1000" s="127"/>
      <c r="DM1000" s="127"/>
      <c r="DN1000" s="127"/>
      <c r="DO1000" s="127"/>
      <c r="DP1000" s="127"/>
      <c r="DQ1000" s="127"/>
      <c r="DR1000" s="127"/>
      <c r="DS1000" s="127"/>
      <c r="DT1000" s="127"/>
      <c r="DU1000" s="127"/>
      <c r="DV1000" s="127"/>
      <c r="DW1000" s="127"/>
      <c r="DX1000" s="127"/>
      <c r="DY1000" s="127"/>
      <c r="DZ1000" s="127"/>
      <c r="EA1000" s="127"/>
      <c r="EB1000" s="127"/>
      <c r="EC1000" s="127"/>
      <c r="ED1000" s="127"/>
      <c r="EE1000" s="127"/>
      <c r="EF1000" s="127"/>
      <c r="EG1000" s="127"/>
      <c r="EH1000" s="127"/>
      <c r="EI1000" s="127"/>
      <c r="EJ1000" s="127"/>
      <c r="EK1000" s="127"/>
      <c r="EL1000" s="127"/>
      <c r="EM1000" s="127"/>
      <c r="EN1000" s="127"/>
      <c r="EO1000" s="127"/>
      <c r="EP1000" s="127"/>
      <c r="EQ1000" s="127"/>
      <c r="ER1000" s="127"/>
      <c r="ES1000" s="127"/>
      <c r="ET1000" s="127"/>
      <c r="EU1000" s="127"/>
      <c r="EV1000" s="127"/>
      <c r="EW1000" s="127"/>
      <c r="EX1000" s="127"/>
      <c r="EY1000" s="127"/>
      <c r="EZ1000" s="127"/>
      <c r="FA1000" s="127"/>
      <c r="FB1000" s="127"/>
      <c r="FC1000" s="127"/>
      <c r="FD1000" s="127"/>
      <c r="FE1000" s="127"/>
      <c r="FF1000" s="127"/>
      <c r="FG1000" s="127"/>
      <c r="FH1000" s="127"/>
      <c r="FI1000" s="127"/>
      <c r="FJ1000" s="127"/>
      <c r="FK1000" s="127"/>
      <c r="FL1000" s="127"/>
      <c r="FM1000" s="127"/>
      <c r="FN1000" s="127"/>
      <c r="FO1000" s="127"/>
      <c r="FP1000" s="127"/>
      <c r="FQ1000" s="127"/>
      <c r="FR1000" s="127"/>
      <c r="FS1000" s="127"/>
      <c r="FT1000" s="127"/>
      <c r="FU1000" s="127"/>
      <c r="FV1000" s="127"/>
      <c r="FW1000" s="127"/>
      <c r="FX1000" s="127"/>
      <c r="FY1000" s="127"/>
      <c r="FZ1000" s="127"/>
      <c r="GA1000" s="127"/>
      <c r="GB1000" s="127"/>
      <c r="GC1000" s="127"/>
      <c r="GD1000" s="127"/>
      <c r="GE1000" s="127"/>
      <c r="GF1000" s="127"/>
      <c r="GG1000" s="127"/>
      <c r="GH1000" s="127"/>
      <c r="GI1000" s="127"/>
      <c r="GJ1000" s="127"/>
      <c r="GK1000" s="127"/>
      <c r="GL1000" s="127"/>
      <c r="GM1000" s="127"/>
      <c r="GN1000" s="127"/>
      <c r="GO1000" s="127"/>
      <c r="GP1000" s="127"/>
      <c r="GQ1000" s="127"/>
      <c r="GR1000" s="127"/>
      <c r="GS1000" s="127"/>
      <c r="GT1000" s="127"/>
      <c r="GU1000" s="127"/>
      <c r="GV1000" s="127"/>
      <c r="GW1000" s="127"/>
      <c r="GX1000" s="127"/>
      <c r="GY1000" s="127"/>
      <c r="GZ1000" s="127"/>
      <c r="HA1000" s="127"/>
      <c r="HB1000" s="127"/>
      <c r="HC1000" s="127"/>
      <c r="HD1000" s="127"/>
      <c r="HE1000" s="127"/>
      <c r="HF1000" s="127"/>
      <c r="HG1000" s="127"/>
      <c r="HH1000" s="127"/>
      <c r="HI1000" s="127"/>
      <c r="HJ1000" s="127"/>
      <c r="HK1000" s="127"/>
      <c r="HL1000" s="127"/>
      <c r="HM1000" s="127"/>
      <c r="HN1000" s="127"/>
      <c r="HO1000" s="127"/>
      <c r="HP1000" s="127"/>
      <c r="HQ1000" s="127"/>
      <c r="HR1000" s="127"/>
      <c r="HS1000" s="127"/>
      <c r="HT1000" s="127"/>
      <c r="HU1000" s="127"/>
      <c r="HV1000" s="127"/>
      <c r="HW1000" s="127"/>
      <c r="HX1000" s="127"/>
      <c r="HY1000" s="127"/>
      <c r="HZ1000" s="127"/>
      <c r="IA1000" s="127"/>
      <c r="IB1000" s="127"/>
      <c r="IC1000" s="127"/>
      <c r="ID1000" s="127"/>
      <c r="IE1000" s="127"/>
      <c r="IF1000" s="127"/>
      <c r="IG1000" s="127"/>
      <c r="IH1000" s="127"/>
      <c r="II1000" s="127"/>
      <c r="IJ1000" s="127"/>
    </row>
    <row r="1001" spans="1:244">
      <c r="A1001" s="118">
        <v>1000</v>
      </c>
      <c r="B1001" s="128">
        <v>11</v>
      </c>
      <c r="C1001" s="156">
        <v>36982</v>
      </c>
      <c r="D1001" s="157" t="s">
        <v>47</v>
      </c>
      <c r="E1001" s="8">
        <v>2001</v>
      </c>
      <c r="F1001" s="158">
        <f t="shared" si="271"/>
        <v>487</v>
      </c>
      <c r="G1001" s="158">
        <f t="shared" si="272"/>
        <v>2</v>
      </c>
      <c r="H1001" s="172">
        <v>36495</v>
      </c>
      <c r="I1001" s="160">
        <v>568932</v>
      </c>
      <c r="J1001" s="173"/>
      <c r="K1001" s="165">
        <f>(K1000+K1002)/2</f>
        <v>7.0416666666666661</v>
      </c>
      <c r="L1001" s="165">
        <f>(L1000+L1002)/2</f>
        <v>2.4416666666666664</v>
      </c>
      <c r="N1001" s="528">
        <v>1</v>
      </c>
      <c r="O1001" s="165">
        <f>(O1000+O1002)/2</f>
        <v>0.3125</v>
      </c>
      <c r="T1001" s="161">
        <f t="shared" si="273"/>
        <v>4006229.4999999995</v>
      </c>
      <c r="U1001" s="161">
        <f t="shared" si="274"/>
        <v>1389142.2999999998</v>
      </c>
      <c r="V1001" s="161">
        <f t="shared" si="275"/>
        <v>177791.25</v>
      </c>
      <c r="W1001" s="161">
        <f t="shared" si="276"/>
        <v>71116.5</v>
      </c>
      <c r="X1001" s="127"/>
      <c r="Y1001" s="127"/>
      <c r="Z1001" s="127"/>
      <c r="AA1001" s="127"/>
      <c r="AB1001" s="127"/>
      <c r="AC1001" s="127"/>
      <c r="AD1001" s="127"/>
      <c r="AE1001" s="127"/>
      <c r="AF1001" s="127"/>
      <c r="AG1001" s="127"/>
      <c r="AH1001" s="127"/>
      <c r="AI1001" s="127"/>
      <c r="AJ1001" s="127"/>
      <c r="AK1001" s="127"/>
      <c r="AL1001" s="127"/>
      <c r="AM1001" s="127"/>
      <c r="AN1001" s="127"/>
      <c r="AO1001" s="127"/>
      <c r="AP1001" s="127"/>
      <c r="AQ1001" s="127"/>
      <c r="AR1001" s="127"/>
      <c r="AS1001" s="127"/>
      <c r="AT1001" s="127"/>
      <c r="AU1001" s="127"/>
      <c r="AV1001" s="127"/>
      <c r="AW1001" s="127"/>
      <c r="AX1001" s="127"/>
      <c r="AY1001" s="127"/>
      <c r="AZ1001" s="127"/>
      <c r="BA1001" s="127"/>
      <c r="BB1001" s="127"/>
      <c r="BC1001" s="127"/>
      <c r="BD1001" s="127"/>
      <c r="BE1001" s="127"/>
      <c r="BF1001" s="127"/>
      <c r="BG1001" s="127"/>
      <c r="BH1001" s="127"/>
      <c r="BI1001" s="127"/>
      <c r="BJ1001" s="127"/>
      <c r="BK1001" s="127"/>
      <c r="BL1001" s="127"/>
      <c r="BM1001" s="127"/>
      <c r="BN1001" s="127"/>
      <c r="BO1001" s="127"/>
      <c r="BP1001" s="127"/>
      <c r="BQ1001" s="127"/>
      <c r="BR1001" s="127"/>
      <c r="BS1001" s="127"/>
      <c r="BT1001" s="127"/>
      <c r="BU1001" s="127"/>
      <c r="BV1001" s="127"/>
      <c r="BW1001" s="127"/>
      <c r="BX1001" s="127"/>
      <c r="BY1001" s="127"/>
      <c r="BZ1001" s="127"/>
      <c r="CA1001" s="127"/>
      <c r="CB1001" s="127"/>
      <c r="CC1001" s="127"/>
      <c r="CD1001" s="127"/>
      <c r="CE1001" s="127"/>
      <c r="CF1001" s="127"/>
      <c r="CG1001" s="127"/>
      <c r="CH1001" s="127"/>
      <c r="CI1001" s="127"/>
      <c r="CJ1001" s="127"/>
      <c r="CK1001" s="127"/>
      <c r="CL1001" s="127"/>
      <c r="CM1001" s="127"/>
      <c r="CN1001" s="127"/>
      <c r="CO1001" s="127"/>
      <c r="CP1001" s="127"/>
      <c r="CQ1001" s="127"/>
      <c r="CR1001" s="127"/>
      <c r="CS1001" s="127"/>
      <c r="CT1001" s="127"/>
      <c r="CU1001" s="127"/>
      <c r="CV1001" s="127"/>
      <c r="CW1001" s="127"/>
      <c r="CX1001" s="127"/>
      <c r="CY1001" s="127"/>
      <c r="CZ1001" s="127"/>
      <c r="DA1001" s="127"/>
      <c r="DB1001" s="127"/>
      <c r="DC1001" s="127"/>
      <c r="DD1001" s="127"/>
      <c r="DE1001" s="127"/>
      <c r="DF1001" s="127"/>
      <c r="DG1001" s="127"/>
      <c r="DH1001" s="127"/>
      <c r="DI1001" s="127"/>
      <c r="DJ1001" s="127"/>
      <c r="DK1001" s="127"/>
      <c r="DL1001" s="127"/>
      <c r="DM1001" s="127"/>
      <c r="DN1001" s="127"/>
      <c r="DO1001" s="127"/>
      <c r="DP1001" s="127"/>
      <c r="DQ1001" s="127"/>
      <c r="DR1001" s="127"/>
      <c r="DS1001" s="127"/>
      <c r="DT1001" s="127"/>
      <c r="DU1001" s="127"/>
      <c r="DV1001" s="127"/>
      <c r="DW1001" s="127"/>
      <c r="DX1001" s="127"/>
      <c r="DY1001" s="127"/>
      <c r="DZ1001" s="127"/>
      <c r="EA1001" s="127"/>
      <c r="EB1001" s="127"/>
      <c r="EC1001" s="127"/>
      <c r="ED1001" s="127"/>
      <c r="EE1001" s="127"/>
      <c r="EF1001" s="127"/>
      <c r="EG1001" s="127"/>
      <c r="EH1001" s="127"/>
      <c r="EI1001" s="127"/>
      <c r="EJ1001" s="127"/>
      <c r="EK1001" s="127"/>
      <c r="EL1001" s="127"/>
      <c r="EM1001" s="127"/>
      <c r="EN1001" s="127"/>
      <c r="EO1001" s="127"/>
      <c r="EP1001" s="127"/>
      <c r="EQ1001" s="127"/>
      <c r="ER1001" s="127"/>
      <c r="ES1001" s="127"/>
      <c r="ET1001" s="127"/>
      <c r="EU1001" s="127"/>
      <c r="EV1001" s="127"/>
      <c r="EW1001" s="127"/>
      <c r="EX1001" s="127"/>
      <c r="EY1001" s="127"/>
      <c r="EZ1001" s="127"/>
      <c r="FA1001" s="127"/>
      <c r="FB1001" s="127"/>
      <c r="FC1001" s="127"/>
      <c r="FD1001" s="127"/>
      <c r="FE1001" s="127"/>
      <c r="FF1001" s="127"/>
      <c r="FG1001" s="127"/>
      <c r="FH1001" s="127"/>
      <c r="FI1001" s="127"/>
      <c r="FJ1001" s="127"/>
      <c r="FK1001" s="127"/>
      <c r="FL1001" s="127"/>
      <c r="FM1001" s="127"/>
      <c r="FN1001" s="127"/>
      <c r="FO1001" s="127"/>
      <c r="FP1001" s="127"/>
      <c r="FQ1001" s="127"/>
      <c r="FR1001" s="127"/>
      <c r="FS1001" s="127"/>
      <c r="FT1001" s="127"/>
      <c r="FU1001" s="127"/>
      <c r="FV1001" s="127"/>
      <c r="FW1001" s="127"/>
      <c r="FX1001" s="127"/>
      <c r="FY1001" s="127"/>
      <c r="FZ1001" s="127"/>
      <c r="GA1001" s="127"/>
      <c r="GB1001" s="127"/>
      <c r="GC1001" s="127"/>
      <c r="GD1001" s="127"/>
      <c r="GE1001" s="127"/>
      <c r="GF1001" s="127"/>
      <c r="GG1001" s="127"/>
      <c r="GH1001" s="127"/>
      <c r="GI1001" s="127"/>
      <c r="GJ1001" s="127"/>
      <c r="GK1001" s="127"/>
      <c r="GL1001" s="127"/>
      <c r="GM1001" s="127"/>
      <c r="GN1001" s="127"/>
      <c r="GO1001" s="127"/>
      <c r="GP1001" s="127"/>
      <c r="GQ1001" s="127"/>
      <c r="GR1001" s="127"/>
      <c r="GS1001" s="127"/>
      <c r="GT1001" s="127"/>
      <c r="GU1001" s="127"/>
      <c r="GV1001" s="127"/>
      <c r="GW1001" s="127"/>
      <c r="GX1001" s="127"/>
      <c r="GY1001" s="127"/>
      <c r="GZ1001" s="127"/>
      <c r="HA1001" s="127"/>
      <c r="HB1001" s="127"/>
      <c r="HC1001" s="127"/>
      <c r="HD1001" s="127"/>
      <c r="HE1001" s="127"/>
      <c r="HF1001" s="127"/>
      <c r="HG1001" s="127"/>
      <c r="HH1001" s="127"/>
      <c r="HI1001" s="127"/>
      <c r="HJ1001" s="127"/>
      <c r="HK1001" s="127"/>
      <c r="HL1001" s="127"/>
      <c r="HM1001" s="127"/>
      <c r="HN1001" s="127"/>
      <c r="HO1001" s="127"/>
      <c r="HP1001" s="127"/>
      <c r="HQ1001" s="127"/>
      <c r="HR1001" s="127"/>
      <c r="HS1001" s="127"/>
      <c r="HT1001" s="127"/>
      <c r="HU1001" s="127"/>
      <c r="HV1001" s="127"/>
      <c r="HW1001" s="127"/>
      <c r="HX1001" s="127"/>
      <c r="HY1001" s="127"/>
      <c r="HZ1001" s="127"/>
      <c r="IA1001" s="127"/>
      <c r="IB1001" s="127"/>
      <c r="IC1001" s="127"/>
      <c r="ID1001" s="127"/>
      <c r="IE1001" s="127"/>
      <c r="IF1001" s="127"/>
      <c r="IG1001" s="127"/>
      <c r="IH1001" s="127"/>
      <c r="II1001" s="127"/>
      <c r="IJ1001" s="127"/>
    </row>
    <row r="1002" spans="1:244" ht="12.75" customHeight="1">
      <c r="A1002" s="118">
        <v>1001</v>
      </c>
      <c r="B1002" s="128">
        <v>11</v>
      </c>
      <c r="C1002" s="156">
        <v>37012</v>
      </c>
      <c r="D1002" s="157" t="s">
        <v>48</v>
      </c>
      <c r="E1002" s="8">
        <v>2001</v>
      </c>
      <c r="F1002" s="158">
        <f t="shared" si="271"/>
        <v>517</v>
      </c>
      <c r="G1002" s="158">
        <f t="shared" si="272"/>
        <v>2</v>
      </c>
      <c r="H1002" s="172">
        <v>36495</v>
      </c>
      <c r="I1002" s="160">
        <v>449618</v>
      </c>
      <c r="J1002" s="15">
        <v>1.1000000000000001</v>
      </c>
      <c r="K1002" s="15">
        <v>13.6</v>
      </c>
      <c r="L1002" s="15">
        <v>4.55</v>
      </c>
      <c r="O1002" s="15">
        <v>0.4</v>
      </c>
      <c r="T1002" s="161">
        <f t="shared" si="273"/>
        <v>6114804.7999999998</v>
      </c>
      <c r="U1002" s="161">
        <f t="shared" si="274"/>
        <v>2045761.9</v>
      </c>
      <c r="V1002" s="161">
        <f t="shared" si="275"/>
        <v>179847.2</v>
      </c>
      <c r="W1002" s="161">
        <f t="shared" si="276"/>
        <v>71938.880000000005</v>
      </c>
    </row>
    <row r="1003" spans="1:244" ht="12.75" customHeight="1">
      <c r="A1003" s="118">
        <v>1002</v>
      </c>
      <c r="B1003" s="128">
        <v>11</v>
      </c>
      <c r="C1003" s="156">
        <v>37043</v>
      </c>
      <c r="D1003" s="157" t="s">
        <v>49</v>
      </c>
      <c r="E1003" s="8">
        <v>2001</v>
      </c>
      <c r="F1003" s="158">
        <f t="shared" si="271"/>
        <v>548</v>
      </c>
      <c r="G1003" s="158">
        <f t="shared" si="272"/>
        <v>2</v>
      </c>
      <c r="H1003" s="172">
        <v>36495</v>
      </c>
      <c r="I1003" s="160">
        <v>385704</v>
      </c>
      <c r="J1003" s="173"/>
      <c r="K1003" s="165">
        <f>(K1002+K1004)/2</f>
        <v>13.175000000000001</v>
      </c>
      <c r="L1003" s="165">
        <f>(L1002+L1004)/2</f>
        <v>6.2249999999999996</v>
      </c>
      <c r="N1003" s="528">
        <v>1</v>
      </c>
      <c r="O1003" s="165">
        <f>(O1002+O1004)/2</f>
        <v>0.22500000000000001</v>
      </c>
      <c r="T1003" s="161">
        <f t="shared" si="273"/>
        <v>5081650.2</v>
      </c>
      <c r="U1003" s="161">
        <f t="shared" si="274"/>
        <v>2401007.4</v>
      </c>
      <c r="V1003" s="161">
        <f t="shared" si="275"/>
        <v>86783.400000000009</v>
      </c>
      <c r="W1003" s="161">
        <f t="shared" si="276"/>
        <v>34713.360000000008</v>
      </c>
    </row>
    <row r="1004" spans="1:244" ht="12.75" customHeight="1">
      <c r="A1004" s="118">
        <v>1003</v>
      </c>
      <c r="B1004" s="128">
        <v>11</v>
      </c>
      <c r="C1004" s="156">
        <v>37073</v>
      </c>
      <c r="D1004" s="157" t="s">
        <v>50</v>
      </c>
      <c r="E1004" s="8">
        <v>2001</v>
      </c>
      <c r="F1004" s="158">
        <f t="shared" si="271"/>
        <v>578</v>
      </c>
      <c r="G1004" s="158">
        <f t="shared" si="272"/>
        <v>2</v>
      </c>
      <c r="H1004" s="172">
        <v>36495</v>
      </c>
      <c r="I1004" s="160">
        <v>384595</v>
      </c>
      <c r="J1004" s="15">
        <v>0.05</v>
      </c>
      <c r="K1004" s="15">
        <v>12.75</v>
      </c>
      <c r="L1004" s="15">
        <v>7.9</v>
      </c>
      <c r="O1004" s="15">
        <v>0.05</v>
      </c>
      <c r="T1004" s="161">
        <f t="shared" si="273"/>
        <v>4903586.25</v>
      </c>
      <c r="U1004" s="161">
        <f t="shared" si="274"/>
        <v>3038300.5</v>
      </c>
      <c r="V1004" s="161">
        <f t="shared" si="275"/>
        <v>19229.75</v>
      </c>
      <c r="W1004" s="161">
        <f t="shared" si="276"/>
        <v>7691.9000000000005</v>
      </c>
    </row>
    <row r="1005" spans="1:244" ht="12.75" customHeight="1">
      <c r="A1005" s="118">
        <v>1004</v>
      </c>
      <c r="B1005" s="128">
        <v>11</v>
      </c>
      <c r="C1005" s="156">
        <v>37104</v>
      </c>
      <c r="D1005" s="157" t="s">
        <v>51</v>
      </c>
      <c r="E1005" s="8">
        <v>2001</v>
      </c>
      <c r="F1005" s="158">
        <f t="shared" si="271"/>
        <v>609</v>
      </c>
      <c r="G1005" s="158">
        <f t="shared" si="272"/>
        <v>2</v>
      </c>
      <c r="H1005" s="172">
        <v>36495</v>
      </c>
      <c r="I1005" s="160">
        <v>282395</v>
      </c>
      <c r="J1005" s="11"/>
      <c r="K1005" s="11"/>
      <c r="L1005" s="165">
        <v>9</v>
      </c>
      <c r="N1005" s="528" t="s">
        <v>795</v>
      </c>
      <c r="O1005" s="165">
        <v>0.2</v>
      </c>
      <c r="T1005" s="11"/>
      <c r="U1005" s="161">
        <f>$I1005*L1005</f>
        <v>2541555</v>
      </c>
      <c r="V1005" s="171">
        <f t="shared" si="275"/>
        <v>56479</v>
      </c>
      <c r="W1005" s="171">
        <f t="shared" si="276"/>
        <v>22591.600000000002</v>
      </c>
    </row>
    <row r="1006" spans="1:244" ht="12.75" customHeight="1">
      <c r="A1006" s="118">
        <v>1005</v>
      </c>
      <c r="B1006" s="128">
        <v>11</v>
      </c>
      <c r="C1006" s="156">
        <v>37135</v>
      </c>
      <c r="D1006" s="157" t="s">
        <v>52</v>
      </c>
      <c r="E1006" s="8">
        <v>2001</v>
      </c>
      <c r="F1006" s="158">
        <f t="shared" si="271"/>
        <v>640</v>
      </c>
      <c r="G1006" s="158">
        <f t="shared" si="272"/>
        <v>2</v>
      </c>
      <c r="H1006" s="172">
        <v>36495</v>
      </c>
      <c r="I1006" s="160">
        <v>137230</v>
      </c>
      <c r="J1006" s="11"/>
      <c r="K1006" s="11"/>
      <c r="L1006" s="203">
        <v>10</v>
      </c>
      <c r="N1006" s="528" t="s">
        <v>795</v>
      </c>
      <c r="O1006" s="203">
        <v>0.2</v>
      </c>
      <c r="T1006" s="11"/>
      <c r="U1006" s="161">
        <f>$I1006*L1006</f>
        <v>1372300</v>
      </c>
      <c r="V1006" s="171">
        <f t="shared" si="275"/>
        <v>27446</v>
      </c>
      <c r="W1006" s="171">
        <f t="shared" si="276"/>
        <v>10978.400000000001</v>
      </c>
    </row>
    <row r="1007" spans="1:244" ht="12.75" customHeight="1">
      <c r="A1007" s="118">
        <v>1006</v>
      </c>
      <c r="B1007" s="128">
        <v>11</v>
      </c>
      <c r="C1007" s="156">
        <v>37165</v>
      </c>
      <c r="D1007" s="157" t="s">
        <v>53</v>
      </c>
      <c r="E1007" s="8">
        <v>2001</v>
      </c>
      <c r="F1007" s="158"/>
      <c r="G1007" s="162"/>
      <c r="J1007" s="11"/>
      <c r="K1007" s="11"/>
      <c r="L1007" s="11"/>
      <c r="O1007" s="11"/>
      <c r="T1007" s="11"/>
      <c r="V1007" s="11"/>
      <c r="W1007" s="11"/>
    </row>
    <row r="1008" spans="1:244" ht="12.75" customHeight="1">
      <c r="A1008" s="118">
        <v>1007</v>
      </c>
      <c r="B1008" s="128">
        <v>11</v>
      </c>
      <c r="C1008" s="156">
        <v>37196</v>
      </c>
      <c r="D1008" s="157" t="s">
        <v>54</v>
      </c>
      <c r="E1008" s="8">
        <v>2001</v>
      </c>
      <c r="F1008" s="158"/>
      <c r="G1008" s="162"/>
      <c r="J1008" s="11"/>
      <c r="K1008" s="11"/>
      <c r="L1008" s="11"/>
      <c r="O1008" s="11"/>
      <c r="T1008" s="11"/>
      <c r="V1008" s="11"/>
      <c r="W1008" s="11"/>
    </row>
    <row r="1009" spans="1:23" ht="12.75" customHeight="1">
      <c r="A1009" s="118">
        <v>1008</v>
      </c>
      <c r="B1009" s="128">
        <v>11</v>
      </c>
      <c r="C1009" s="156">
        <v>37226</v>
      </c>
      <c r="D1009" s="157" t="s">
        <v>55</v>
      </c>
      <c r="E1009" s="8">
        <v>2001</v>
      </c>
      <c r="F1009" s="158"/>
      <c r="G1009" s="162"/>
      <c r="J1009" s="11"/>
      <c r="K1009" s="11"/>
      <c r="L1009" s="11"/>
      <c r="O1009" s="11"/>
      <c r="T1009" s="11"/>
      <c r="V1009" s="11"/>
      <c r="W1009" s="11"/>
    </row>
    <row r="1010" spans="1:23" ht="12.75" customHeight="1">
      <c r="A1010" s="118">
        <v>1009</v>
      </c>
      <c r="B1010" s="128">
        <v>11</v>
      </c>
      <c r="C1010" s="156">
        <v>37257</v>
      </c>
      <c r="D1010" s="157" t="s">
        <v>44</v>
      </c>
      <c r="E1010" s="8">
        <v>2002</v>
      </c>
      <c r="F1010" s="158"/>
      <c r="G1010" s="162"/>
      <c r="H1010" s="162"/>
      <c r="J1010" s="11"/>
      <c r="K1010" s="11"/>
      <c r="L1010" s="11"/>
      <c r="O1010" s="11"/>
      <c r="S1010" s="155" t="s">
        <v>286</v>
      </c>
      <c r="T1010" s="11"/>
      <c r="V1010" s="11"/>
      <c r="W1010" s="11"/>
    </row>
    <row r="1011" spans="1:23" ht="12.75" customHeight="1">
      <c r="A1011" s="118">
        <v>1010</v>
      </c>
      <c r="B1011" s="128">
        <v>11</v>
      </c>
      <c r="C1011" s="156">
        <v>37288</v>
      </c>
      <c r="D1011" s="157" t="s">
        <v>45</v>
      </c>
      <c r="E1011" s="8">
        <v>2002</v>
      </c>
      <c r="F1011" s="158"/>
      <c r="G1011" s="158">
        <f t="shared" ref="G1011:G1018" si="277">IF(F1011&lt;365,1,2)</f>
        <v>1</v>
      </c>
      <c r="H1011" s="162"/>
      <c r="I1011" s="160"/>
      <c r="Q1011" s="11">
        <v>7.1</v>
      </c>
      <c r="R1011" s="11">
        <v>34.5</v>
      </c>
      <c r="S1011" s="155" t="s">
        <v>296</v>
      </c>
    </row>
    <row r="1012" spans="1:23" ht="12.75" customHeight="1">
      <c r="A1012" s="118">
        <v>1011</v>
      </c>
      <c r="B1012" s="128">
        <v>11</v>
      </c>
      <c r="C1012" s="156">
        <v>37316</v>
      </c>
      <c r="D1012" s="157" t="s">
        <v>46</v>
      </c>
      <c r="E1012" s="8">
        <v>2002</v>
      </c>
      <c r="F1012" s="158">
        <f t="shared" ref="F1012:F1018" si="278">C1012-H1012</f>
        <v>393</v>
      </c>
      <c r="G1012" s="158">
        <f t="shared" si="277"/>
        <v>2</v>
      </c>
      <c r="H1012" s="162">
        <v>36923</v>
      </c>
      <c r="I1012" s="160">
        <v>205423</v>
      </c>
      <c r="Q1012" s="11">
        <v>6.8</v>
      </c>
      <c r="R1012" s="11">
        <v>34.799999999999997</v>
      </c>
      <c r="S1012" s="155" t="s">
        <v>357</v>
      </c>
    </row>
    <row r="1013" spans="1:23" ht="12.75" customHeight="1">
      <c r="A1013" s="118">
        <v>1012</v>
      </c>
      <c r="B1013" s="128">
        <v>11</v>
      </c>
      <c r="C1013" s="156">
        <v>37347</v>
      </c>
      <c r="D1013" s="157" t="s">
        <v>47</v>
      </c>
      <c r="E1013" s="8">
        <v>2002</v>
      </c>
      <c r="F1013" s="158">
        <f t="shared" si="278"/>
        <v>424</v>
      </c>
      <c r="G1013" s="158">
        <f t="shared" si="277"/>
        <v>2</v>
      </c>
      <c r="H1013" s="162">
        <v>36923</v>
      </c>
      <c r="I1013" s="160">
        <v>149587</v>
      </c>
      <c r="Q1013" s="11">
        <v>7.8</v>
      </c>
      <c r="R1013" s="11">
        <v>33.4</v>
      </c>
    </row>
    <row r="1014" spans="1:23" ht="12.75" customHeight="1">
      <c r="A1014" s="118">
        <v>1013</v>
      </c>
      <c r="B1014" s="128">
        <v>11</v>
      </c>
      <c r="C1014" s="156">
        <v>37377</v>
      </c>
      <c r="D1014" s="157" t="s">
        <v>48</v>
      </c>
      <c r="E1014" s="8">
        <v>2002</v>
      </c>
      <c r="F1014" s="158">
        <f t="shared" si="278"/>
        <v>454</v>
      </c>
      <c r="G1014" s="158">
        <f t="shared" si="277"/>
        <v>2</v>
      </c>
      <c r="H1014" s="162">
        <v>36923</v>
      </c>
      <c r="I1014" s="160">
        <v>124674</v>
      </c>
      <c r="Q1014" s="11">
        <v>8.6</v>
      </c>
      <c r="R1014" s="11">
        <v>33.200000000000003</v>
      </c>
    </row>
    <row r="1015" spans="1:23" ht="12.75" customHeight="1">
      <c r="A1015" s="118">
        <v>1014</v>
      </c>
      <c r="B1015" s="128">
        <v>11</v>
      </c>
      <c r="C1015" s="181">
        <v>37408</v>
      </c>
      <c r="D1015" s="157" t="s">
        <v>49</v>
      </c>
      <c r="E1015" s="8">
        <v>2002</v>
      </c>
      <c r="F1015" s="158">
        <f t="shared" si="278"/>
        <v>485</v>
      </c>
      <c r="G1015" s="158">
        <f t="shared" si="277"/>
        <v>2</v>
      </c>
      <c r="H1015" s="172">
        <v>36923</v>
      </c>
      <c r="I1015" s="160">
        <v>114376</v>
      </c>
      <c r="J1015" s="128">
        <v>0</v>
      </c>
      <c r="K1015" s="128">
        <v>29.3</v>
      </c>
      <c r="L1015" s="128">
        <v>15.8</v>
      </c>
      <c r="O1015" s="128">
        <v>0</v>
      </c>
      <c r="P1015" s="170">
        <v>1</v>
      </c>
      <c r="Q1015" s="173">
        <v>9.8000000000000007</v>
      </c>
      <c r="R1015" s="173">
        <v>29.5</v>
      </c>
      <c r="S1015" s="180"/>
      <c r="T1015" s="161">
        <f t="shared" ref="T1015:U1017" si="279">$I1015*K1015</f>
        <v>3351216.8000000003</v>
      </c>
      <c r="U1015" s="161">
        <f t="shared" si="279"/>
        <v>1807140.8</v>
      </c>
      <c r="V1015" s="161">
        <f t="shared" ref="V1015:V1017" si="280">$I1015*O1015</f>
        <v>0</v>
      </c>
      <c r="W1015" s="161">
        <f>V1015*0.4</f>
        <v>0</v>
      </c>
    </row>
    <row r="1016" spans="1:23" ht="12.75" customHeight="1">
      <c r="A1016" s="118">
        <v>1015</v>
      </c>
      <c r="B1016" s="128">
        <v>11</v>
      </c>
      <c r="C1016" s="156">
        <v>37438</v>
      </c>
      <c r="D1016" s="157" t="s">
        <v>50</v>
      </c>
      <c r="E1016" s="8">
        <v>2002</v>
      </c>
      <c r="F1016" s="158">
        <f t="shared" si="278"/>
        <v>515</v>
      </c>
      <c r="G1016" s="158">
        <f t="shared" si="277"/>
        <v>2</v>
      </c>
      <c r="H1016" s="162">
        <v>36923</v>
      </c>
      <c r="I1016" s="160">
        <v>107699</v>
      </c>
      <c r="J1016" s="173"/>
      <c r="K1016" s="165">
        <f>(K1015+K1017)/2</f>
        <v>15.56</v>
      </c>
      <c r="L1016" s="165">
        <f>(L1015+L1017)/2</f>
        <v>8.0500000000000007</v>
      </c>
      <c r="N1016" s="528">
        <v>1</v>
      </c>
      <c r="O1016" s="165">
        <f>(O1015+O1017)/2</f>
        <v>0</v>
      </c>
      <c r="Q1016" s="11">
        <v>10.8</v>
      </c>
      <c r="R1016" s="11">
        <v>28.7</v>
      </c>
      <c r="S1016" s="180"/>
      <c r="T1016" s="161">
        <f t="shared" si="279"/>
        <v>1675796.44</v>
      </c>
      <c r="U1016" s="161">
        <f t="shared" si="279"/>
        <v>866976.95000000007</v>
      </c>
      <c r="V1016" s="161">
        <f t="shared" si="280"/>
        <v>0</v>
      </c>
      <c r="W1016" s="161">
        <f>V1016*0.4</f>
        <v>0</v>
      </c>
    </row>
    <row r="1017" spans="1:23" ht="12.75" customHeight="1">
      <c r="A1017" s="118">
        <v>1016</v>
      </c>
      <c r="B1017" s="259">
        <v>11</v>
      </c>
      <c r="C1017" s="156">
        <v>37469</v>
      </c>
      <c r="D1017" s="157" t="s">
        <v>51</v>
      </c>
      <c r="E1017" s="8">
        <v>2002</v>
      </c>
      <c r="F1017" s="158">
        <f t="shared" si="278"/>
        <v>546</v>
      </c>
      <c r="G1017" s="158">
        <f t="shared" si="277"/>
        <v>2</v>
      </c>
      <c r="H1017" s="162">
        <v>36923</v>
      </c>
      <c r="I1017" s="160">
        <v>107042</v>
      </c>
      <c r="J1017" s="15">
        <v>0.76</v>
      </c>
      <c r="K1017" s="15">
        <v>1.82</v>
      </c>
      <c r="L1017" s="15">
        <v>0.3</v>
      </c>
      <c r="O1017" s="15">
        <v>0</v>
      </c>
      <c r="Q1017" s="15">
        <v>11</v>
      </c>
      <c r="R1017" s="15">
        <v>31.7</v>
      </c>
      <c r="T1017" s="161">
        <f t="shared" si="279"/>
        <v>194816.44</v>
      </c>
      <c r="U1017" s="161">
        <f t="shared" si="279"/>
        <v>32112.6</v>
      </c>
      <c r="V1017" s="161">
        <f t="shared" si="280"/>
        <v>0</v>
      </c>
      <c r="W1017" s="161">
        <f>V1017*0.4</f>
        <v>0</v>
      </c>
    </row>
    <row r="1018" spans="1:23" ht="12.75" customHeight="1">
      <c r="A1018" s="118">
        <v>1017</v>
      </c>
      <c r="B1018" s="259">
        <v>11</v>
      </c>
      <c r="C1018" s="156">
        <v>37500</v>
      </c>
      <c r="D1018" s="157" t="s">
        <v>52</v>
      </c>
      <c r="E1018" s="8">
        <v>2002</v>
      </c>
      <c r="F1018" s="158">
        <f t="shared" si="278"/>
        <v>577</v>
      </c>
      <c r="G1018" s="158">
        <f t="shared" si="277"/>
        <v>2</v>
      </c>
      <c r="H1018" s="162">
        <v>36923</v>
      </c>
      <c r="I1018" s="160">
        <v>63159</v>
      </c>
      <c r="L1018" s="165">
        <v>0.05</v>
      </c>
      <c r="N1018" s="528" t="s">
        <v>795</v>
      </c>
      <c r="O1018" s="165">
        <v>0.05</v>
      </c>
      <c r="Q1018" s="11">
        <v>10.1</v>
      </c>
      <c r="R1018" s="11">
        <v>31.2</v>
      </c>
      <c r="S1018" s="155" t="s">
        <v>18</v>
      </c>
      <c r="U1018" s="161">
        <f>$I1018*L1018</f>
        <v>3157.9500000000003</v>
      </c>
      <c r="V1018" s="161">
        <f>$I1018*O1018</f>
        <v>3157.9500000000003</v>
      </c>
      <c r="W1018" s="161">
        <f>V1018*0.4</f>
        <v>1263.1800000000003</v>
      </c>
    </row>
    <row r="1019" spans="1:23" ht="12.75" customHeight="1">
      <c r="A1019" s="118">
        <v>1018</v>
      </c>
      <c r="B1019" s="128">
        <v>11</v>
      </c>
      <c r="C1019" s="156">
        <v>37530</v>
      </c>
      <c r="D1019" s="157" t="s">
        <v>53</v>
      </c>
      <c r="E1019" s="8">
        <v>2002</v>
      </c>
      <c r="F1019" s="158"/>
      <c r="G1019" s="162"/>
      <c r="H1019" s="162"/>
      <c r="I1019" s="160"/>
      <c r="Q1019" s="15">
        <v>9.1</v>
      </c>
      <c r="R1019" s="15">
        <v>30.4</v>
      </c>
    </row>
    <row r="1020" spans="1:23" ht="12.75" customHeight="1">
      <c r="A1020" s="118">
        <v>1019</v>
      </c>
      <c r="B1020" s="128">
        <v>11</v>
      </c>
      <c r="C1020" s="156">
        <v>37561</v>
      </c>
      <c r="D1020" s="157" t="s">
        <v>54</v>
      </c>
      <c r="E1020" s="8">
        <v>2002</v>
      </c>
      <c r="F1020" s="158"/>
      <c r="G1020" s="162"/>
      <c r="H1020" s="128"/>
      <c r="I1020" s="160"/>
      <c r="Q1020" s="11">
        <v>8.1</v>
      </c>
      <c r="R1020" s="11">
        <v>31.6</v>
      </c>
      <c r="S1020" s="155" t="s">
        <v>286</v>
      </c>
    </row>
    <row r="1021" spans="1:23" ht="12.75" customHeight="1">
      <c r="A1021" s="118">
        <v>1020</v>
      </c>
      <c r="B1021" s="128">
        <v>11</v>
      </c>
      <c r="C1021" s="156">
        <v>37591</v>
      </c>
      <c r="D1021" s="157" t="s">
        <v>55</v>
      </c>
      <c r="E1021" s="8">
        <v>2002</v>
      </c>
      <c r="F1021" s="158"/>
      <c r="G1021" s="162"/>
      <c r="H1021" s="128"/>
      <c r="I1021" s="160"/>
    </row>
    <row r="1022" spans="1:23" ht="12.75" customHeight="1">
      <c r="A1022" s="118">
        <v>1021</v>
      </c>
      <c r="B1022" s="128">
        <v>11</v>
      </c>
      <c r="C1022" s="156">
        <v>37622</v>
      </c>
      <c r="D1022" s="157" t="s">
        <v>44</v>
      </c>
      <c r="E1022" s="8">
        <v>2003</v>
      </c>
      <c r="F1022" s="158"/>
      <c r="H1022" s="162"/>
      <c r="I1022" s="194"/>
    </row>
    <row r="1023" spans="1:23" ht="12.75" customHeight="1">
      <c r="A1023" s="118">
        <v>1022</v>
      </c>
      <c r="B1023" s="128">
        <v>11</v>
      </c>
      <c r="C1023" s="156">
        <v>37653</v>
      </c>
      <c r="D1023" s="157" t="s">
        <v>45</v>
      </c>
      <c r="E1023" s="8">
        <v>2003</v>
      </c>
      <c r="F1023" s="158"/>
      <c r="H1023" s="162"/>
      <c r="I1023" s="194"/>
    </row>
    <row r="1024" spans="1:23" ht="12.75" customHeight="1">
      <c r="A1024" s="118">
        <v>1023</v>
      </c>
      <c r="B1024" s="128">
        <v>11</v>
      </c>
      <c r="C1024" s="156">
        <v>37681</v>
      </c>
      <c r="D1024" s="157" t="s">
        <v>46</v>
      </c>
      <c r="E1024" s="8">
        <v>2003</v>
      </c>
      <c r="F1024" s="158"/>
      <c r="H1024" s="162"/>
      <c r="I1024" s="194"/>
    </row>
    <row r="1025" spans="1:23" ht="12.75" customHeight="1">
      <c r="A1025" s="118">
        <v>1024</v>
      </c>
      <c r="B1025" s="128">
        <v>11</v>
      </c>
      <c r="C1025" s="156">
        <v>37712</v>
      </c>
      <c r="D1025" s="157" t="s">
        <v>47</v>
      </c>
      <c r="E1025" s="8">
        <v>2003</v>
      </c>
      <c r="F1025" s="158"/>
      <c r="H1025" s="162"/>
      <c r="I1025" s="194"/>
    </row>
    <row r="1026" spans="1:23" ht="12.75" customHeight="1">
      <c r="A1026" s="118">
        <v>1025</v>
      </c>
      <c r="B1026" s="128">
        <v>11</v>
      </c>
      <c r="C1026" s="156">
        <v>37742</v>
      </c>
      <c r="D1026" s="157" t="s">
        <v>48</v>
      </c>
      <c r="E1026" s="8">
        <v>2003</v>
      </c>
      <c r="F1026" s="158"/>
      <c r="H1026" s="162"/>
      <c r="I1026" s="194"/>
    </row>
    <row r="1027" spans="1:23" ht="12.75" customHeight="1">
      <c r="A1027" s="118">
        <v>1026</v>
      </c>
      <c r="B1027" s="128">
        <v>11</v>
      </c>
      <c r="C1027" s="156">
        <v>37773</v>
      </c>
      <c r="D1027" s="157" t="s">
        <v>49</v>
      </c>
      <c r="E1027" s="8">
        <v>2003</v>
      </c>
      <c r="F1027" s="158"/>
      <c r="H1027" s="162"/>
      <c r="I1027" s="194"/>
    </row>
    <row r="1028" spans="1:23" ht="12.75" customHeight="1">
      <c r="A1028" s="118">
        <v>1027</v>
      </c>
      <c r="B1028" s="128">
        <v>11</v>
      </c>
      <c r="C1028" s="156">
        <v>37803</v>
      </c>
      <c r="D1028" s="157" t="s">
        <v>50</v>
      </c>
      <c r="E1028" s="8">
        <v>2003</v>
      </c>
      <c r="F1028" s="158"/>
      <c r="H1028" s="162"/>
      <c r="I1028" s="194"/>
    </row>
    <row r="1029" spans="1:23" ht="12.75" customHeight="1">
      <c r="A1029" s="118">
        <v>1028</v>
      </c>
      <c r="B1029" s="128">
        <v>11</v>
      </c>
      <c r="C1029" s="156">
        <v>37834</v>
      </c>
      <c r="D1029" s="157" t="s">
        <v>51</v>
      </c>
      <c r="E1029" s="8">
        <v>2003</v>
      </c>
      <c r="F1029" s="158"/>
      <c r="H1029" s="162"/>
      <c r="I1029" s="194"/>
    </row>
    <row r="1030" spans="1:23" ht="12.75" customHeight="1">
      <c r="A1030" s="118">
        <v>1029</v>
      </c>
      <c r="B1030" s="128">
        <v>11</v>
      </c>
      <c r="C1030" s="156">
        <v>37865</v>
      </c>
      <c r="D1030" s="157" t="s">
        <v>52</v>
      </c>
      <c r="E1030" s="8">
        <v>2003</v>
      </c>
      <c r="F1030" s="158">
        <f t="shared" ref="F1030:F1066" si="281">C1030-H1030</f>
        <v>212</v>
      </c>
      <c r="G1030" s="158">
        <f t="shared" ref="G1030:G1046" si="282">IF(F1030&lt;365,1,2)</f>
        <v>1</v>
      </c>
      <c r="H1030" s="162">
        <v>37653</v>
      </c>
      <c r="S1030" s="155" t="s">
        <v>304</v>
      </c>
    </row>
    <row r="1031" spans="1:23" ht="12.75" customHeight="1">
      <c r="A1031" s="118">
        <v>1030</v>
      </c>
      <c r="B1031" s="128">
        <v>11</v>
      </c>
      <c r="C1031" s="156">
        <v>37895</v>
      </c>
      <c r="D1031" s="157" t="s">
        <v>53</v>
      </c>
      <c r="E1031" s="8">
        <v>2003</v>
      </c>
      <c r="F1031" s="158">
        <f t="shared" si="281"/>
        <v>242</v>
      </c>
      <c r="G1031" s="158">
        <f t="shared" si="282"/>
        <v>1</v>
      </c>
      <c r="H1031" s="162">
        <v>37653</v>
      </c>
      <c r="I1031" s="163">
        <v>668653</v>
      </c>
      <c r="J1031" s="15">
        <v>0.37</v>
      </c>
      <c r="K1031" s="15">
        <v>1.68</v>
      </c>
      <c r="L1031" s="15">
        <v>0.27</v>
      </c>
      <c r="O1031" s="15">
        <v>1.02</v>
      </c>
      <c r="Q1031" s="11">
        <v>9.3000000000000007</v>
      </c>
      <c r="T1031" s="161">
        <f t="shared" ref="T1031:T1049" si="283">$I1031*K1031</f>
        <v>1123337.04</v>
      </c>
      <c r="U1031" s="161">
        <f t="shared" ref="U1031:U1049" si="284">$I1031*L1031</f>
        <v>180536.31</v>
      </c>
      <c r="V1031" s="161">
        <f t="shared" ref="V1031:V1050" si="285">$I1031*O1031</f>
        <v>682026.06</v>
      </c>
      <c r="W1031" s="161">
        <f t="shared" ref="W1031:W1050" si="286">V1031*0.4</f>
        <v>272810.42400000006</v>
      </c>
    </row>
    <row r="1032" spans="1:23" ht="12.75" customHeight="1">
      <c r="A1032" s="118">
        <v>1031</v>
      </c>
      <c r="B1032" s="128">
        <v>11</v>
      </c>
      <c r="C1032" s="156">
        <v>37926</v>
      </c>
      <c r="D1032" s="157" t="s">
        <v>54</v>
      </c>
      <c r="E1032" s="8">
        <v>2003</v>
      </c>
      <c r="F1032" s="158">
        <f t="shared" si="281"/>
        <v>273</v>
      </c>
      <c r="G1032" s="158">
        <f t="shared" si="282"/>
        <v>1</v>
      </c>
      <c r="H1032" s="162">
        <v>37653</v>
      </c>
      <c r="I1032" s="163">
        <v>667431</v>
      </c>
      <c r="J1032" s="15">
        <v>0.47</v>
      </c>
      <c r="K1032" s="15">
        <v>1.5</v>
      </c>
      <c r="L1032" s="15">
        <v>0.32</v>
      </c>
      <c r="M1032" s="174">
        <v>0</v>
      </c>
      <c r="O1032" s="15">
        <v>0.3</v>
      </c>
      <c r="Q1032" s="11">
        <v>8.6</v>
      </c>
      <c r="R1032" s="11">
        <v>29</v>
      </c>
      <c r="T1032" s="161">
        <f t="shared" si="283"/>
        <v>1001146.5</v>
      </c>
      <c r="U1032" s="161">
        <f t="shared" si="284"/>
        <v>213577.92</v>
      </c>
      <c r="V1032" s="161">
        <f t="shared" si="285"/>
        <v>200229.3</v>
      </c>
      <c r="W1032" s="161">
        <f t="shared" si="286"/>
        <v>80091.72</v>
      </c>
    </row>
    <row r="1033" spans="1:23" ht="12.75" customHeight="1">
      <c r="A1033" s="118">
        <v>1032</v>
      </c>
      <c r="B1033" s="128">
        <v>11</v>
      </c>
      <c r="C1033" s="156">
        <v>37956</v>
      </c>
      <c r="D1033" s="157" t="s">
        <v>55</v>
      </c>
      <c r="E1033" s="8">
        <v>2003</v>
      </c>
      <c r="F1033" s="158">
        <f t="shared" si="281"/>
        <v>303</v>
      </c>
      <c r="G1033" s="158">
        <f t="shared" si="282"/>
        <v>1</v>
      </c>
      <c r="H1033" s="162">
        <v>37653</v>
      </c>
      <c r="I1033" s="163">
        <v>664749</v>
      </c>
      <c r="J1033" s="15">
        <v>0.83</v>
      </c>
      <c r="K1033" s="15">
        <v>2.13</v>
      </c>
      <c r="L1033" s="15">
        <v>1.4</v>
      </c>
      <c r="M1033" s="174">
        <v>2</v>
      </c>
      <c r="O1033" s="15">
        <v>0.72</v>
      </c>
      <c r="P1033" s="8">
        <v>1</v>
      </c>
      <c r="Q1033" s="11">
        <v>7.9</v>
      </c>
      <c r="R1033" s="11">
        <v>29</v>
      </c>
      <c r="T1033" s="161">
        <f t="shared" si="283"/>
        <v>1415915.3699999999</v>
      </c>
      <c r="U1033" s="161">
        <f t="shared" si="284"/>
        <v>930648.6</v>
      </c>
      <c r="V1033" s="161">
        <f t="shared" si="285"/>
        <v>478619.27999999997</v>
      </c>
      <c r="W1033" s="161">
        <f t="shared" si="286"/>
        <v>191447.712</v>
      </c>
    </row>
    <row r="1034" spans="1:23" ht="12.75" customHeight="1">
      <c r="A1034" s="118">
        <v>1033</v>
      </c>
      <c r="B1034" s="128">
        <v>11</v>
      </c>
      <c r="C1034" s="156">
        <v>37987</v>
      </c>
      <c r="D1034" s="157" t="s">
        <v>44</v>
      </c>
      <c r="E1034" s="8">
        <v>2004</v>
      </c>
      <c r="F1034" s="158">
        <f t="shared" si="281"/>
        <v>334</v>
      </c>
      <c r="G1034" s="158">
        <f t="shared" si="282"/>
        <v>1</v>
      </c>
      <c r="H1034" s="162">
        <v>37653</v>
      </c>
      <c r="I1034" s="198">
        <v>664000</v>
      </c>
      <c r="J1034" s="15">
        <v>0</v>
      </c>
      <c r="K1034" s="15">
        <v>7.0000000000000007E-2</v>
      </c>
      <c r="L1034" s="15">
        <v>0.03</v>
      </c>
      <c r="M1034" s="174">
        <v>0</v>
      </c>
      <c r="O1034" s="15">
        <v>0</v>
      </c>
      <c r="Q1034" s="11">
        <v>7.09</v>
      </c>
      <c r="R1034" s="11">
        <v>32.9</v>
      </c>
      <c r="T1034" s="161">
        <f t="shared" si="283"/>
        <v>46480.000000000007</v>
      </c>
      <c r="U1034" s="161">
        <f t="shared" si="284"/>
        <v>19920</v>
      </c>
      <c r="V1034" s="161">
        <f t="shared" si="285"/>
        <v>0</v>
      </c>
      <c r="W1034" s="161">
        <f t="shared" si="286"/>
        <v>0</v>
      </c>
    </row>
    <row r="1035" spans="1:23" ht="12.75" customHeight="1">
      <c r="A1035" s="118">
        <v>1034</v>
      </c>
      <c r="B1035" s="128">
        <v>11</v>
      </c>
      <c r="C1035" s="156">
        <v>38018</v>
      </c>
      <c r="D1035" s="157" t="s">
        <v>45</v>
      </c>
      <c r="E1035" s="8">
        <v>2004</v>
      </c>
      <c r="F1035" s="158">
        <f t="shared" si="281"/>
        <v>365</v>
      </c>
      <c r="G1035" s="158">
        <f t="shared" si="282"/>
        <v>2</v>
      </c>
      <c r="H1035" s="162">
        <v>37653</v>
      </c>
      <c r="I1035" s="198">
        <v>663000</v>
      </c>
      <c r="J1035" s="15">
        <v>0</v>
      </c>
      <c r="K1035" s="15">
        <v>0</v>
      </c>
      <c r="L1035" s="15">
        <v>0</v>
      </c>
      <c r="M1035" s="174">
        <v>0</v>
      </c>
      <c r="O1035" s="15">
        <v>0</v>
      </c>
      <c r="Q1035" s="11">
        <v>7.16</v>
      </c>
      <c r="R1035" s="11">
        <v>33.14</v>
      </c>
      <c r="T1035" s="161">
        <f t="shared" si="283"/>
        <v>0</v>
      </c>
      <c r="U1035" s="161">
        <f t="shared" si="284"/>
        <v>0</v>
      </c>
      <c r="V1035" s="161">
        <f t="shared" si="285"/>
        <v>0</v>
      </c>
      <c r="W1035" s="161">
        <f t="shared" si="286"/>
        <v>0</v>
      </c>
    </row>
    <row r="1036" spans="1:23" ht="12.75" customHeight="1">
      <c r="A1036" s="118">
        <v>1035</v>
      </c>
      <c r="B1036" s="128">
        <v>11</v>
      </c>
      <c r="C1036" s="156">
        <v>38047</v>
      </c>
      <c r="D1036" s="157" t="s">
        <v>46</v>
      </c>
      <c r="E1036" s="8">
        <v>2004</v>
      </c>
      <c r="F1036" s="158">
        <f t="shared" si="281"/>
        <v>394</v>
      </c>
      <c r="G1036" s="158">
        <f t="shared" si="282"/>
        <v>2</v>
      </c>
      <c r="H1036" s="162">
        <v>37653</v>
      </c>
      <c r="I1036" s="194">
        <v>662461</v>
      </c>
      <c r="J1036" s="15">
        <v>0</v>
      </c>
      <c r="K1036" s="15">
        <v>0</v>
      </c>
      <c r="L1036" s="15">
        <v>0</v>
      </c>
      <c r="M1036" s="174">
        <v>0</v>
      </c>
      <c r="O1036" s="15">
        <v>0.1</v>
      </c>
      <c r="Q1036" s="11">
        <v>7.56</v>
      </c>
      <c r="R1036" s="11">
        <v>31.52</v>
      </c>
      <c r="T1036" s="161">
        <f t="shared" si="283"/>
        <v>0</v>
      </c>
      <c r="U1036" s="161">
        <f t="shared" si="284"/>
        <v>0</v>
      </c>
      <c r="V1036" s="161">
        <f t="shared" si="285"/>
        <v>66246.100000000006</v>
      </c>
      <c r="W1036" s="161">
        <f t="shared" si="286"/>
        <v>26498.440000000002</v>
      </c>
    </row>
    <row r="1037" spans="1:23" ht="12.75" customHeight="1">
      <c r="A1037" s="118">
        <v>1036</v>
      </c>
      <c r="B1037" s="128">
        <v>11</v>
      </c>
      <c r="C1037" s="156">
        <v>38078</v>
      </c>
      <c r="D1037" s="157" t="s">
        <v>47</v>
      </c>
      <c r="E1037" s="8">
        <v>2004</v>
      </c>
      <c r="F1037" s="158">
        <f t="shared" si="281"/>
        <v>425</v>
      </c>
      <c r="G1037" s="158">
        <f t="shared" si="282"/>
        <v>2</v>
      </c>
      <c r="H1037" s="162">
        <v>37653</v>
      </c>
      <c r="I1037" s="194">
        <v>662009</v>
      </c>
      <c r="J1037" s="15">
        <v>0.39</v>
      </c>
      <c r="K1037" s="15">
        <v>0.04</v>
      </c>
      <c r="L1037" s="15">
        <v>0</v>
      </c>
      <c r="M1037" s="174">
        <v>0</v>
      </c>
      <c r="O1037" s="15">
        <v>0.09</v>
      </c>
      <c r="Q1037" s="11">
        <v>8.9</v>
      </c>
      <c r="R1037" s="11">
        <v>30.5</v>
      </c>
      <c r="T1037" s="161">
        <f t="shared" si="283"/>
        <v>26480.36</v>
      </c>
      <c r="U1037" s="161">
        <f t="shared" si="284"/>
        <v>0</v>
      </c>
      <c r="V1037" s="161">
        <f t="shared" si="285"/>
        <v>59580.81</v>
      </c>
      <c r="W1037" s="161">
        <f t="shared" si="286"/>
        <v>23832.324000000001</v>
      </c>
    </row>
    <row r="1038" spans="1:23" ht="12.75" customHeight="1">
      <c r="A1038" s="118">
        <v>1037</v>
      </c>
      <c r="B1038" s="128">
        <v>11</v>
      </c>
      <c r="C1038" s="156">
        <v>38108</v>
      </c>
      <c r="D1038" s="157" t="s">
        <v>48</v>
      </c>
      <c r="E1038" s="8">
        <v>2004</v>
      </c>
      <c r="F1038" s="158">
        <f t="shared" si="281"/>
        <v>455</v>
      </c>
      <c r="G1038" s="158">
        <f t="shared" si="282"/>
        <v>2</v>
      </c>
      <c r="H1038" s="162">
        <v>37653</v>
      </c>
      <c r="I1038" s="194">
        <v>661655</v>
      </c>
      <c r="J1038" s="15">
        <v>0.35</v>
      </c>
      <c r="K1038" s="15">
        <v>0.55000000000000004</v>
      </c>
      <c r="L1038" s="15">
        <v>0.1</v>
      </c>
      <c r="M1038" s="174">
        <v>0</v>
      </c>
      <c r="O1038" s="15">
        <v>0.65</v>
      </c>
      <c r="Q1038" s="11">
        <v>9.9600000000000009</v>
      </c>
      <c r="R1038" s="11">
        <v>26.9</v>
      </c>
      <c r="T1038" s="161">
        <f t="shared" si="283"/>
        <v>363910.25000000006</v>
      </c>
      <c r="U1038" s="161">
        <f t="shared" si="284"/>
        <v>66165.5</v>
      </c>
      <c r="V1038" s="161">
        <f t="shared" si="285"/>
        <v>430075.75</v>
      </c>
      <c r="W1038" s="161">
        <f t="shared" si="286"/>
        <v>172030.30000000002</v>
      </c>
    </row>
    <row r="1039" spans="1:23" ht="12.75" customHeight="1">
      <c r="A1039" s="118">
        <v>1038</v>
      </c>
      <c r="B1039" s="128">
        <v>11</v>
      </c>
      <c r="C1039" s="156">
        <v>38139</v>
      </c>
      <c r="D1039" s="157" t="s">
        <v>49</v>
      </c>
      <c r="E1039" s="8">
        <v>2004</v>
      </c>
      <c r="F1039" s="158">
        <f t="shared" si="281"/>
        <v>486</v>
      </c>
      <c r="G1039" s="158">
        <f t="shared" si="282"/>
        <v>2</v>
      </c>
      <c r="H1039" s="162">
        <v>37653</v>
      </c>
      <c r="I1039" s="194">
        <v>660733</v>
      </c>
      <c r="J1039" s="15">
        <v>0.2</v>
      </c>
      <c r="K1039" s="15">
        <v>4.5</v>
      </c>
      <c r="L1039" s="15">
        <v>2.15</v>
      </c>
      <c r="M1039" s="174">
        <v>1</v>
      </c>
      <c r="O1039" s="15">
        <v>0.2</v>
      </c>
      <c r="Q1039" s="11">
        <v>10.31</v>
      </c>
      <c r="R1039" s="11">
        <v>23.63</v>
      </c>
      <c r="T1039" s="161">
        <f t="shared" si="283"/>
        <v>2973298.5</v>
      </c>
      <c r="U1039" s="161">
        <f t="shared" si="284"/>
        <v>1420575.95</v>
      </c>
      <c r="V1039" s="161">
        <f t="shared" si="285"/>
        <v>132146.6</v>
      </c>
      <c r="W1039" s="161">
        <f t="shared" si="286"/>
        <v>52858.640000000007</v>
      </c>
    </row>
    <row r="1040" spans="1:23" ht="12.75" customHeight="1">
      <c r="A1040" s="118">
        <v>1039</v>
      </c>
      <c r="B1040" s="128">
        <v>11</v>
      </c>
      <c r="C1040" s="156">
        <v>38169</v>
      </c>
      <c r="D1040" s="157" t="s">
        <v>50</v>
      </c>
      <c r="E1040" s="8">
        <v>2004</v>
      </c>
      <c r="F1040" s="158">
        <f t="shared" si="281"/>
        <v>516</v>
      </c>
      <c r="G1040" s="158">
        <f t="shared" si="282"/>
        <v>2</v>
      </c>
      <c r="H1040" s="162">
        <v>37653</v>
      </c>
      <c r="I1040" s="194">
        <v>660200</v>
      </c>
      <c r="J1040" s="15">
        <v>0.1</v>
      </c>
      <c r="K1040" s="15">
        <v>2.6</v>
      </c>
      <c r="L1040" s="15">
        <v>1.4</v>
      </c>
      <c r="M1040" s="174">
        <v>1</v>
      </c>
      <c r="O1040" s="15">
        <v>0.2</v>
      </c>
      <c r="Q1040" s="11">
        <v>11.87</v>
      </c>
      <c r="R1040" s="11">
        <v>24.1</v>
      </c>
      <c r="T1040" s="161">
        <f t="shared" si="283"/>
        <v>1716520</v>
      </c>
      <c r="U1040" s="161">
        <f t="shared" si="284"/>
        <v>924279.99999999988</v>
      </c>
      <c r="V1040" s="161">
        <f t="shared" si="285"/>
        <v>132040</v>
      </c>
      <c r="W1040" s="161">
        <f t="shared" si="286"/>
        <v>52816</v>
      </c>
    </row>
    <row r="1041" spans="1:23" ht="12.75" customHeight="1">
      <c r="A1041" s="118">
        <v>1040</v>
      </c>
      <c r="B1041" s="128">
        <v>11</v>
      </c>
      <c r="C1041" s="156">
        <v>38200</v>
      </c>
      <c r="D1041" s="157" t="s">
        <v>51</v>
      </c>
      <c r="E1041" s="8">
        <v>2004</v>
      </c>
      <c r="F1041" s="158">
        <f t="shared" si="281"/>
        <v>547</v>
      </c>
      <c r="G1041" s="158">
        <f t="shared" si="282"/>
        <v>2</v>
      </c>
      <c r="H1041" s="162">
        <v>37653</v>
      </c>
      <c r="I1041" s="250">
        <v>659407.66666666698</v>
      </c>
      <c r="J1041" s="15">
        <v>0.24</v>
      </c>
      <c r="K1041" s="15">
        <v>4.9000000000000004</v>
      </c>
      <c r="L1041" s="15">
        <v>3.16</v>
      </c>
      <c r="O1041" s="15">
        <v>0.21</v>
      </c>
      <c r="Q1041" s="11">
        <v>11.52</v>
      </c>
      <c r="R1041" s="11">
        <v>22.74</v>
      </c>
      <c r="T1041" s="161">
        <f t="shared" si="283"/>
        <v>3231097.5666666683</v>
      </c>
      <c r="U1041" s="161">
        <f t="shared" si="284"/>
        <v>2083728.2266666677</v>
      </c>
      <c r="V1041" s="161">
        <f t="shared" si="285"/>
        <v>138475.61000000007</v>
      </c>
      <c r="W1041" s="161">
        <f t="shared" si="286"/>
        <v>55390.244000000035</v>
      </c>
    </row>
    <row r="1042" spans="1:23" ht="12.75" customHeight="1">
      <c r="A1042" s="118">
        <v>1041</v>
      </c>
      <c r="B1042" s="128">
        <v>11</v>
      </c>
      <c r="C1042" s="156">
        <v>38231</v>
      </c>
      <c r="D1042" s="157" t="s">
        <v>52</v>
      </c>
      <c r="E1042" s="8">
        <v>2004</v>
      </c>
      <c r="F1042" s="158">
        <f t="shared" si="281"/>
        <v>578</v>
      </c>
      <c r="G1042" s="158">
        <f t="shared" si="282"/>
        <v>2</v>
      </c>
      <c r="H1042" s="162">
        <v>37653</v>
      </c>
      <c r="I1042" s="250">
        <v>658680.16666666698</v>
      </c>
      <c r="J1042" s="173"/>
      <c r="K1042" s="165">
        <f>(K1041+K1043)/2</f>
        <v>4</v>
      </c>
      <c r="L1042" s="165">
        <f>(L1041+L1043)/2</f>
        <v>2.665</v>
      </c>
      <c r="N1042" s="528">
        <v>1</v>
      </c>
      <c r="O1042" s="165">
        <f>(O1041+O1043)/2</f>
        <v>0.66500000000000004</v>
      </c>
      <c r="T1042" s="161">
        <f t="shared" si="283"/>
        <v>2634720.6666666679</v>
      </c>
      <c r="U1042" s="161">
        <f t="shared" si="284"/>
        <v>1755382.6441666675</v>
      </c>
      <c r="V1042" s="161">
        <f t="shared" si="285"/>
        <v>438022.31083333358</v>
      </c>
      <c r="W1042" s="161">
        <f t="shared" si="286"/>
        <v>175208.92433333345</v>
      </c>
    </row>
    <row r="1043" spans="1:23" ht="12.75" customHeight="1">
      <c r="A1043" s="118">
        <v>1042</v>
      </c>
      <c r="B1043" s="128">
        <v>11</v>
      </c>
      <c r="C1043" s="156">
        <v>38261</v>
      </c>
      <c r="D1043" s="157" t="s">
        <v>53</v>
      </c>
      <c r="E1043" s="8">
        <v>2004</v>
      </c>
      <c r="F1043" s="158">
        <f t="shared" si="281"/>
        <v>608</v>
      </c>
      <c r="G1043" s="158">
        <f t="shared" si="282"/>
        <v>2</v>
      </c>
      <c r="H1043" s="162">
        <v>37653</v>
      </c>
      <c r="I1043" s="250">
        <v>657952.66666666698</v>
      </c>
      <c r="J1043" s="15">
        <v>0.14000000000000001</v>
      </c>
      <c r="K1043" s="15">
        <v>3.1</v>
      </c>
      <c r="L1043" s="15">
        <v>2.17</v>
      </c>
      <c r="O1043" s="15">
        <v>1.1200000000000001</v>
      </c>
      <c r="Q1043" s="11">
        <v>9.8000000000000007</v>
      </c>
      <c r="R1043" s="11">
        <v>27.7</v>
      </c>
      <c r="T1043" s="161">
        <f t="shared" si="283"/>
        <v>2039653.2666666678</v>
      </c>
      <c r="U1043" s="161">
        <f t="shared" si="284"/>
        <v>1427757.2866666673</v>
      </c>
      <c r="V1043" s="161">
        <f t="shared" si="285"/>
        <v>736906.98666666704</v>
      </c>
      <c r="W1043" s="161">
        <f t="shared" si="286"/>
        <v>294762.79466666683</v>
      </c>
    </row>
    <row r="1044" spans="1:23" ht="12.75" customHeight="1">
      <c r="A1044" s="118">
        <v>1043</v>
      </c>
      <c r="B1044" s="128">
        <v>11</v>
      </c>
      <c r="C1044" s="156">
        <v>38292</v>
      </c>
      <c r="D1044" s="157" t="s">
        <v>54</v>
      </c>
      <c r="E1044" s="8">
        <v>2004</v>
      </c>
      <c r="F1044" s="158">
        <f t="shared" si="281"/>
        <v>639</v>
      </c>
      <c r="G1044" s="158">
        <f t="shared" si="282"/>
        <v>2</v>
      </c>
      <c r="H1044" s="162">
        <v>37653</v>
      </c>
      <c r="I1044" s="250">
        <v>657225.16666666698</v>
      </c>
      <c r="J1044" s="15">
        <v>0.12</v>
      </c>
      <c r="K1044" s="15">
        <v>3.12</v>
      </c>
      <c r="L1044" s="15">
        <v>2.0499999999999998</v>
      </c>
      <c r="M1044" s="174">
        <v>0</v>
      </c>
      <c r="O1044" s="15">
        <v>0</v>
      </c>
      <c r="Q1044" s="11">
        <v>8.41</v>
      </c>
      <c r="R1044" s="11">
        <v>27.22</v>
      </c>
      <c r="T1044" s="161">
        <f t="shared" si="283"/>
        <v>2050542.5200000009</v>
      </c>
      <c r="U1044" s="161">
        <f t="shared" si="284"/>
        <v>1347311.5916666673</v>
      </c>
      <c r="V1044" s="161">
        <f t="shared" si="285"/>
        <v>0</v>
      </c>
      <c r="W1044" s="161">
        <f t="shared" si="286"/>
        <v>0</v>
      </c>
    </row>
    <row r="1045" spans="1:23" ht="12.75" customHeight="1">
      <c r="A1045" s="118">
        <v>1044</v>
      </c>
      <c r="B1045" s="128">
        <v>11</v>
      </c>
      <c r="C1045" s="156">
        <v>38322</v>
      </c>
      <c r="D1045" s="157" t="s">
        <v>55</v>
      </c>
      <c r="E1045" s="8">
        <v>2004</v>
      </c>
      <c r="F1045" s="158">
        <f t="shared" si="281"/>
        <v>669</v>
      </c>
      <c r="G1045" s="158">
        <f t="shared" si="282"/>
        <v>2</v>
      </c>
      <c r="H1045" s="162">
        <v>37653</v>
      </c>
      <c r="I1045" s="250">
        <v>656497.66666666698</v>
      </c>
      <c r="J1045" s="15">
        <v>0.23</v>
      </c>
      <c r="K1045" s="15">
        <v>3.82</v>
      </c>
      <c r="L1045" s="15">
        <v>1.9</v>
      </c>
      <c r="M1045" s="174">
        <v>1</v>
      </c>
      <c r="O1045" s="15">
        <v>0.62</v>
      </c>
      <c r="Q1045" s="11">
        <v>8</v>
      </c>
      <c r="R1045" s="11">
        <v>29</v>
      </c>
      <c r="T1045" s="161">
        <f t="shared" si="283"/>
        <v>2507821.0866666678</v>
      </c>
      <c r="U1045" s="161">
        <f t="shared" si="284"/>
        <v>1247345.5666666671</v>
      </c>
      <c r="V1045" s="161">
        <f t="shared" si="285"/>
        <v>407028.55333333352</v>
      </c>
      <c r="W1045" s="161">
        <f t="shared" si="286"/>
        <v>162811.42133333342</v>
      </c>
    </row>
    <row r="1046" spans="1:23" ht="12.75" customHeight="1">
      <c r="A1046" s="118">
        <v>1045</v>
      </c>
      <c r="B1046" s="128">
        <v>11</v>
      </c>
      <c r="C1046" s="156">
        <v>38353</v>
      </c>
      <c r="D1046" s="157" t="s">
        <v>44</v>
      </c>
      <c r="E1046" s="8">
        <v>2005</v>
      </c>
      <c r="F1046" s="158">
        <f t="shared" si="281"/>
        <v>700</v>
      </c>
      <c r="G1046" s="158">
        <f t="shared" si="282"/>
        <v>2</v>
      </c>
      <c r="H1046" s="162">
        <v>37653</v>
      </c>
      <c r="I1046" s="198">
        <v>500000</v>
      </c>
      <c r="J1046" s="15">
        <v>0.02</v>
      </c>
      <c r="K1046" s="15">
        <v>5.73</v>
      </c>
      <c r="L1046" s="15">
        <v>3.33</v>
      </c>
      <c r="M1046" s="174">
        <v>0</v>
      </c>
      <c r="O1046" s="15">
        <v>0.8</v>
      </c>
      <c r="Q1046" s="11">
        <v>7</v>
      </c>
      <c r="R1046" s="11">
        <v>30</v>
      </c>
      <c r="T1046" s="161">
        <f t="shared" si="283"/>
        <v>2865000</v>
      </c>
      <c r="U1046" s="161">
        <f t="shared" si="284"/>
        <v>1665000</v>
      </c>
      <c r="V1046" s="161">
        <f t="shared" si="285"/>
        <v>400000</v>
      </c>
      <c r="W1046" s="161">
        <f t="shared" si="286"/>
        <v>160000</v>
      </c>
    </row>
    <row r="1047" spans="1:23" ht="12.75" customHeight="1">
      <c r="A1047" s="118">
        <v>1046</v>
      </c>
      <c r="B1047" s="128">
        <v>11</v>
      </c>
      <c r="C1047" s="156">
        <v>38384</v>
      </c>
      <c r="D1047" s="157" t="s">
        <v>45</v>
      </c>
      <c r="E1047" s="8">
        <v>2005</v>
      </c>
      <c r="F1047" s="158">
        <f t="shared" si="281"/>
        <v>731</v>
      </c>
      <c r="G1047" s="158">
        <f>IF(F1047&lt;730,2,3)</f>
        <v>3</v>
      </c>
      <c r="H1047" s="162">
        <v>37653</v>
      </c>
      <c r="I1047" s="198">
        <v>450000</v>
      </c>
      <c r="J1047" s="15">
        <v>0.18</v>
      </c>
      <c r="K1047" s="15">
        <v>5.47</v>
      </c>
      <c r="L1047" s="15">
        <v>3.6</v>
      </c>
      <c r="M1047" s="174">
        <v>2</v>
      </c>
      <c r="O1047" s="15">
        <v>0.13</v>
      </c>
      <c r="P1047" s="170">
        <v>1</v>
      </c>
      <c r="Q1047" s="11">
        <v>7</v>
      </c>
      <c r="R1047" s="11">
        <v>28</v>
      </c>
      <c r="T1047" s="161">
        <f t="shared" si="283"/>
        <v>2461500</v>
      </c>
      <c r="U1047" s="161">
        <f t="shared" si="284"/>
        <v>1620000</v>
      </c>
      <c r="V1047" s="161">
        <f t="shared" si="285"/>
        <v>58500</v>
      </c>
      <c r="W1047" s="161">
        <f t="shared" si="286"/>
        <v>23400</v>
      </c>
    </row>
    <row r="1048" spans="1:23" ht="12.75" customHeight="1">
      <c r="A1048" s="118">
        <v>1047</v>
      </c>
      <c r="B1048" s="128">
        <v>11</v>
      </c>
      <c r="C1048" s="156">
        <v>38412</v>
      </c>
      <c r="D1048" s="157" t="s">
        <v>46</v>
      </c>
      <c r="E1048" s="8">
        <v>2005</v>
      </c>
      <c r="F1048" s="158">
        <f t="shared" si="281"/>
        <v>759</v>
      </c>
      <c r="G1048" s="158">
        <f>IF(F1048&lt;730,2,3)</f>
        <v>3</v>
      </c>
      <c r="H1048" s="162">
        <v>37653</v>
      </c>
      <c r="I1048" s="194">
        <v>265082</v>
      </c>
      <c r="J1048" s="15">
        <v>0</v>
      </c>
      <c r="K1048" s="15">
        <v>0.17</v>
      </c>
      <c r="L1048" s="15">
        <v>0.1</v>
      </c>
      <c r="M1048" s="174">
        <v>0</v>
      </c>
      <c r="O1048" s="15">
        <v>0.02</v>
      </c>
      <c r="P1048" s="170"/>
      <c r="Q1048" s="11">
        <v>8</v>
      </c>
      <c r="R1048" s="11">
        <v>31</v>
      </c>
      <c r="S1048" s="155" t="s">
        <v>7</v>
      </c>
      <c r="T1048" s="161">
        <f t="shared" si="283"/>
        <v>45063.94</v>
      </c>
      <c r="U1048" s="161">
        <f t="shared" si="284"/>
        <v>26508.2</v>
      </c>
      <c r="V1048" s="161">
        <f t="shared" si="285"/>
        <v>5301.64</v>
      </c>
      <c r="W1048" s="161">
        <f t="shared" si="286"/>
        <v>2120.6560000000004</v>
      </c>
    </row>
    <row r="1049" spans="1:23" ht="12.75" customHeight="1">
      <c r="A1049" s="118">
        <v>1048</v>
      </c>
      <c r="B1049" s="128">
        <v>11</v>
      </c>
      <c r="C1049" s="156">
        <v>38443</v>
      </c>
      <c r="D1049" s="157" t="s">
        <v>47</v>
      </c>
      <c r="E1049" s="8">
        <v>2005</v>
      </c>
      <c r="F1049" s="158">
        <f t="shared" si="281"/>
        <v>790</v>
      </c>
      <c r="G1049" s="158">
        <f>IF(F1049&lt;730,2,3)</f>
        <v>3</v>
      </c>
      <c r="H1049" s="162">
        <v>37653</v>
      </c>
      <c r="I1049" s="194">
        <v>127118</v>
      </c>
      <c r="J1049" s="15">
        <v>0</v>
      </c>
      <c r="K1049" s="15">
        <v>0.9</v>
      </c>
      <c r="L1049" s="15">
        <v>0.45</v>
      </c>
      <c r="O1049" s="15">
        <v>0.05</v>
      </c>
      <c r="Q1049" s="11">
        <v>9</v>
      </c>
      <c r="R1049" s="11">
        <v>31</v>
      </c>
      <c r="S1049" s="155" t="s">
        <v>7</v>
      </c>
      <c r="T1049" s="161">
        <f t="shared" si="283"/>
        <v>114406.2</v>
      </c>
      <c r="U1049" s="161">
        <f t="shared" si="284"/>
        <v>57203.1</v>
      </c>
      <c r="V1049" s="161">
        <f t="shared" si="285"/>
        <v>6355.9000000000005</v>
      </c>
      <c r="W1049" s="161">
        <f t="shared" si="286"/>
        <v>2542.3600000000006</v>
      </c>
    </row>
    <row r="1050" spans="1:23" ht="12.75" customHeight="1">
      <c r="A1050" s="118">
        <v>1049</v>
      </c>
      <c r="B1050" s="128">
        <v>11</v>
      </c>
      <c r="C1050" s="181">
        <v>38473</v>
      </c>
      <c r="D1050" s="157" t="s">
        <v>48</v>
      </c>
      <c r="E1050" s="8">
        <v>2005</v>
      </c>
      <c r="F1050" s="158">
        <f t="shared" si="281"/>
        <v>820</v>
      </c>
      <c r="G1050" s="158">
        <f>IF(F1050&lt;730,2,3)</f>
        <v>3</v>
      </c>
      <c r="H1050" s="172">
        <v>37653</v>
      </c>
      <c r="I1050" s="248">
        <v>27000</v>
      </c>
      <c r="J1050" s="173"/>
      <c r="K1050" s="173"/>
      <c r="L1050" s="165">
        <v>0.9</v>
      </c>
      <c r="N1050" s="528" t="s">
        <v>795</v>
      </c>
      <c r="O1050" s="165">
        <v>0.1</v>
      </c>
      <c r="P1050" s="170"/>
      <c r="Q1050" s="128"/>
      <c r="R1050" s="128"/>
      <c r="S1050" s="180" t="s">
        <v>7</v>
      </c>
      <c r="T1050" s="173"/>
      <c r="U1050" s="171">
        <f>$I1050*L1050</f>
        <v>24300</v>
      </c>
      <c r="V1050" s="171">
        <f t="shared" si="285"/>
        <v>2700</v>
      </c>
      <c r="W1050" s="161">
        <f t="shared" si="286"/>
        <v>1080</v>
      </c>
    </row>
    <row r="1051" spans="1:23" ht="12.75" customHeight="1">
      <c r="A1051" s="118">
        <v>1050</v>
      </c>
      <c r="B1051" s="128">
        <v>11</v>
      </c>
      <c r="C1051" s="181">
        <v>38504</v>
      </c>
      <c r="D1051" s="157" t="s">
        <v>49</v>
      </c>
      <c r="E1051" s="8">
        <v>2005</v>
      </c>
      <c r="F1051" s="158">
        <f t="shared" si="281"/>
        <v>212</v>
      </c>
      <c r="G1051" s="158">
        <f t="shared" ref="G1051:G1066" si="287">IF(F1051&lt;365,1,2)</f>
        <v>1</v>
      </c>
      <c r="H1051" s="172">
        <v>38292</v>
      </c>
      <c r="I1051" s="248"/>
      <c r="J1051" s="173"/>
      <c r="K1051" s="173"/>
      <c r="L1051" s="173"/>
      <c r="O1051" s="173"/>
      <c r="P1051" s="170"/>
      <c r="Q1051" s="128"/>
      <c r="R1051" s="128"/>
      <c r="T1051" s="173"/>
      <c r="U1051" s="171"/>
      <c r="V1051" s="173"/>
      <c r="W1051" s="173"/>
    </row>
    <row r="1052" spans="1:23" ht="12.75" customHeight="1">
      <c r="A1052" s="118">
        <v>1051</v>
      </c>
      <c r="B1052" s="128">
        <v>11</v>
      </c>
      <c r="C1052" s="181">
        <v>38534</v>
      </c>
      <c r="D1052" s="157" t="s">
        <v>50</v>
      </c>
      <c r="E1052" s="8">
        <v>2005</v>
      </c>
      <c r="F1052" s="158">
        <f t="shared" si="281"/>
        <v>242</v>
      </c>
      <c r="G1052" s="158">
        <f t="shared" si="287"/>
        <v>1</v>
      </c>
      <c r="H1052" s="172">
        <v>38292</v>
      </c>
      <c r="I1052" s="194">
        <v>723758</v>
      </c>
      <c r="J1052" s="173">
        <v>0.02</v>
      </c>
      <c r="K1052" s="173">
        <v>0.08</v>
      </c>
      <c r="L1052" s="173">
        <v>0</v>
      </c>
      <c r="O1052" s="173">
        <v>0.02</v>
      </c>
      <c r="P1052" s="170"/>
      <c r="Q1052" s="128">
        <v>11</v>
      </c>
      <c r="R1052" s="128">
        <v>24</v>
      </c>
      <c r="S1052" s="180" t="s">
        <v>305</v>
      </c>
      <c r="T1052" s="161">
        <f t="shared" ref="T1052:T1064" si="288">$I1052*K1052</f>
        <v>57900.639999999999</v>
      </c>
      <c r="U1052" s="161">
        <f t="shared" ref="U1052:U1064" si="289">$I1052*L1052</f>
        <v>0</v>
      </c>
      <c r="V1052" s="161">
        <f t="shared" ref="V1052:V1066" si="290">$I1052*O1052</f>
        <v>14475.16</v>
      </c>
      <c r="W1052" s="161">
        <f t="shared" ref="W1052:W1066" si="291">V1052*0.4</f>
        <v>5790.0640000000003</v>
      </c>
    </row>
    <row r="1053" spans="1:23" ht="12.75" customHeight="1">
      <c r="A1053" s="118">
        <v>1052</v>
      </c>
      <c r="B1053" s="128">
        <v>11</v>
      </c>
      <c r="C1053" s="156">
        <v>38565</v>
      </c>
      <c r="D1053" s="157" t="s">
        <v>51</v>
      </c>
      <c r="E1053" s="8">
        <v>2005</v>
      </c>
      <c r="F1053" s="158">
        <f t="shared" si="281"/>
        <v>273</v>
      </c>
      <c r="G1053" s="158">
        <f t="shared" si="287"/>
        <v>1</v>
      </c>
      <c r="H1053" s="162">
        <v>38292</v>
      </c>
      <c r="I1053" s="248">
        <v>722000</v>
      </c>
      <c r="J1053" s="15">
        <v>0.4</v>
      </c>
      <c r="K1053" s="15">
        <v>0.23</v>
      </c>
      <c r="L1053" s="15">
        <v>0</v>
      </c>
      <c r="M1053" s="174">
        <v>0</v>
      </c>
      <c r="O1053" s="15">
        <v>0.12</v>
      </c>
      <c r="Q1053" s="11">
        <v>11</v>
      </c>
      <c r="R1053" s="11">
        <v>22</v>
      </c>
      <c r="T1053" s="161">
        <f t="shared" si="288"/>
        <v>166060</v>
      </c>
      <c r="U1053" s="161">
        <f t="shared" si="289"/>
        <v>0</v>
      </c>
      <c r="V1053" s="161">
        <f t="shared" si="290"/>
        <v>86640</v>
      </c>
      <c r="W1053" s="161">
        <f t="shared" si="291"/>
        <v>34656</v>
      </c>
    </row>
    <row r="1054" spans="1:23" ht="12.75" customHeight="1">
      <c r="A1054" s="118">
        <v>1053</v>
      </c>
      <c r="B1054" s="128">
        <v>11</v>
      </c>
      <c r="C1054" s="156">
        <v>38596</v>
      </c>
      <c r="D1054" s="157" t="s">
        <v>52</v>
      </c>
      <c r="E1054" s="8">
        <v>2005</v>
      </c>
      <c r="F1054" s="158">
        <f t="shared" si="281"/>
        <v>304</v>
      </c>
      <c r="G1054" s="158">
        <f t="shared" si="287"/>
        <v>1</v>
      </c>
      <c r="H1054" s="162">
        <v>38292</v>
      </c>
      <c r="I1054" s="248">
        <v>720500</v>
      </c>
      <c r="J1054" s="15">
        <v>0.12</v>
      </c>
      <c r="K1054" s="15">
        <v>1.2</v>
      </c>
      <c r="L1054" s="15">
        <v>0.68</v>
      </c>
      <c r="M1054" s="174">
        <v>0</v>
      </c>
      <c r="O1054" s="15">
        <v>0.15</v>
      </c>
      <c r="Q1054" s="11">
        <v>12</v>
      </c>
      <c r="R1054" s="11">
        <v>25</v>
      </c>
      <c r="T1054" s="161">
        <f t="shared" si="288"/>
        <v>864600</v>
      </c>
      <c r="U1054" s="161">
        <f t="shared" si="289"/>
        <v>489940.00000000006</v>
      </c>
      <c r="V1054" s="161">
        <f t="shared" si="290"/>
        <v>108075</v>
      </c>
      <c r="W1054" s="161">
        <f t="shared" si="291"/>
        <v>43230</v>
      </c>
    </row>
    <row r="1055" spans="1:23" ht="12.75" customHeight="1">
      <c r="A1055" s="118">
        <v>1054</v>
      </c>
      <c r="B1055" s="128">
        <v>11</v>
      </c>
      <c r="C1055" s="156">
        <v>38626</v>
      </c>
      <c r="D1055" s="157" t="s">
        <v>53</v>
      </c>
      <c r="E1055" s="8">
        <v>2005</v>
      </c>
      <c r="F1055" s="158">
        <f t="shared" si="281"/>
        <v>334</v>
      </c>
      <c r="G1055" s="158">
        <f t="shared" si="287"/>
        <v>1</v>
      </c>
      <c r="H1055" s="162">
        <v>38292</v>
      </c>
      <c r="I1055" s="248">
        <v>719000</v>
      </c>
      <c r="J1055" s="15">
        <v>0.33</v>
      </c>
      <c r="K1055" s="15">
        <v>2.62</v>
      </c>
      <c r="L1055" s="15">
        <v>1.18</v>
      </c>
      <c r="M1055" s="174">
        <v>0</v>
      </c>
      <c r="O1055" s="15">
        <v>0.77</v>
      </c>
      <c r="Q1055" s="11">
        <v>9</v>
      </c>
      <c r="R1055" s="11">
        <v>25</v>
      </c>
      <c r="T1055" s="161">
        <f t="shared" si="288"/>
        <v>1883780</v>
      </c>
      <c r="U1055" s="161">
        <f t="shared" si="289"/>
        <v>848420</v>
      </c>
      <c r="V1055" s="161">
        <f t="shared" si="290"/>
        <v>553630</v>
      </c>
      <c r="W1055" s="161">
        <f t="shared" si="291"/>
        <v>221452</v>
      </c>
    </row>
    <row r="1056" spans="1:23" ht="12.75" customHeight="1">
      <c r="A1056" s="118">
        <v>1055</v>
      </c>
      <c r="B1056" s="128">
        <v>11</v>
      </c>
      <c r="C1056" s="156">
        <v>38657</v>
      </c>
      <c r="D1056" s="157" t="s">
        <v>54</v>
      </c>
      <c r="E1056" s="8">
        <v>2005</v>
      </c>
      <c r="F1056" s="158">
        <f t="shared" si="281"/>
        <v>365</v>
      </c>
      <c r="G1056" s="158">
        <f t="shared" si="287"/>
        <v>2</v>
      </c>
      <c r="H1056" s="162">
        <v>38292</v>
      </c>
      <c r="I1056" s="248">
        <v>717500</v>
      </c>
      <c r="J1056" s="15">
        <v>0.53</v>
      </c>
      <c r="K1056" s="15">
        <v>2.72</v>
      </c>
      <c r="L1056" s="15">
        <v>1.4</v>
      </c>
      <c r="M1056" s="174">
        <v>0</v>
      </c>
      <c r="O1056" s="15">
        <v>7.0000000000000007E-2</v>
      </c>
      <c r="Q1056" s="11">
        <v>8</v>
      </c>
      <c r="R1056" s="11">
        <v>25</v>
      </c>
      <c r="T1056" s="161">
        <f t="shared" si="288"/>
        <v>1951600.0000000002</v>
      </c>
      <c r="U1056" s="161">
        <f t="shared" si="289"/>
        <v>1004499.9999999999</v>
      </c>
      <c r="V1056" s="161">
        <f t="shared" si="290"/>
        <v>50225.000000000007</v>
      </c>
      <c r="W1056" s="161">
        <f t="shared" si="291"/>
        <v>20090.000000000004</v>
      </c>
    </row>
    <row r="1057" spans="1:23" ht="12.75" customHeight="1">
      <c r="A1057" s="118">
        <v>1056</v>
      </c>
      <c r="B1057" s="128">
        <v>11</v>
      </c>
      <c r="C1057" s="156">
        <v>38687</v>
      </c>
      <c r="D1057" s="157" t="s">
        <v>55</v>
      </c>
      <c r="E1057" s="8">
        <v>2005</v>
      </c>
      <c r="F1057" s="158">
        <f t="shared" si="281"/>
        <v>395</v>
      </c>
      <c r="G1057" s="158">
        <f t="shared" si="287"/>
        <v>2</v>
      </c>
      <c r="H1057" s="162">
        <v>38292</v>
      </c>
      <c r="I1057" s="248">
        <v>716000</v>
      </c>
      <c r="J1057" s="15">
        <v>0.17</v>
      </c>
      <c r="K1057" s="15">
        <v>4.38</v>
      </c>
      <c r="L1057" s="15">
        <v>2.5</v>
      </c>
      <c r="M1057" s="174">
        <v>0</v>
      </c>
      <c r="O1057" s="15">
        <v>0.73</v>
      </c>
      <c r="Q1057" s="11">
        <v>8</v>
      </c>
      <c r="R1057" s="11">
        <v>26</v>
      </c>
      <c r="T1057" s="161">
        <f t="shared" si="288"/>
        <v>3136080</v>
      </c>
      <c r="U1057" s="161">
        <f t="shared" si="289"/>
        <v>1790000</v>
      </c>
      <c r="V1057" s="161">
        <f t="shared" si="290"/>
        <v>522680</v>
      </c>
      <c r="W1057" s="161">
        <f t="shared" si="291"/>
        <v>209072</v>
      </c>
    </row>
    <row r="1058" spans="1:23" ht="12.75" customHeight="1">
      <c r="A1058" s="118">
        <v>1057</v>
      </c>
      <c r="B1058" s="128">
        <v>11</v>
      </c>
      <c r="C1058" s="156">
        <v>38718</v>
      </c>
      <c r="D1058" s="157" t="s">
        <v>44</v>
      </c>
      <c r="E1058" s="8">
        <v>2006</v>
      </c>
      <c r="F1058" s="158">
        <f t="shared" si="281"/>
        <v>426</v>
      </c>
      <c r="G1058" s="158">
        <f t="shared" si="287"/>
        <v>2</v>
      </c>
      <c r="H1058" s="162">
        <v>38292</v>
      </c>
      <c r="I1058" s="248">
        <v>714500</v>
      </c>
      <c r="J1058" s="15">
        <v>0.65</v>
      </c>
      <c r="K1058" s="15">
        <v>5.88</v>
      </c>
      <c r="L1058" s="15">
        <v>3.47</v>
      </c>
      <c r="M1058" s="174">
        <v>2</v>
      </c>
      <c r="O1058" s="15">
        <v>0.18</v>
      </c>
      <c r="P1058" s="8">
        <v>1</v>
      </c>
      <c r="Q1058" s="11">
        <v>8</v>
      </c>
      <c r="R1058" s="11">
        <v>26</v>
      </c>
      <c r="T1058" s="161">
        <f t="shared" si="288"/>
        <v>4201260</v>
      </c>
      <c r="U1058" s="161">
        <f t="shared" si="289"/>
        <v>2479315</v>
      </c>
      <c r="V1058" s="161">
        <f t="shared" si="290"/>
        <v>128610</v>
      </c>
      <c r="W1058" s="161">
        <f t="shared" si="291"/>
        <v>51444</v>
      </c>
    </row>
    <row r="1059" spans="1:23" ht="12.75" customHeight="1">
      <c r="A1059" s="118">
        <v>1058</v>
      </c>
      <c r="B1059" s="128">
        <v>11</v>
      </c>
      <c r="C1059" s="156">
        <v>38749</v>
      </c>
      <c r="D1059" s="157" t="s">
        <v>45</v>
      </c>
      <c r="E1059" s="8">
        <v>2006</v>
      </c>
      <c r="F1059" s="158">
        <f t="shared" si="281"/>
        <v>457</v>
      </c>
      <c r="G1059" s="158">
        <f t="shared" si="287"/>
        <v>2</v>
      </c>
      <c r="H1059" s="162">
        <v>38292</v>
      </c>
      <c r="I1059" s="248">
        <v>713500</v>
      </c>
      <c r="J1059" s="15">
        <v>0.08</v>
      </c>
      <c r="K1059" s="15">
        <v>1.33</v>
      </c>
      <c r="L1059" s="15">
        <v>0.42</v>
      </c>
      <c r="M1059" s="174">
        <v>0</v>
      </c>
      <c r="O1059" s="15">
        <v>0</v>
      </c>
      <c r="Q1059" s="11">
        <v>7</v>
      </c>
      <c r="R1059" s="11">
        <v>26</v>
      </c>
      <c r="T1059" s="161">
        <f t="shared" si="288"/>
        <v>948955</v>
      </c>
      <c r="U1059" s="161">
        <f t="shared" si="289"/>
        <v>299670</v>
      </c>
      <c r="V1059" s="161">
        <f t="shared" si="290"/>
        <v>0</v>
      </c>
      <c r="W1059" s="161">
        <f t="shared" si="291"/>
        <v>0</v>
      </c>
    </row>
    <row r="1060" spans="1:23" ht="12.75" customHeight="1">
      <c r="A1060" s="118">
        <v>1059</v>
      </c>
      <c r="B1060" s="128">
        <v>11</v>
      </c>
      <c r="C1060" s="156">
        <v>38777</v>
      </c>
      <c r="D1060" s="157" t="s">
        <v>46</v>
      </c>
      <c r="E1060" s="8">
        <v>2006</v>
      </c>
      <c r="F1060" s="158">
        <f t="shared" si="281"/>
        <v>485</v>
      </c>
      <c r="G1060" s="158">
        <f t="shared" si="287"/>
        <v>2</v>
      </c>
      <c r="H1060" s="162">
        <v>38292</v>
      </c>
      <c r="I1060" s="194">
        <v>712735</v>
      </c>
      <c r="J1060" s="15">
        <v>0</v>
      </c>
      <c r="K1060" s="15">
        <v>0.28000000000000003</v>
      </c>
      <c r="L1060" s="15">
        <v>0.17</v>
      </c>
      <c r="M1060" s="174">
        <v>0</v>
      </c>
      <c r="O1060" s="15">
        <v>0.02</v>
      </c>
      <c r="Q1060" s="11">
        <v>8</v>
      </c>
      <c r="R1060" s="11">
        <v>27</v>
      </c>
      <c r="T1060" s="161">
        <f t="shared" si="288"/>
        <v>199565.80000000002</v>
      </c>
      <c r="U1060" s="161">
        <f t="shared" si="289"/>
        <v>121164.95000000001</v>
      </c>
      <c r="V1060" s="161">
        <f t="shared" si="290"/>
        <v>14254.7</v>
      </c>
      <c r="W1060" s="161">
        <f t="shared" si="291"/>
        <v>5701.880000000001</v>
      </c>
    </row>
    <row r="1061" spans="1:23" ht="12.75" customHeight="1">
      <c r="A1061" s="118">
        <v>1060</v>
      </c>
      <c r="B1061" s="128">
        <v>11</v>
      </c>
      <c r="C1061" s="156">
        <v>38808</v>
      </c>
      <c r="D1061" s="157" t="s">
        <v>47</v>
      </c>
      <c r="E1061" s="8">
        <v>2006</v>
      </c>
      <c r="F1061" s="158">
        <f t="shared" si="281"/>
        <v>516</v>
      </c>
      <c r="G1061" s="158">
        <f t="shared" si="287"/>
        <v>2</v>
      </c>
      <c r="H1061" s="162">
        <v>38292</v>
      </c>
      <c r="I1061" s="194">
        <v>710837</v>
      </c>
      <c r="J1061" s="15">
        <v>0</v>
      </c>
      <c r="K1061" s="15">
        <v>0</v>
      </c>
      <c r="L1061" s="15">
        <v>0</v>
      </c>
      <c r="M1061" s="174">
        <v>0</v>
      </c>
      <c r="O1061" s="15">
        <v>0</v>
      </c>
      <c r="Q1061" s="11">
        <v>8</v>
      </c>
      <c r="R1061" s="11">
        <v>28</v>
      </c>
      <c r="T1061" s="161">
        <f t="shared" si="288"/>
        <v>0</v>
      </c>
      <c r="U1061" s="161">
        <f t="shared" si="289"/>
        <v>0</v>
      </c>
      <c r="V1061" s="161">
        <f t="shared" si="290"/>
        <v>0</v>
      </c>
      <c r="W1061" s="161">
        <f t="shared" si="291"/>
        <v>0</v>
      </c>
    </row>
    <row r="1062" spans="1:23" ht="12.75" customHeight="1">
      <c r="A1062" s="118">
        <v>1061</v>
      </c>
      <c r="B1062" s="128">
        <v>11</v>
      </c>
      <c r="C1062" s="156">
        <v>38838</v>
      </c>
      <c r="D1062" s="157" t="s">
        <v>48</v>
      </c>
      <c r="E1062" s="8">
        <v>2006</v>
      </c>
      <c r="F1062" s="158">
        <f t="shared" si="281"/>
        <v>546</v>
      </c>
      <c r="G1062" s="158">
        <f t="shared" si="287"/>
        <v>2</v>
      </c>
      <c r="H1062" s="162">
        <v>38292</v>
      </c>
      <c r="I1062" s="194">
        <v>667282</v>
      </c>
      <c r="J1062" s="15">
        <v>0</v>
      </c>
      <c r="K1062" s="15">
        <v>0.02</v>
      </c>
      <c r="L1062" s="15">
        <v>0</v>
      </c>
      <c r="M1062" s="174">
        <v>0</v>
      </c>
      <c r="O1062" s="15">
        <v>0.02</v>
      </c>
      <c r="Q1062" s="11">
        <v>9</v>
      </c>
      <c r="R1062" s="11">
        <v>25</v>
      </c>
      <c r="T1062" s="161">
        <f t="shared" si="288"/>
        <v>13345.64</v>
      </c>
      <c r="U1062" s="161">
        <f t="shared" si="289"/>
        <v>0</v>
      </c>
      <c r="V1062" s="161">
        <f t="shared" si="290"/>
        <v>13345.64</v>
      </c>
      <c r="W1062" s="161">
        <f t="shared" si="291"/>
        <v>5338.2560000000003</v>
      </c>
    </row>
    <row r="1063" spans="1:23" ht="12.75" customHeight="1">
      <c r="A1063" s="118">
        <v>1062</v>
      </c>
      <c r="B1063" s="128">
        <v>11</v>
      </c>
      <c r="C1063" s="156">
        <v>38869</v>
      </c>
      <c r="D1063" s="157" t="s">
        <v>49</v>
      </c>
      <c r="E1063" s="8">
        <v>2006</v>
      </c>
      <c r="F1063" s="158">
        <f t="shared" si="281"/>
        <v>577</v>
      </c>
      <c r="G1063" s="158">
        <f t="shared" si="287"/>
        <v>2</v>
      </c>
      <c r="H1063" s="162">
        <v>38292</v>
      </c>
      <c r="I1063" s="194">
        <v>457784</v>
      </c>
      <c r="J1063" s="15">
        <v>0.05</v>
      </c>
      <c r="K1063" s="15">
        <v>0.18</v>
      </c>
      <c r="L1063" s="15">
        <v>0.1</v>
      </c>
      <c r="M1063" s="174">
        <v>0</v>
      </c>
      <c r="O1063" s="15">
        <v>0.02</v>
      </c>
      <c r="Q1063" s="11">
        <v>10</v>
      </c>
      <c r="R1063" s="11">
        <v>23</v>
      </c>
      <c r="S1063" s="155" t="s">
        <v>20</v>
      </c>
      <c r="T1063" s="161">
        <f t="shared" si="288"/>
        <v>82401.119999999995</v>
      </c>
      <c r="U1063" s="161">
        <f t="shared" si="289"/>
        <v>45778.400000000001</v>
      </c>
      <c r="V1063" s="161">
        <f t="shared" si="290"/>
        <v>9155.68</v>
      </c>
      <c r="W1063" s="161">
        <f t="shared" si="291"/>
        <v>3662.2720000000004</v>
      </c>
    </row>
    <row r="1064" spans="1:23" ht="12.75" customHeight="1">
      <c r="A1064" s="118">
        <v>1063</v>
      </c>
      <c r="B1064" s="128">
        <v>11</v>
      </c>
      <c r="C1064" s="156">
        <v>38899</v>
      </c>
      <c r="D1064" s="157" t="s">
        <v>50</v>
      </c>
      <c r="E1064" s="8">
        <v>2006</v>
      </c>
      <c r="F1064" s="158">
        <f t="shared" si="281"/>
        <v>607</v>
      </c>
      <c r="G1064" s="158">
        <f t="shared" si="287"/>
        <v>2</v>
      </c>
      <c r="H1064" s="162">
        <v>38292</v>
      </c>
      <c r="I1064" s="194">
        <v>385676</v>
      </c>
      <c r="J1064" s="15">
        <v>0.12</v>
      </c>
      <c r="K1064" s="15">
        <v>0.08</v>
      </c>
      <c r="L1064" s="15">
        <v>0.05</v>
      </c>
      <c r="O1064" s="15">
        <v>0</v>
      </c>
      <c r="Q1064" s="11">
        <v>11</v>
      </c>
      <c r="R1064" s="11">
        <v>22</v>
      </c>
      <c r="S1064" s="155" t="s">
        <v>20</v>
      </c>
      <c r="T1064" s="161">
        <f t="shared" si="288"/>
        <v>30854.080000000002</v>
      </c>
      <c r="U1064" s="161">
        <f t="shared" si="289"/>
        <v>19283.8</v>
      </c>
      <c r="V1064" s="161">
        <f t="shared" si="290"/>
        <v>0</v>
      </c>
      <c r="W1064" s="161">
        <f t="shared" si="291"/>
        <v>0</v>
      </c>
    </row>
    <row r="1065" spans="1:23" ht="12.75" customHeight="1">
      <c r="A1065" s="118">
        <v>1064</v>
      </c>
      <c r="B1065" s="128">
        <v>11</v>
      </c>
      <c r="C1065" s="156">
        <v>38930</v>
      </c>
      <c r="D1065" s="157" t="s">
        <v>51</v>
      </c>
      <c r="E1065" s="8">
        <v>2006</v>
      </c>
      <c r="F1065" s="158">
        <f t="shared" si="281"/>
        <v>638</v>
      </c>
      <c r="G1065" s="158">
        <f t="shared" si="287"/>
        <v>2</v>
      </c>
      <c r="H1065" s="162">
        <v>38292</v>
      </c>
      <c r="I1065" s="198">
        <v>150000</v>
      </c>
      <c r="J1065" s="173"/>
      <c r="K1065" s="165">
        <v>0.08</v>
      </c>
      <c r="L1065" s="165">
        <v>0.05</v>
      </c>
      <c r="N1065" s="528" t="s">
        <v>795</v>
      </c>
      <c r="O1065" s="165">
        <v>0</v>
      </c>
      <c r="S1065" s="155" t="s">
        <v>20</v>
      </c>
      <c r="U1065" s="161">
        <f>$I1065*L1065</f>
        <v>7500</v>
      </c>
      <c r="V1065" s="161">
        <f t="shared" si="290"/>
        <v>0</v>
      </c>
      <c r="W1065" s="161">
        <f t="shared" si="291"/>
        <v>0</v>
      </c>
    </row>
    <row r="1066" spans="1:23" ht="12.75" customHeight="1">
      <c r="A1066" s="118">
        <v>1065</v>
      </c>
      <c r="B1066" s="128">
        <v>11</v>
      </c>
      <c r="C1066" s="156">
        <v>38961</v>
      </c>
      <c r="D1066" s="157" t="s">
        <v>52</v>
      </c>
      <c r="E1066" s="8">
        <v>2006</v>
      </c>
      <c r="F1066" s="158">
        <f t="shared" si="281"/>
        <v>669</v>
      </c>
      <c r="G1066" s="158">
        <f t="shared" si="287"/>
        <v>2</v>
      </c>
      <c r="H1066" s="162">
        <v>38292</v>
      </c>
      <c r="I1066" s="198">
        <v>30000</v>
      </c>
      <c r="J1066" s="173"/>
      <c r="K1066" s="165">
        <v>0.08</v>
      </c>
      <c r="L1066" s="165">
        <v>0.05</v>
      </c>
      <c r="N1066" s="528" t="s">
        <v>795</v>
      </c>
      <c r="O1066" s="165">
        <v>0</v>
      </c>
      <c r="U1066" s="161">
        <f>$I1066*L1066</f>
        <v>1500</v>
      </c>
      <c r="V1066" s="161">
        <f t="shared" si="290"/>
        <v>0</v>
      </c>
      <c r="W1066" s="161">
        <f t="shared" si="291"/>
        <v>0</v>
      </c>
    </row>
    <row r="1067" spans="1:23" ht="12.75" customHeight="1">
      <c r="A1067" s="118">
        <v>1066</v>
      </c>
      <c r="B1067" s="128">
        <v>11</v>
      </c>
      <c r="C1067" s="156">
        <v>38991</v>
      </c>
      <c r="D1067" s="157" t="s">
        <v>53</v>
      </c>
      <c r="E1067" s="8">
        <v>2006</v>
      </c>
      <c r="F1067" s="158"/>
      <c r="H1067" s="172"/>
      <c r="I1067" s="198"/>
    </row>
    <row r="1068" spans="1:23" ht="12.75" customHeight="1">
      <c r="A1068" s="118">
        <v>1067</v>
      </c>
      <c r="B1068" s="128">
        <v>11</v>
      </c>
      <c r="C1068" s="156">
        <v>39022</v>
      </c>
      <c r="D1068" s="157" t="s">
        <v>54</v>
      </c>
      <c r="E1068" s="8">
        <v>2006</v>
      </c>
      <c r="F1068" s="158"/>
      <c r="H1068" s="172"/>
      <c r="I1068" s="194"/>
    </row>
    <row r="1069" spans="1:23" ht="12.75" customHeight="1">
      <c r="A1069" s="118">
        <v>1068</v>
      </c>
      <c r="B1069" s="128">
        <v>11</v>
      </c>
      <c r="C1069" s="156">
        <v>39052</v>
      </c>
      <c r="D1069" s="157" t="s">
        <v>55</v>
      </c>
      <c r="E1069" s="8">
        <v>2006</v>
      </c>
      <c r="F1069" s="158"/>
      <c r="H1069" s="172"/>
      <c r="I1069" s="194"/>
    </row>
    <row r="1070" spans="1:23" ht="12.75" customHeight="1">
      <c r="A1070" s="118">
        <v>1069</v>
      </c>
      <c r="B1070" s="128">
        <v>11</v>
      </c>
      <c r="C1070" s="156">
        <v>39083</v>
      </c>
      <c r="D1070" s="157" t="s">
        <v>44</v>
      </c>
      <c r="E1070" s="8">
        <v>2007</v>
      </c>
      <c r="F1070" s="127"/>
      <c r="G1070" s="127"/>
      <c r="H1070" s="206"/>
      <c r="I1070" s="168"/>
      <c r="J1070" s="191"/>
      <c r="K1070" s="191"/>
      <c r="L1070" s="191"/>
      <c r="M1070" s="193"/>
      <c r="N1070" s="529"/>
      <c r="O1070" s="191"/>
      <c r="P1070" s="192"/>
      <c r="Q1070" s="127"/>
      <c r="R1070" s="127"/>
      <c r="S1070" s="140"/>
      <c r="T1070" s="191"/>
      <c r="U1070" s="202"/>
      <c r="V1070" s="191"/>
      <c r="W1070" s="191"/>
    </row>
    <row r="1071" spans="1:23" ht="12.75" customHeight="1">
      <c r="A1071" s="118">
        <v>1070</v>
      </c>
      <c r="B1071" s="128">
        <v>11</v>
      </c>
      <c r="C1071" s="156">
        <v>39114</v>
      </c>
      <c r="D1071" s="157" t="s">
        <v>45</v>
      </c>
      <c r="E1071" s="8">
        <v>2007</v>
      </c>
      <c r="F1071" s="158">
        <v>0</v>
      </c>
      <c r="G1071" s="158">
        <f t="shared" ref="G1071:G1093" si="292">IF(F1071&lt;365,1,2)</f>
        <v>1</v>
      </c>
      <c r="H1071" s="162">
        <v>39120</v>
      </c>
      <c r="I1071" s="168">
        <v>607354</v>
      </c>
      <c r="J1071" s="191"/>
      <c r="K1071" s="191"/>
      <c r="L1071" s="165">
        <v>0</v>
      </c>
      <c r="M1071" s="193"/>
      <c r="N1071" s="529" t="s">
        <v>794</v>
      </c>
      <c r="O1071" s="195">
        <v>0</v>
      </c>
      <c r="P1071" s="192"/>
      <c r="Q1071" s="127"/>
      <c r="R1071" s="127"/>
      <c r="S1071" s="140" t="s">
        <v>11</v>
      </c>
      <c r="T1071" s="191"/>
      <c r="U1071" s="161">
        <f t="shared" ref="U1071:U1093" si="293">$I1071*L1071</f>
        <v>0</v>
      </c>
      <c r="V1071" s="161">
        <f t="shared" ref="V1071:V1093" si="294">$I1071*O1071</f>
        <v>0</v>
      </c>
      <c r="W1071" s="161">
        <f t="shared" ref="W1071:W1093" si="295">V1071*0.4</f>
        <v>0</v>
      </c>
    </row>
    <row r="1072" spans="1:23" ht="12.75" customHeight="1">
      <c r="A1072" s="118">
        <v>1071</v>
      </c>
      <c r="B1072" s="128">
        <v>11</v>
      </c>
      <c r="C1072" s="156">
        <v>39142</v>
      </c>
      <c r="D1072" s="157" t="s">
        <v>46</v>
      </c>
      <c r="E1072" s="8">
        <v>2007</v>
      </c>
      <c r="F1072" s="158">
        <f t="shared" ref="F1072:F1093" si="296">C1072-H1072</f>
        <v>22</v>
      </c>
      <c r="G1072" s="158">
        <f t="shared" si="292"/>
        <v>1</v>
      </c>
      <c r="H1072" s="162">
        <v>39120</v>
      </c>
      <c r="I1072" s="168">
        <v>592825</v>
      </c>
      <c r="J1072" s="191">
        <v>0.1</v>
      </c>
      <c r="K1072" s="191">
        <v>0.13</v>
      </c>
      <c r="L1072" s="191">
        <v>0</v>
      </c>
      <c r="M1072" s="193"/>
      <c r="N1072" s="529"/>
      <c r="O1072" s="191">
        <v>0.18</v>
      </c>
      <c r="P1072" s="192"/>
      <c r="Q1072" s="127">
        <v>7</v>
      </c>
      <c r="R1072" s="127">
        <v>25</v>
      </c>
      <c r="S1072" s="140"/>
      <c r="T1072" s="161">
        <f t="shared" ref="T1072:T1093" si="297">$I1072*K1072</f>
        <v>77067.25</v>
      </c>
      <c r="U1072" s="161">
        <f t="shared" si="293"/>
        <v>0</v>
      </c>
      <c r="V1072" s="161">
        <f t="shared" si="294"/>
        <v>106708.5</v>
      </c>
      <c r="W1072" s="161">
        <f t="shared" si="295"/>
        <v>42683.4</v>
      </c>
    </row>
    <row r="1073" spans="1:244" ht="12.75" customHeight="1">
      <c r="A1073" s="118">
        <v>1072</v>
      </c>
      <c r="B1073" s="128">
        <v>11</v>
      </c>
      <c r="C1073" s="156">
        <v>39173</v>
      </c>
      <c r="D1073" s="157" t="s">
        <v>47</v>
      </c>
      <c r="E1073" s="8">
        <v>2007</v>
      </c>
      <c r="F1073" s="158">
        <f t="shared" si="296"/>
        <v>53</v>
      </c>
      <c r="G1073" s="158">
        <f t="shared" si="292"/>
        <v>1</v>
      </c>
      <c r="H1073" s="162">
        <v>39120</v>
      </c>
      <c r="I1073" s="168">
        <v>590589</v>
      </c>
      <c r="J1073" s="191">
        <v>0.3</v>
      </c>
      <c r="K1073" s="191">
        <v>0.1</v>
      </c>
      <c r="L1073" s="191">
        <v>0</v>
      </c>
      <c r="M1073" s="193">
        <v>0</v>
      </c>
      <c r="N1073" s="529"/>
      <c r="O1073" s="191">
        <v>0.1</v>
      </c>
      <c r="P1073" s="192"/>
      <c r="Q1073" s="127"/>
      <c r="R1073" s="127"/>
      <c r="S1073" s="140"/>
      <c r="T1073" s="161">
        <f t="shared" si="297"/>
        <v>59058.9</v>
      </c>
      <c r="U1073" s="161">
        <f t="shared" si="293"/>
        <v>0</v>
      </c>
      <c r="V1073" s="161">
        <f t="shared" si="294"/>
        <v>59058.9</v>
      </c>
      <c r="W1073" s="161">
        <f t="shared" si="295"/>
        <v>23623.56</v>
      </c>
    </row>
    <row r="1074" spans="1:244" ht="12.75" customHeight="1">
      <c r="A1074" s="118">
        <v>1073</v>
      </c>
      <c r="B1074" s="128">
        <v>11</v>
      </c>
      <c r="C1074" s="156">
        <v>39203</v>
      </c>
      <c r="D1074" s="157" t="s">
        <v>48</v>
      </c>
      <c r="E1074" s="8">
        <v>2007</v>
      </c>
      <c r="F1074" s="158">
        <f t="shared" si="296"/>
        <v>83</v>
      </c>
      <c r="G1074" s="158">
        <f t="shared" si="292"/>
        <v>1</v>
      </c>
      <c r="H1074" s="162">
        <v>39120</v>
      </c>
      <c r="I1074" s="160">
        <v>586834</v>
      </c>
      <c r="J1074" s="191">
        <v>0.8</v>
      </c>
      <c r="K1074" s="191">
        <v>0.63</v>
      </c>
      <c r="L1074" s="191">
        <v>0.08</v>
      </c>
      <c r="M1074" s="193">
        <v>0</v>
      </c>
      <c r="N1074" s="529"/>
      <c r="O1074" s="191">
        <v>0.03</v>
      </c>
      <c r="P1074" s="192"/>
      <c r="Q1074" s="127">
        <v>9</v>
      </c>
      <c r="R1074" s="127">
        <v>26</v>
      </c>
      <c r="S1074" s="140"/>
      <c r="T1074" s="161">
        <f t="shared" si="297"/>
        <v>369705.42</v>
      </c>
      <c r="U1074" s="161">
        <f t="shared" si="293"/>
        <v>46946.720000000001</v>
      </c>
      <c r="V1074" s="161">
        <f t="shared" si="294"/>
        <v>17605.02</v>
      </c>
      <c r="W1074" s="161">
        <f t="shared" si="295"/>
        <v>7042.0080000000007</v>
      </c>
    </row>
    <row r="1075" spans="1:244" ht="12.75" customHeight="1">
      <c r="A1075" s="118">
        <v>1074</v>
      </c>
      <c r="B1075" s="128">
        <v>11</v>
      </c>
      <c r="C1075" s="156">
        <v>39234</v>
      </c>
      <c r="D1075" s="157" t="s">
        <v>49</v>
      </c>
      <c r="E1075" s="8">
        <v>2007</v>
      </c>
      <c r="F1075" s="158">
        <f t="shared" si="296"/>
        <v>114</v>
      </c>
      <c r="G1075" s="158">
        <f t="shared" si="292"/>
        <v>1</v>
      </c>
      <c r="H1075" s="162">
        <v>39120</v>
      </c>
      <c r="I1075" s="160">
        <v>581132</v>
      </c>
      <c r="J1075" s="191">
        <v>0.08</v>
      </c>
      <c r="K1075" s="191">
        <v>0.33</v>
      </c>
      <c r="L1075" s="191">
        <v>0.1</v>
      </c>
      <c r="M1075" s="193">
        <v>0</v>
      </c>
      <c r="N1075" s="529"/>
      <c r="O1075" s="191">
        <v>0.02</v>
      </c>
      <c r="P1075" s="192"/>
      <c r="Q1075" s="127">
        <v>10</v>
      </c>
      <c r="R1075" s="127">
        <v>22</v>
      </c>
      <c r="S1075" s="140"/>
      <c r="T1075" s="161">
        <f t="shared" si="297"/>
        <v>191773.56</v>
      </c>
      <c r="U1075" s="161">
        <f t="shared" si="293"/>
        <v>58113.200000000004</v>
      </c>
      <c r="V1075" s="161">
        <f t="shared" si="294"/>
        <v>11622.64</v>
      </c>
      <c r="W1075" s="161">
        <f t="shared" si="295"/>
        <v>4649.0559999999996</v>
      </c>
    </row>
    <row r="1076" spans="1:244" ht="12.75" customHeight="1">
      <c r="A1076" s="118">
        <v>1075</v>
      </c>
      <c r="B1076" s="128">
        <v>11</v>
      </c>
      <c r="C1076" s="156">
        <v>39264</v>
      </c>
      <c r="D1076" s="157" t="s">
        <v>50</v>
      </c>
      <c r="E1076" s="8">
        <v>2007</v>
      </c>
      <c r="F1076" s="158">
        <f t="shared" si="296"/>
        <v>144</v>
      </c>
      <c r="G1076" s="158">
        <f t="shared" si="292"/>
        <v>1</v>
      </c>
      <c r="H1076" s="162">
        <v>39120</v>
      </c>
      <c r="I1076" s="160">
        <v>578290</v>
      </c>
      <c r="J1076" s="191">
        <v>0</v>
      </c>
      <c r="K1076" s="191">
        <v>0.05</v>
      </c>
      <c r="L1076" s="191">
        <v>0.02</v>
      </c>
      <c r="M1076" s="193">
        <v>0</v>
      </c>
      <c r="N1076" s="529"/>
      <c r="O1076" s="191">
        <v>0</v>
      </c>
      <c r="P1076" s="192"/>
      <c r="Q1076" s="127">
        <v>11</v>
      </c>
      <c r="R1076" s="127">
        <v>19</v>
      </c>
      <c r="S1076" s="140"/>
      <c r="T1076" s="161">
        <f t="shared" si="297"/>
        <v>28914.5</v>
      </c>
      <c r="U1076" s="161">
        <f t="shared" si="293"/>
        <v>11565.800000000001</v>
      </c>
      <c r="V1076" s="161">
        <f t="shared" si="294"/>
        <v>0</v>
      </c>
      <c r="W1076" s="161">
        <f t="shared" si="295"/>
        <v>0</v>
      </c>
    </row>
    <row r="1077" spans="1:244" ht="12.75" customHeight="1">
      <c r="A1077" s="118">
        <v>1076</v>
      </c>
      <c r="B1077" s="128">
        <v>11</v>
      </c>
      <c r="C1077" s="156">
        <v>39295</v>
      </c>
      <c r="D1077" s="157" t="s">
        <v>51</v>
      </c>
      <c r="E1077" s="8">
        <v>2007</v>
      </c>
      <c r="F1077" s="158">
        <f t="shared" si="296"/>
        <v>175</v>
      </c>
      <c r="G1077" s="158">
        <f t="shared" si="292"/>
        <v>1</v>
      </c>
      <c r="H1077" s="162">
        <v>39120</v>
      </c>
      <c r="I1077" s="160">
        <v>576770</v>
      </c>
      <c r="J1077" s="191">
        <v>0</v>
      </c>
      <c r="K1077" s="191">
        <v>0.15</v>
      </c>
      <c r="L1077" s="191">
        <v>0</v>
      </c>
      <c r="M1077" s="193">
        <v>0</v>
      </c>
      <c r="N1077" s="529"/>
      <c r="O1077" s="191">
        <v>0</v>
      </c>
      <c r="P1077" s="192"/>
      <c r="Q1077" s="127">
        <v>12</v>
      </c>
      <c r="R1077" s="127">
        <v>19</v>
      </c>
      <c r="S1077" s="140"/>
      <c r="T1077" s="161">
        <f t="shared" si="297"/>
        <v>86515.5</v>
      </c>
      <c r="U1077" s="161">
        <f t="shared" si="293"/>
        <v>0</v>
      </c>
      <c r="V1077" s="161">
        <f t="shared" si="294"/>
        <v>0</v>
      </c>
      <c r="W1077" s="161">
        <f t="shared" si="295"/>
        <v>0</v>
      </c>
    </row>
    <row r="1078" spans="1:244" ht="12.75" customHeight="1">
      <c r="A1078" s="118">
        <v>1077</v>
      </c>
      <c r="B1078" s="128">
        <v>11</v>
      </c>
      <c r="C1078" s="156">
        <v>39326</v>
      </c>
      <c r="D1078" s="157" t="s">
        <v>52</v>
      </c>
      <c r="E1078" s="8">
        <v>2007</v>
      </c>
      <c r="F1078" s="158">
        <f t="shared" si="296"/>
        <v>206</v>
      </c>
      <c r="G1078" s="158">
        <f t="shared" si="292"/>
        <v>1</v>
      </c>
      <c r="H1078" s="162">
        <v>39120</v>
      </c>
      <c r="I1078" s="160">
        <v>575699</v>
      </c>
      <c r="J1078" s="191">
        <v>0.1</v>
      </c>
      <c r="K1078" s="191">
        <v>0.28000000000000003</v>
      </c>
      <c r="L1078" s="191">
        <v>0.13</v>
      </c>
      <c r="M1078" s="193">
        <v>0</v>
      </c>
      <c r="N1078" s="529"/>
      <c r="O1078" s="191">
        <v>0.02</v>
      </c>
      <c r="P1078" s="192"/>
      <c r="Q1078" s="127">
        <v>11</v>
      </c>
      <c r="R1078" s="127">
        <v>21</v>
      </c>
      <c r="S1078" s="140"/>
      <c r="T1078" s="161">
        <f t="shared" si="297"/>
        <v>161195.72</v>
      </c>
      <c r="U1078" s="161">
        <f t="shared" si="293"/>
        <v>74840.87</v>
      </c>
      <c r="V1078" s="161">
        <f t="shared" si="294"/>
        <v>11513.98</v>
      </c>
      <c r="W1078" s="161">
        <f t="shared" si="295"/>
        <v>4605.5919999999996</v>
      </c>
    </row>
    <row r="1079" spans="1:244" ht="12.75" customHeight="1">
      <c r="A1079" s="118">
        <v>1078</v>
      </c>
      <c r="B1079" s="128">
        <v>11</v>
      </c>
      <c r="C1079" s="156">
        <v>39356</v>
      </c>
      <c r="D1079" s="157" t="s">
        <v>53</v>
      </c>
      <c r="E1079" s="8">
        <v>2007</v>
      </c>
      <c r="F1079" s="158">
        <f t="shared" si="296"/>
        <v>236</v>
      </c>
      <c r="G1079" s="158">
        <f t="shared" si="292"/>
        <v>1</v>
      </c>
      <c r="H1079" s="162">
        <v>39120</v>
      </c>
      <c r="I1079" s="160">
        <v>574176</v>
      </c>
      <c r="J1079" s="191">
        <v>7.0000000000000007E-2</v>
      </c>
      <c r="K1079" s="191">
        <v>0.45</v>
      </c>
      <c r="L1079" s="191">
        <v>7.0000000000000007E-2</v>
      </c>
      <c r="M1079" s="193">
        <v>0</v>
      </c>
      <c r="N1079" s="529"/>
      <c r="O1079" s="191">
        <v>0.05</v>
      </c>
      <c r="P1079" s="192"/>
      <c r="Q1079" s="127">
        <v>9</v>
      </c>
      <c r="R1079" s="127">
        <v>23</v>
      </c>
      <c r="S1079" s="140"/>
      <c r="T1079" s="161">
        <f t="shared" si="297"/>
        <v>258379.2</v>
      </c>
      <c r="U1079" s="161">
        <f t="shared" si="293"/>
        <v>40192.320000000007</v>
      </c>
      <c r="V1079" s="161">
        <f t="shared" si="294"/>
        <v>28708.800000000003</v>
      </c>
      <c r="W1079" s="161">
        <f t="shared" si="295"/>
        <v>11483.520000000002</v>
      </c>
    </row>
    <row r="1080" spans="1:244" ht="12.75" customHeight="1">
      <c r="A1080" s="118">
        <v>1079</v>
      </c>
      <c r="B1080" s="128">
        <v>11</v>
      </c>
      <c r="C1080" s="156">
        <v>39387</v>
      </c>
      <c r="D1080" s="157" t="s">
        <v>54</v>
      </c>
      <c r="E1080" s="8">
        <v>2007</v>
      </c>
      <c r="F1080" s="158">
        <f t="shared" si="296"/>
        <v>267</v>
      </c>
      <c r="G1080" s="158">
        <f t="shared" si="292"/>
        <v>1</v>
      </c>
      <c r="H1080" s="162">
        <v>39120</v>
      </c>
      <c r="I1080" s="160">
        <v>571703</v>
      </c>
      <c r="J1080" s="191">
        <v>7.0000000000000007E-2</v>
      </c>
      <c r="K1080" s="191">
        <v>0.23</v>
      </c>
      <c r="L1080" s="191">
        <v>0.03</v>
      </c>
      <c r="M1080" s="193">
        <v>0</v>
      </c>
      <c r="N1080" s="529"/>
      <c r="O1080" s="191">
        <v>0</v>
      </c>
      <c r="P1080" s="192"/>
      <c r="Q1080" s="127">
        <v>8</v>
      </c>
      <c r="R1080" s="127">
        <v>24</v>
      </c>
      <c r="S1080" s="140"/>
      <c r="T1080" s="161">
        <f t="shared" si="297"/>
        <v>131491.69</v>
      </c>
      <c r="U1080" s="161">
        <f t="shared" si="293"/>
        <v>17151.09</v>
      </c>
      <c r="V1080" s="161">
        <f t="shared" si="294"/>
        <v>0</v>
      </c>
      <c r="W1080" s="161">
        <f t="shared" si="295"/>
        <v>0</v>
      </c>
    </row>
    <row r="1081" spans="1:244" ht="12.75" customHeight="1">
      <c r="A1081" s="118">
        <v>1080</v>
      </c>
      <c r="B1081" s="128">
        <v>11</v>
      </c>
      <c r="C1081" s="156">
        <v>39417</v>
      </c>
      <c r="D1081" s="157" t="s">
        <v>55</v>
      </c>
      <c r="E1081" s="8">
        <v>2007</v>
      </c>
      <c r="F1081" s="158">
        <f t="shared" si="296"/>
        <v>297</v>
      </c>
      <c r="G1081" s="158">
        <f t="shared" si="292"/>
        <v>1</v>
      </c>
      <c r="H1081" s="162">
        <v>39120</v>
      </c>
      <c r="I1081" s="160">
        <v>569007</v>
      </c>
      <c r="J1081" s="191">
        <v>0.02</v>
      </c>
      <c r="K1081" s="191">
        <v>0.27</v>
      </c>
      <c r="L1081" s="191">
        <v>0.1</v>
      </c>
      <c r="M1081" s="193">
        <v>0</v>
      </c>
      <c r="N1081" s="529"/>
      <c r="O1081" s="191">
        <v>0</v>
      </c>
      <c r="P1081" s="192"/>
      <c r="Q1081" s="127">
        <v>7</v>
      </c>
      <c r="R1081" s="127">
        <v>27</v>
      </c>
      <c r="S1081" s="140"/>
      <c r="T1081" s="161">
        <f t="shared" si="297"/>
        <v>153631.89000000001</v>
      </c>
      <c r="U1081" s="161">
        <f t="shared" si="293"/>
        <v>56900.700000000004</v>
      </c>
      <c r="V1081" s="161">
        <f t="shared" si="294"/>
        <v>0</v>
      </c>
      <c r="W1081" s="161">
        <f t="shared" si="295"/>
        <v>0</v>
      </c>
    </row>
    <row r="1082" spans="1:244" ht="12.75" customHeight="1">
      <c r="A1082" s="118">
        <v>1081</v>
      </c>
      <c r="B1082" s="128">
        <v>11</v>
      </c>
      <c r="C1082" s="156">
        <v>39448</v>
      </c>
      <c r="D1082" s="157" t="s">
        <v>44</v>
      </c>
      <c r="E1082" s="127">
        <v>2008</v>
      </c>
      <c r="F1082" s="158">
        <f t="shared" si="296"/>
        <v>328</v>
      </c>
      <c r="G1082" s="158">
        <f t="shared" si="292"/>
        <v>1</v>
      </c>
      <c r="H1082" s="162">
        <v>39120</v>
      </c>
      <c r="I1082" s="160">
        <v>569007</v>
      </c>
      <c r="J1082" s="118">
        <v>0.23</v>
      </c>
      <c r="K1082" s="118">
        <v>0.56999999999999995</v>
      </c>
      <c r="L1082" s="118">
        <v>0.17</v>
      </c>
      <c r="M1082" s="193">
        <v>0</v>
      </c>
      <c r="N1082" s="529"/>
      <c r="O1082" s="118">
        <v>0.12</v>
      </c>
      <c r="P1082" s="192"/>
      <c r="Q1082" s="193"/>
      <c r="R1082" s="193"/>
      <c r="S1082" s="140"/>
      <c r="T1082" s="161">
        <f t="shared" si="297"/>
        <v>324333.99</v>
      </c>
      <c r="U1082" s="161">
        <f t="shared" si="293"/>
        <v>96731.19</v>
      </c>
      <c r="V1082" s="161">
        <f t="shared" si="294"/>
        <v>68280.84</v>
      </c>
      <c r="W1082" s="161">
        <f t="shared" si="295"/>
        <v>27312.335999999999</v>
      </c>
    </row>
    <row r="1083" spans="1:244" ht="12.75" customHeight="1">
      <c r="A1083" s="118">
        <v>1082</v>
      </c>
      <c r="B1083" s="128">
        <v>11</v>
      </c>
      <c r="C1083" s="156">
        <v>39479</v>
      </c>
      <c r="D1083" s="157" t="s">
        <v>45</v>
      </c>
      <c r="E1083" s="127">
        <v>2008</v>
      </c>
      <c r="F1083" s="158">
        <f t="shared" si="296"/>
        <v>359</v>
      </c>
      <c r="G1083" s="158">
        <f t="shared" si="292"/>
        <v>1</v>
      </c>
      <c r="H1083" s="162">
        <v>39120</v>
      </c>
      <c r="I1083" s="168">
        <v>566101</v>
      </c>
      <c r="J1083" s="164">
        <v>0.3</v>
      </c>
      <c r="K1083" s="164">
        <v>1.3333333000000001</v>
      </c>
      <c r="L1083" s="164">
        <v>0.58333330000000005</v>
      </c>
      <c r="M1083" s="193">
        <v>0</v>
      </c>
      <c r="N1083" s="529"/>
      <c r="O1083" s="164">
        <v>0.31666660000000002</v>
      </c>
      <c r="P1083" s="127"/>
      <c r="Q1083" s="127"/>
      <c r="R1083" s="127"/>
      <c r="S1083" s="140"/>
      <c r="T1083" s="161">
        <f t="shared" si="297"/>
        <v>754801.31446330005</v>
      </c>
      <c r="U1083" s="161">
        <f t="shared" si="293"/>
        <v>330225.56446330005</v>
      </c>
      <c r="V1083" s="161">
        <f t="shared" si="294"/>
        <v>179265.2789266</v>
      </c>
      <c r="W1083" s="161">
        <f t="shared" si="295"/>
        <v>71706.111570640001</v>
      </c>
    </row>
    <row r="1084" spans="1:244" ht="12.75" customHeight="1">
      <c r="A1084" s="118">
        <v>1083</v>
      </c>
      <c r="B1084" s="128">
        <v>11</v>
      </c>
      <c r="C1084" s="156">
        <v>39508</v>
      </c>
      <c r="D1084" s="157" t="s">
        <v>46</v>
      </c>
      <c r="E1084" s="127">
        <v>2008</v>
      </c>
      <c r="F1084" s="158">
        <f t="shared" si="296"/>
        <v>388</v>
      </c>
      <c r="G1084" s="158">
        <f t="shared" si="292"/>
        <v>2</v>
      </c>
      <c r="H1084" s="162">
        <v>39120</v>
      </c>
      <c r="I1084" s="168">
        <v>564703</v>
      </c>
      <c r="J1084" s="191">
        <v>2.2000000000000002</v>
      </c>
      <c r="K1084" s="191">
        <v>2.8</v>
      </c>
      <c r="L1084" s="191">
        <v>0.8</v>
      </c>
      <c r="M1084" s="193">
        <v>2</v>
      </c>
      <c r="N1084" s="529"/>
      <c r="O1084" s="191">
        <v>0</v>
      </c>
      <c r="P1084" s="192">
        <v>1</v>
      </c>
      <c r="Q1084" s="193"/>
      <c r="R1084" s="193"/>
      <c r="S1084" s="140"/>
      <c r="T1084" s="161">
        <f t="shared" si="297"/>
        <v>1581168.4</v>
      </c>
      <c r="U1084" s="161">
        <f t="shared" si="293"/>
        <v>451762.4</v>
      </c>
      <c r="V1084" s="161">
        <f t="shared" si="294"/>
        <v>0</v>
      </c>
      <c r="W1084" s="161">
        <f t="shared" si="295"/>
        <v>0</v>
      </c>
    </row>
    <row r="1085" spans="1:244" ht="12.75" customHeight="1">
      <c r="A1085" s="118">
        <v>1084</v>
      </c>
      <c r="B1085" s="128">
        <v>11</v>
      </c>
      <c r="C1085" s="156">
        <v>39539</v>
      </c>
      <c r="D1085" s="157" t="s">
        <v>47</v>
      </c>
      <c r="E1085" s="127">
        <v>2008</v>
      </c>
      <c r="F1085" s="158">
        <f t="shared" si="296"/>
        <v>419</v>
      </c>
      <c r="G1085" s="158">
        <f t="shared" si="292"/>
        <v>2</v>
      </c>
      <c r="H1085" s="162">
        <v>39120</v>
      </c>
      <c r="I1085" s="168">
        <v>564363</v>
      </c>
      <c r="J1085" s="118">
        <v>7.0000000000000007E-2</v>
      </c>
      <c r="K1085" s="118">
        <v>7.0000000000000007E-2</v>
      </c>
      <c r="L1085" s="118">
        <v>0.05</v>
      </c>
      <c r="M1085" s="193">
        <v>0</v>
      </c>
      <c r="N1085" s="529"/>
      <c r="O1085" s="118">
        <v>0.02</v>
      </c>
      <c r="P1085" s="192"/>
      <c r="Q1085" s="193"/>
      <c r="R1085" s="193"/>
      <c r="S1085" s="140"/>
      <c r="T1085" s="161">
        <f t="shared" si="297"/>
        <v>39505.410000000003</v>
      </c>
      <c r="U1085" s="161">
        <f t="shared" si="293"/>
        <v>28218.15</v>
      </c>
      <c r="V1085" s="161">
        <f t="shared" si="294"/>
        <v>11287.26</v>
      </c>
      <c r="W1085" s="161">
        <f t="shared" si="295"/>
        <v>4514.9040000000005</v>
      </c>
    </row>
    <row r="1086" spans="1:244" s="127" customFormat="1" ht="12.75" customHeight="1">
      <c r="A1086" s="118">
        <v>1085</v>
      </c>
      <c r="B1086" s="128">
        <v>11</v>
      </c>
      <c r="C1086" s="156">
        <v>39569</v>
      </c>
      <c r="D1086" s="157" t="s">
        <v>48</v>
      </c>
      <c r="E1086" s="127">
        <v>2008</v>
      </c>
      <c r="F1086" s="158">
        <f t="shared" si="296"/>
        <v>449</v>
      </c>
      <c r="G1086" s="158">
        <f t="shared" si="292"/>
        <v>2</v>
      </c>
      <c r="H1086" s="162">
        <v>39120</v>
      </c>
      <c r="I1086" s="160">
        <v>562666</v>
      </c>
      <c r="J1086" s="164">
        <v>1.6666666666666666E-2</v>
      </c>
      <c r="K1086" s="164">
        <v>1.6666666666666666E-2</v>
      </c>
      <c r="L1086" s="164">
        <v>1.6666666666666666E-2</v>
      </c>
      <c r="M1086" s="193">
        <v>0</v>
      </c>
      <c r="N1086" s="529"/>
      <c r="O1086" s="164">
        <v>0</v>
      </c>
      <c r="P1086" s="192"/>
      <c r="Q1086" s="193">
        <v>7</v>
      </c>
      <c r="R1086" s="193">
        <v>29</v>
      </c>
      <c r="S1086" s="140"/>
      <c r="T1086" s="161">
        <f t="shared" si="297"/>
        <v>9377.7666666666664</v>
      </c>
      <c r="U1086" s="161">
        <f t="shared" si="293"/>
        <v>9377.7666666666664</v>
      </c>
      <c r="V1086" s="161">
        <f t="shared" si="294"/>
        <v>0</v>
      </c>
      <c r="W1086" s="161">
        <f t="shared" si="295"/>
        <v>0</v>
      </c>
      <c r="X1086" s="118"/>
      <c r="Y1086" s="118"/>
      <c r="Z1086" s="118"/>
      <c r="AA1086" s="118"/>
      <c r="AB1086" s="118"/>
      <c r="AC1086" s="118"/>
      <c r="AD1086" s="118"/>
      <c r="AE1086" s="118"/>
      <c r="AF1086" s="118"/>
      <c r="AG1086" s="118"/>
      <c r="AH1086" s="118"/>
      <c r="AI1086" s="118"/>
      <c r="AJ1086" s="118"/>
      <c r="AK1086" s="118"/>
      <c r="AL1086" s="118"/>
      <c r="AM1086" s="118"/>
      <c r="AN1086" s="118"/>
      <c r="AO1086" s="118"/>
      <c r="AP1086" s="118"/>
      <c r="AQ1086" s="118"/>
      <c r="AR1086" s="118"/>
      <c r="AS1086" s="118"/>
      <c r="AT1086" s="118"/>
      <c r="AU1086" s="118"/>
      <c r="AV1086" s="118"/>
      <c r="AW1086" s="118"/>
      <c r="AX1086" s="118"/>
      <c r="AY1086" s="118"/>
      <c r="AZ1086" s="118"/>
      <c r="BA1086" s="118"/>
      <c r="BB1086" s="118"/>
      <c r="BC1086" s="118"/>
      <c r="BD1086" s="118"/>
      <c r="BE1086" s="118"/>
      <c r="BF1086" s="118"/>
      <c r="BG1086" s="118"/>
      <c r="BH1086" s="118"/>
      <c r="BI1086" s="118"/>
      <c r="BJ1086" s="118"/>
      <c r="BK1086" s="118"/>
      <c r="BL1086" s="118"/>
      <c r="BM1086" s="118"/>
      <c r="BN1086" s="118"/>
      <c r="BO1086" s="118"/>
      <c r="BP1086" s="118"/>
      <c r="BQ1086" s="118"/>
      <c r="BR1086" s="118"/>
      <c r="BS1086" s="118"/>
      <c r="BT1086" s="118"/>
      <c r="BU1086" s="118"/>
      <c r="BV1086" s="118"/>
      <c r="BW1086" s="118"/>
      <c r="BX1086" s="118"/>
      <c r="BY1086" s="118"/>
      <c r="BZ1086" s="118"/>
      <c r="CA1086" s="118"/>
      <c r="CB1086" s="118"/>
      <c r="CC1086" s="118"/>
      <c r="CD1086" s="118"/>
      <c r="CE1086" s="118"/>
      <c r="CF1086" s="118"/>
      <c r="CG1086" s="118"/>
      <c r="CH1086" s="118"/>
      <c r="CI1086" s="118"/>
      <c r="CJ1086" s="118"/>
      <c r="CK1086" s="118"/>
      <c r="CL1086" s="118"/>
      <c r="CM1086" s="118"/>
      <c r="CN1086" s="118"/>
      <c r="CO1086" s="118"/>
      <c r="CP1086" s="118"/>
      <c r="CQ1086" s="118"/>
      <c r="CR1086" s="118"/>
      <c r="CS1086" s="118"/>
      <c r="CT1086" s="118"/>
      <c r="CU1086" s="118"/>
      <c r="CV1086" s="118"/>
      <c r="CW1086" s="118"/>
      <c r="CX1086" s="118"/>
      <c r="CY1086" s="118"/>
      <c r="CZ1086" s="118"/>
      <c r="DA1086" s="118"/>
      <c r="DB1086" s="118"/>
      <c r="DC1086" s="118"/>
      <c r="DD1086" s="118"/>
      <c r="DE1086" s="118"/>
      <c r="DF1086" s="118"/>
      <c r="DG1086" s="118"/>
      <c r="DH1086" s="118"/>
      <c r="DI1086" s="118"/>
      <c r="DJ1086" s="118"/>
      <c r="DK1086" s="118"/>
      <c r="DL1086" s="118"/>
      <c r="DM1086" s="118"/>
      <c r="DN1086" s="118"/>
      <c r="DO1086" s="118"/>
      <c r="DP1086" s="118"/>
      <c r="DQ1086" s="118"/>
      <c r="DR1086" s="118"/>
      <c r="DS1086" s="118"/>
      <c r="DT1086" s="118"/>
      <c r="DU1086" s="118"/>
      <c r="DV1086" s="118"/>
      <c r="DW1086" s="118"/>
      <c r="DX1086" s="118"/>
      <c r="DY1086" s="118"/>
      <c r="DZ1086" s="118"/>
      <c r="EA1086" s="118"/>
      <c r="EB1086" s="118"/>
      <c r="EC1086" s="118"/>
      <c r="ED1086" s="118"/>
      <c r="EE1086" s="118"/>
      <c r="EF1086" s="118"/>
      <c r="EG1086" s="118"/>
      <c r="EH1086" s="118"/>
      <c r="EI1086" s="118"/>
      <c r="EJ1086" s="118"/>
      <c r="EK1086" s="118"/>
      <c r="EL1086" s="118"/>
      <c r="EM1086" s="118"/>
      <c r="EN1086" s="118"/>
      <c r="EO1086" s="118"/>
      <c r="EP1086" s="118"/>
      <c r="EQ1086" s="118"/>
      <c r="ER1086" s="118"/>
      <c r="ES1086" s="118"/>
      <c r="ET1086" s="118"/>
      <c r="EU1086" s="118"/>
      <c r="EV1086" s="118"/>
      <c r="EW1086" s="118"/>
      <c r="EX1086" s="118"/>
      <c r="EY1086" s="118"/>
      <c r="EZ1086" s="118"/>
      <c r="FA1086" s="118"/>
      <c r="FB1086" s="118"/>
      <c r="FC1086" s="118"/>
      <c r="FD1086" s="118"/>
      <c r="FE1086" s="118"/>
      <c r="FF1086" s="118"/>
      <c r="FG1086" s="118"/>
      <c r="FH1086" s="118"/>
      <c r="FI1086" s="118"/>
      <c r="FJ1086" s="118"/>
      <c r="FK1086" s="118"/>
      <c r="FL1086" s="118"/>
      <c r="FM1086" s="118"/>
      <c r="FN1086" s="118"/>
      <c r="FO1086" s="118"/>
      <c r="FP1086" s="118"/>
      <c r="FQ1086" s="118"/>
      <c r="FR1086" s="118"/>
      <c r="FS1086" s="118"/>
      <c r="FT1086" s="118"/>
      <c r="FU1086" s="118"/>
      <c r="FV1086" s="118"/>
      <c r="FW1086" s="118"/>
      <c r="FX1086" s="118"/>
      <c r="FY1086" s="118"/>
      <c r="FZ1086" s="118"/>
      <c r="GA1086" s="118"/>
      <c r="GB1086" s="118"/>
      <c r="GC1086" s="118"/>
      <c r="GD1086" s="118"/>
      <c r="GE1086" s="118"/>
      <c r="GF1086" s="118"/>
      <c r="GG1086" s="118"/>
      <c r="GH1086" s="118"/>
      <c r="GI1086" s="118"/>
      <c r="GJ1086" s="118"/>
      <c r="GK1086" s="118"/>
      <c r="GL1086" s="118"/>
      <c r="GM1086" s="118"/>
      <c r="GN1086" s="118"/>
      <c r="GO1086" s="118"/>
      <c r="GP1086" s="118"/>
      <c r="GQ1086" s="118"/>
      <c r="GR1086" s="118"/>
      <c r="GS1086" s="118"/>
      <c r="GT1086" s="118"/>
      <c r="GU1086" s="118"/>
      <c r="GV1086" s="118"/>
      <c r="GW1086" s="118"/>
      <c r="GX1086" s="118"/>
      <c r="GY1086" s="118"/>
      <c r="GZ1086" s="118"/>
      <c r="HA1086" s="118"/>
      <c r="HB1086" s="118"/>
      <c r="HC1086" s="118"/>
      <c r="HD1086" s="118"/>
      <c r="HE1086" s="118"/>
      <c r="HF1086" s="118"/>
      <c r="HG1086" s="118"/>
      <c r="HH1086" s="118"/>
      <c r="HI1086" s="118"/>
      <c r="HJ1086" s="118"/>
      <c r="HK1086" s="118"/>
      <c r="HL1086" s="118"/>
      <c r="HM1086" s="118"/>
      <c r="HN1086" s="118"/>
      <c r="HO1086" s="118"/>
      <c r="HP1086" s="118"/>
      <c r="HQ1086" s="118"/>
      <c r="HR1086" s="118"/>
      <c r="HS1086" s="118"/>
      <c r="HT1086" s="118"/>
      <c r="HU1086" s="118"/>
      <c r="HV1086" s="118"/>
      <c r="HW1086" s="118"/>
      <c r="HX1086" s="118"/>
      <c r="HY1086" s="118"/>
      <c r="HZ1086" s="118"/>
      <c r="IA1086" s="118"/>
      <c r="IB1086" s="118"/>
      <c r="IC1086" s="118"/>
      <c r="ID1086" s="118"/>
      <c r="IE1086" s="118"/>
      <c r="IF1086" s="118"/>
      <c r="IG1086" s="118"/>
      <c r="IH1086" s="118"/>
      <c r="II1086" s="118"/>
      <c r="IJ1086" s="118"/>
    </row>
    <row r="1087" spans="1:244" s="127" customFormat="1" ht="12.75" customHeight="1">
      <c r="A1087" s="118">
        <v>1086</v>
      </c>
      <c r="B1087" s="128">
        <v>11</v>
      </c>
      <c r="C1087" s="156">
        <v>39600</v>
      </c>
      <c r="D1087" s="157" t="s">
        <v>49</v>
      </c>
      <c r="E1087" s="127">
        <v>2008</v>
      </c>
      <c r="F1087" s="158">
        <f t="shared" si="296"/>
        <v>480</v>
      </c>
      <c r="G1087" s="158">
        <f t="shared" si="292"/>
        <v>2</v>
      </c>
      <c r="H1087" s="162">
        <v>39120</v>
      </c>
      <c r="I1087" s="160">
        <v>561009</v>
      </c>
      <c r="J1087" s="164">
        <v>0</v>
      </c>
      <c r="K1087" s="164">
        <v>0</v>
      </c>
      <c r="L1087" s="164">
        <v>0</v>
      </c>
      <c r="M1087" s="193">
        <v>0</v>
      </c>
      <c r="N1087" s="529"/>
      <c r="O1087" s="164">
        <v>0</v>
      </c>
      <c r="P1087" s="192"/>
      <c r="Q1087" s="193"/>
      <c r="R1087" s="193"/>
      <c r="S1087" s="140"/>
      <c r="T1087" s="161">
        <f t="shared" si="297"/>
        <v>0</v>
      </c>
      <c r="U1087" s="161">
        <f t="shared" si="293"/>
        <v>0</v>
      </c>
      <c r="V1087" s="161">
        <f t="shared" si="294"/>
        <v>0</v>
      </c>
      <c r="W1087" s="161">
        <f t="shared" si="295"/>
        <v>0</v>
      </c>
      <c r="X1087" s="118"/>
      <c r="Y1087" s="118"/>
      <c r="Z1087" s="118"/>
      <c r="AA1087" s="118"/>
      <c r="AB1087" s="118"/>
      <c r="AC1087" s="118"/>
      <c r="AD1087" s="118"/>
      <c r="AE1087" s="118"/>
      <c r="AF1087" s="118"/>
      <c r="AG1087" s="118"/>
      <c r="AH1087" s="118"/>
      <c r="AI1087" s="118"/>
      <c r="AJ1087" s="118"/>
      <c r="AK1087" s="118"/>
      <c r="AL1087" s="118"/>
      <c r="AM1087" s="118"/>
      <c r="AN1087" s="118"/>
      <c r="AO1087" s="118"/>
      <c r="AP1087" s="118"/>
      <c r="AQ1087" s="118"/>
      <c r="AR1087" s="118"/>
      <c r="AS1087" s="118"/>
      <c r="AT1087" s="118"/>
      <c r="AU1087" s="118"/>
      <c r="AV1087" s="118"/>
      <c r="AW1087" s="118"/>
      <c r="AX1087" s="118"/>
      <c r="AY1087" s="118"/>
      <c r="AZ1087" s="118"/>
      <c r="BA1087" s="118"/>
      <c r="BB1087" s="118"/>
      <c r="BC1087" s="118"/>
      <c r="BD1087" s="118"/>
      <c r="BE1087" s="118"/>
      <c r="BF1087" s="118"/>
      <c r="BG1087" s="118"/>
      <c r="BH1087" s="118"/>
      <c r="BI1087" s="118"/>
      <c r="BJ1087" s="118"/>
      <c r="BK1087" s="118"/>
      <c r="BL1087" s="118"/>
      <c r="BM1087" s="118"/>
      <c r="BN1087" s="118"/>
      <c r="BO1087" s="118"/>
      <c r="BP1087" s="118"/>
      <c r="BQ1087" s="118"/>
      <c r="BR1087" s="118"/>
      <c r="BS1087" s="118"/>
      <c r="BT1087" s="118"/>
      <c r="BU1087" s="118"/>
      <c r="BV1087" s="118"/>
      <c r="BW1087" s="118"/>
      <c r="BX1087" s="118"/>
      <c r="BY1087" s="118"/>
      <c r="BZ1087" s="118"/>
      <c r="CA1087" s="118"/>
      <c r="CB1087" s="118"/>
      <c r="CC1087" s="118"/>
      <c r="CD1087" s="118"/>
      <c r="CE1087" s="118"/>
      <c r="CF1087" s="118"/>
      <c r="CG1087" s="118"/>
      <c r="CH1087" s="118"/>
      <c r="CI1087" s="118"/>
      <c r="CJ1087" s="118"/>
      <c r="CK1087" s="118"/>
      <c r="CL1087" s="118"/>
      <c r="CM1087" s="118"/>
      <c r="CN1087" s="118"/>
      <c r="CO1087" s="118"/>
      <c r="CP1087" s="118"/>
      <c r="CQ1087" s="118"/>
      <c r="CR1087" s="118"/>
      <c r="CS1087" s="118"/>
      <c r="CT1087" s="118"/>
      <c r="CU1087" s="118"/>
      <c r="CV1087" s="118"/>
      <c r="CW1087" s="118"/>
      <c r="CX1087" s="118"/>
      <c r="CY1087" s="118"/>
      <c r="CZ1087" s="118"/>
      <c r="DA1087" s="118"/>
      <c r="DB1087" s="118"/>
      <c r="DC1087" s="118"/>
      <c r="DD1087" s="118"/>
      <c r="DE1087" s="118"/>
      <c r="DF1087" s="118"/>
      <c r="DG1087" s="118"/>
      <c r="DH1087" s="118"/>
      <c r="DI1087" s="118"/>
      <c r="DJ1087" s="118"/>
      <c r="DK1087" s="118"/>
      <c r="DL1087" s="118"/>
      <c r="DM1087" s="118"/>
      <c r="DN1087" s="118"/>
      <c r="DO1087" s="118"/>
      <c r="DP1087" s="118"/>
      <c r="DQ1087" s="118"/>
      <c r="DR1087" s="118"/>
      <c r="DS1087" s="118"/>
      <c r="DT1087" s="118"/>
      <c r="DU1087" s="118"/>
      <c r="DV1087" s="118"/>
      <c r="DW1087" s="118"/>
      <c r="DX1087" s="118"/>
      <c r="DY1087" s="118"/>
      <c r="DZ1087" s="118"/>
      <c r="EA1087" s="118"/>
      <c r="EB1087" s="118"/>
      <c r="EC1087" s="118"/>
      <c r="ED1087" s="118"/>
      <c r="EE1087" s="118"/>
      <c r="EF1087" s="118"/>
      <c r="EG1087" s="118"/>
      <c r="EH1087" s="118"/>
      <c r="EI1087" s="118"/>
      <c r="EJ1087" s="118"/>
      <c r="EK1087" s="118"/>
      <c r="EL1087" s="118"/>
      <c r="EM1087" s="118"/>
      <c r="EN1087" s="118"/>
      <c r="EO1087" s="118"/>
      <c r="EP1087" s="118"/>
      <c r="EQ1087" s="118"/>
      <c r="ER1087" s="118"/>
      <c r="ES1087" s="118"/>
      <c r="ET1087" s="118"/>
      <c r="EU1087" s="118"/>
      <c r="EV1087" s="118"/>
      <c r="EW1087" s="118"/>
      <c r="EX1087" s="118"/>
      <c r="EY1087" s="118"/>
      <c r="EZ1087" s="118"/>
      <c r="FA1087" s="118"/>
      <c r="FB1087" s="118"/>
      <c r="FC1087" s="118"/>
      <c r="FD1087" s="118"/>
      <c r="FE1087" s="118"/>
      <c r="FF1087" s="118"/>
      <c r="FG1087" s="118"/>
      <c r="FH1087" s="118"/>
      <c r="FI1087" s="118"/>
      <c r="FJ1087" s="118"/>
      <c r="FK1087" s="118"/>
      <c r="FL1087" s="118"/>
      <c r="FM1087" s="118"/>
      <c r="FN1087" s="118"/>
      <c r="FO1087" s="118"/>
      <c r="FP1087" s="118"/>
      <c r="FQ1087" s="118"/>
      <c r="FR1087" s="118"/>
      <c r="FS1087" s="118"/>
      <c r="FT1087" s="118"/>
      <c r="FU1087" s="118"/>
      <c r="FV1087" s="118"/>
      <c r="FW1087" s="118"/>
      <c r="FX1087" s="118"/>
      <c r="FY1087" s="118"/>
      <c r="FZ1087" s="118"/>
      <c r="GA1087" s="118"/>
      <c r="GB1087" s="118"/>
      <c r="GC1087" s="118"/>
      <c r="GD1087" s="118"/>
      <c r="GE1087" s="118"/>
      <c r="GF1087" s="118"/>
      <c r="GG1087" s="118"/>
      <c r="GH1087" s="118"/>
      <c r="GI1087" s="118"/>
      <c r="GJ1087" s="118"/>
      <c r="GK1087" s="118"/>
      <c r="GL1087" s="118"/>
      <c r="GM1087" s="118"/>
      <c r="GN1087" s="118"/>
      <c r="GO1087" s="118"/>
      <c r="GP1087" s="118"/>
      <c r="GQ1087" s="118"/>
      <c r="GR1087" s="118"/>
      <c r="GS1087" s="118"/>
      <c r="GT1087" s="118"/>
      <c r="GU1087" s="118"/>
      <c r="GV1087" s="118"/>
      <c r="GW1087" s="118"/>
      <c r="GX1087" s="118"/>
      <c r="GY1087" s="118"/>
      <c r="GZ1087" s="118"/>
      <c r="HA1087" s="118"/>
      <c r="HB1087" s="118"/>
      <c r="HC1087" s="118"/>
      <c r="HD1087" s="118"/>
      <c r="HE1087" s="118"/>
      <c r="HF1087" s="118"/>
      <c r="HG1087" s="118"/>
      <c r="HH1087" s="118"/>
      <c r="HI1087" s="118"/>
      <c r="HJ1087" s="118"/>
      <c r="HK1087" s="118"/>
      <c r="HL1087" s="118"/>
      <c r="HM1087" s="118"/>
      <c r="HN1087" s="118"/>
      <c r="HO1087" s="118"/>
      <c r="HP1087" s="118"/>
      <c r="HQ1087" s="118"/>
      <c r="HR1087" s="118"/>
      <c r="HS1087" s="118"/>
      <c r="HT1087" s="118"/>
      <c r="HU1087" s="118"/>
      <c r="HV1087" s="118"/>
      <c r="HW1087" s="118"/>
      <c r="HX1087" s="118"/>
      <c r="HY1087" s="118"/>
      <c r="HZ1087" s="118"/>
      <c r="IA1087" s="118"/>
      <c r="IB1087" s="118"/>
      <c r="IC1087" s="118"/>
      <c r="ID1087" s="118"/>
      <c r="IE1087" s="118"/>
      <c r="IF1087" s="118"/>
      <c r="IG1087" s="118"/>
      <c r="IH1087" s="118"/>
      <c r="II1087" s="118"/>
      <c r="IJ1087" s="118"/>
    </row>
    <row r="1088" spans="1:244" s="127" customFormat="1" ht="12.75" customHeight="1">
      <c r="A1088" s="118">
        <v>1087</v>
      </c>
      <c r="B1088" s="128">
        <v>11</v>
      </c>
      <c r="C1088" s="156">
        <v>39630</v>
      </c>
      <c r="D1088" s="176" t="s">
        <v>50</v>
      </c>
      <c r="E1088" s="127">
        <v>2008</v>
      </c>
      <c r="F1088" s="158">
        <f t="shared" si="296"/>
        <v>510</v>
      </c>
      <c r="G1088" s="158">
        <f t="shared" si="292"/>
        <v>2</v>
      </c>
      <c r="H1088" s="162">
        <v>39120</v>
      </c>
      <c r="I1088" s="160">
        <v>559000</v>
      </c>
      <c r="J1088" s="164">
        <v>0</v>
      </c>
      <c r="K1088" s="164">
        <v>0.05</v>
      </c>
      <c r="L1088" s="164">
        <v>0.03</v>
      </c>
      <c r="M1088" s="193">
        <v>0</v>
      </c>
      <c r="N1088" s="529"/>
      <c r="O1088" s="164">
        <v>0</v>
      </c>
      <c r="P1088" s="193"/>
      <c r="Q1088" s="193"/>
      <c r="R1088" s="193"/>
      <c r="S1088" s="140"/>
      <c r="T1088" s="161">
        <f t="shared" si="297"/>
        <v>27950</v>
      </c>
      <c r="U1088" s="161">
        <f t="shared" si="293"/>
        <v>16770</v>
      </c>
      <c r="V1088" s="161">
        <f t="shared" si="294"/>
        <v>0</v>
      </c>
      <c r="W1088" s="161">
        <f t="shared" si="295"/>
        <v>0</v>
      </c>
      <c r="X1088" s="118"/>
      <c r="Y1088" s="118"/>
      <c r="Z1088" s="118"/>
      <c r="AA1088" s="118"/>
      <c r="AB1088" s="118"/>
      <c r="AC1088" s="118"/>
      <c r="AD1088" s="118"/>
      <c r="AE1088" s="118"/>
      <c r="AF1088" s="118"/>
      <c r="AG1088" s="118"/>
      <c r="AH1088" s="118"/>
      <c r="AI1088" s="118"/>
      <c r="AJ1088" s="118"/>
      <c r="AK1088" s="118"/>
      <c r="AL1088" s="118"/>
      <c r="AM1088" s="118"/>
      <c r="AN1088" s="118"/>
      <c r="AO1088" s="118"/>
      <c r="AP1088" s="118"/>
      <c r="AQ1088" s="118"/>
      <c r="AR1088" s="118"/>
      <c r="AS1088" s="118"/>
      <c r="AT1088" s="118"/>
      <c r="AU1088" s="118"/>
      <c r="AV1088" s="118"/>
      <c r="AW1088" s="118"/>
      <c r="AX1088" s="118"/>
      <c r="AY1088" s="118"/>
      <c r="AZ1088" s="118"/>
      <c r="BA1088" s="118"/>
      <c r="BB1088" s="118"/>
      <c r="BC1088" s="118"/>
      <c r="BD1088" s="118"/>
      <c r="BE1088" s="118"/>
      <c r="BF1088" s="118"/>
      <c r="BG1088" s="118"/>
      <c r="BH1088" s="118"/>
      <c r="BI1088" s="118"/>
      <c r="BJ1088" s="118"/>
      <c r="BK1088" s="118"/>
      <c r="BL1088" s="118"/>
      <c r="BM1088" s="118"/>
      <c r="BN1088" s="118"/>
      <c r="BO1088" s="118"/>
      <c r="BP1088" s="118"/>
      <c r="BQ1088" s="118"/>
      <c r="BR1088" s="118"/>
      <c r="BS1088" s="118"/>
      <c r="BT1088" s="118"/>
      <c r="BU1088" s="118"/>
      <c r="BV1088" s="118"/>
      <c r="BW1088" s="118"/>
      <c r="BX1088" s="118"/>
      <c r="BY1088" s="118"/>
      <c r="BZ1088" s="118"/>
      <c r="CA1088" s="118"/>
      <c r="CB1088" s="118"/>
      <c r="CC1088" s="118"/>
      <c r="CD1088" s="118"/>
      <c r="CE1088" s="118"/>
      <c r="CF1088" s="118"/>
      <c r="CG1088" s="118"/>
      <c r="CH1088" s="118"/>
      <c r="CI1088" s="118"/>
      <c r="CJ1088" s="118"/>
      <c r="CK1088" s="118"/>
      <c r="CL1088" s="118"/>
      <c r="CM1088" s="118"/>
      <c r="CN1088" s="118"/>
      <c r="CO1088" s="118"/>
      <c r="CP1088" s="118"/>
      <c r="CQ1088" s="118"/>
      <c r="CR1088" s="118"/>
      <c r="CS1088" s="118"/>
      <c r="CT1088" s="118"/>
      <c r="CU1088" s="118"/>
      <c r="CV1088" s="118"/>
      <c r="CW1088" s="118"/>
      <c r="CX1088" s="118"/>
      <c r="CY1088" s="118"/>
      <c r="CZ1088" s="118"/>
      <c r="DA1088" s="118"/>
      <c r="DB1088" s="118"/>
      <c r="DC1088" s="118"/>
      <c r="DD1088" s="118"/>
      <c r="DE1088" s="118"/>
      <c r="DF1088" s="118"/>
      <c r="DG1088" s="118"/>
      <c r="DH1088" s="118"/>
      <c r="DI1088" s="118"/>
      <c r="DJ1088" s="118"/>
      <c r="DK1088" s="118"/>
      <c r="DL1088" s="118"/>
      <c r="DM1088" s="118"/>
      <c r="DN1088" s="118"/>
      <c r="DO1088" s="118"/>
      <c r="DP1088" s="118"/>
      <c r="DQ1088" s="118"/>
      <c r="DR1088" s="118"/>
      <c r="DS1088" s="118"/>
      <c r="DT1088" s="118"/>
      <c r="DU1088" s="118"/>
      <c r="DV1088" s="118"/>
      <c r="DW1088" s="118"/>
      <c r="DX1088" s="118"/>
      <c r="DY1088" s="118"/>
      <c r="DZ1088" s="118"/>
      <c r="EA1088" s="118"/>
      <c r="EB1088" s="118"/>
      <c r="EC1088" s="118"/>
      <c r="ED1088" s="118"/>
      <c r="EE1088" s="118"/>
      <c r="EF1088" s="118"/>
      <c r="EG1088" s="118"/>
      <c r="EH1088" s="118"/>
      <c r="EI1088" s="118"/>
      <c r="EJ1088" s="118"/>
      <c r="EK1088" s="118"/>
      <c r="EL1088" s="118"/>
      <c r="EM1088" s="118"/>
      <c r="EN1088" s="118"/>
      <c r="EO1088" s="118"/>
      <c r="EP1088" s="118"/>
      <c r="EQ1088" s="118"/>
      <c r="ER1088" s="118"/>
      <c r="ES1088" s="118"/>
      <c r="ET1088" s="118"/>
      <c r="EU1088" s="118"/>
      <c r="EV1088" s="118"/>
      <c r="EW1088" s="118"/>
      <c r="EX1088" s="118"/>
      <c r="EY1088" s="118"/>
      <c r="EZ1088" s="118"/>
      <c r="FA1088" s="118"/>
      <c r="FB1088" s="118"/>
      <c r="FC1088" s="118"/>
      <c r="FD1088" s="118"/>
      <c r="FE1088" s="118"/>
      <c r="FF1088" s="118"/>
      <c r="FG1088" s="118"/>
      <c r="FH1088" s="118"/>
      <c r="FI1088" s="118"/>
      <c r="FJ1088" s="118"/>
      <c r="FK1088" s="118"/>
      <c r="FL1088" s="118"/>
      <c r="FM1088" s="118"/>
      <c r="FN1088" s="118"/>
      <c r="FO1088" s="118"/>
      <c r="FP1088" s="118"/>
      <c r="FQ1088" s="118"/>
      <c r="FR1088" s="118"/>
      <c r="FS1088" s="118"/>
      <c r="FT1088" s="118"/>
      <c r="FU1088" s="118"/>
      <c r="FV1088" s="118"/>
      <c r="FW1088" s="118"/>
      <c r="FX1088" s="118"/>
      <c r="FY1088" s="118"/>
      <c r="FZ1088" s="118"/>
      <c r="GA1088" s="118"/>
      <c r="GB1088" s="118"/>
      <c r="GC1088" s="118"/>
      <c r="GD1088" s="118"/>
      <c r="GE1088" s="118"/>
      <c r="GF1088" s="118"/>
      <c r="GG1088" s="118"/>
      <c r="GH1088" s="118"/>
      <c r="GI1088" s="118"/>
      <c r="GJ1088" s="118"/>
      <c r="GK1088" s="118"/>
      <c r="GL1088" s="118"/>
      <c r="GM1088" s="118"/>
      <c r="GN1088" s="118"/>
      <c r="GO1088" s="118"/>
      <c r="GP1088" s="118"/>
      <c r="GQ1088" s="118"/>
      <c r="GR1088" s="118"/>
      <c r="GS1088" s="118"/>
      <c r="GT1088" s="118"/>
      <c r="GU1088" s="118"/>
      <c r="GV1088" s="118"/>
      <c r="GW1088" s="118"/>
      <c r="GX1088" s="118"/>
      <c r="GY1088" s="118"/>
      <c r="GZ1088" s="118"/>
      <c r="HA1088" s="118"/>
      <c r="HB1088" s="118"/>
      <c r="HC1088" s="118"/>
      <c r="HD1088" s="118"/>
      <c r="HE1088" s="118"/>
      <c r="HF1088" s="118"/>
      <c r="HG1088" s="118"/>
      <c r="HH1088" s="118"/>
      <c r="HI1088" s="118"/>
      <c r="HJ1088" s="118"/>
      <c r="HK1088" s="118"/>
      <c r="HL1088" s="118"/>
      <c r="HM1088" s="118"/>
      <c r="HN1088" s="118"/>
      <c r="HO1088" s="118"/>
      <c r="HP1088" s="118"/>
      <c r="HQ1088" s="118"/>
      <c r="HR1088" s="118"/>
      <c r="HS1088" s="118"/>
      <c r="HT1088" s="118"/>
      <c r="HU1088" s="118"/>
      <c r="HV1088" s="118"/>
      <c r="HW1088" s="118"/>
      <c r="HX1088" s="118"/>
      <c r="HY1088" s="118"/>
      <c r="HZ1088" s="118"/>
      <c r="IA1088" s="118"/>
      <c r="IB1088" s="118"/>
      <c r="IC1088" s="118"/>
      <c r="ID1088" s="118"/>
      <c r="IE1088" s="118"/>
      <c r="IF1088" s="118"/>
      <c r="IG1088" s="118"/>
      <c r="IH1088" s="118"/>
      <c r="II1088" s="118"/>
      <c r="IJ1088" s="118"/>
    </row>
    <row r="1089" spans="1:244" s="127" customFormat="1" ht="12.75" customHeight="1">
      <c r="A1089" s="118">
        <v>1088</v>
      </c>
      <c r="B1089" s="128">
        <v>11</v>
      </c>
      <c r="C1089" s="156">
        <v>39661</v>
      </c>
      <c r="D1089" s="176" t="s">
        <v>51</v>
      </c>
      <c r="E1089" s="127">
        <v>2008</v>
      </c>
      <c r="F1089" s="158">
        <f t="shared" si="296"/>
        <v>541</v>
      </c>
      <c r="G1089" s="158">
        <f t="shared" si="292"/>
        <v>2</v>
      </c>
      <c r="H1089" s="162">
        <v>39120</v>
      </c>
      <c r="I1089" s="160">
        <v>557000</v>
      </c>
      <c r="J1089" s="164">
        <v>0.02</v>
      </c>
      <c r="K1089" s="164">
        <v>7.0000000000000007E-2</v>
      </c>
      <c r="L1089" s="164">
        <v>0.03</v>
      </c>
      <c r="M1089" s="193">
        <v>0</v>
      </c>
      <c r="N1089" s="529"/>
      <c r="O1089" s="164">
        <v>0</v>
      </c>
      <c r="P1089" s="193"/>
      <c r="Q1089" s="193"/>
      <c r="R1089" s="193"/>
      <c r="S1089" s="140"/>
      <c r="T1089" s="161">
        <f t="shared" si="297"/>
        <v>38990.000000000007</v>
      </c>
      <c r="U1089" s="161">
        <f t="shared" si="293"/>
        <v>16710</v>
      </c>
      <c r="V1089" s="161">
        <f t="shared" si="294"/>
        <v>0</v>
      </c>
      <c r="W1089" s="161">
        <f t="shared" si="295"/>
        <v>0</v>
      </c>
      <c r="X1089" s="118"/>
      <c r="Y1089" s="118"/>
      <c r="Z1089" s="118"/>
      <c r="AA1089" s="118"/>
      <c r="AB1089" s="118"/>
      <c r="AC1089" s="118"/>
      <c r="AD1089" s="118"/>
      <c r="AE1089" s="118"/>
      <c r="AF1089" s="118"/>
      <c r="AG1089" s="118"/>
      <c r="AH1089" s="118"/>
      <c r="AI1089" s="118"/>
      <c r="AJ1089" s="118"/>
      <c r="AK1089" s="118"/>
      <c r="AL1089" s="118"/>
      <c r="AM1089" s="118"/>
      <c r="AN1089" s="118"/>
      <c r="AO1089" s="118"/>
      <c r="AP1089" s="118"/>
      <c r="AQ1089" s="118"/>
      <c r="AR1089" s="118"/>
      <c r="AS1089" s="118"/>
      <c r="AT1089" s="118"/>
      <c r="AU1089" s="118"/>
      <c r="AV1089" s="118"/>
      <c r="AW1089" s="118"/>
      <c r="AX1089" s="118"/>
      <c r="AY1089" s="118"/>
      <c r="AZ1089" s="118"/>
      <c r="BA1089" s="118"/>
      <c r="BB1089" s="118"/>
      <c r="BC1089" s="118"/>
      <c r="BD1089" s="118"/>
      <c r="BE1089" s="118"/>
      <c r="BF1089" s="118"/>
      <c r="BG1089" s="118"/>
      <c r="BH1089" s="118"/>
      <c r="BI1089" s="118"/>
      <c r="BJ1089" s="118"/>
      <c r="BK1089" s="118"/>
      <c r="BL1089" s="118"/>
      <c r="BM1089" s="118"/>
      <c r="BN1089" s="118"/>
      <c r="BO1089" s="118"/>
      <c r="BP1089" s="118"/>
      <c r="BQ1089" s="118"/>
      <c r="BR1089" s="118"/>
      <c r="BS1089" s="118"/>
      <c r="BT1089" s="118"/>
      <c r="BU1089" s="118"/>
      <c r="BV1089" s="118"/>
      <c r="BW1089" s="118"/>
      <c r="BX1089" s="118"/>
      <c r="BY1089" s="118"/>
      <c r="BZ1089" s="118"/>
      <c r="CA1089" s="118"/>
      <c r="CB1089" s="118"/>
      <c r="CC1089" s="118"/>
      <c r="CD1089" s="118"/>
      <c r="CE1089" s="118"/>
      <c r="CF1089" s="118"/>
      <c r="CG1089" s="118"/>
      <c r="CH1089" s="118"/>
      <c r="CI1089" s="118"/>
      <c r="CJ1089" s="118"/>
      <c r="CK1089" s="118"/>
      <c r="CL1089" s="118"/>
      <c r="CM1089" s="118"/>
      <c r="CN1089" s="118"/>
      <c r="CO1089" s="118"/>
      <c r="CP1089" s="118"/>
      <c r="CQ1089" s="118"/>
      <c r="CR1089" s="118"/>
      <c r="CS1089" s="118"/>
      <c r="CT1089" s="118"/>
      <c r="CU1089" s="118"/>
      <c r="CV1089" s="118"/>
      <c r="CW1089" s="118"/>
      <c r="CX1089" s="118"/>
      <c r="CY1089" s="118"/>
      <c r="CZ1089" s="118"/>
      <c r="DA1089" s="118"/>
      <c r="DB1089" s="118"/>
      <c r="DC1089" s="118"/>
      <c r="DD1089" s="118"/>
      <c r="DE1089" s="118"/>
      <c r="DF1089" s="118"/>
      <c r="DG1089" s="118"/>
      <c r="DH1089" s="118"/>
      <c r="DI1089" s="118"/>
      <c r="DJ1089" s="118"/>
      <c r="DK1089" s="118"/>
      <c r="DL1089" s="118"/>
      <c r="DM1089" s="118"/>
      <c r="DN1089" s="118"/>
      <c r="DO1089" s="118"/>
      <c r="DP1089" s="118"/>
      <c r="DQ1089" s="118"/>
      <c r="DR1089" s="118"/>
      <c r="DS1089" s="118"/>
      <c r="DT1089" s="118"/>
      <c r="DU1089" s="118"/>
      <c r="DV1089" s="118"/>
      <c r="DW1089" s="118"/>
      <c r="DX1089" s="118"/>
      <c r="DY1089" s="118"/>
      <c r="DZ1089" s="118"/>
      <c r="EA1089" s="118"/>
      <c r="EB1089" s="118"/>
      <c r="EC1089" s="118"/>
      <c r="ED1089" s="118"/>
      <c r="EE1089" s="118"/>
      <c r="EF1089" s="118"/>
      <c r="EG1089" s="118"/>
      <c r="EH1089" s="118"/>
      <c r="EI1089" s="118"/>
      <c r="EJ1089" s="118"/>
      <c r="EK1089" s="118"/>
      <c r="EL1089" s="118"/>
      <c r="EM1089" s="118"/>
      <c r="EN1089" s="118"/>
      <c r="EO1089" s="118"/>
      <c r="EP1089" s="118"/>
      <c r="EQ1089" s="118"/>
      <c r="ER1089" s="118"/>
      <c r="ES1089" s="118"/>
      <c r="ET1089" s="118"/>
      <c r="EU1089" s="118"/>
      <c r="EV1089" s="118"/>
      <c r="EW1089" s="118"/>
      <c r="EX1089" s="118"/>
      <c r="EY1089" s="118"/>
      <c r="EZ1089" s="118"/>
      <c r="FA1089" s="118"/>
      <c r="FB1089" s="118"/>
      <c r="FC1089" s="118"/>
      <c r="FD1089" s="118"/>
      <c r="FE1089" s="118"/>
      <c r="FF1089" s="118"/>
      <c r="FG1089" s="118"/>
      <c r="FH1089" s="118"/>
      <c r="FI1089" s="118"/>
      <c r="FJ1089" s="118"/>
      <c r="FK1089" s="118"/>
      <c r="FL1089" s="118"/>
      <c r="FM1089" s="118"/>
      <c r="FN1089" s="118"/>
      <c r="FO1089" s="118"/>
      <c r="FP1089" s="118"/>
      <c r="FQ1089" s="118"/>
      <c r="FR1089" s="118"/>
      <c r="FS1089" s="118"/>
      <c r="FT1089" s="118"/>
      <c r="FU1089" s="118"/>
      <c r="FV1089" s="118"/>
      <c r="FW1089" s="118"/>
      <c r="FX1089" s="118"/>
      <c r="FY1089" s="118"/>
      <c r="FZ1089" s="118"/>
      <c r="GA1089" s="118"/>
      <c r="GB1089" s="118"/>
      <c r="GC1089" s="118"/>
      <c r="GD1089" s="118"/>
      <c r="GE1089" s="118"/>
      <c r="GF1089" s="118"/>
      <c r="GG1089" s="118"/>
      <c r="GH1089" s="118"/>
      <c r="GI1089" s="118"/>
      <c r="GJ1089" s="118"/>
      <c r="GK1089" s="118"/>
      <c r="GL1089" s="118"/>
      <c r="GM1089" s="118"/>
      <c r="GN1089" s="118"/>
      <c r="GO1089" s="118"/>
      <c r="GP1089" s="118"/>
      <c r="GQ1089" s="118"/>
      <c r="GR1089" s="118"/>
      <c r="GS1089" s="118"/>
      <c r="GT1089" s="118"/>
      <c r="GU1089" s="118"/>
      <c r="GV1089" s="118"/>
      <c r="GW1089" s="118"/>
      <c r="GX1089" s="118"/>
      <c r="GY1089" s="118"/>
      <c r="GZ1089" s="118"/>
      <c r="HA1089" s="118"/>
      <c r="HB1089" s="118"/>
      <c r="HC1089" s="118"/>
      <c r="HD1089" s="118"/>
      <c r="HE1089" s="118"/>
      <c r="HF1089" s="118"/>
      <c r="HG1089" s="118"/>
      <c r="HH1089" s="118"/>
      <c r="HI1089" s="118"/>
      <c r="HJ1089" s="118"/>
      <c r="HK1089" s="118"/>
      <c r="HL1089" s="118"/>
      <c r="HM1089" s="118"/>
      <c r="HN1089" s="118"/>
      <c r="HO1089" s="118"/>
      <c r="HP1089" s="118"/>
      <c r="HQ1089" s="118"/>
      <c r="HR1089" s="118"/>
      <c r="HS1089" s="118"/>
      <c r="HT1089" s="118"/>
      <c r="HU1089" s="118"/>
      <c r="HV1089" s="118"/>
      <c r="HW1089" s="118"/>
      <c r="HX1089" s="118"/>
      <c r="HY1089" s="118"/>
      <c r="HZ1089" s="118"/>
      <c r="IA1089" s="118"/>
      <c r="IB1089" s="118"/>
      <c r="IC1089" s="118"/>
      <c r="ID1089" s="118"/>
      <c r="IE1089" s="118"/>
      <c r="IF1089" s="118"/>
      <c r="IG1089" s="118"/>
      <c r="IH1089" s="118"/>
      <c r="II1089" s="118"/>
      <c r="IJ1089" s="118"/>
    </row>
    <row r="1090" spans="1:244" s="127" customFormat="1" ht="12.75" customHeight="1">
      <c r="A1090" s="118">
        <v>1089</v>
      </c>
      <c r="B1090" s="128">
        <v>11</v>
      </c>
      <c r="C1090" s="156">
        <v>39692</v>
      </c>
      <c r="D1090" s="176" t="s">
        <v>52</v>
      </c>
      <c r="E1090" s="127">
        <v>2008</v>
      </c>
      <c r="F1090" s="158">
        <f t="shared" si="296"/>
        <v>572</v>
      </c>
      <c r="G1090" s="158">
        <f t="shared" si="292"/>
        <v>2</v>
      </c>
      <c r="H1090" s="162">
        <v>39120</v>
      </c>
      <c r="I1090" s="160">
        <v>519000</v>
      </c>
      <c r="J1090" s="164">
        <v>0.2</v>
      </c>
      <c r="K1090" s="164">
        <v>0.3</v>
      </c>
      <c r="L1090" s="164">
        <v>0.1</v>
      </c>
      <c r="M1090" s="193">
        <v>0</v>
      </c>
      <c r="N1090" s="529"/>
      <c r="O1090" s="164">
        <v>0.1</v>
      </c>
      <c r="P1090" s="193"/>
      <c r="Q1090" s="193"/>
      <c r="R1090" s="193"/>
      <c r="S1090" s="140" t="s">
        <v>20</v>
      </c>
      <c r="T1090" s="161">
        <f t="shared" si="297"/>
        <v>155700</v>
      </c>
      <c r="U1090" s="161">
        <f t="shared" si="293"/>
        <v>51900</v>
      </c>
      <c r="V1090" s="161">
        <f t="shared" si="294"/>
        <v>51900</v>
      </c>
      <c r="W1090" s="161">
        <f t="shared" si="295"/>
        <v>20760</v>
      </c>
      <c r="X1090" s="118"/>
      <c r="Y1090" s="118"/>
      <c r="Z1090" s="118"/>
      <c r="AA1090" s="118"/>
      <c r="AB1090" s="118"/>
      <c r="AC1090" s="118"/>
      <c r="AD1090" s="118"/>
      <c r="AE1090" s="118"/>
      <c r="AF1090" s="118"/>
      <c r="AG1090" s="118"/>
      <c r="AH1090" s="118"/>
      <c r="AI1090" s="118"/>
      <c r="AJ1090" s="118"/>
      <c r="AK1090" s="118"/>
      <c r="AL1090" s="118"/>
      <c r="AM1090" s="118"/>
      <c r="AN1090" s="118"/>
      <c r="AO1090" s="118"/>
      <c r="AP1090" s="118"/>
      <c r="AQ1090" s="118"/>
      <c r="AR1090" s="118"/>
      <c r="AS1090" s="118"/>
      <c r="AT1090" s="118"/>
      <c r="AU1090" s="118"/>
      <c r="AV1090" s="118"/>
      <c r="AW1090" s="118"/>
      <c r="AX1090" s="118"/>
      <c r="AY1090" s="118"/>
      <c r="AZ1090" s="118"/>
      <c r="BA1090" s="118"/>
      <c r="BB1090" s="118"/>
      <c r="BC1090" s="118"/>
      <c r="BD1090" s="118"/>
      <c r="BE1090" s="118"/>
      <c r="BF1090" s="118"/>
      <c r="BG1090" s="118"/>
      <c r="BH1090" s="118"/>
      <c r="BI1090" s="118"/>
      <c r="BJ1090" s="118"/>
      <c r="BK1090" s="118"/>
      <c r="BL1090" s="118"/>
      <c r="BM1090" s="118"/>
      <c r="BN1090" s="118"/>
      <c r="BO1090" s="118"/>
      <c r="BP1090" s="118"/>
      <c r="BQ1090" s="118"/>
      <c r="BR1090" s="118"/>
      <c r="BS1090" s="118"/>
      <c r="BT1090" s="118"/>
      <c r="BU1090" s="118"/>
      <c r="BV1090" s="118"/>
      <c r="BW1090" s="118"/>
      <c r="BX1090" s="118"/>
      <c r="BY1090" s="118"/>
      <c r="BZ1090" s="118"/>
      <c r="CA1090" s="118"/>
      <c r="CB1090" s="118"/>
      <c r="CC1090" s="118"/>
      <c r="CD1090" s="118"/>
      <c r="CE1090" s="118"/>
      <c r="CF1090" s="118"/>
      <c r="CG1090" s="118"/>
      <c r="CH1090" s="118"/>
      <c r="CI1090" s="118"/>
      <c r="CJ1090" s="118"/>
      <c r="CK1090" s="118"/>
      <c r="CL1090" s="118"/>
      <c r="CM1090" s="118"/>
      <c r="CN1090" s="118"/>
      <c r="CO1090" s="118"/>
      <c r="CP1090" s="118"/>
      <c r="CQ1090" s="118"/>
      <c r="CR1090" s="118"/>
      <c r="CS1090" s="118"/>
      <c r="CT1090" s="118"/>
      <c r="CU1090" s="118"/>
      <c r="CV1090" s="118"/>
      <c r="CW1090" s="118"/>
      <c r="CX1090" s="118"/>
      <c r="CY1090" s="118"/>
      <c r="CZ1090" s="118"/>
      <c r="DA1090" s="118"/>
      <c r="DB1090" s="118"/>
      <c r="DC1090" s="118"/>
      <c r="DD1090" s="118"/>
      <c r="DE1090" s="118"/>
      <c r="DF1090" s="118"/>
      <c r="DG1090" s="118"/>
      <c r="DH1090" s="118"/>
      <c r="DI1090" s="118"/>
      <c r="DJ1090" s="118"/>
      <c r="DK1090" s="118"/>
      <c r="DL1090" s="118"/>
      <c r="DM1090" s="118"/>
      <c r="DN1090" s="118"/>
      <c r="DO1090" s="118"/>
      <c r="DP1090" s="118"/>
      <c r="DQ1090" s="118"/>
      <c r="DR1090" s="118"/>
      <c r="DS1090" s="118"/>
      <c r="DT1090" s="118"/>
      <c r="DU1090" s="118"/>
      <c r="DV1090" s="118"/>
      <c r="DW1090" s="118"/>
      <c r="DX1090" s="118"/>
      <c r="DY1090" s="118"/>
      <c r="DZ1090" s="118"/>
      <c r="EA1090" s="118"/>
      <c r="EB1090" s="118"/>
      <c r="EC1090" s="118"/>
      <c r="ED1090" s="118"/>
      <c r="EE1090" s="118"/>
      <c r="EF1090" s="118"/>
      <c r="EG1090" s="118"/>
      <c r="EH1090" s="118"/>
      <c r="EI1090" s="118"/>
      <c r="EJ1090" s="118"/>
      <c r="EK1090" s="118"/>
      <c r="EL1090" s="118"/>
      <c r="EM1090" s="118"/>
      <c r="EN1090" s="118"/>
      <c r="EO1090" s="118"/>
      <c r="EP1090" s="118"/>
      <c r="EQ1090" s="118"/>
      <c r="ER1090" s="118"/>
      <c r="ES1090" s="118"/>
      <c r="ET1090" s="118"/>
      <c r="EU1090" s="118"/>
      <c r="EV1090" s="118"/>
      <c r="EW1090" s="118"/>
      <c r="EX1090" s="118"/>
      <c r="EY1090" s="118"/>
      <c r="EZ1090" s="118"/>
      <c r="FA1090" s="118"/>
      <c r="FB1090" s="118"/>
      <c r="FC1090" s="118"/>
      <c r="FD1090" s="118"/>
      <c r="FE1090" s="118"/>
      <c r="FF1090" s="118"/>
      <c r="FG1090" s="118"/>
      <c r="FH1090" s="118"/>
      <c r="FI1090" s="118"/>
      <c r="FJ1090" s="118"/>
      <c r="FK1090" s="118"/>
      <c r="FL1090" s="118"/>
      <c r="FM1090" s="118"/>
      <c r="FN1090" s="118"/>
      <c r="FO1090" s="118"/>
      <c r="FP1090" s="118"/>
      <c r="FQ1090" s="118"/>
      <c r="FR1090" s="118"/>
      <c r="FS1090" s="118"/>
      <c r="FT1090" s="118"/>
      <c r="FU1090" s="118"/>
      <c r="FV1090" s="118"/>
      <c r="FW1090" s="118"/>
      <c r="FX1090" s="118"/>
      <c r="FY1090" s="118"/>
      <c r="FZ1090" s="118"/>
      <c r="GA1090" s="118"/>
      <c r="GB1090" s="118"/>
      <c r="GC1090" s="118"/>
      <c r="GD1090" s="118"/>
      <c r="GE1090" s="118"/>
      <c r="GF1090" s="118"/>
      <c r="GG1090" s="118"/>
      <c r="GH1090" s="118"/>
      <c r="GI1090" s="118"/>
      <c r="GJ1090" s="118"/>
      <c r="GK1090" s="118"/>
      <c r="GL1090" s="118"/>
      <c r="GM1090" s="118"/>
      <c r="GN1090" s="118"/>
      <c r="GO1090" s="118"/>
      <c r="GP1090" s="118"/>
      <c r="GQ1090" s="118"/>
      <c r="GR1090" s="118"/>
      <c r="GS1090" s="118"/>
      <c r="GT1090" s="118"/>
      <c r="GU1090" s="118"/>
      <c r="GV1090" s="118"/>
      <c r="GW1090" s="118"/>
      <c r="GX1090" s="118"/>
      <c r="GY1090" s="118"/>
      <c r="GZ1090" s="118"/>
      <c r="HA1090" s="118"/>
      <c r="HB1090" s="118"/>
      <c r="HC1090" s="118"/>
      <c r="HD1090" s="118"/>
      <c r="HE1090" s="118"/>
      <c r="HF1090" s="118"/>
      <c r="HG1090" s="118"/>
      <c r="HH1090" s="118"/>
      <c r="HI1090" s="118"/>
      <c r="HJ1090" s="118"/>
      <c r="HK1090" s="118"/>
      <c r="HL1090" s="118"/>
      <c r="HM1090" s="118"/>
      <c r="HN1090" s="118"/>
      <c r="HO1090" s="118"/>
      <c r="HP1090" s="118"/>
      <c r="HQ1090" s="118"/>
      <c r="HR1090" s="118"/>
      <c r="HS1090" s="118"/>
      <c r="HT1090" s="118"/>
      <c r="HU1090" s="118"/>
      <c r="HV1090" s="118"/>
      <c r="HW1090" s="118"/>
      <c r="HX1090" s="118"/>
      <c r="HY1090" s="118"/>
      <c r="HZ1090" s="118"/>
      <c r="IA1090" s="118"/>
      <c r="IB1090" s="118"/>
      <c r="IC1090" s="118"/>
      <c r="ID1090" s="118"/>
      <c r="IE1090" s="118"/>
      <c r="IF1090" s="118"/>
      <c r="IG1090" s="118"/>
      <c r="IH1090" s="118"/>
      <c r="II1090" s="118"/>
      <c r="IJ1090" s="118"/>
    </row>
    <row r="1091" spans="1:244" s="127" customFormat="1" ht="12.75" customHeight="1">
      <c r="A1091" s="118">
        <v>1090</v>
      </c>
      <c r="B1091" s="128">
        <v>11</v>
      </c>
      <c r="C1091" s="156">
        <v>39722</v>
      </c>
      <c r="D1091" s="176" t="s">
        <v>53</v>
      </c>
      <c r="E1091" s="127">
        <v>2008</v>
      </c>
      <c r="F1091" s="158">
        <f t="shared" si="296"/>
        <v>602</v>
      </c>
      <c r="G1091" s="158">
        <f t="shared" si="292"/>
        <v>2</v>
      </c>
      <c r="H1091" s="162">
        <v>39120</v>
      </c>
      <c r="I1091" s="160">
        <v>440000</v>
      </c>
      <c r="J1091" s="164">
        <v>0.3</v>
      </c>
      <c r="K1091" s="164">
        <v>0.42</v>
      </c>
      <c r="L1091" s="164">
        <v>0.17</v>
      </c>
      <c r="M1091" s="193">
        <v>0</v>
      </c>
      <c r="N1091" s="529"/>
      <c r="O1091" s="164">
        <v>0</v>
      </c>
      <c r="P1091" s="193"/>
      <c r="Q1091" s="193"/>
      <c r="R1091" s="193"/>
      <c r="S1091" s="140"/>
      <c r="T1091" s="161">
        <f t="shared" si="297"/>
        <v>184800</v>
      </c>
      <c r="U1091" s="161">
        <f t="shared" si="293"/>
        <v>74800</v>
      </c>
      <c r="V1091" s="161">
        <f t="shared" si="294"/>
        <v>0</v>
      </c>
      <c r="W1091" s="161">
        <f t="shared" si="295"/>
        <v>0</v>
      </c>
      <c r="X1091" s="118"/>
      <c r="Y1091" s="118"/>
      <c r="Z1091" s="118"/>
      <c r="AA1091" s="118"/>
      <c r="AB1091" s="118"/>
      <c r="AC1091" s="118"/>
      <c r="AD1091" s="118"/>
      <c r="AE1091" s="118"/>
      <c r="AF1091" s="118"/>
      <c r="AG1091" s="118"/>
      <c r="AH1091" s="118"/>
      <c r="AI1091" s="118"/>
      <c r="AJ1091" s="118"/>
      <c r="AK1091" s="118"/>
      <c r="AL1091" s="118"/>
      <c r="AM1091" s="118"/>
      <c r="AN1091" s="118"/>
      <c r="AO1091" s="118"/>
      <c r="AP1091" s="118"/>
      <c r="AQ1091" s="118"/>
      <c r="AR1091" s="118"/>
      <c r="AS1091" s="118"/>
      <c r="AT1091" s="118"/>
      <c r="AU1091" s="118"/>
      <c r="AV1091" s="118"/>
      <c r="AW1091" s="118"/>
      <c r="AX1091" s="118"/>
      <c r="AY1091" s="118"/>
      <c r="AZ1091" s="118"/>
      <c r="BA1091" s="118"/>
      <c r="BB1091" s="118"/>
      <c r="BC1091" s="118"/>
      <c r="BD1091" s="118"/>
      <c r="BE1091" s="118"/>
      <c r="BF1091" s="118"/>
      <c r="BG1091" s="118"/>
      <c r="BH1091" s="118"/>
      <c r="BI1091" s="118"/>
      <c r="BJ1091" s="118"/>
      <c r="BK1091" s="118"/>
      <c r="BL1091" s="118"/>
      <c r="BM1091" s="118"/>
      <c r="BN1091" s="118"/>
      <c r="BO1091" s="118"/>
      <c r="BP1091" s="118"/>
      <c r="BQ1091" s="118"/>
      <c r="BR1091" s="118"/>
      <c r="BS1091" s="118"/>
      <c r="BT1091" s="118"/>
      <c r="BU1091" s="118"/>
      <c r="BV1091" s="118"/>
      <c r="BW1091" s="118"/>
      <c r="BX1091" s="118"/>
      <c r="BY1091" s="118"/>
      <c r="BZ1091" s="118"/>
      <c r="CA1091" s="118"/>
      <c r="CB1091" s="118"/>
      <c r="CC1091" s="118"/>
      <c r="CD1091" s="118"/>
      <c r="CE1091" s="118"/>
      <c r="CF1091" s="118"/>
      <c r="CG1091" s="118"/>
      <c r="CH1091" s="118"/>
      <c r="CI1091" s="118"/>
      <c r="CJ1091" s="118"/>
      <c r="CK1091" s="118"/>
      <c r="CL1091" s="118"/>
      <c r="CM1091" s="118"/>
      <c r="CN1091" s="118"/>
      <c r="CO1091" s="118"/>
      <c r="CP1091" s="118"/>
      <c r="CQ1091" s="118"/>
      <c r="CR1091" s="118"/>
      <c r="CS1091" s="118"/>
      <c r="CT1091" s="118"/>
      <c r="CU1091" s="118"/>
      <c r="CV1091" s="118"/>
      <c r="CW1091" s="118"/>
      <c r="CX1091" s="118"/>
      <c r="CY1091" s="118"/>
      <c r="CZ1091" s="118"/>
      <c r="DA1091" s="118"/>
      <c r="DB1091" s="118"/>
      <c r="DC1091" s="118"/>
      <c r="DD1091" s="118"/>
      <c r="DE1091" s="118"/>
      <c r="DF1091" s="118"/>
      <c r="DG1091" s="118"/>
      <c r="DH1091" s="118"/>
      <c r="DI1091" s="118"/>
      <c r="DJ1091" s="118"/>
      <c r="DK1091" s="118"/>
      <c r="DL1091" s="118"/>
      <c r="DM1091" s="118"/>
      <c r="DN1091" s="118"/>
      <c r="DO1091" s="118"/>
      <c r="DP1091" s="118"/>
      <c r="DQ1091" s="118"/>
      <c r="DR1091" s="118"/>
      <c r="DS1091" s="118"/>
      <c r="DT1091" s="118"/>
      <c r="DU1091" s="118"/>
      <c r="DV1091" s="118"/>
      <c r="DW1091" s="118"/>
      <c r="DX1091" s="118"/>
      <c r="DY1091" s="118"/>
      <c r="DZ1091" s="118"/>
      <c r="EA1091" s="118"/>
      <c r="EB1091" s="118"/>
      <c r="EC1091" s="118"/>
      <c r="ED1091" s="118"/>
      <c r="EE1091" s="118"/>
      <c r="EF1091" s="118"/>
      <c r="EG1091" s="118"/>
      <c r="EH1091" s="118"/>
      <c r="EI1091" s="118"/>
      <c r="EJ1091" s="118"/>
      <c r="EK1091" s="118"/>
      <c r="EL1091" s="118"/>
      <c r="EM1091" s="118"/>
      <c r="EN1091" s="118"/>
      <c r="EO1091" s="118"/>
      <c r="EP1091" s="118"/>
      <c r="EQ1091" s="118"/>
      <c r="ER1091" s="118"/>
      <c r="ES1091" s="118"/>
      <c r="ET1091" s="118"/>
      <c r="EU1091" s="118"/>
      <c r="EV1091" s="118"/>
      <c r="EW1091" s="118"/>
      <c r="EX1091" s="118"/>
      <c r="EY1091" s="118"/>
      <c r="EZ1091" s="118"/>
      <c r="FA1091" s="118"/>
      <c r="FB1091" s="118"/>
      <c r="FC1091" s="118"/>
      <c r="FD1091" s="118"/>
      <c r="FE1091" s="118"/>
      <c r="FF1091" s="118"/>
      <c r="FG1091" s="118"/>
      <c r="FH1091" s="118"/>
      <c r="FI1091" s="118"/>
      <c r="FJ1091" s="118"/>
      <c r="FK1091" s="118"/>
      <c r="FL1091" s="118"/>
      <c r="FM1091" s="118"/>
      <c r="FN1091" s="118"/>
      <c r="FO1091" s="118"/>
      <c r="FP1091" s="118"/>
      <c r="FQ1091" s="118"/>
      <c r="FR1091" s="118"/>
      <c r="FS1091" s="118"/>
      <c r="FT1091" s="118"/>
      <c r="FU1091" s="118"/>
      <c r="FV1091" s="118"/>
      <c r="FW1091" s="118"/>
      <c r="FX1091" s="118"/>
      <c r="FY1091" s="118"/>
      <c r="FZ1091" s="118"/>
      <c r="GA1091" s="118"/>
      <c r="GB1091" s="118"/>
      <c r="GC1091" s="118"/>
      <c r="GD1091" s="118"/>
      <c r="GE1091" s="118"/>
      <c r="GF1091" s="118"/>
      <c r="GG1091" s="118"/>
      <c r="GH1091" s="118"/>
      <c r="GI1091" s="118"/>
      <c r="GJ1091" s="118"/>
      <c r="GK1091" s="118"/>
      <c r="GL1091" s="118"/>
      <c r="GM1091" s="118"/>
      <c r="GN1091" s="118"/>
      <c r="GO1091" s="118"/>
      <c r="GP1091" s="118"/>
      <c r="GQ1091" s="118"/>
      <c r="GR1091" s="118"/>
      <c r="GS1091" s="118"/>
      <c r="GT1091" s="118"/>
      <c r="GU1091" s="118"/>
      <c r="GV1091" s="118"/>
      <c r="GW1091" s="118"/>
      <c r="GX1091" s="118"/>
      <c r="GY1091" s="118"/>
      <c r="GZ1091" s="118"/>
      <c r="HA1091" s="118"/>
      <c r="HB1091" s="118"/>
      <c r="HC1091" s="118"/>
      <c r="HD1091" s="118"/>
      <c r="HE1091" s="118"/>
      <c r="HF1091" s="118"/>
      <c r="HG1091" s="118"/>
      <c r="HH1091" s="118"/>
      <c r="HI1091" s="118"/>
      <c r="HJ1091" s="118"/>
      <c r="HK1091" s="118"/>
      <c r="HL1091" s="118"/>
      <c r="HM1091" s="118"/>
      <c r="HN1091" s="118"/>
      <c r="HO1091" s="118"/>
      <c r="HP1091" s="118"/>
      <c r="HQ1091" s="118"/>
      <c r="HR1091" s="118"/>
      <c r="HS1091" s="118"/>
      <c r="HT1091" s="118"/>
      <c r="HU1091" s="118"/>
      <c r="HV1091" s="118"/>
      <c r="HW1091" s="118"/>
      <c r="HX1091" s="118"/>
      <c r="HY1091" s="118"/>
      <c r="HZ1091" s="118"/>
      <c r="IA1091" s="118"/>
      <c r="IB1091" s="118"/>
      <c r="IC1091" s="118"/>
      <c r="ID1091" s="118"/>
      <c r="IE1091" s="118"/>
      <c r="IF1091" s="118"/>
      <c r="IG1091" s="118"/>
      <c r="IH1091" s="118"/>
      <c r="II1091" s="118"/>
      <c r="IJ1091" s="118"/>
    </row>
    <row r="1092" spans="1:244" s="127" customFormat="1" ht="12.75" customHeight="1">
      <c r="A1092" s="118">
        <v>1091</v>
      </c>
      <c r="B1092" s="128">
        <v>11</v>
      </c>
      <c r="C1092" s="156">
        <v>39753</v>
      </c>
      <c r="D1092" s="176" t="s">
        <v>54</v>
      </c>
      <c r="E1092" s="127">
        <v>2008</v>
      </c>
      <c r="F1092" s="158">
        <f t="shared" si="296"/>
        <v>633</v>
      </c>
      <c r="G1092" s="158">
        <f t="shared" si="292"/>
        <v>2</v>
      </c>
      <c r="H1092" s="162">
        <v>39120</v>
      </c>
      <c r="I1092" s="160">
        <v>323000</v>
      </c>
      <c r="J1092" s="164">
        <v>0.2</v>
      </c>
      <c r="K1092" s="164">
        <v>0.6</v>
      </c>
      <c r="L1092" s="164">
        <v>0.23333333333333331</v>
      </c>
      <c r="M1092" s="193"/>
      <c r="N1092" s="529"/>
      <c r="O1092" s="164">
        <v>0</v>
      </c>
      <c r="P1092" s="193"/>
      <c r="Q1092" s="193"/>
      <c r="R1092" s="193"/>
      <c r="S1092" s="140"/>
      <c r="T1092" s="161">
        <f t="shared" si="297"/>
        <v>193800</v>
      </c>
      <c r="U1092" s="161">
        <f t="shared" si="293"/>
        <v>75366.666666666657</v>
      </c>
      <c r="V1092" s="161">
        <f t="shared" si="294"/>
        <v>0</v>
      </c>
      <c r="W1092" s="161">
        <f t="shared" si="295"/>
        <v>0</v>
      </c>
    </row>
    <row r="1093" spans="1:244" s="127" customFormat="1" ht="12.75" customHeight="1">
      <c r="A1093" s="118">
        <v>1092</v>
      </c>
      <c r="B1093" s="128">
        <v>11</v>
      </c>
      <c r="C1093" s="156">
        <v>39783</v>
      </c>
      <c r="D1093" s="176" t="s">
        <v>55</v>
      </c>
      <c r="E1093" s="127">
        <v>2008</v>
      </c>
      <c r="F1093" s="158">
        <f t="shared" si="296"/>
        <v>663</v>
      </c>
      <c r="G1093" s="158">
        <f t="shared" si="292"/>
        <v>2</v>
      </c>
      <c r="H1093" s="162">
        <v>39120</v>
      </c>
      <c r="I1093" s="160">
        <v>76000</v>
      </c>
      <c r="J1093" s="191"/>
      <c r="K1093" s="177">
        <v>0.78</v>
      </c>
      <c r="L1093" s="177">
        <v>0.29666666666666702</v>
      </c>
      <c r="M1093" s="193"/>
      <c r="N1093" s="529" t="s">
        <v>795</v>
      </c>
      <c r="O1093" s="177">
        <v>0</v>
      </c>
      <c r="P1093" s="193"/>
      <c r="Q1093" s="193"/>
      <c r="R1093" s="193"/>
      <c r="S1093" s="140"/>
      <c r="T1093" s="161">
        <f t="shared" si="297"/>
        <v>59280</v>
      </c>
      <c r="U1093" s="161">
        <f t="shared" si="293"/>
        <v>22546.666666666693</v>
      </c>
      <c r="V1093" s="161">
        <f t="shared" si="294"/>
        <v>0</v>
      </c>
      <c r="W1093" s="161">
        <f t="shared" si="295"/>
        <v>0</v>
      </c>
    </row>
    <row r="1094" spans="1:244" s="127" customFormat="1" ht="12.75" customHeight="1">
      <c r="A1094" s="118">
        <v>1093</v>
      </c>
      <c r="B1094" s="128">
        <v>11</v>
      </c>
      <c r="C1094" s="156">
        <v>39814</v>
      </c>
      <c r="D1094" s="157" t="s">
        <v>44</v>
      </c>
      <c r="E1094" s="127">
        <v>2009</v>
      </c>
      <c r="F1094" s="118"/>
      <c r="G1094" s="118"/>
      <c r="H1094" s="118"/>
      <c r="I1094" s="125"/>
      <c r="J1094" s="164"/>
      <c r="K1094" s="164"/>
      <c r="L1094" s="164"/>
      <c r="M1094" s="193"/>
      <c r="N1094" s="529"/>
      <c r="O1094" s="164"/>
      <c r="P1094" s="118"/>
      <c r="Q1094" s="118"/>
      <c r="R1094" s="118"/>
      <c r="S1094" s="221"/>
      <c r="T1094" s="118"/>
      <c r="U1094" s="118"/>
      <c r="V1094" s="118"/>
      <c r="W1094" s="118"/>
    </row>
    <row r="1095" spans="1:244" s="127" customFormat="1" ht="12.75" customHeight="1">
      <c r="A1095" s="118">
        <v>1094</v>
      </c>
      <c r="B1095" s="128">
        <v>11</v>
      </c>
      <c r="C1095" s="156">
        <v>39845</v>
      </c>
      <c r="D1095" s="157" t="s">
        <v>45</v>
      </c>
      <c r="E1095" s="127">
        <v>2009</v>
      </c>
      <c r="F1095" s="118"/>
      <c r="G1095" s="118"/>
      <c r="H1095" s="118"/>
      <c r="I1095" s="125"/>
      <c r="J1095" s="164"/>
      <c r="K1095" s="164"/>
      <c r="L1095" s="164"/>
      <c r="M1095" s="193"/>
      <c r="N1095" s="529"/>
      <c r="O1095" s="164"/>
      <c r="P1095" s="118"/>
      <c r="Q1095" s="118"/>
      <c r="R1095" s="118"/>
      <c r="S1095" s="221"/>
      <c r="T1095" s="118"/>
      <c r="U1095" s="118"/>
      <c r="V1095" s="118"/>
      <c r="W1095" s="118"/>
    </row>
    <row r="1096" spans="1:244" s="127" customFormat="1" ht="12.75" customHeight="1">
      <c r="A1096" s="118">
        <v>1095</v>
      </c>
      <c r="B1096" s="128">
        <v>11</v>
      </c>
      <c r="C1096" s="156">
        <v>39873</v>
      </c>
      <c r="D1096" s="157" t="s">
        <v>46</v>
      </c>
      <c r="E1096" s="127">
        <v>2009</v>
      </c>
      <c r="F1096" s="118"/>
      <c r="G1096" s="118"/>
      <c r="H1096" s="118"/>
      <c r="I1096" s="125"/>
      <c r="J1096" s="164"/>
      <c r="K1096" s="164"/>
      <c r="L1096" s="164"/>
      <c r="M1096" s="193"/>
      <c r="N1096" s="529"/>
      <c r="O1096" s="164"/>
      <c r="P1096" s="118"/>
      <c r="Q1096" s="118"/>
      <c r="R1096" s="118"/>
      <c r="S1096" s="221"/>
      <c r="T1096" s="118"/>
      <c r="U1096" s="118"/>
      <c r="V1096" s="118"/>
      <c r="W1096" s="118"/>
    </row>
    <row r="1097" spans="1:244" s="127" customFormat="1" ht="12.75" customHeight="1">
      <c r="A1097" s="118">
        <v>1096</v>
      </c>
      <c r="B1097" s="128">
        <v>11</v>
      </c>
      <c r="C1097" s="156">
        <v>39904</v>
      </c>
      <c r="D1097" s="157" t="s">
        <v>47</v>
      </c>
      <c r="E1097" s="127">
        <v>2009</v>
      </c>
      <c r="F1097" s="118"/>
      <c r="G1097" s="118"/>
      <c r="H1097" s="118"/>
      <c r="I1097" s="125"/>
      <c r="J1097" s="164"/>
      <c r="K1097" s="164"/>
      <c r="L1097" s="164"/>
      <c r="M1097" s="193"/>
      <c r="N1097" s="529"/>
      <c r="O1097" s="164"/>
      <c r="P1097" s="118"/>
      <c r="Q1097" s="118"/>
      <c r="R1097" s="118"/>
      <c r="S1097" s="221"/>
      <c r="T1097" s="118"/>
      <c r="U1097" s="118"/>
      <c r="V1097" s="118"/>
      <c r="W1097" s="118"/>
    </row>
    <row r="1098" spans="1:244" s="127" customFormat="1" ht="12.75" customHeight="1">
      <c r="A1098" s="118">
        <v>1097</v>
      </c>
      <c r="B1098" s="128">
        <v>11</v>
      </c>
      <c r="C1098" s="156">
        <v>39934</v>
      </c>
      <c r="D1098" s="157" t="s">
        <v>48</v>
      </c>
      <c r="E1098" s="127">
        <v>2009</v>
      </c>
      <c r="F1098" s="158">
        <f>C1098-H1098</f>
        <v>212</v>
      </c>
      <c r="G1098" s="158">
        <f>IF(F1098&lt;365,1,2)</f>
        <v>1</v>
      </c>
      <c r="H1098" s="175">
        <v>39722</v>
      </c>
      <c r="I1098" s="125">
        <v>670144</v>
      </c>
      <c r="J1098" s="164">
        <v>0</v>
      </c>
      <c r="K1098" s="164">
        <v>0.05</v>
      </c>
      <c r="L1098" s="164">
        <v>0</v>
      </c>
      <c r="M1098" s="193"/>
      <c r="N1098" s="529"/>
      <c r="O1098" s="164">
        <v>0</v>
      </c>
      <c r="P1098" s="118"/>
      <c r="Q1098" s="118"/>
      <c r="R1098" s="118"/>
      <c r="S1098" s="221" t="s">
        <v>306</v>
      </c>
      <c r="T1098" s="161">
        <f>$I1098*K1098</f>
        <v>33507.200000000004</v>
      </c>
      <c r="U1098" s="161">
        <f>$I1098*L1098</f>
        <v>0</v>
      </c>
      <c r="V1098" s="161">
        <f t="shared" ref="V1098:V1099" si="298">$I1098*O1098</f>
        <v>0</v>
      </c>
      <c r="W1098" s="161">
        <f>V1098*0.4</f>
        <v>0</v>
      </c>
    </row>
    <row r="1099" spans="1:244" s="127" customFormat="1" ht="12.75" customHeight="1">
      <c r="A1099" s="118">
        <v>1098</v>
      </c>
      <c r="B1099" s="128">
        <v>11</v>
      </c>
      <c r="C1099" s="156">
        <v>39965</v>
      </c>
      <c r="D1099" s="157" t="s">
        <v>49</v>
      </c>
      <c r="E1099" s="127">
        <v>2009</v>
      </c>
      <c r="F1099" s="158">
        <f>C1099-H1099</f>
        <v>243</v>
      </c>
      <c r="G1099" s="158">
        <f>IF(F1099&lt;365,1,2)</f>
        <v>1</v>
      </c>
      <c r="H1099" s="175">
        <v>39722</v>
      </c>
      <c r="I1099" s="125">
        <v>668144</v>
      </c>
      <c r="J1099" s="164">
        <v>0</v>
      </c>
      <c r="K1099" s="164">
        <v>0</v>
      </c>
      <c r="L1099" s="164">
        <v>0</v>
      </c>
      <c r="M1099" s="193">
        <v>0</v>
      </c>
      <c r="N1099" s="529"/>
      <c r="O1099" s="164">
        <v>0</v>
      </c>
      <c r="P1099" s="118"/>
      <c r="Q1099" s="118"/>
      <c r="R1099" s="118"/>
      <c r="S1099" s="221"/>
      <c r="T1099" s="161">
        <f>$I1099*K1099</f>
        <v>0</v>
      </c>
      <c r="U1099" s="161">
        <f>$I1099*L1099</f>
        <v>0</v>
      </c>
      <c r="V1099" s="161">
        <f t="shared" si="298"/>
        <v>0</v>
      </c>
      <c r="W1099" s="161">
        <f>V1099*0.4</f>
        <v>0</v>
      </c>
    </row>
    <row r="1100" spans="1:244" s="127" customFormat="1" ht="12.75" customHeight="1">
      <c r="A1100" s="118">
        <v>1099</v>
      </c>
      <c r="B1100" s="128">
        <v>11</v>
      </c>
      <c r="C1100" s="156">
        <v>39995</v>
      </c>
      <c r="D1100" s="157" t="s">
        <v>50</v>
      </c>
      <c r="E1100" s="127">
        <v>2009</v>
      </c>
      <c r="F1100" s="158">
        <f t="shared" ref="F1100:F1105" si="299">C1100-H1100</f>
        <v>273</v>
      </c>
      <c r="G1100" s="158">
        <f t="shared" ref="G1100:G1105" si="300">IF(F1100&lt;365,1,2)</f>
        <v>1</v>
      </c>
      <c r="H1100" s="175">
        <v>39722</v>
      </c>
      <c r="I1100" s="125">
        <v>668493</v>
      </c>
      <c r="J1100" s="164">
        <v>0</v>
      </c>
      <c r="K1100" s="164">
        <v>1.6666666666666666E-2</v>
      </c>
      <c r="L1100" s="164">
        <v>0</v>
      </c>
      <c r="M1100" s="193">
        <v>0</v>
      </c>
      <c r="N1100" s="529"/>
      <c r="O1100" s="164">
        <v>0</v>
      </c>
      <c r="P1100" s="118"/>
      <c r="Q1100" s="118"/>
      <c r="R1100" s="118"/>
      <c r="S1100" s="221"/>
      <c r="T1100" s="161">
        <f t="shared" ref="T1100:T1105" si="301">$I1100*K1100</f>
        <v>11141.55</v>
      </c>
      <c r="U1100" s="161">
        <f t="shared" ref="U1100:U1105" si="302">$I1100*L1100</f>
        <v>0</v>
      </c>
      <c r="V1100" s="161">
        <f t="shared" ref="V1100:V1105" si="303">$I1100*O1100</f>
        <v>0</v>
      </c>
      <c r="W1100" s="161">
        <f t="shared" ref="W1100:W1105" si="304">V1100*0.4</f>
        <v>0</v>
      </c>
    </row>
    <row r="1101" spans="1:244" s="127" customFormat="1" ht="12.75" customHeight="1">
      <c r="A1101" s="118">
        <v>1100</v>
      </c>
      <c r="B1101" s="128">
        <v>11</v>
      </c>
      <c r="C1101" s="156">
        <v>40026</v>
      </c>
      <c r="D1101" s="157" t="s">
        <v>51</v>
      </c>
      <c r="E1101" s="127">
        <v>2009</v>
      </c>
      <c r="F1101" s="158">
        <f t="shared" si="299"/>
        <v>304</v>
      </c>
      <c r="G1101" s="158">
        <f t="shared" si="300"/>
        <v>1</v>
      </c>
      <c r="H1101" s="175">
        <v>39722</v>
      </c>
      <c r="I1101" s="125">
        <v>667472</v>
      </c>
      <c r="J1101" s="164">
        <v>4.1666666666666664E-2</v>
      </c>
      <c r="K1101" s="164">
        <v>0.05</v>
      </c>
      <c r="L1101" s="164">
        <v>0</v>
      </c>
      <c r="M1101" s="193">
        <v>0</v>
      </c>
      <c r="N1101" s="529"/>
      <c r="O1101" s="164">
        <v>0.13333333333333333</v>
      </c>
      <c r="P1101" s="118"/>
      <c r="Q1101" s="118"/>
      <c r="R1101" s="118"/>
      <c r="S1101" s="221"/>
      <c r="T1101" s="161">
        <f t="shared" si="301"/>
        <v>33373.599999999999</v>
      </c>
      <c r="U1101" s="161">
        <f t="shared" si="302"/>
        <v>0</v>
      </c>
      <c r="V1101" s="161">
        <f t="shared" si="303"/>
        <v>88996.266666666663</v>
      </c>
      <c r="W1101" s="161">
        <f t="shared" si="304"/>
        <v>35598.506666666668</v>
      </c>
    </row>
    <row r="1102" spans="1:244" s="127" customFormat="1" ht="12.75" customHeight="1">
      <c r="A1102" s="118">
        <v>1101</v>
      </c>
      <c r="B1102" s="128">
        <v>11</v>
      </c>
      <c r="C1102" s="156">
        <v>40057</v>
      </c>
      <c r="D1102" s="157" t="s">
        <v>52</v>
      </c>
      <c r="E1102" s="127">
        <v>2009</v>
      </c>
      <c r="F1102" s="158">
        <f t="shared" si="299"/>
        <v>335</v>
      </c>
      <c r="G1102" s="158">
        <f t="shared" si="300"/>
        <v>1</v>
      </c>
      <c r="H1102" s="175">
        <v>39722</v>
      </c>
      <c r="I1102" s="125">
        <v>667060</v>
      </c>
      <c r="J1102" s="164">
        <v>0.22500000000000001</v>
      </c>
      <c r="K1102" s="164">
        <v>1.5916666666666666</v>
      </c>
      <c r="L1102" s="164">
        <v>0.42499999999999999</v>
      </c>
      <c r="M1102" s="193">
        <v>0</v>
      </c>
      <c r="N1102" s="529"/>
      <c r="O1102" s="164">
        <v>0.17499999999999999</v>
      </c>
      <c r="P1102" s="118"/>
      <c r="Q1102" s="118"/>
      <c r="R1102" s="118"/>
      <c r="S1102" s="221"/>
      <c r="T1102" s="161">
        <f t="shared" si="301"/>
        <v>1061737.1666666665</v>
      </c>
      <c r="U1102" s="161">
        <f t="shared" si="302"/>
        <v>283500.5</v>
      </c>
      <c r="V1102" s="161">
        <f t="shared" si="303"/>
        <v>116735.49999999999</v>
      </c>
      <c r="W1102" s="161">
        <f t="shared" si="304"/>
        <v>46694.2</v>
      </c>
    </row>
    <row r="1103" spans="1:244" s="127" customFormat="1" ht="12.75" customHeight="1">
      <c r="A1103" s="118">
        <v>1102</v>
      </c>
      <c r="B1103" s="128">
        <v>11</v>
      </c>
      <c r="C1103" s="156">
        <v>40087</v>
      </c>
      <c r="D1103" s="157" t="s">
        <v>53</v>
      </c>
      <c r="E1103" s="127">
        <v>2009</v>
      </c>
      <c r="F1103" s="158">
        <f t="shared" si="299"/>
        <v>365</v>
      </c>
      <c r="G1103" s="158">
        <f t="shared" si="300"/>
        <v>2</v>
      </c>
      <c r="H1103" s="175">
        <v>39722</v>
      </c>
      <c r="I1103" s="125">
        <v>666232</v>
      </c>
      <c r="J1103" s="164">
        <v>0.58571428571428574</v>
      </c>
      <c r="K1103" s="164">
        <v>2.2428571428571429</v>
      </c>
      <c r="L1103" s="164">
        <v>1.1000000000000001</v>
      </c>
      <c r="M1103" s="193">
        <v>0</v>
      </c>
      <c r="N1103" s="529"/>
      <c r="O1103" s="164">
        <v>0.52857142857142858</v>
      </c>
      <c r="P1103" s="118"/>
      <c r="Q1103" s="118"/>
      <c r="R1103" s="118"/>
      <c r="S1103" s="221"/>
      <c r="T1103" s="161">
        <f t="shared" si="301"/>
        <v>1494263.2</v>
      </c>
      <c r="U1103" s="161">
        <f t="shared" si="302"/>
        <v>732855.20000000007</v>
      </c>
      <c r="V1103" s="161">
        <f t="shared" si="303"/>
        <v>352151.2</v>
      </c>
      <c r="W1103" s="161">
        <f t="shared" si="304"/>
        <v>140860.48000000001</v>
      </c>
    </row>
    <row r="1104" spans="1:244" s="127" customFormat="1" ht="12.75" customHeight="1">
      <c r="A1104" s="118">
        <v>1103</v>
      </c>
      <c r="B1104" s="128">
        <v>11</v>
      </c>
      <c r="C1104" s="156">
        <v>40118</v>
      </c>
      <c r="D1104" s="157" t="s">
        <v>54</v>
      </c>
      <c r="E1104" s="127">
        <v>2009</v>
      </c>
      <c r="F1104" s="158">
        <f t="shared" si="299"/>
        <v>396</v>
      </c>
      <c r="G1104" s="158">
        <f t="shared" si="300"/>
        <v>2</v>
      </c>
      <c r="H1104" s="175">
        <v>39722</v>
      </c>
      <c r="I1104" s="125">
        <v>663895</v>
      </c>
      <c r="J1104" s="164">
        <v>1.87</v>
      </c>
      <c r="K1104" s="164">
        <v>2.4</v>
      </c>
      <c r="L1104" s="164">
        <v>1.1599999999999999</v>
      </c>
      <c r="M1104" s="193">
        <v>0</v>
      </c>
      <c r="N1104" s="529"/>
      <c r="O1104" s="164">
        <v>0.57999999999999996</v>
      </c>
      <c r="P1104" s="118"/>
      <c r="Q1104" s="118"/>
      <c r="R1104" s="118"/>
      <c r="S1104" s="221"/>
      <c r="T1104" s="161">
        <f t="shared" si="301"/>
        <v>1593348</v>
      </c>
      <c r="U1104" s="161">
        <f t="shared" si="302"/>
        <v>770118.2</v>
      </c>
      <c r="V1104" s="161">
        <f t="shared" si="303"/>
        <v>385059.1</v>
      </c>
      <c r="W1104" s="161">
        <f t="shared" si="304"/>
        <v>154023.63999999998</v>
      </c>
    </row>
    <row r="1105" spans="1:244" s="127" customFormat="1" ht="12.75" customHeight="1">
      <c r="A1105" s="118">
        <v>1104</v>
      </c>
      <c r="B1105" s="128">
        <v>11</v>
      </c>
      <c r="C1105" s="156">
        <v>40148</v>
      </c>
      <c r="D1105" s="157" t="s">
        <v>55</v>
      </c>
      <c r="E1105" s="127">
        <v>2009</v>
      </c>
      <c r="F1105" s="158">
        <f t="shared" si="299"/>
        <v>426</v>
      </c>
      <c r="G1105" s="158">
        <f t="shared" si="300"/>
        <v>2</v>
      </c>
      <c r="H1105" s="175">
        <v>39722</v>
      </c>
      <c r="I1105" s="125">
        <v>662544</v>
      </c>
      <c r="J1105" s="164">
        <v>1.7</v>
      </c>
      <c r="K1105" s="164">
        <v>2.5499999999999998</v>
      </c>
      <c r="L1105" s="164">
        <v>1.25</v>
      </c>
      <c r="M1105" s="193"/>
      <c r="N1105" s="529"/>
      <c r="O1105" s="164">
        <v>2.0499999999999998</v>
      </c>
      <c r="P1105" s="118">
        <v>1</v>
      </c>
      <c r="Q1105" s="118"/>
      <c r="R1105" s="118"/>
      <c r="S1105" s="221"/>
      <c r="T1105" s="161">
        <f t="shared" si="301"/>
        <v>1689487.2</v>
      </c>
      <c r="U1105" s="161">
        <f t="shared" si="302"/>
        <v>828180</v>
      </c>
      <c r="V1105" s="161">
        <f t="shared" si="303"/>
        <v>1358215.2</v>
      </c>
      <c r="W1105" s="161">
        <f t="shared" si="304"/>
        <v>543286.07999999996</v>
      </c>
    </row>
    <row r="1106" spans="1:244" s="127" customFormat="1" ht="12.75" customHeight="1">
      <c r="A1106" s="118">
        <v>1105</v>
      </c>
      <c r="B1106" s="128">
        <v>12</v>
      </c>
      <c r="C1106" s="156">
        <v>36526</v>
      </c>
      <c r="D1106" s="157" t="s">
        <v>44</v>
      </c>
      <c r="E1106" s="8">
        <v>2000</v>
      </c>
      <c r="F1106" s="158"/>
      <c r="G1106" s="162"/>
      <c r="H1106" s="11"/>
      <c r="I1106" s="163"/>
      <c r="J1106" s="11"/>
      <c r="K1106" s="11"/>
      <c r="L1106" s="11"/>
      <c r="M1106" s="174"/>
      <c r="N1106" s="528"/>
      <c r="O1106" s="11"/>
      <c r="P1106" s="8"/>
      <c r="Q1106" s="11"/>
      <c r="R1106" s="11"/>
      <c r="S1106" s="155"/>
      <c r="T1106" s="11"/>
      <c r="U1106" s="161"/>
      <c r="V1106" s="11"/>
      <c r="W1106" s="11"/>
    </row>
    <row r="1107" spans="1:244" s="127" customFormat="1" ht="12.75" customHeight="1">
      <c r="A1107" s="118">
        <v>1106</v>
      </c>
      <c r="B1107" s="128">
        <v>12</v>
      </c>
      <c r="C1107" s="156">
        <v>36557</v>
      </c>
      <c r="D1107" s="157" t="s">
        <v>45</v>
      </c>
      <c r="E1107" s="8">
        <v>2000</v>
      </c>
      <c r="F1107" s="158"/>
      <c r="G1107" s="162"/>
      <c r="H1107" s="11"/>
      <c r="I1107" s="163"/>
      <c r="J1107" s="11"/>
      <c r="K1107" s="11"/>
      <c r="L1107" s="11"/>
      <c r="M1107" s="174"/>
      <c r="N1107" s="528"/>
      <c r="O1107" s="11"/>
      <c r="P1107" s="8"/>
      <c r="Q1107" s="11"/>
      <c r="R1107" s="11"/>
      <c r="S1107" s="155"/>
      <c r="T1107" s="11"/>
      <c r="U1107" s="161"/>
      <c r="V1107" s="11"/>
      <c r="W1107" s="11"/>
    </row>
    <row r="1108" spans="1:244" s="127" customFormat="1">
      <c r="A1108" s="118">
        <v>1107</v>
      </c>
      <c r="B1108" s="128">
        <v>12</v>
      </c>
      <c r="C1108" s="156">
        <v>36586</v>
      </c>
      <c r="D1108" s="157" t="s">
        <v>46</v>
      </c>
      <c r="E1108" s="8">
        <v>2000</v>
      </c>
      <c r="F1108" s="158"/>
      <c r="G1108" s="162"/>
      <c r="H1108" s="11"/>
      <c r="I1108" s="163"/>
      <c r="J1108" s="11"/>
      <c r="K1108" s="11"/>
      <c r="L1108" s="11"/>
      <c r="M1108" s="174"/>
      <c r="N1108" s="528"/>
      <c r="O1108" s="11"/>
      <c r="P1108" s="8"/>
      <c r="Q1108" s="11"/>
      <c r="R1108" s="11"/>
      <c r="S1108" s="155"/>
      <c r="T1108" s="11"/>
      <c r="U1108" s="161"/>
      <c r="V1108" s="11"/>
      <c r="W1108" s="11"/>
    </row>
    <row r="1109" spans="1:244" s="127" customFormat="1" ht="12.75" customHeight="1">
      <c r="A1109" s="118">
        <v>1108</v>
      </c>
      <c r="B1109" s="128">
        <v>12</v>
      </c>
      <c r="C1109" s="156">
        <v>36617</v>
      </c>
      <c r="D1109" s="157" t="s">
        <v>47</v>
      </c>
      <c r="E1109" s="8">
        <v>2000</v>
      </c>
      <c r="F1109" s="158"/>
      <c r="G1109" s="162"/>
      <c r="H1109" s="11"/>
      <c r="I1109" s="163"/>
      <c r="J1109" s="15"/>
      <c r="K1109" s="15"/>
      <c r="L1109" s="15"/>
      <c r="M1109" s="174"/>
      <c r="N1109" s="528"/>
      <c r="O1109" s="15"/>
      <c r="P1109" s="8"/>
      <c r="Q1109" s="11"/>
      <c r="R1109" s="11"/>
      <c r="S1109" s="155"/>
      <c r="T1109" s="15"/>
      <c r="U1109" s="161"/>
      <c r="V1109" s="15"/>
      <c r="W1109" s="15"/>
    </row>
    <row r="1110" spans="1:244" s="127" customFormat="1">
      <c r="A1110" s="118">
        <v>1109</v>
      </c>
      <c r="B1110" s="128">
        <v>12</v>
      </c>
      <c r="C1110" s="156">
        <v>36647</v>
      </c>
      <c r="D1110" s="157" t="s">
        <v>48</v>
      </c>
      <c r="E1110" s="8">
        <v>2000</v>
      </c>
      <c r="F1110" s="158">
        <f t="shared" ref="F1110:F1118" si="305">C1110-H1110</f>
        <v>0</v>
      </c>
      <c r="G1110" s="158">
        <f t="shared" ref="G1110:G1118" si="306">IF(F1110&lt;365,1,2)</f>
        <v>1</v>
      </c>
      <c r="H1110" s="162">
        <v>36647</v>
      </c>
      <c r="I1110" s="163">
        <v>574739</v>
      </c>
      <c r="J1110" s="15"/>
      <c r="K1110" s="15"/>
      <c r="L1110" s="15"/>
      <c r="M1110" s="174"/>
      <c r="N1110" s="528"/>
      <c r="O1110" s="15"/>
      <c r="P1110" s="8"/>
      <c r="Q1110" s="11"/>
      <c r="R1110" s="11"/>
      <c r="S1110" s="155" t="s">
        <v>11</v>
      </c>
      <c r="T1110" s="15"/>
      <c r="U1110" s="161"/>
      <c r="V1110" s="15"/>
      <c r="W1110" s="15"/>
    </row>
    <row r="1111" spans="1:244" s="127" customFormat="1">
      <c r="A1111" s="118">
        <v>1110</v>
      </c>
      <c r="B1111" s="128">
        <v>12</v>
      </c>
      <c r="C1111" s="156">
        <v>36678</v>
      </c>
      <c r="D1111" s="157" t="s">
        <v>49</v>
      </c>
      <c r="E1111" s="8">
        <v>2000</v>
      </c>
      <c r="F1111" s="158">
        <f t="shared" si="305"/>
        <v>31</v>
      </c>
      <c r="G1111" s="158">
        <f t="shared" si="306"/>
        <v>1</v>
      </c>
      <c r="H1111" s="162">
        <v>36647</v>
      </c>
      <c r="I1111" s="163">
        <v>568366</v>
      </c>
      <c r="J1111" s="11"/>
      <c r="K1111" s="11"/>
      <c r="L1111" s="11"/>
      <c r="M1111" s="174"/>
      <c r="N1111" s="528"/>
      <c r="O1111" s="11"/>
      <c r="P1111" s="8"/>
      <c r="Q1111" s="11"/>
      <c r="R1111" s="11"/>
      <c r="S1111" s="155"/>
      <c r="T1111" s="11"/>
      <c r="U1111" s="161"/>
      <c r="V1111" s="11"/>
      <c r="W1111" s="11"/>
    </row>
    <row r="1112" spans="1:244" s="127" customFormat="1">
      <c r="A1112" s="118">
        <v>1111</v>
      </c>
      <c r="B1112" s="128">
        <v>12</v>
      </c>
      <c r="C1112" s="156">
        <v>36708</v>
      </c>
      <c r="D1112" s="157" t="s">
        <v>50</v>
      </c>
      <c r="E1112" s="8">
        <v>2000</v>
      </c>
      <c r="F1112" s="158">
        <f t="shared" si="305"/>
        <v>61</v>
      </c>
      <c r="G1112" s="158">
        <f t="shared" si="306"/>
        <v>1</v>
      </c>
      <c r="H1112" s="162">
        <v>36647</v>
      </c>
      <c r="I1112" s="163">
        <v>519660</v>
      </c>
      <c r="J1112" s="15"/>
      <c r="K1112" s="15"/>
      <c r="L1112" s="15"/>
      <c r="M1112" s="174"/>
      <c r="N1112" s="528"/>
      <c r="O1112" s="15"/>
      <c r="P1112" s="8"/>
      <c r="Q1112" s="11"/>
      <c r="R1112" s="11"/>
      <c r="S1112" s="155"/>
      <c r="T1112" s="15"/>
      <c r="U1112" s="161"/>
      <c r="V1112" s="15"/>
      <c r="W1112" s="15"/>
    </row>
    <row r="1113" spans="1:244" s="127" customFormat="1">
      <c r="A1113" s="118">
        <v>1112</v>
      </c>
      <c r="B1113" s="128">
        <v>12</v>
      </c>
      <c r="C1113" s="156">
        <v>36739</v>
      </c>
      <c r="D1113" s="157" t="s">
        <v>51</v>
      </c>
      <c r="E1113" s="8">
        <v>2000</v>
      </c>
      <c r="F1113" s="158">
        <f t="shared" si="305"/>
        <v>92</v>
      </c>
      <c r="G1113" s="158">
        <f t="shared" si="306"/>
        <v>1</v>
      </c>
      <c r="H1113" s="162">
        <v>36647</v>
      </c>
      <c r="I1113" s="163">
        <v>513946</v>
      </c>
      <c r="J1113" s="15"/>
      <c r="K1113" s="15"/>
      <c r="L1113" s="15"/>
      <c r="M1113" s="174"/>
      <c r="N1113" s="528"/>
      <c r="O1113" s="15"/>
      <c r="P1113" s="8"/>
      <c r="Q1113" s="11"/>
      <c r="R1113" s="11"/>
      <c r="S1113" s="155"/>
      <c r="T1113" s="15"/>
      <c r="U1113" s="161"/>
      <c r="V1113" s="15"/>
      <c r="W1113" s="15"/>
    </row>
    <row r="1114" spans="1:244" s="127" customFormat="1">
      <c r="A1114" s="118">
        <v>1113</v>
      </c>
      <c r="B1114" s="128">
        <v>12</v>
      </c>
      <c r="C1114" s="156">
        <v>36770</v>
      </c>
      <c r="D1114" s="157" t="s">
        <v>52</v>
      </c>
      <c r="E1114" s="8">
        <v>2000</v>
      </c>
      <c r="F1114" s="158">
        <f t="shared" si="305"/>
        <v>123</v>
      </c>
      <c r="G1114" s="158">
        <f t="shared" si="306"/>
        <v>1</v>
      </c>
      <c r="H1114" s="162">
        <v>36647</v>
      </c>
      <c r="I1114" s="163">
        <v>515164</v>
      </c>
      <c r="J1114" s="11"/>
      <c r="K1114" s="11"/>
      <c r="L1114" s="11"/>
      <c r="M1114" s="174"/>
      <c r="N1114" s="528"/>
      <c r="O1114" s="11"/>
      <c r="P1114" s="8"/>
      <c r="Q1114" s="11"/>
      <c r="R1114" s="11"/>
      <c r="S1114" s="155"/>
      <c r="T1114" s="11"/>
      <c r="U1114" s="161"/>
      <c r="V1114" s="11"/>
      <c r="W1114" s="11"/>
    </row>
    <row r="1115" spans="1:244" s="127" customFormat="1">
      <c r="A1115" s="118">
        <v>1114</v>
      </c>
      <c r="B1115" s="128">
        <v>12</v>
      </c>
      <c r="C1115" s="156">
        <v>36800</v>
      </c>
      <c r="D1115" s="157" t="s">
        <v>53</v>
      </c>
      <c r="E1115" s="8">
        <v>2000</v>
      </c>
      <c r="F1115" s="158">
        <f t="shared" si="305"/>
        <v>153</v>
      </c>
      <c r="G1115" s="158">
        <f t="shared" si="306"/>
        <v>1</v>
      </c>
      <c r="H1115" s="162">
        <v>36647</v>
      </c>
      <c r="I1115" s="163">
        <v>514470</v>
      </c>
      <c r="J1115" s="11"/>
      <c r="K1115" s="11"/>
      <c r="L1115" s="11"/>
      <c r="M1115" s="174"/>
      <c r="N1115" s="528"/>
      <c r="O1115" s="11"/>
      <c r="P1115" s="8"/>
      <c r="Q1115" s="11"/>
      <c r="R1115" s="11"/>
      <c r="S1115" s="155"/>
      <c r="T1115" s="11"/>
      <c r="U1115" s="161"/>
      <c r="V1115" s="11"/>
      <c r="W1115" s="11"/>
    </row>
    <row r="1116" spans="1:244">
      <c r="A1116" s="118">
        <v>1115</v>
      </c>
      <c r="B1116" s="128">
        <v>12</v>
      </c>
      <c r="C1116" s="156">
        <v>36831</v>
      </c>
      <c r="D1116" s="157" t="s">
        <v>54</v>
      </c>
      <c r="E1116" s="8">
        <v>2000</v>
      </c>
      <c r="F1116" s="158">
        <f t="shared" si="305"/>
        <v>184</v>
      </c>
      <c r="G1116" s="158">
        <f t="shared" si="306"/>
        <v>1</v>
      </c>
      <c r="H1116" s="162">
        <v>36647</v>
      </c>
      <c r="I1116" s="163">
        <v>511491</v>
      </c>
      <c r="J1116" s="11"/>
      <c r="K1116" s="11"/>
      <c r="L1116" s="11"/>
      <c r="O1116" s="11"/>
      <c r="T1116" s="11"/>
      <c r="V1116" s="11"/>
      <c r="W1116" s="11"/>
      <c r="X1116" s="127"/>
      <c r="Y1116" s="127"/>
      <c r="Z1116" s="127"/>
      <c r="AA1116" s="127"/>
      <c r="AB1116" s="127"/>
      <c r="AC1116" s="127"/>
      <c r="AD1116" s="127"/>
      <c r="AE1116" s="127"/>
      <c r="AF1116" s="127"/>
      <c r="AG1116" s="127"/>
      <c r="AH1116" s="127"/>
      <c r="AI1116" s="127"/>
      <c r="AJ1116" s="127"/>
      <c r="AK1116" s="127"/>
      <c r="AL1116" s="127"/>
      <c r="AM1116" s="127"/>
      <c r="AN1116" s="127"/>
      <c r="AO1116" s="127"/>
      <c r="AP1116" s="127"/>
      <c r="AQ1116" s="127"/>
      <c r="AR1116" s="127"/>
      <c r="AS1116" s="127"/>
      <c r="AT1116" s="127"/>
      <c r="AU1116" s="127"/>
      <c r="AV1116" s="127"/>
      <c r="AW1116" s="127"/>
      <c r="AX1116" s="127"/>
      <c r="AY1116" s="127"/>
      <c r="AZ1116" s="127"/>
      <c r="BA1116" s="127"/>
      <c r="BB1116" s="127"/>
      <c r="BC1116" s="127"/>
      <c r="BD1116" s="127"/>
      <c r="BE1116" s="127"/>
      <c r="BF1116" s="127"/>
      <c r="BG1116" s="127"/>
      <c r="BH1116" s="127"/>
      <c r="BI1116" s="127"/>
      <c r="BJ1116" s="127"/>
      <c r="BK1116" s="127"/>
      <c r="BL1116" s="127"/>
      <c r="BM1116" s="127"/>
      <c r="BN1116" s="127"/>
      <c r="BO1116" s="127"/>
      <c r="BP1116" s="127"/>
      <c r="BQ1116" s="127"/>
      <c r="BR1116" s="127"/>
      <c r="BS1116" s="127"/>
      <c r="BT1116" s="127"/>
      <c r="BU1116" s="127"/>
      <c r="BV1116" s="127"/>
      <c r="BW1116" s="127"/>
      <c r="BX1116" s="127"/>
      <c r="BY1116" s="127"/>
      <c r="BZ1116" s="127"/>
      <c r="CA1116" s="127"/>
      <c r="CB1116" s="127"/>
      <c r="CC1116" s="127"/>
      <c r="CD1116" s="127"/>
      <c r="CE1116" s="127"/>
      <c r="CF1116" s="127"/>
      <c r="CG1116" s="127"/>
      <c r="CH1116" s="127"/>
      <c r="CI1116" s="127"/>
      <c r="CJ1116" s="127"/>
      <c r="CK1116" s="127"/>
      <c r="CL1116" s="127"/>
      <c r="CM1116" s="127"/>
      <c r="CN1116" s="127"/>
      <c r="CO1116" s="127"/>
      <c r="CP1116" s="127"/>
      <c r="CQ1116" s="127"/>
      <c r="CR1116" s="127"/>
      <c r="CS1116" s="127"/>
      <c r="CT1116" s="127"/>
      <c r="CU1116" s="127"/>
      <c r="CV1116" s="127"/>
      <c r="CW1116" s="127"/>
      <c r="CX1116" s="127"/>
      <c r="CY1116" s="127"/>
      <c r="CZ1116" s="127"/>
      <c r="DA1116" s="127"/>
      <c r="DB1116" s="127"/>
      <c r="DC1116" s="127"/>
      <c r="DD1116" s="127"/>
      <c r="DE1116" s="127"/>
      <c r="DF1116" s="127"/>
      <c r="DG1116" s="127"/>
      <c r="DH1116" s="127"/>
      <c r="DI1116" s="127"/>
      <c r="DJ1116" s="127"/>
      <c r="DK1116" s="127"/>
      <c r="DL1116" s="127"/>
      <c r="DM1116" s="127"/>
      <c r="DN1116" s="127"/>
      <c r="DO1116" s="127"/>
      <c r="DP1116" s="127"/>
      <c r="DQ1116" s="127"/>
      <c r="DR1116" s="127"/>
      <c r="DS1116" s="127"/>
      <c r="DT1116" s="127"/>
      <c r="DU1116" s="127"/>
      <c r="DV1116" s="127"/>
      <c r="DW1116" s="127"/>
      <c r="DX1116" s="127"/>
      <c r="DY1116" s="127"/>
      <c r="DZ1116" s="127"/>
      <c r="EA1116" s="127"/>
      <c r="EB1116" s="127"/>
      <c r="EC1116" s="127"/>
      <c r="ED1116" s="127"/>
      <c r="EE1116" s="127"/>
      <c r="EF1116" s="127"/>
      <c r="EG1116" s="127"/>
      <c r="EH1116" s="127"/>
      <c r="EI1116" s="127"/>
      <c r="EJ1116" s="127"/>
      <c r="EK1116" s="127"/>
      <c r="EL1116" s="127"/>
      <c r="EM1116" s="127"/>
      <c r="EN1116" s="127"/>
      <c r="EO1116" s="127"/>
      <c r="EP1116" s="127"/>
      <c r="EQ1116" s="127"/>
      <c r="ER1116" s="127"/>
      <c r="ES1116" s="127"/>
      <c r="ET1116" s="127"/>
      <c r="EU1116" s="127"/>
      <c r="EV1116" s="127"/>
      <c r="EW1116" s="127"/>
      <c r="EX1116" s="127"/>
      <c r="EY1116" s="127"/>
      <c r="EZ1116" s="127"/>
      <c r="FA1116" s="127"/>
      <c r="FB1116" s="127"/>
      <c r="FC1116" s="127"/>
      <c r="FD1116" s="127"/>
      <c r="FE1116" s="127"/>
      <c r="FF1116" s="127"/>
      <c r="FG1116" s="127"/>
      <c r="FH1116" s="127"/>
      <c r="FI1116" s="127"/>
      <c r="FJ1116" s="127"/>
      <c r="FK1116" s="127"/>
      <c r="FL1116" s="127"/>
      <c r="FM1116" s="127"/>
      <c r="FN1116" s="127"/>
      <c r="FO1116" s="127"/>
      <c r="FP1116" s="127"/>
      <c r="FQ1116" s="127"/>
      <c r="FR1116" s="127"/>
      <c r="FS1116" s="127"/>
      <c r="FT1116" s="127"/>
      <c r="FU1116" s="127"/>
      <c r="FV1116" s="127"/>
      <c r="FW1116" s="127"/>
      <c r="FX1116" s="127"/>
      <c r="FY1116" s="127"/>
      <c r="FZ1116" s="127"/>
      <c r="GA1116" s="127"/>
      <c r="GB1116" s="127"/>
      <c r="GC1116" s="127"/>
      <c r="GD1116" s="127"/>
      <c r="GE1116" s="127"/>
      <c r="GF1116" s="127"/>
      <c r="GG1116" s="127"/>
      <c r="GH1116" s="127"/>
      <c r="GI1116" s="127"/>
      <c r="GJ1116" s="127"/>
      <c r="GK1116" s="127"/>
      <c r="GL1116" s="127"/>
      <c r="GM1116" s="127"/>
      <c r="GN1116" s="127"/>
      <c r="GO1116" s="127"/>
      <c r="GP1116" s="127"/>
      <c r="GQ1116" s="127"/>
      <c r="GR1116" s="127"/>
      <c r="GS1116" s="127"/>
      <c r="GT1116" s="127"/>
      <c r="GU1116" s="127"/>
      <c r="GV1116" s="127"/>
      <c r="GW1116" s="127"/>
      <c r="GX1116" s="127"/>
      <c r="GY1116" s="127"/>
      <c r="GZ1116" s="127"/>
      <c r="HA1116" s="127"/>
      <c r="HB1116" s="127"/>
      <c r="HC1116" s="127"/>
      <c r="HD1116" s="127"/>
      <c r="HE1116" s="127"/>
      <c r="HF1116" s="127"/>
      <c r="HG1116" s="127"/>
      <c r="HH1116" s="127"/>
      <c r="HI1116" s="127"/>
      <c r="HJ1116" s="127"/>
      <c r="HK1116" s="127"/>
      <c r="HL1116" s="127"/>
      <c r="HM1116" s="127"/>
      <c r="HN1116" s="127"/>
      <c r="HO1116" s="127"/>
      <c r="HP1116" s="127"/>
      <c r="HQ1116" s="127"/>
      <c r="HR1116" s="127"/>
      <c r="HS1116" s="127"/>
      <c r="HT1116" s="127"/>
      <c r="HU1116" s="127"/>
      <c r="HV1116" s="127"/>
      <c r="HW1116" s="127"/>
      <c r="HX1116" s="127"/>
      <c r="HY1116" s="127"/>
      <c r="HZ1116" s="127"/>
      <c r="IA1116" s="127"/>
      <c r="IB1116" s="127"/>
      <c r="IC1116" s="127"/>
      <c r="ID1116" s="127"/>
      <c r="IE1116" s="127"/>
      <c r="IF1116" s="127"/>
      <c r="IG1116" s="127"/>
      <c r="IH1116" s="127"/>
      <c r="II1116" s="127"/>
      <c r="IJ1116" s="127"/>
    </row>
    <row r="1117" spans="1:244">
      <c r="A1117" s="118">
        <v>1116</v>
      </c>
      <c r="B1117" s="128">
        <v>12</v>
      </c>
      <c r="C1117" s="156">
        <v>36861</v>
      </c>
      <c r="D1117" s="157" t="s">
        <v>55</v>
      </c>
      <c r="E1117" s="8">
        <v>2000</v>
      </c>
      <c r="F1117" s="158">
        <f t="shared" si="305"/>
        <v>214</v>
      </c>
      <c r="G1117" s="158">
        <f t="shared" si="306"/>
        <v>1</v>
      </c>
      <c r="H1117" s="162">
        <v>36647</v>
      </c>
      <c r="I1117" s="163">
        <v>511232</v>
      </c>
      <c r="J1117" s="11"/>
      <c r="K1117" s="11"/>
      <c r="L1117" s="11"/>
      <c r="O1117" s="11"/>
      <c r="T1117" s="11"/>
      <c r="V1117" s="11"/>
      <c r="W1117" s="11"/>
      <c r="X1117" s="127"/>
      <c r="Y1117" s="127"/>
      <c r="Z1117" s="127"/>
      <c r="AA1117" s="127"/>
      <c r="AB1117" s="127"/>
      <c r="AC1117" s="127"/>
      <c r="AD1117" s="127"/>
      <c r="AE1117" s="127"/>
      <c r="AF1117" s="127"/>
      <c r="AG1117" s="127"/>
      <c r="AH1117" s="127"/>
      <c r="AI1117" s="127"/>
      <c r="AJ1117" s="127"/>
      <c r="AK1117" s="127"/>
      <c r="AL1117" s="127"/>
      <c r="AM1117" s="127"/>
      <c r="AN1117" s="127"/>
      <c r="AO1117" s="127"/>
      <c r="AP1117" s="127"/>
      <c r="AQ1117" s="127"/>
      <c r="AR1117" s="127"/>
      <c r="AS1117" s="127"/>
      <c r="AT1117" s="127"/>
      <c r="AU1117" s="127"/>
      <c r="AV1117" s="127"/>
      <c r="AW1117" s="127"/>
      <c r="AX1117" s="127"/>
      <c r="AY1117" s="127"/>
      <c r="AZ1117" s="127"/>
      <c r="BA1117" s="127"/>
      <c r="BB1117" s="127"/>
      <c r="BC1117" s="127"/>
      <c r="BD1117" s="127"/>
      <c r="BE1117" s="127"/>
      <c r="BF1117" s="127"/>
      <c r="BG1117" s="127"/>
      <c r="BH1117" s="127"/>
      <c r="BI1117" s="127"/>
      <c r="BJ1117" s="127"/>
      <c r="BK1117" s="127"/>
      <c r="BL1117" s="127"/>
      <c r="BM1117" s="127"/>
      <c r="BN1117" s="127"/>
      <c r="BO1117" s="127"/>
      <c r="BP1117" s="127"/>
      <c r="BQ1117" s="127"/>
      <c r="BR1117" s="127"/>
      <c r="BS1117" s="127"/>
      <c r="BT1117" s="127"/>
      <c r="BU1117" s="127"/>
      <c r="BV1117" s="127"/>
      <c r="BW1117" s="127"/>
      <c r="BX1117" s="127"/>
      <c r="BY1117" s="127"/>
      <c r="BZ1117" s="127"/>
      <c r="CA1117" s="127"/>
      <c r="CB1117" s="127"/>
      <c r="CC1117" s="127"/>
      <c r="CD1117" s="127"/>
      <c r="CE1117" s="127"/>
      <c r="CF1117" s="127"/>
      <c r="CG1117" s="127"/>
      <c r="CH1117" s="127"/>
      <c r="CI1117" s="127"/>
      <c r="CJ1117" s="127"/>
      <c r="CK1117" s="127"/>
      <c r="CL1117" s="127"/>
      <c r="CM1117" s="127"/>
      <c r="CN1117" s="127"/>
      <c r="CO1117" s="127"/>
      <c r="CP1117" s="127"/>
      <c r="CQ1117" s="127"/>
      <c r="CR1117" s="127"/>
      <c r="CS1117" s="127"/>
      <c r="CT1117" s="127"/>
      <c r="CU1117" s="127"/>
      <c r="CV1117" s="127"/>
      <c r="CW1117" s="127"/>
      <c r="CX1117" s="127"/>
      <c r="CY1117" s="127"/>
      <c r="CZ1117" s="127"/>
      <c r="DA1117" s="127"/>
      <c r="DB1117" s="127"/>
      <c r="DC1117" s="127"/>
      <c r="DD1117" s="127"/>
      <c r="DE1117" s="127"/>
      <c r="DF1117" s="127"/>
      <c r="DG1117" s="127"/>
      <c r="DH1117" s="127"/>
      <c r="DI1117" s="127"/>
      <c r="DJ1117" s="127"/>
      <c r="DK1117" s="127"/>
      <c r="DL1117" s="127"/>
      <c r="DM1117" s="127"/>
      <c r="DN1117" s="127"/>
      <c r="DO1117" s="127"/>
      <c r="DP1117" s="127"/>
      <c r="DQ1117" s="127"/>
      <c r="DR1117" s="127"/>
      <c r="DS1117" s="127"/>
      <c r="DT1117" s="127"/>
      <c r="DU1117" s="127"/>
      <c r="DV1117" s="127"/>
      <c r="DW1117" s="127"/>
      <c r="DX1117" s="127"/>
      <c r="DY1117" s="127"/>
      <c r="DZ1117" s="127"/>
      <c r="EA1117" s="127"/>
      <c r="EB1117" s="127"/>
      <c r="EC1117" s="127"/>
      <c r="ED1117" s="127"/>
      <c r="EE1117" s="127"/>
      <c r="EF1117" s="127"/>
      <c r="EG1117" s="127"/>
      <c r="EH1117" s="127"/>
      <c r="EI1117" s="127"/>
      <c r="EJ1117" s="127"/>
      <c r="EK1117" s="127"/>
      <c r="EL1117" s="127"/>
      <c r="EM1117" s="127"/>
      <c r="EN1117" s="127"/>
      <c r="EO1117" s="127"/>
      <c r="EP1117" s="127"/>
      <c r="EQ1117" s="127"/>
      <c r="ER1117" s="127"/>
      <c r="ES1117" s="127"/>
      <c r="ET1117" s="127"/>
      <c r="EU1117" s="127"/>
      <c r="EV1117" s="127"/>
      <c r="EW1117" s="127"/>
      <c r="EX1117" s="127"/>
      <c r="EY1117" s="127"/>
      <c r="EZ1117" s="127"/>
      <c r="FA1117" s="127"/>
      <c r="FB1117" s="127"/>
      <c r="FC1117" s="127"/>
      <c r="FD1117" s="127"/>
      <c r="FE1117" s="127"/>
      <c r="FF1117" s="127"/>
      <c r="FG1117" s="127"/>
      <c r="FH1117" s="127"/>
      <c r="FI1117" s="127"/>
      <c r="FJ1117" s="127"/>
      <c r="FK1117" s="127"/>
      <c r="FL1117" s="127"/>
      <c r="FM1117" s="127"/>
      <c r="FN1117" s="127"/>
      <c r="FO1117" s="127"/>
      <c r="FP1117" s="127"/>
      <c r="FQ1117" s="127"/>
      <c r="FR1117" s="127"/>
      <c r="FS1117" s="127"/>
      <c r="FT1117" s="127"/>
      <c r="FU1117" s="127"/>
      <c r="FV1117" s="127"/>
      <c r="FW1117" s="127"/>
      <c r="FX1117" s="127"/>
      <c r="FY1117" s="127"/>
      <c r="FZ1117" s="127"/>
      <c r="GA1117" s="127"/>
      <c r="GB1117" s="127"/>
      <c r="GC1117" s="127"/>
      <c r="GD1117" s="127"/>
      <c r="GE1117" s="127"/>
      <c r="GF1117" s="127"/>
      <c r="GG1117" s="127"/>
      <c r="GH1117" s="127"/>
      <c r="GI1117" s="127"/>
      <c r="GJ1117" s="127"/>
      <c r="GK1117" s="127"/>
      <c r="GL1117" s="127"/>
      <c r="GM1117" s="127"/>
      <c r="GN1117" s="127"/>
      <c r="GO1117" s="127"/>
      <c r="GP1117" s="127"/>
      <c r="GQ1117" s="127"/>
      <c r="GR1117" s="127"/>
      <c r="GS1117" s="127"/>
      <c r="GT1117" s="127"/>
      <c r="GU1117" s="127"/>
      <c r="GV1117" s="127"/>
      <c r="GW1117" s="127"/>
      <c r="GX1117" s="127"/>
      <c r="GY1117" s="127"/>
      <c r="GZ1117" s="127"/>
      <c r="HA1117" s="127"/>
      <c r="HB1117" s="127"/>
      <c r="HC1117" s="127"/>
      <c r="HD1117" s="127"/>
      <c r="HE1117" s="127"/>
      <c r="HF1117" s="127"/>
      <c r="HG1117" s="127"/>
      <c r="HH1117" s="127"/>
      <c r="HI1117" s="127"/>
      <c r="HJ1117" s="127"/>
      <c r="HK1117" s="127"/>
      <c r="HL1117" s="127"/>
      <c r="HM1117" s="127"/>
      <c r="HN1117" s="127"/>
      <c r="HO1117" s="127"/>
      <c r="HP1117" s="127"/>
      <c r="HQ1117" s="127"/>
      <c r="HR1117" s="127"/>
      <c r="HS1117" s="127"/>
      <c r="HT1117" s="127"/>
      <c r="HU1117" s="127"/>
      <c r="HV1117" s="127"/>
      <c r="HW1117" s="127"/>
      <c r="HX1117" s="127"/>
      <c r="HY1117" s="127"/>
      <c r="HZ1117" s="127"/>
      <c r="IA1117" s="127"/>
      <c r="IB1117" s="127"/>
      <c r="IC1117" s="127"/>
      <c r="ID1117" s="127"/>
      <c r="IE1117" s="127"/>
      <c r="IF1117" s="127"/>
      <c r="IG1117" s="127"/>
      <c r="IH1117" s="127"/>
      <c r="II1117" s="127"/>
      <c r="IJ1117" s="127"/>
    </row>
    <row r="1118" spans="1:244">
      <c r="A1118" s="118">
        <v>1117</v>
      </c>
      <c r="B1118" s="128">
        <v>12</v>
      </c>
      <c r="C1118" s="156">
        <v>36892</v>
      </c>
      <c r="D1118" s="157" t="s">
        <v>44</v>
      </c>
      <c r="E1118" s="8">
        <v>2001</v>
      </c>
      <c r="F1118" s="158">
        <f t="shared" si="305"/>
        <v>245</v>
      </c>
      <c r="G1118" s="158">
        <f t="shared" si="306"/>
        <v>1</v>
      </c>
      <c r="H1118" s="162">
        <v>36647</v>
      </c>
      <c r="I1118" s="163">
        <v>511082</v>
      </c>
      <c r="J1118" s="11"/>
      <c r="K1118" s="11"/>
      <c r="L1118" s="11"/>
      <c r="O1118" s="11"/>
      <c r="T1118" s="11"/>
      <c r="V1118" s="11"/>
      <c r="W1118" s="11"/>
      <c r="X1118" s="127"/>
      <c r="Y1118" s="127"/>
      <c r="Z1118" s="127"/>
      <c r="AA1118" s="127"/>
      <c r="AB1118" s="127"/>
      <c r="AC1118" s="127"/>
      <c r="AD1118" s="127"/>
      <c r="AE1118" s="127"/>
      <c r="AF1118" s="127"/>
      <c r="AG1118" s="127"/>
      <c r="AH1118" s="127"/>
      <c r="AI1118" s="127"/>
      <c r="AJ1118" s="127"/>
      <c r="AK1118" s="127"/>
      <c r="AL1118" s="127"/>
      <c r="AM1118" s="127"/>
      <c r="AN1118" s="127"/>
      <c r="AO1118" s="127"/>
      <c r="AP1118" s="127"/>
      <c r="AQ1118" s="127"/>
      <c r="AR1118" s="127"/>
      <c r="AS1118" s="127"/>
      <c r="AT1118" s="127"/>
      <c r="AU1118" s="127"/>
      <c r="AV1118" s="127"/>
      <c r="AW1118" s="127"/>
      <c r="AX1118" s="127"/>
      <c r="AY1118" s="127"/>
      <c r="AZ1118" s="127"/>
      <c r="BA1118" s="127"/>
      <c r="BB1118" s="127"/>
      <c r="BC1118" s="127"/>
      <c r="BD1118" s="127"/>
      <c r="BE1118" s="127"/>
      <c r="BF1118" s="127"/>
      <c r="BG1118" s="127"/>
      <c r="BH1118" s="127"/>
      <c r="BI1118" s="127"/>
      <c r="BJ1118" s="127"/>
      <c r="BK1118" s="127"/>
      <c r="BL1118" s="127"/>
      <c r="BM1118" s="127"/>
      <c r="BN1118" s="127"/>
      <c r="BO1118" s="127"/>
      <c r="BP1118" s="127"/>
      <c r="BQ1118" s="127"/>
      <c r="BR1118" s="127"/>
      <c r="BS1118" s="127"/>
      <c r="BT1118" s="127"/>
      <c r="BU1118" s="127"/>
      <c r="BV1118" s="127"/>
      <c r="BW1118" s="127"/>
      <c r="BX1118" s="127"/>
      <c r="BY1118" s="127"/>
      <c r="BZ1118" s="127"/>
      <c r="CA1118" s="127"/>
      <c r="CB1118" s="127"/>
      <c r="CC1118" s="127"/>
      <c r="CD1118" s="127"/>
      <c r="CE1118" s="127"/>
      <c r="CF1118" s="127"/>
      <c r="CG1118" s="127"/>
      <c r="CH1118" s="127"/>
      <c r="CI1118" s="127"/>
      <c r="CJ1118" s="127"/>
      <c r="CK1118" s="127"/>
      <c r="CL1118" s="127"/>
      <c r="CM1118" s="127"/>
      <c r="CN1118" s="127"/>
      <c r="CO1118" s="127"/>
      <c r="CP1118" s="127"/>
      <c r="CQ1118" s="127"/>
      <c r="CR1118" s="127"/>
      <c r="CS1118" s="127"/>
      <c r="CT1118" s="127"/>
      <c r="CU1118" s="127"/>
      <c r="CV1118" s="127"/>
      <c r="CW1118" s="127"/>
      <c r="CX1118" s="127"/>
      <c r="CY1118" s="127"/>
      <c r="CZ1118" s="127"/>
      <c r="DA1118" s="127"/>
      <c r="DB1118" s="127"/>
      <c r="DC1118" s="127"/>
      <c r="DD1118" s="127"/>
      <c r="DE1118" s="127"/>
      <c r="DF1118" s="127"/>
      <c r="DG1118" s="127"/>
      <c r="DH1118" s="127"/>
      <c r="DI1118" s="127"/>
      <c r="DJ1118" s="127"/>
      <c r="DK1118" s="127"/>
      <c r="DL1118" s="127"/>
      <c r="DM1118" s="127"/>
      <c r="DN1118" s="127"/>
      <c r="DO1118" s="127"/>
      <c r="DP1118" s="127"/>
      <c r="DQ1118" s="127"/>
      <c r="DR1118" s="127"/>
      <c r="DS1118" s="127"/>
      <c r="DT1118" s="127"/>
      <c r="DU1118" s="127"/>
      <c r="DV1118" s="127"/>
      <c r="DW1118" s="127"/>
      <c r="DX1118" s="127"/>
      <c r="DY1118" s="127"/>
      <c r="DZ1118" s="127"/>
      <c r="EA1118" s="127"/>
      <c r="EB1118" s="127"/>
      <c r="EC1118" s="127"/>
      <c r="ED1118" s="127"/>
      <c r="EE1118" s="127"/>
      <c r="EF1118" s="127"/>
      <c r="EG1118" s="127"/>
      <c r="EH1118" s="127"/>
      <c r="EI1118" s="127"/>
      <c r="EJ1118" s="127"/>
      <c r="EK1118" s="127"/>
      <c r="EL1118" s="127"/>
      <c r="EM1118" s="127"/>
      <c r="EN1118" s="127"/>
      <c r="EO1118" s="127"/>
      <c r="EP1118" s="127"/>
      <c r="EQ1118" s="127"/>
      <c r="ER1118" s="127"/>
      <c r="ES1118" s="127"/>
      <c r="ET1118" s="127"/>
      <c r="EU1118" s="127"/>
      <c r="EV1118" s="127"/>
      <c r="EW1118" s="127"/>
      <c r="EX1118" s="127"/>
      <c r="EY1118" s="127"/>
      <c r="EZ1118" s="127"/>
      <c r="FA1118" s="127"/>
      <c r="FB1118" s="127"/>
      <c r="FC1118" s="127"/>
      <c r="FD1118" s="127"/>
      <c r="FE1118" s="127"/>
      <c r="FF1118" s="127"/>
      <c r="FG1118" s="127"/>
      <c r="FH1118" s="127"/>
      <c r="FI1118" s="127"/>
      <c r="FJ1118" s="127"/>
      <c r="FK1118" s="127"/>
      <c r="FL1118" s="127"/>
      <c r="FM1118" s="127"/>
      <c r="FN1118" s="127"/>
      <c r="FO1118" s="127"/>
      <c r="FP1118" s="127"/>
      <c r="FQ1118" s="127"/>
      <c r="FR1118" s="127"/>
      <c r="FS1118" s="127"/>
      <c r="FT1118" s="127"/>
      <c r="FU1118" s="127"/>
      <c r="FV1118" s="127"/>
      <c r="FW1118" s="127"/>
      <c r="FX1118" s="127"/>
      <c r="FY1118" s="127"/>
      <c r="FZ1118" s="127"/>
      <c r="GA1118" s="127"/>
      <c r="GB1118" s="127"/>
      <c r="GC1118" s="127"/>
      <c r="GD1118" s="127"/>
      <c r="GE1118" s="127"/>
      <c r="GF1118" s="127"/>
      <c r="GG1118" s="127"/>
      <c r="GH1118" s="127"/>
      <c r="GI1118" s="127"/>
      <c r="GJ1118" s="127"/>
      <c r="GK1118" s="127"/>
      <c r="GL1118" s="127"/>
      <c r="GM1118" s="127"/>
      <c r="GN1118" s="127"/>
      <c r="GO1118" s="127"/>
      <c r="GP1118" s="127"/>
      <c r="GQ1118" s="127"/>
      <c r="GR1118" s="127"/>
      <c r="GS1118" s="127"/>
      <c r="GT1118" s="127"/>
      <c r="GU1118" s="127"/>
      <c r="GV1118" s="127"/>
      <c r="GW1118" s="127"/>
      <c r="GX1118" s="127"/>
      <c r="GY1118" s="127"/>
      <c r="GZ1118" s="127"/>
      <c r="HA1118" s="127"/>
      <c r="HB1118" s="127"/>
      <c r="HC1118" s="127"/>
      <c r="HD1118" s="127"/>
      <c r="HE1118" s="127"/>
      <c r="HF1118" s="127"/>
      <c r="HG1118" s="127"/>
      <c r="HH1118" s="127"/>
      <c r="HI1118" s="127"/>
      <c r="HJ1118" s="127"/>
      <c r="HK1118" s="127"/>
      <c r="HL1118" s="127"/>
      <c r="HM1118" s="127"/>
      <c r="HN1118" s="127"/>
      <c r="HO1118" s="127"/>
      <c r="HP1118" s="127"/>
      <c r="HQ1118" s="127"/>
      <c r="HR1118" s="127"/>
      <c r="HS1118" s="127"/>
      <c r="HT1118" s="127"/>
      <c r="HU1118" s="127"/>
      <c r="HV1118" s="127"/>
      <c r="HW1118" s="127"/>
      <c r="HX1118" s="127"/>
      <c r="HY1118" s="127"/>
      <c r="HZ1118" s="127"/>
      <c r="IA1118" s="127"/>
      <c r="IB1118" s="127"/>
      <c r="IC1118" s="127"/>
      <c r="ID1118" s="127"/>
      <c r="IE1118" s="127"/>
      <c r="IF1118" s="127"/>
      <c r="IG1118" s="127"/>
      <c r="IH1118" s="127"/>
      <c r="II1118" s="127"/>
      <c r="IJ1118" s="127"/>
    </row>
    <row r="1119" spans="1:244">
      <c r="A1119" s="118">
        <v>1118</v>
      </c>
      <c r="B1119" s="128">
        <v>12</v>
      </c>
      <c r="C1119" s="156">
        <v>36923</v>
      </c>
      <c r="D1119" s="157" t="s">
        <v>45</v>
      </c>
      <c r="E1119" s="8">
        <v>2001</v>
      </c>
      <c r="F1119" s="158"/>
      <c r="G1119" s="158"/>
      <c r="H1119" s="162"/>
      <c r="J1119" s="11"/>
      <c r="K1119" s="11"/>
      <c r="L1119" s="11"/>
      <c r="O1119" s="11"/>
      <c r="S1119" s="155" t="s">
        <v>310</v>
      </c>
      <c r="T1119" s="11"/>
      <c r="V1119" s="11"/>
      <c r="W1119" s="11"/>
      <c r="X1119" s="127"/>
      <c r="Y1119" s="127"/>
      <c r="Z1119" s="127"/>
      <c r="AA1119" s="127"/>
      <c r="AB1119" s="127"/>
      <c r="AC1119" s="127"/>
      <c r="AD1119" s="127"/>
      <c r="AE1119" s="127"/>
      <c r="AF1119" s="127"/>
      <c r="AG1119" s="127"/>
      <c r="AH1119" s="127"/>
      <c r="AI1119" s="127"/>
      <c r="AJ1119" s="127"/>
      <c r="AK1119" s="127"/>
      <c r="AL1119" s="127"/>
      <c r="AM1119" s="127"/>
      <c r="AN1119" s="127"/>
      <c r="AO1119" s="127"/>
      <c r="AP1119" s="127"/>
      <c r="AQ1119" s="127"/>
      <c r="AR1119" s="127"/>
      <c r="AS1119" s="127"/>
      <c r="AT1119" s="127"/>
      <c r="AU1119" s="127"/>
      <c r="AV1119" s="127"/>
      <c r="AW1119" s="127"/>
      <c r="AX1119" s="127"/>
      <c r="AY1119" s="127"/>
      <c r="AZ1119" s="127"/>
      <c r="BA1119" s="127"/>
      <c r="BB1119" s="127"/>
      <c r="BC1119" s="127"/>
      <c r="BD1119" s="127"/>
      <c r="BE1119" s="127"/>
      <c r="BF1119" s="127"/>
      <c r="BG1119" s="127"/>
      <c r="BH1119" s="127"/>
      <c r="BI1119" s="127"/>
      <c r="BJ1119" s="127"/>
      <c r="BK1119" s="127"/>
      <c r="BL1119" s="127"/>
      <c r="BM1119" s="127"/>
      <c r="BN1119" s="127"/>
      <c r="BO1119" s="127"/>
      <c r="BP1119" s="127"/>
      <c r="BQ1119" s="127"/>
      <c r="BR1119" s="127"/>
      <c r="BS1119" s="127"/>
      <c r="BT1119" s="127"/>
      <c r="BU1119" s="127"/>
      <c r="BV1119" s="127"/>
      <c r="BW1119" s="127"/>
      <c r="BX1119" s="127"/>
      <c r="BY1119" s="127"/>
      <c r="BZ1119" s="127"/>
      <c r="CA1119" s="127"/>
      <c r="CB1119" s="127"/>
      <c r="CC1119" s="127"/>
      <c r="CD1119" s="127"/>
      <c r="CE1119" s="127"/>
      <c r="CF1119" s="127"/>
      <c r="CG1119" s="127"/>
      <c r="CH1119" s="127"/>
      <c r="CI1119" s="127"/>
      <c r="CJ1119" s="127"/>
      <c r="CK1119" s="127"/>
      <c r="CL1119" s="127"/>
      <c r="CM1119" s="127"/>
      <c r="CN1119" s="127"/>
      <c r="CO1119" s="127"/>
      <c r="CP1119" s="127"/>
      <c r="CQ1119" s="127"/>
      <c r="CR1119" s="127"/>
      <c r="CS1119" s="127"/>
      <c r="CT1119" s="127"/>
      <c r="CU1119" s="127"/>
      <c r="CV1119" s="127"/>
      <c r="CW1119" s="127"/>
      <c r="CX1119" s="127"/>
      <c r="CY1119" s="127"/>
      <c r="CZ1119" s="127"/>
      <c r="DA1119" s="127"/>
      <c r="DB1119" s="127"/>
      <c r="DC1119" s="127"/>
      <c r="DD1119" s="127"/>
      <c r="DE1119" s="127"/>
      <c r="DF1119" s="127"/>
      <c r="DG1119" s="127"/>
      <c r="DH1119" s="127"/>
      <c r="DI1119" s="127"/>
      <c r="DJ1119" s="127"/>
      <c r="DK1119" s="127"/>
      <c r="DL1119" s="127"/>
      <c r="DM1119" s="127"/>
      <c r="DN1119" s="127"/>
      <c r="DO1119" s="127"/>
      <c r="DP1119" s="127"/>
      <c r="DQ1119" s="127"/>
      <c r="DR1119" s="127"/>
      <c r="DS1119" s="127"/>
      <c r="DT1119" s="127"/>
      <c r="DU1119" s="127"/>
      <c r="DV1119" s="127"/>
      <c r="DW1119" s="127"/>
      <c r="DX1119" s="127"/>
      <c r="DY1119" s="127"/>
      <c r="DZ1119" s="127"/>
      <c r="EA1119" s="127"/>
      <c r="EB1119" s="127"/>
      <c r="EC1119" s="127"/>
      <c r="ED1119" s="127"/>
      <c r="EE1119" s="127"/>
      <c r="EF1119" s="127"/>
      <c r="EG1119" s="127"/>
      <c r="EH1119" s="127"/>
      <c r="EI1119" s="127"/>
      <c r="EJ1119" s="127"/>
      <c r="EK1119" s="127"/>
      <c r="EL1119" s="127"/>
      <c r="EM1119" s="127"/>
      <c r="EN1119" s="127"/>
      <c r="EO1119" s="127"/>
      <c r="EP1119" s="127"/>
      <c r="EQ1119" s="127"/>
      <c r="ER1119" s="127"/>
      <c r="ES1119" s="127"/>
      <c r="ET1119" s="127"/>
      <c r="EU1119" s="127"/>
      <c r="EV1119" s="127"/>
      <c r="EW1119" s="127"/>
      <c r="EX1119" s="127"/>
      <c r="EY1119" s="127"/>
      <c r="EZ1119" s="127"/>
      <c r="FA1119" s="127"/>
      <c r="FB1119" s="127"/>
      <c r="FC1119" s="127"/>
      <c r="FD1119" s="127"/>
      <c r="FE1119" s="127"/>
      <c r="FF1119" s="127"/>
      <c r="FG1119" s="127"/>
      <c r="FH1119" s="127"/>
      <c r="FI1119" s="127"/>
      <c r="FJ1119" s="127"/>
      <c r="FK1119" s="127"/>
      <c r="FL1119" s="127"/>
      <c r="FM1119" s="127"/>
      <c r="FN1119" s="127"/>
      <c r="FO1119" s="127"/>
      <c r="FP1119" s="127"/>
      <c r="FQ1119" s="127"/>
      <c r="FR1119" s="127"/>
      <c r="FS1119" s="127"/>
      <c r="FT1119" s="127"/>
      <c r="FU1119" s="127"/>
      <c r="FV1119" s="127"/>
      <c r="FW1119" s="127"/>
      <c r="FX1119" s="127"/>
      <c r="FY1119" s="127"/>
      <c r="FZ1119" s="127"/>
      <c r="GA1119" s="127"/>
      <c r="GB1119" s="127"/>
      <c r="GC1119" s="127"/>
      <c r="GD1119" s="127"/>
      <c r="GE1119" s="127"/>
      <c r="GF1119" s="127"/>
      <c r="GG1119" s="127"/>
      <c r="GH1119" s="127"/>
      <c r="GI1119" s="127"/>
      <c r="GJ1119" s="127"/>
      <c r="GK1119" s="127"/>
      <c r="GL1119" s="127"/>
      <c r="GM1119" s="127"/>
      <c r="GN1119" s="127"/>
      <c r="GO1119" s="127"/>
      <c r="GP1119" s="127"/>
      <c r="GQ1119" s="127"/>
      <c r="GR1119" s="127"/>
      <c r="GS1119" s="127"/>
      <c r="GT1119" s="127"/>
      <c r="GU1119" s="127"/>
      <c r="GV1119" s="127"/>
      <c r="GW1119" s="127"/>
      <c r="GX1119" s="127"/>
      <c r="GY1119" s="127"/>
      <c r="GZ1119" s="127"/>
      <c r="HA1119" s="127"/>
      <c r="HB1119" s="127"/>
      <c r="HC1119" s="127"/>
      <c r="HD1119" s="127"/>
      <c r="HE1119" s="127"/>
      <c r="HF1119" s="127"/>
      <c r="HG1119" s="127"/>
      <c r="HH1119" s="127"/>
      <c r="HI1119" s="127"/>
      <c r="HJ1119" s="127"/>
      <c r="HK1119" s="127"/>
      <c r="HL1119" s="127"/>
      <c r="HM1119" s="127"/>
      <c r="HN1119" s="127"/>
      <c r="HO1119" s="127"/>
      <c r="HP1119" s="127"/>
      <c r="HQ1119" s="127"/>
      <c r="HR1119" s="127"/>
      <c r="HS1119" s="127"/>
      <c r="HT1119" s="127"/>
      <c r="HU1119" s="127"/>
      <c r="HV1119" s="127"/>
      <c r="HW1119" s="127"/>
      <c r="HX1119" s="127"/>
      <c r="HY1119" s="127"/>
      <c r="HZ1119" s="127"/>
      <c r="IA1119" s="127"/>
      <c r="IB1119" s="127"/>
      <c r="IC1119" s="127"/>
      <c r="ID1119" s="127"/>
      <c r="IE1119" s="127"/>
      <c r="IF1119" s="127"/>
      <c r="IG1119" s="127"/>
      <c r="IH1119" s="127"/>
      <c r="II1119" s="127"/>
      <c r="IJ1119" s="127"/>
    </row>
    <row r="1120" spans="1:244">
      <c r="A1120" s="118">
        <v>1119</v>
      </c>
      <c r="B1120" s="128">
        <v>12</v>
      </c>
      <c r="C1120" s="156">
        <v>36951</v>
      </c>
      <c r="D1120" s="157" t="s">
        <v>46</v>
      </c>
      <c r="E1120" s="8">
        <v>2001</v>
      </c>
      <c r="F1120" s="158"/>
      <c r="G1120" s="162"/>
      <c r="J1120" s="11"/>
      <c r="K1120" s="11"/>
      <c r="L1120" s="11"/>
      <c r="O1120" s="11"/>
      <c r="T1120" s="11"/>
      <c r="V1120" s="11"/>
      <c r="W1120" s="11"/>
      <c r="X1120" s="127"/>
      <c r="Y1120" s="127"/>
      <c r="Z1120" s="127"/>
      <c r="AA1120" s="127"/>
      <c r="AB1120" s="127"/>
      <c r="AC1120" s="127"/>
      <c r="AD1120" s="127"/>
      <c r="AE1120" s="127"/>
      <c r="AF1120" s="127"/>
      <c r="AG1120" s="127"/>
      <c r="AH1120" s="127"/>
      <c r="AI1120" s="127"/>
      <c r="AJ1120" s="127"/>
      <c r="AK1120" s="127"/>
      <c r="AL1120" s="127"/>
      <c r="AM1120" s="127"/>
      <c r="AN1120" s="127"/>
      <c r="AO1120" s="127"/>
      <c r="AP1120" s="127"/>
      <c r="AQ1120" s="127"/>
      <c r="AR1120" s="127"/>
      <c r="AS1120" s="127"/>
      <c r="AT1120" s="127"/>
      <c r="AU1120" s="127"/>
      <c r="AV1120" s="127"/>
      <c r="AW1120" s="127"/>
      <c r="AX1120" s="127"/>
      <c r="AY1120" s="127"/>
      <c r="AZ1120" s="127"/>
      <c r="BA1120" s="127"/>
      <c r="BB1120" s="127"/>
      <c r="BC1120" s="127"/>
      <c r="BD1120" s="127"/>
      <c r="BE1120" s="127"/>
      <c r="BF1120" s="127"/>
      <c r="BG1120" s="127"/>
      <c r="BH1120" s="127"/>
      <c r="BI1120" s="127"/>
      <c r="BJ1120" s="127"/>
      <c r="BK1120" s="127"/>
      <c r="BL1120" s="127"/>
      <c r="BM1120" s="127"/>
      <c r="BN1120" s="127"/>
      <c r="BO1120" s="127"/>
      <c r="BP1120" s="127"/>
      <c r="BQ1120" s="127"/>
      <c r="BR1120" s="127"/>
      <c r="BS1120" s="127"/>
      <c r="BT1120" s="127"/>
      <c r="BU1120" s="127"/>
      <c r="BV1120" s="127"/>
      <c r="BW1120" s="127"/>
      <c r="BX1120" s="127"/>
      <c r="BY1120" s="127"/>
      <c r="BZ1120" s="127"/>
      <c r="CA1120" s="127"/>
      <c r="CB1120" s="127"/>
      <c r="CC1120" s="127"/>
      <c r="CD1120" s="127"/>
      <c r="CE1120" s="127"/>
      <c r="CF1120" s="127"/>
      <c r="CG1120" s="127"/>
      <c r="CH1120" s="127"/>
      <c r="CI1120" s="127"/>
      <c r="CJ1120" s="127"/>
      <c r="CK1120" s="127"/>
      <c r="CL1120" s="127"/>
      <c r="CM1120" s="127"/>
      <c r="CN1120" s="127"/>
      <c r="CO1120" s="127"/>
      <c r="CP1120" s="127"/>
      <c r="CQ1120" s="127"/>
      <c r="CR1120" s="127"/>
      <c r="CS1120" s="127"/>
      <c r="CT1120" s="127"/>
      <c r="CU1120" s="127"/>
      <c r="CV1120" s="127"/>
      <c r="CW1120" s="127"/>
      <c r="CX1120" s="127"/>
      <c r="CY1120" s="127"/>
      <c r="CZ1120" s="127"/>
      <c r="DA1120" s="127"/>
      <c r="DB1120" s="127"/>
      <c r="DC1120" s="127"/>
      <c r="DD1120" s="127"/>
      <c r="DE1120" s="127"/>
      <c r="DF1120" s="127"/>
      <c r="DG1120" s="127"/>
      <c r="DH1120" s="127"/>
      <c r="DI1120" s="127"/>
      <c r="DJ1120" s="127"/>
      <c r="DK1120" s="127"/>
      <c r="DL1120" s="127"/>
      <c r="DM1120" s="127"/>
      <c r="DN1120" s="127"/>
      <c r="DO1120" s="127"/>
      <c r="DP1120" s="127"/>
      <c r="DQ1120" s="127"/>
      <c r="DR1120" s="127"/>
      <c r="DS1120" s="127"/>
      <c r="DT1120" s="127"/>
      <c r="DU1120" s="127"/>
      <c r="DV1120" s="127"/>
      <c r="DW1120" s="127"/>
      <c r="DX1120" s="127"/>
      <c r="DY1120" s="127"/>
      <c r="DZ1120" s="127"/>
      <c r="EA1120" s="127"/>
      <c r="EB1120" s="127"/>
      <c r="EC1120" s="127"/>
      <c r="ED1120" s="127"/>
      <c r="EE1120" s="127"/>
      <c r="EF1120" s="127"/>
      <c r="EG1120" s="127"/>
      <c r="EH1120" s="127"/>
      <c r="EI1120" s="127"/>
      <c r="EJ1120" s="127"/>
      <c r="EK1120" s="127"/>
      <c r="EL1120" s="127"/>
      <c r="EM1120" s="127"/>
      <c r="EN1120" s="127"/>
      <c r="EO1120" s="127"/>
      <c r="EP1120" s="127"/>
      <c r="EQ1120" s="127"/>
      <c r="ER1120" s="127"/>
      <c r="ES1120" s="127"/>
      <c r="ET1120" s="127"/>
      <c r="EU1120" s="127"/>
      <c r="EV1120" s="127"/>
      <c r="EW1120" s="127"/>
      <c r="EX1120" s="127"/>
      <c r="EY1120" s="127"/>
      <c r="EZ1120" s="127"/>
      <c r="FA1120" s="127"/>
      <c r="FB1120" s="127"/>
      <c r="FC1120" s="127"/>
      <c r="FD1120" s="127"/>
      <c r="FE1120" s="127"/>
      <c r="FF1120" s="127"/>
      <c r="FG1120" s="127"/>
      <c r="FH1120" s="127"/>
      <c r="FI1120" s="127"/>
      <c r="FJ1120" s="127"/>
      <c r="FK1120" s="127"/>
      <c r="FL1120" s="127"/>
      <c r="FM1120" s="127"/>
      <c r="FN1120" s="127"/>
      <c r="FO1120" s="127"/>
      <c r="FP1120" s="127"/>
      <c r="FQ1120" s="127"/>
      <c r="FR1120" s="127"/>
      <c r="FS1120" s="127"/>
      <c r="FT1120" s="127"/>
      <c r="FU1120" s="127"/>
      <c r="FV1120" s="127"/>
      <c r="FW1120" s="127"/>
      <c r="FX1120" s="127"/>
      <c r="FY1120" s="127"/>
      <c r="FZ1120" s="127"/>
      <c r="GA1120" s="127"/>
      <c r="GB1120" s="127"/>
      <c r="GC1120" s="127"/>
      <c r="GD1120" s="127"/>
      <c r="GE1120" s="127"/>
      <c r="GF1120" s="127"/>
      <c r="GG1120" s="127"/>
      <c r="GH1120" s="127"/>
      <c r="GI1120" s="127"/>
      <c r="GJ1120" s="127"/>
      <c r="GK1120" s="127"/>
      <c r="GL1120" s="127"/>
      <c r="GM1120" s="127"/>
      <c r="GN1120" s="127"/>
      <c r="GO1120" s="127"/>
      <c r="GP1120" s="127"/>
      <c r="GQ1120" s="127"/>
      <c r="GR1120" s="127"/>
      <c r="GS1120" s="127"/>
      <c r="GT1120" s="127"/>
      <c r="GU1120" s="127"/>
      <c r="GV1120" s="127"/>
      <c r="GW1120" s="127"/>
      <c r="GX1120" s="127"/>
      <c r="GY1120" s="127"/>
      <c r="GZ1120" s="127"/>
      <c r="HA1120" s="127"/>
      <c r="HB1120" s="127"/>
      <c r="HC1120" s="127"/>
      <c r="HD1120" s="127"/>
      <c r="HE1120" s="127"/>
      <c r="HF1120" s="127"/>
      <c r="HG1120" s="127"/>
      <c r="HH1120" s="127"/>
      <c r="HI1120" s="127"/>
      <c r="HJ1120" s="127"/>
      <c r="HK1120" s="127"/>
      <c r="HL1120" s="127"/>
      <c r="HM1120" s="127"/>
      <c r="HN1120" s="127"/>
      <c r="HO1120" s="127"/>
      <c r="HP1120" s="127"/>
      <c r="HQ1120" s="127"/>
      <c r="HR1120" s="127"/>
      <c r="HS1120" s="127"/>
      <c r="HT1120" s="127"/>
      <c r="HU1120" s="127"/>
      <c r="HV1120" s="127"/>
      <c r="HW1120" s="127"/>
      <c r="HX1120" s="127"/>
      <c r="HY1120" s="127"/>
      <c r="HZ1120" s="127"/>
      <c r="IA1120" s="127"/>
      <c r="IB1120" s="127"/>
      <c r="IC1120" s="127"/>
      <c r="ID1120" s="127"/>
      <c r="IE1120" s="127"/>
      <c r="IF1120" s="127"/>
      <c r="IG1120" s="127"/>
      <c r="IH1120" s="127"/>
      <c r="II1120" s="127"/>
      <c r="IJ1120" s="127"/>
    </row>
    <row r="1121" spans="1:244">
      <c r="A1121" s="118">
        <v>1120</v>
      </c>
      <c r="B1121" s="128">
        <v>12</v>
      </c>
      <c r="C1121" s="156">
        <v>36982</v>
      </c>
      <c r="D1121" s="157" t="s">
        <v>47</v>
      </c>
      <c r="E1121" s="8">
        <v>2001</v>
      </c>
      <c r="F1121" s="158"/>
      <c r="G1121" s="162"/>
      <c r="J1121" s="11"/>
      <c r="K1121" s="11"/>
      <c r="L1121" s="11"/>
      <c r="O1121" s="11"/>
      <c r="T1121" s="11"/>
      <c r="V1121" s="11"/>
      <c r="W1121" s="11"/>
      <c r="X1121" s="127"/>
      <c r="Y1121" s="127"/>
      <c r="Z1121" s="127"/>
      <c r="AA1121" s="127"/>
      <c r="AB1121" s="127"/>
      <c r="AC1121" s="127"/>
      <c r="AD1121" s="127"/>
      <c r="AE1121" s="127"/>
      <c r="AF1121" s="127"/>
      <c r="AG1121" s="127"/>
      <c r="AH1121" s="127"/>
      <c r="AI1121" s="127"/>
      <c r="AJ1121" s="127"/>
      <c r="AK1121" s="127"/>
      <c r="AL1121" s="127"/>
      <c r="AM1121" s="127"/>
      <c r="AN1121" s="127"/>
      <c r="AO1121" s="127"/>
      <c r="AP1121" s="127"/>
      <c r="AQ1121" s="127"/>
      <c r="AR1121" s="127"/>
      <c r="AS1121" s="127"/>
      <c r="AT1121" s="127"/>
      <c r="AU1121" s="127"/>
      <c r="AV1121" s="127"/>
      <c r="AW1121" s="127"/>
      <c r="AX1121" s="127"/>
      <c r="AY1121" s="127"/>
      <c r="AZ1121" s="127"/>
      <c r="BA1121" s="127"/>
      <c r="BB1121" s="127"/>
      <c r="BC1121" s="127"/>
      <c r="BD1121" s="127"/>
      <c r="BE1121" s="127"/>
      <c r="BF1121" s="127"/>
      <c r="BG1121" s="127"/>
      <c r="BH1121" s="127"/>
      <c r="BI1121" s="127"/>
      <c r="BJ1121" s="127"/>
      <c r="BK1121" s="127"/>
      <c r="BL1121" s="127"/>
      <c r="BM1121" s="127"/>
      <c r="BN1121" s="127"/>
      <c r="BO1121" s="127"/>
      <c r="BP1121" s="127"/>
      <c r="BQ1121" s="127"/>
      <c r="BR1121" s="127"/>
      <c r="BS1121" s="127"/>
      <c r="BT1121" s="127"/>
      <c r="BU1121" s="127"/>
      <c r="BV1121" s="127"/>
      <c r="BW1121" s="127"/>
      <c r="BX1121" s="127"/>
      <c r="BY1121" s="127"/>
      <c r="BZ1121" s="127"/>
      <c r="CA1121" s="127"/>
      <c r="CB1121" s="127"/>
      <c r="CC1121" s="127"/>
      <c r="CD1121" s="127"/>
      <c r="CE1121" s="127"/>
      <c r="CF1121" s="127"/>
      <c r="CG1121" s="127"/>
      <c r="CH1121" s="127"/>
      <c r="CI1121" s="127"/>
      <c r="CJ1121" s="127"/>
      <c r="CK1121" s="127"/>
      <c r="CL1121" s="127"/>
      <c r="CM1121" s="127"/>
      <c r="CN1121" s="127"/>
      <c r="CO1121" s="127"/>
      <c r="CP1121" s="127"/>
      <c r="CQ1121" s="127"/>
      <c r="CR1121" s="127"/>
      <c r="CS1121" s="127"/>
      <c r="CT1121" s="127"/>
      <c r="CU1121" s="127"/>
      <c r="CV1121" s="127"/>
      <c r="CW1121" s="127"/>
      <c r="CX1121" s="127"/>
      <c r="CY1121" s="127"/>
      <c r="CZ1121" s="127"/>
      <c r="DA1121" s="127"/>
      <c r="DB1121" s="127"/>
      <c r="DC1121" s="127"/>
      <c r="DD1121" s="127"/>
      <c r="DE1121" s="127"/>
      <c r="DF1121" s="127"/>
      <c r="DG1121" s="127"/>
      <c r="DH1121" s="127"/>
      <c r="DI1121" s="127"/>
      <c r="DJ1121" s="127"/>
      <c r="DK1121" s="127"/>
      <c r="DL1121" s="127"/>
      <c r="DM1121" s="127"/>
      <c r="DN1121" s="127"/>
      <c r="DO1121" s="127"/>
      <c r="DP1121" s="127"/>
      <c r="DQ1121" s="127"/>
      <c r="DR1121" s="127"/>
      <c r="DS1121" s="127"/>
      <c r="DT1121" s="127"/>
      <c r="DU1121" s="127"/>
      <c r="DV1121" s="127"/>
      <c r="DW1121" s="127"/>
      <c r="DX1121" s="127"/>
      <c r="DY1121" s="127"/>
      <c r="DZ1121" s="127"/>
      <c r="EA1121" s="127"/>
      <c r="EB1121" s="127"/>
      <c r="EC1121" s="127"/>
      <c r="ED1121" s="127"/>
      <c r="EE1121" s="127"/>
      <c r="EF1121" s="127"/>
      <c r="EG1121" s="127"/>
      <c r="EH1121" s="127"/>
      <c r="EI1121" s="127"/>
      <c r="EJ1121" s="127"/>
      <c r="EK1121" s="127"/>
      <c r="EL1121" s="127"/>
      <c r="EM1121" s="127"/>
      <c r="EN1121" s="127"/>
      <c r="EO1121" s="127"/>
      <c r="EP1121" s="127"/>
      <c r="EQ1121" s="127"/>
      <c r="ER1121" s="127"/>
      <c r="ES1121" s="127"/>
      <c r="ET1121" s="127"/>
      <c r="EU1121" s="127"/>
      <c r="EV1121" s="127"/>
      <c r="EW1121" s="127"/>
      <c r="EX1121" s="127"/>
      <c r="EY1121" s="127"/>
      <c r="EZ1121" s="127"/>
      <c r="FA1121" s="127"/>
      <c r="FB1121" s="127"/>
      <c r="FC1121" s="127"/>
      <c r="FD1121" s="127"/>
      <c r="FE1121" s="127"/>
      <c r="FF1121" s="127"/>
      <c r="FG1121" s="127"/>
      <c r="FH1121" s="127"/>
      <c r="FI1121" s="127"/>
      <c r="FJ1121" s="127"/>
      <c r="FK1121" s="127"/>
      <c r="FL1121" s="127"/>
      <c r="FM1121" s="127"/>
      <c r="FN1121" s="127"/>
      <c r="FO1121" s="127"/>
      <c r="FP1121" s="127"/>
      <c r="FQ1121" s="127"/>
      <c r="FR1121" s="127"/>
      <c r="FS1121" s="127"/>
      <c r="FT1121" s="127"/>
      <c r="FU1121" s="127"/>
      <c r="FV1121" s="127"/>
      <c r="FW1121" s="127"/>
      <c r="FX1121" s="127"/>
      <c r="FY1121" s="127"/>
      <c r="FZ1121" s="127"/>
      <c r="GA1121" s="127"/>
      <c r="GB1121" s="127"/>
      <c r="GC1121" s="127"/>
      <c r="GD1121" s="127"/>
      <c r="GE1121" s="127"/>
      <c r="GF1121" s="127"/>
      <c r="GG1121" s="127"/>
      <c r="GH1121" s="127"/>
      <c r="GI1121" s="127"/>
      <c r="GJ1121" s="127"/>
      <c r="GK1121" s="127"/>
      <c r="GL1121" s="127"/>
      <c r="GM1121" s="127"/>
      <c r="GN1121" s="127"/>
      <c r="GO1121" s="127"/>
      <c r="GP1121" s="127"/>
      <c r="GQ1121" s="127"/>
      <c r="GR1121" s="127"/>
      <c r="GS1121" s="127"/>
      <c r="GT1121" s="127"/>
      <c r="GU1121" s="127"/>
      <c r="GV1121" s="127"/>
      <c r="GW1121" s="127"/>
      <c r="GX1121" s="127"/>
      <c r="GY1121" s="127"/>
      <c r="GZ1121" s="127"/>
      <c r="HA1121" s="127"/>
      <c r="HB1121" s="127"/>
      <c r="HC1121" s="127"/>
      <c r="HD1121" s="127"/>
      <c r="HE1121" s="127"/>
      <c r="HF1121" s="127"/>
      <c r="HG1121" s="127"/>
      <c r="HH1121" s="127"/>
      <c r="HI1121" s="127"/>
      <c r="HJ1121" s="127"/>
      <c r="HK1121" s="127"/>
      <c r="HL1121" s="127"/>
      <c r="HM1121" s="127"/>
      <c r="HN1121" s="127"/>
      <c r="HO1121" s="127"/>
      <c r="HP1121" s="127"/>
      <c r="HQ1121" s="127"/>
      <c r="HR1121" s="127"/>
      <c r="HS1121" s="127"/>
      <c r="HT1121" s="127"/>
      <c r="HU1121" s="127"/>
      <c r="HV1121" s="127"/>
      <c r="HW1121" s="127"/>
      <c r="HX1121" s="127"/>
      <c r="HY1121" s="127"/>
      <c r="HZ1121" s="127"/>
      <c r="IA1121" s="127"/>
      <c r="IB1121" s="127"/>
      <c r="IC1121" s="127"/>
      <c r="ID1121" s="127"/>
      <c r="IE1121" s="127"/>
      <c r="IF1121" s="127"/>
      <c r="IG1121" s="127"/>
      <c r="IH1121" s="127"/>
      <c r="II1121" s="127"/>
      <c r="IJ1121" s="127"/>
    </row>
    <row r="1122" spans="1:244" ht="12.75" customHeight="1">
      <c r="A1122" s="118">
        <v>1121</v>
      </c>
      <c r="B1122" s="128">
        <v>12</v>
      </c>
      <c r="C1122" s="156">
        <v>37012</v>
      </c>
      <c r="D1122" s="157" t="s">
        <v>48</v>
      </c>
      <c r="E1122" s="8">
        <v>2001</v>
      </c>
      <c r="F1122" s="158"/>
      <c r="G1122" s="162"/>
      <c r="J1122" s="11"/>
      <c r="K1122" s="11"/>
      <c r="L1122" s="11"/>
      <c r="O1122" s="11"/>
      <c r="T1122" s="11"/>
      <c r="V1122" s="11"/>
      <c r="W1122" s="11"/>
    </row>
    <row r="1123" spans="1:244" ht="12.75" customHeight="1">
      <c r="A1123" s="118">
        <v>1122</v>
      </c>
      <c r="B1123" s="128">
        <v>12</v>
      </c>
      <c r="C1123" s="156">
        <v>37043</v>
      </c>
      <c r="D1123" s="157" t="s">
        <v>49</v>
      </c>
      <c r="E1123" s="8">
        <v>2001</v>
      </c>
      <c r="F1123" s="158"/>
      <c r="G1123" s="162"/>
      <c r="J1123" s="11"/>
      <c r="K1123" s="11"/>
      <c r="L1123" s="11"/>
      <c r="O1123" s="11"/>
      <c r="T1123" s="11"/>
      <c r="V1123" s="11"/>
      <c r="W1123" s="11"/>
    </row>
    <row r="1124" spans="1:244" ht="12.75" customHeight="1">
      <c r="A1124" s="118">
        <v>1123</v>
      </c>
      <c r="B1124" s="128">
        <v>12</v>
      </c>
      <c r="C1124" s="156">
        <v>37073</v>
      </c>
      <c r="D1124" s="157" t="s">
        <v>50</v>
      </c>
      <c r="E1124" s="8">
        <v>2001</v>
      </c>
      <c r="F1124" s="158"/>
      <c r="G1124" s="162"/>
      <c r="J1124" s="11"/>
      <c r="K1124" s="11"/>
      <c r="L1124" s="11"/>
      <c r="O1124" s="11"/>
      <c r="T1124" s="11"/>
      <c r="V1124" s="11"/>
      <c r="W1124" s="11"/>
    </row>
    <row r="1125" spans="1:244" ht="12.75" customHeight="1">
      <c r="A1125" s="118">
        <v>1124</v>
      </c>
      <c r="B1125" s="128">
        <v>12</v>
      </c>
      <c r="C1125" s="156">
        <v>37104</v>
      </c>
      <c r="D1125" s="157" t="s">
        <v>51</v>
      </c>
      <c r="E1125" s="8">
        <v>2001</v>
      </c>
      <c r="F1125" s="158"/>
      <c r="G1125" s="162"/>
      <c r="J1125" s="11"/>
      <c r="K1125" s="11"/>
      <c r="L1125" s="11"/>
      <c r="O1125" s="11"/>
      <c r="T1125" s="11"/>
      <c r="V1125" s="11"/>
      <c r="W1125" s="11"/>
    </row>
    <row r="1126" spans="1:244" ht="12.75" customHeight="1">
      <c r="A1126" s="118">
        <v>1125</v>
      </c>
      <c r="B1126" s="128">
        <v>12</v>
      </c>
      <c r="C1126" s="156">
        <v>37135</v>
      </c>
      <c r="D1126" s="157" t="s">
        <v>52</v>
      </c>
      <c r="E1126" s="8">
        <v>2001</v>
      </c>
      <c r="F1126" s="158"/>
      <c r="G1126" s="162"/>
      <c r="J1126" s="11"/>
      <c r="K1126" s="11"/>
      <c r="L1126" s="11"/>
      <c r="O1126" s="11"/>
      <c r="T1126" s="11"/>
      <c r="V1126" s="11"/>
      <c r="W1126" s="11"/>
    </row>
    <row r="1127" spans="1:244" ht="12.75" customHeight="1">
      <c r="A1127" s="118">
        <v>1126</v>
      </c>
      <c r="B1127" s="128">
        <v>12</v>
      </c>
      <c r="C1127" s="156">
        <v>37165</v>
      </c>
      <c r="D1127" s="157" t="s">
        <v>53</v>
      </c>
      <c r="E1127" s="8">
        <v>2001</v>
      </c>
      <c r="F1127" s="158"/>
      <c r="G1127" s="162"/>
      <c r="H1127" s="162"/>
      <c r="J1127" s="11"/>
      <c r="K1127" s="11"/>
      <c r="L1127" s="11"/>
      <c r="O1127" s="11"/>
      <c r="T1127" s="11"/>
      <c r="V1127" s="11"/>
      <c r="W1127" s="11"/>
    </row>
    <row r="1128" spans="1:244" ht="12.75" customHeight="1">
      <c r="A1128" s="118">
        <v>1127</v>
      </c>
      <c r="B1128" s="128">
        <v>12</v>
      </c>
      <c r="C1128" s="156">
        <v>37196</v>
      </c>
      <c r="D1128" s="157" t="s">
        <v>54</v>
      </c>
      <c r="E1128" s="8">
        <v>2001</v>
      </c>
      <c r="F1128" s="158"/>
      <c r="G1128" s="162"/>
      <c r="H1128" s="162"/>
      <c r="J1128" s="11"/>
      <c r="K1128" s="11"/>
      <c r="L1128" s="11"/>
      <c r="O1128" s="11"/>
      <c r="T1128" s="11"/>
      <c r="V1128" s="11"/>
      <c r="W1128" s="11"/>
    </row>
    <row r="1129" spans="1:244" ht="12.75" customHeight="1">
      <c r="A1129" s="118">
        <v>1128</v>
      </c>
      <c r="B1129" s="128">
        <v>12</v>
      </c>
      <c r="C1129" s="156">
        <v>37226</v>
      </c>
      <c r="D1129" s="157" t="s">
        <v>55</v>
      </c>
      <c r="E1129" s="8">
        <v>2001</v>
      </c>
      <c r="F1129" s="158"/>
      <c r="G1129" s="162"/>
      <c r="H1129" s="162"/>
      <c r="J1129" s="11"/>
      <c r="K1129" s="11"/>
      <c r="L1129" s="11"/>
      <c r="O1129" s="11"/>
      <c r="T1129" s="11"/>
      <c r="V1129" s="11"/>
      <c r="W1129" s="11"/>
    </row>
    <row r="1130" spans="1:244" ht="12.75" customHeight="1">
      <c r="A1130" s="118">
        <v>1129</v>
      </c>
      <c r="B1130" s="128">
        <v>12</v>
      </c>
      <c r="C1130" s="156">
        <v>37257</v>
      </c>
      <c r="D1130" s="157" t="s">
        <v>44</v>
      </c>
      <c r="E1130" s="8">
        <v>2002</v>
      </c>
      <c r="F1130" s="158"/>
      <c r="G1130" s="162"/>
      <c r="H1130" s="162"/>
      <c r="J1130" s="11"/>
      <c r="K1130" s="11"/>
      <c r="L1130" s="11"/>
      <c r="O1130" s="11"/>
      <c r="T1130" s="11"/>
      <c r="V1130" s="11"/>
      <c r="W1130" s="11"/>
    </row>
    <row r="1131" spans="1:244" ht="12.75" customHeight="1">
      <c r="A1131" s="118">
        <v>1130</v>
      </c>
      <c r="B1131" s="128">
        <v>12</v>
      </c>
      <c r="C1131" s="156">
        <v>37288</v>
      </c>
      <c r="D1131" s="157" t="s">
        <v>45</v>
      </c>
      <c r="E1131" s="8">
        <v>2002</v>
      </c>
      <c r="F1131" s="158"/>
      <c r="G1131" s="162"/>
      <c r="H1131" s="162"/>
      <c r="J1131" s="11"/>
      <c r="K1131" s="11"/>
      <c r="L1131" s="11"/>
      <c r="O1131" s="11"/>
      <c r="T1131" s="11"/>
      <c r="V1131" s="11"/>
      <c r="W1131" s="11"/>
    </row>
    <row r="1132" spans="1:244" ht="12.75" customHeight="1">
      <c r="A1132" s="118">
        <v>1131</v>
      </c>
      <c r="B1132" s="128">
        <v>12</v>
      </c>
      <c r="C1132" s="156">
        <v>37316</v>
      </c>
      <c r="D1132" s="157" t="s">
        <v>46</v>
      </c>
      <c r="E1132" s="8">
        <v>2002</v>
      </c>
      <c r="F1132" s="158"/>
      <c r="G1132" s="162"/>
      <c r="H1132" s="162"/>
      <c r="J1132" s="11"/>
      <c r="K1132" s="11"/>
      <c r="L1132" s="11"/>
      <c r="O1132" s="11"/>
      <c r="T1132" s="11"/>
      <c r="V1132" s="11"/>
      <c r="W1132" s="11"/>
    </row>
    <row r="1133" spans="1:244" ht="12.75" customHeight="1">
      <c r="A1133" s="118">
        <v>1132</v>
      </c>
      <c r="B1133" s="128">
        <v>12</v>
      </c>
      <c r="C1133" s="156">
        <v>37347</v>
      </c>
      <c r="D1133" s="157" t="s">
        <v>47</v>
      </c>
      <c r="E1133" s="8">
        <v>2002</v>
      </c>
      <c r="F1133" s="158"/>
      <c r="G1133" s="162"/>
      <c r="J1133" s="166"/>
      <c r="K1133" s="11"/>
      <c r="L1133" s="11"/>
      <c r="O1133" s="11"/>
      <c r="T1133" s="11"/>
      <c r="V1133" s="11"/>
      <c r="W1133" s="11"/>
    </row>
    <row r="1134" spans="1:244" ht="12.75" customHeight="1">
      <c r="A1134" s="118">
        <v>1133</v>
      </c>
      <c r="B1134" s="128">
        <v>12</v>
      </c>
      <c r="C1134" s="156">
        <v>37377</v>
      </c>
      <c r="D1134" s="157" t="s">
        <v>48</v>
      </c>
      <c r="E1134" s="8">
        <v>2002</v>
      </c>
      <c r="F1134" s="158"/>
      <c r="G1134" s="162"/>
      <c r="J1134" s="166"/>
      <c r="K1134" s="11"/>
      <c r="L1134" s="11"/>
      <c r="O1134" s="11"/>
      <c r="T1134" s="11"/>
      <c r="V1134" s="11"/>
      <c r="W1134" s="11"/>
    </row>
    <row r="1135" spans="1:244" ht="12.75" customHeight="1">
      <c r="A1135" s="118">
        <v>1134</v>
      </c>
      <c r="B1135" s="128">
        <v>12</v>
      </c>
      <c r="C1135" s="156">
        <v>37408</v>
      </c>
      <c r="D1135" s="157" t="s">
        <v>49</v>
      </c>
      <c r="E1135" s="8">
        <v>2002</v>
      </c>
      <c r="F1135" s="158"/>
      <c r="G1135" s="162"/>
      <c r="J1135" s="166"/>
      <c r="K1135" s="11"/>
      <c r="L1135" s="11"/>
      <c r="O1135" s="11"/>
      <c r="T1135" s="11"/>
      <c r="V1135" s="11"/>
      <c r="W1135" s="11"/>
    </row>
    <row r="1136" spans="1:244" ht="12.75" customHeight="1">
      <c r="A1136" s="118">
        <v>1135</v>
      </c>
      <c r="B1136" s="128">
        <v>12</v>
      </c>
      <c r="C1136" s="156">
        <v>37438</v>
      </c>
      <c r="D1136" s="157" t="s">
        <v>50</v>
      </c>
      <c r="E1136" s="8">
        <v>2002</v>
      </c>
      <c r="F1136" s="158"/>
      <c r="G1136" s="162"/>
      <c r="J1136" s="166"/>
      <c r="K1136" s="11"/>
      <c r="L1136" s="11"/>
      <c r="O1136" s="11"/>
      <c r="T1136" s="11"/>
      <c r="V1136" s="11"/>
      <c r="W1136" s="11"/>
    </row>
    <row r="1137" spans="1:23" ht="12.75" customHeight="1">
      <c r="A1137" s="118">
        <v>1136</v>
      </c>
      <c r="B1137" s="128">
        <v>12</v>
      </c>
      <c r="C1137" s="156">
        <v>37469</v>
      </c>
      <c r="D1137" s="157" t="s">
        <v>51</v>
      </c>
      <c r="E1137" s="8">
        <v>2002</v>
      </c>
      <c r="F1137" s="158"/>
      <c r="G1137" s="162"/>
      <c r="J1137" s="166"/>
      <c r="K1137" s="11"/>
      <c r="L1137" s="11"/>
      <c r="O1137" s="11"/>
      <c r="T1137" s="11"/>
      <c r="V1137" s="11"/>
      <c r="W1137" s="11"/>
    </row>
    <row r="1138" spans="1:23" ht="12.75" customHeight="1">
      <c r="A1138" s="118">
        <v>1137</v>
      </c>
      <c r="B1138" s="128">
        <v>12</v>
      </c>
      <c r="C1138" s="156">
        <v>37500</v>
      </c>
      <c r="D1138" s="157" t="s">
        <v>52</v>
      </c>
      <c r="E1138" s="8">
        <v>2002</v>
      </c>
      <c r="F1138" s="158"/>
      <c r="G1138" s="162"/>
      <c r="J1138" s="11"/>
      <c r="K1138" s="11"/>
      <c r="L1138" s="11"/>
      <c r="O1138" s="11"/>
      <c r="T1138" s="11"/>
      <c r="V1138" s="11"/>
      <c r="W1138" s="11"/>
    </row>
    <row r="1139" spans="1:23" ht="12.75" customHeight="1">
      <c r="A1139" s="118">
        <v>1138</v>
      </c>
      <c r="B1139" s="128">
        <v>12</v>
      </c>
      <c r="C1139" s="156">
        <v>37530</v>
      </c>
      <c r="D1139" s="157" t="s">
        <v>53</v>
      </c>
      <c r="E1139" s="8">
        <v>2002</v>
      </c>
      <c r="F1139" s="158"/>
      <c r="G1139" s="162"/>
      <c r="J1139" s="11"/>
      <c r="K1139" s="11"/>
      <c r="L1139" s="11"/>
      <c r="O1139" s="11"/>
      <c r="T1139" s="11"/>
      <c r="V1139" s="11"/>
      <c r="W1139" s="11"/>
    </row>
    <row r="1140" spans="1:23" ht="12.75" customHeight="1">
      <c r="A1140" s="118">
        <v>1139</v>
      </c>
      <c r="B1140" s="128">
        <v>12</v>
      </c>
      <c r="C1140" s="156">
        <v>37561</v>
      </c>
      <c r="D1140" s="157" t="s">
        <v>54</v>
      </c>
      <c r="E1140" s="8">
        <v>2002</v>
      </c>
      <c r="F1140" s="158"/>
      <c r="G1140" s="162"/>
      <c r="J1140" s="11"/>
      <c r="K1140" s="11"/>
      <c r="L1140" s="11"/>
      <c r="O1140" s="11"/>
      <c r="T1140" s="11"/>
      <c r="V1140" s="11"/>
      <c r="W1140" s="11"/>
    </row>
    <row r="1141" spans="1:23" ht="12.75" customHeight="1">
      <c r="A1141" s="118">
        <v>1140</v>
      </c>
      <c r="B1141" s="128">
        <v>12</v>
      </c>
      <c r="C1141" s="156">
        <v>37591</v>
      </c>
      <c r="D1141" s="157" t="s">
        <v>55</v>
      </c>
      <c r="E1141" s="8">
        <v>2002</v>
      </c>
      <c r="F1141" s="158"/>
      <c r="G1141" s="162"/>
      <c r="J1141" s="11"/>
      <c r="K1141" s="11"/>
      <c r="L1141" s="11"/>
      <c r="O1141" s="11"/>
      <c r="T1141" s="11"/>
      <c r="V1141" s="11"/>
      <c r="W1141" s="11"/>
    </row>
    <row r="1142" spans="1:23" ht="12.75" customHeight="1">
      <c r="A1142" s="118">
        <v>1141</v>
      </c>
      <c r="B1142" s="128">
        <v>13</v>
      </c>
      <c r="C1142" s="156">
        <v>36526</v>
      </c>
      <c r="D1142" s="157" t="s">
        <v>44</v>
      </c>
      <c r="E1142" s="8">
        <v>2000</v>
      </c>
      <c r="F1142" s="158">
        <f t="shared" ref="F1142:F1157" si="307">C1142-H1142</f>
        <v>306</v>
      </c>
      <c r="G1142" s="158">
        <f t="shared" ref="G1142:G1155" si="308">IF(F1142&lt;365,1,2)</f>
        <v>1</v>
      </c>
      <c r="H1142" s="162">
        <v>36220</v>
      </c>
      <c r="I1142" s="163">
        <v>379677</v>
      </c>
      <c r="J1142" s="11"/>
      <c r="K1142" s="11"/>
      <c r="L1142" s="11"/>
      <c r="O1142" s="11"/>
      <c r="T1142" s="11"/>
      <c r="V1142" s="11"/>
      <c r="W1142" s="11"/>
    </row>
    <row r="1143" spans="1:23" ht="12.75" customHeight="1">
      <c r="A1143" s="118">
        <v>1142</v>
      </c>
      <c r="B1143" s="128">
        <v>13</v>
      </c>
      <c r="C1143" s="156">
        <v>36557</v>
      </c>
      <c r="D1143" s="157" t="s">
        <v>45</v>
      </c>
      <c r="E1143" s="8">
        <v>2000</v>
      </c>
      <c r="F1143" s="158">
        <f t="shared" si="307"/>
        <v>337</v>
      </c>
      <c r="G1143" s="158">
        <f t="shared" si="308"/>
        <v>1</v>
      </c>
      <c r="H1143" s="162">
        <v>36220</v>
      </c>
      <c r="I1143" s="163">
        <v>379512</v>
      </c>
      <c r="J1143" s="11"/>
      <c r="K1143" s="11"/>
      <c r="L1143" s="11"/>
      <c r="O1143" s="11"/>
      <c r="T1143" s="11"/>
      <c r="V1143" s="11"/>
      <c r="W1143" s="11"/>
    </row>
    <row r="1144" spans="1:23" ht="12.75" customHeight="1">
      <c r="A1144" s="118">
        <v>1143</v>
      </c>
      <c r="B1144" s="128">
        <v>13</v>
      </c>
      <c r="C1144" s="156">
        <v>36586</v>
      </c>
      <c r="D1144" s="157" t="s">
        <v>46</v>
      </c>
      <c r="E1144" s="8">
        <v>2000</v>
      </c>
      <c r="F1144" s="158">
        <f t="shared" si="307"/>
        <v>366</v>
      </c>
      <c r="G1144" s="158">
        <f t="shared" si="308"/>
        <v>2</v>
      </c>
      <c r="H1144" s="162">
        <v>36220</v>
      </c>
      <c r="I1144" s="163">
        <v>384961</v>
      </c>
      <c r="J1144" s="11"/>
      <c r="K1144" s="11"/>
      <c r="L1144" s="11"/>
      <c r="O1144" s="11"/>
      <c r="T1144" s="11"/>
      <c r="V1144" s="11"/>
      <c r="W1144" s="11"/>
    </row>
    <row r="1145" spans="1:23" ht="12.75" customHeight="1">
      <c r="A1145" s="118">
        <v>1144</v>
      </c>
      <c r="B1145" s="128">
        <v>13</v>
      </c>
      <c r="C1145" s="156">
        <v>36617</v>
      </c>
      <c r="D1145" s="157" t="s">
        <v>47</v>
      </c>
      <c r="E1145" s="8">
        <v>2000</v>
      </c>
      <c r="F1145" s="158">
        <f t="shared" si="307"/>
        <v>397</v>
      </c>
      <c r="G1145" s="158">
        <f t="shared" si="308"/>
        <v>2</v>
      </c>
      <c r="H1145" s="162">
        <v>36220</v>
      </c>
      <c r="I1145" s="163">
        <v>384539</v>
      </c>
      <c r="J1145" s="11"/>
      <c r="K1145" s="11"/>
      <c r="L1145" s="11"/>
      <c r="O1145" s="11"/>
      <c r="T1145" s="11"/>
      <c r="V1145" s="11"/>
      <c r="W1145" s="11"/>
    </row>
    <row r="1146" spans="1:23" ht="12.75" customHeight="1">
      <c r="A1146" s="118">
        <v>1145</v>
      </c>
      <c r="B1146" s="128">
        <v>13</v>
      </c>
      <c r="C1146" s="156">
        <v>36647</v>
      </c>
      <c r="D1146" s="157" t="s">
        <v>48</v>
      </c>
      <c r="E1146" s="8">
        <v>2000</v>
      </c>
      <c r="F1146" s="158">
        <f t="shared" si="307"/>
        <v>427</v>
      </c>
      <c r="G1146" s="158">
        <f t="shared" si="308"/>
        <v>2</v>
      </c>
      <c r="H1146" s="162">
        <v>36220</v>
      </c>
      <c r="I1146" s="163">
        <v>378951</v>
      </c>
      <c r="J1146" s="11"/>
      <c r="K1146" s="11"/>
      <c r="L1146" s="11"/>
      <c r="O1146" s="11"/>
      <c r="T1146" s="11"/>
      <c r="V1146" s="11"/>
      <c r="W1146" s="11"/>
    </row>
    <row r="1147" spans="1:23" ht="12.75" customHeight="1">
      <c r="A1147" s="118">
        <v>1146</v>
      </c>
      <c r="B1147" s="128">
        <v>13</v>
      </c>
      <c r="C1147" s="156">
        <v>36678</v>
      </c>
      <c r="D1147" s="157" t="s">
        <v>49</v>
      </c>
      <c r="E1147" s="8">
        <v>2000</v>
      </c>
      <c r="F1147" s="158">
        <f t="shared" si="307"/>
        <v>458</v>
      </c>
      <c r="G1147" s="158">
        <f t="shared" si="308"/>
        <v>2</v>
      </c>
      <c r="H1147" s="162">
        <v>36220</v>
      </c>
      <c r="I1147" s="163">
        <v>365514</v>
      </c>
      <c r="J1147" s="11"/>
      <c r="K1147" s="11"/>
      <c r="L1147" s="11"/>
      <c r="O1147" s="11"/>
      <c r="T1147" s="11"/>
      <c r="V1147" s="11"/>
      <c r="W1147" s="11"/>
    </row>
    <row r="1148" spans="1:23" ht="12.75" customHeight="1">
      <c r="A1148" s="118">
        <v>1147</v>
      </c>
      <c r="B1148" s="128">
        <v>13</v>
      </c>
      <c r="C1148" s="156">
        <v>36708</v>
      </c>
      <c r="D1148" s="157" t="s">
        <v>50</v>
      </c>
      <c r="E1148" s="8">
        <v>2000</v>
      </c>
      <c r="F1148" s="158">
        <f t="shared" si="307"/>
        <v>488</v>
      </c>
      <c r="G1148" s="158">
        <f t="shared" si="308"/>
        <v>2</v>
      </c>
      <c r="H1148" s="162">
        <v>36220</v>
      </c>
      <c r="I1148" s="163">
        <v>365345</v>
      </c>
      <c r="J1148" s="11"/>
      <c r="K1148" s="11"/>
      <c r="L1148" s="11"/>
      <c r="O1148" s="11"/>
      <c r="T1148" s="11"/>
      <c r="V1148" s="11"/>
      <c r="W1148" s="11"/>
    </row>
    <row r="1149" spans="1:23" ht="12.75" customHeight="1">
      <c r="A1149" s="118">
        <v>1148</v>
      </c>
      <c r="B1149" s="128">
        <v>13</v>
      </c>
      <c r="C1149" s="156">
        <v>36739</v>
      </c>
      <c r="D1149" s="157" t="s">
        <v>51</v>
      </c>
      <c r="E1149" s="8">
        <v>2000</v>
      </c>
      <c r="F1149" s="158">
        <f t="shared" si="307"/>
        <v>519</v>
      </c>
      <c r="G1149" s="158">
        <f t="shared" si="308"/>
        <v>2</v>
      </c>
      <c r="H1149" s="162">
        <v>36220</v>
      </c>
      <c r="I1149" s="163">
        <v>365222</v>
      </c>
      <c r="J1149" s="11"/>
      <c r="K1149" s="11"/>
      <c r="L1149" s="11"/>
      <c r="O1149" s="11"/>
      <c r="T1149" s="11"/>
      <c r="V1149" s="11"/>
      <c r="W1149" s="11"/>
    </row>
    <row r="1150" spans="1:23" ht="12.75" customHeight="1">
      <c r="A1150" s="118">
        <v>1149</v>
      </c>
      <c r="B1150" s="128">
        <v>13</v>
      </c>
      <c r="C1150" s="156">
        <v>36770</v>
      </c>
      <c r="D1150" s="157" t="s">
        <v>52</v>
      </c>
      <c r="E1150" s="8">
        <v>2000</v>
      </c>
      <c r="F1150" s="158">
        <f t="shared" si="307"/>
        <v>550</v>
      </c>
      <c r="G1150" s="158">
        <f t="shared" si="308"/>
        <v>2</v>
      </c>
      <c r="H1150" s="162">
        <v>36220</v>
      </c>
      <c r="I1150" s="163">
        <v>309893</v>
      </c>
      <c r="J1150" s="11"/>
      <c r="K1150" s="11"/>
      <c r="L1150" s="11"/>
      <c r="O1150" s="11"/>
      <c r="T1150" s="11"/>
      <c r="V1150" s="11"/>
      <c r="W1150" s="11"/>
    </row>
    <row r="1151" spans="1:23" ht="12.75" customHeight="1">
      <c r="A1151" s="118">
        <v>1150</v>
      </c>
      <c r="B1151" s="128">
        <v>13</v>
      </c>
      <c r="C1151" s="156">
        <v>36800</v>
      </c>
      <c r="D1151" s="157" t="s">
        <v>53</v>
      </c>
      <c r="E1151" s="8">
        <v>2000</v>
      </c>
      <c r="F1151" s="158">
        <f t="shared" si="307"/>
        <v>580</v>
      </c>
      <c r="G1151" s="158">
        <f t="shared" si="308"/>
        <v>2</v>
      </c>
      <c r="H1151" s="162">
        <v>36220</v>
      </c>
      <c r="I1151" s="163">
        <v>316094</v>
      </c>
      <c r="J1151" s="11"/>
      <c r="K1151" s="11"/>
      <c r="L1151" s="11"/>
      <c r="O1151" s="11"/>
      <c r="T1151" s="11"/>
      <c r="V1151" s="11"/>
      <c r="W1151" s="11"/>
    </row>
    <row r="1152" spans="1:23" ht="12.75" customHeight="1">
      <c r="A1152" s="118">
        <v>1151</v>
      </c>
      <c r="B1152" s="260">
        <v>13</v>
      </c>
      <c r="C1152" s="156">
        <v>36831</v>
      </c>
      <c r="D1152" s="157" t="s">
        <v>54</v>
      </c>
      <c r="E1152" s="8">
        <v>2000</v>
      </c>
      <c r="F1152" s="158">
        <f t="shared" si="307"/>
        <v>611</v>
      </c>
      <c r="G1152" s="158">
        <f t="shared" si="308"/>
        <v>2</v>
      </c>
      <c r="H1152" s="162">
        <v>36220</v>
      </c>
      <c r="I1152" s="163">
        <v>315975</v>
      </c>
      <c r="J1152" s="11"/>
      <c r="K1152" s="11"/>
      <c r="L1152" s="11"/>
      <c r="O1152" s="11"/>
      <c r="T1152" s="11"/>
      <c r="V1152" s="11"/>
      <c r="W1152" s="11"/>
    </row>
    <row r="1153" spans="1:23" ht="12.75" customHeight="1">
      <c r="A1153" s="118">
        <v>1152</v>
      </c>
      <c r="B1153" s="260">
        <v>13</v>
      </c>
      <c r="C1153" s="156">
        <v>36861</v>
      </c>
      <c r="D1153" s="157" t="s">
        <v>55</v>
      </c>
      <c r="E1153" s="8">
        <v>2000</v>
      </c>
      <c r="F1153" s="158">
        <f t="shared" si="307"/>
        <v>641</v>
      </c>
      <c r="G1153" s="158">
        <f t="shared" si="308"/>
        <v>2</v>
      </c>
      <c r="H1153" s="162">
        <v>36220</v>
      </c>
      <c r="I1153" s="163">
        <v>262584</v>
      </c>
      <c r="J1153" s="11"/>
      <c r="K1153" s="11"/>
      <c r="L1153" s="11"/>
      <c r="O1153" s="11"/>
      <c r="S1153" s="155" t="s">
        <v>31</v>
      </c>
      <c r="T1153" s="11"/>
      <c r="V1153" s="11"/>
      <c r="W1153" s="11"/>
    </row>
    <row r="1154" spans="1:23" ht="12.75" customHeight="1">
      <c r="A1154" s="118">
        <v>1153</v>
      </c>
      <c r="B1154" s="260">
        <v>13</v>
      </c>
      <c r="C1154" s="156">
        <v>36892</v>
      </c>
      <c r="D1154" s="157" t="s">
        <v>44</v>
      </c>
      <c r="E1154" s="8">
        <v>2001</v>
      </c>
      <c r="F1154" s="158">
        <f t="shared" si="307"/>
        <v>672</v>
      </c>
      <c r="G1154" s="158">
        <f t="shared" si="308"/>
        <v>2</v>
      </c>
      <c r="H1154" s="162">
        <v>36220</v>
      </c>
      <c r="I1154" s="163">
        <v>227834</v>
      </c>
      <c r="J1154" s="11"/>
      <c r="K1154" s="11"/>
      <c r="L1154" s="11"/>
      <c r="O1154" s="11"/>
      <c r="T1154" s="11"/>
      <c r="V1154" s="11"/>
      <c r="W1154" s="11"/>
    </row>
    <row r="1155" spans="1:23" ht="12.75" customHeight="1">
      <c r="A1155" s="118">
        <v>1154</v>
      </c>
      <c r="B1155" s="260">
        <v>13</v>
      </c>
      <c r="C1155" s="156">
        <v>36923</v>
      </c>
      <c r="D1155" s="157" t="s">
        <v>45</v>
      </c>
      <c r="E1155" s="8">
        <v>2001</v>
      </c>
      <c r="F1155" s="158">
        <f t="shared" si="307"/>
        <v>703</v>
      </c>
      <c r="G1155" s="158">
        <f t="shared" si="308"/>
        <v>2</v>
      </c>
      <c r="H1155" s="162">
        <v>36220</v>
      </c>
      <c r="I1155" s="163">
        <v>189965</v>
      </c>
      <c r="J1155" s="11"/>
      <c r="K1155" s="11"/>
      <c r="L1155" s="11"/>
      <c r="O1155" s="11"/>
      <c r="T1155" s="11"/>
      <c r="V1155" s="11"/>
      <c r="W1155" s="11"/>
    </row>
    <row r="1156" spans="1:23" ht="12.75" customHeight="1">
      <c r="A1156" s="118">
        <v>1155</v>
      </c>
      <c r="B1156" s="260">
        <v>13</v>
      </c>
      <c r="C1156" s="156">
        <v>36951</v>
      </c>
      <c r="D1156" s="157" t="s">
        <v>46</v>
      </c>
      <c r="E1156" s="8">
        <v>2001</v>
      </c>
      <c r="F1156" s="158">
        <f t="shared" si="307"/>
        <v>731</v>
      </c>
      <c r="G1156" s="158">
        <f>IF(F1156&lt;730,2,3)</f>
        <v>3</v>
      </c>
      <c r="H1156" s="162">
        <v>36220</v>
      </c>
      <c r="I1156" s="163">
        <v>97500</v>
      </c>
      <c r="J1156" s="11"/>
      <c r="K1156" s="11"/>
      <c r="L1156" s="11"/>
      <c r="O1156" s="11"/>
      <c r="T1156" s="11"/>
      <c r="V1156" s="11"/>
      <c r="W1156" s="11"/>
    </row>
    <row r="1157" spans="1:23" ht="12.75" customHeight="1">
      <c r="A1157" s="118">
        <v>1156</v>
      </c>
      <c r="B1157" s="260">
        <v>13</v>
      </c>
      <c r="C1157" s="156">
        <v>36982</v>
      </c>
      <c r="D1157" s="157" t="s">
        <v>47</v>
      </c>
      <c r="E1157" s="8">
        <v>2001</v>
      </c>
      <c r="F1157" s="158">
        <f t="shared" si="307"/>
        <v>762</v>
      </c>
      <c r="G1157" s="158">
        <f>IF(F1157&lt;730,2,3)</f>
        <v>3</v>
      </c>
      <c r="H1157" s="162">
        <v>36220</v>
      </c>
      <c r="I1157" s="163">
        <v>97367</v>
      </c>
      <c r="J1157" s="11"/>
      <c r="K1157" s="11"/>
      <c r="L1157" s="11"/>
      <c r="O1157" s="11"/>
      <c r="T1157" s="11"/>
      <c r="V1157" s="11"/>
      <c r="W1157" s="11"/>
    </row>
    <row r="1158" spans="1:23" ht="12.75" customHeight="1">
      <c r="A1158" s="118">
        <v>1157</v>
      </c>
      <c r="B1158" s="128">
        <v>13</v>
      </c>
      <c r="C1158" s="156">
        <v>37012</v>
      </c>
      <c r="D1158" s="157" t="s">
        <v>48</v>
      </c>
      <c r="E1158" s="8">
        <v>2001</v>
      </c>
      <c r="F1158" s="158"/>
      <c r="G1158" s="162"/>
      <c r="J1158" s="11"/>
      <c r="K1158" s="11"/>
      <c r="L1158" s="11"/>
      <c r="O1158" s="11"/>
      <c r="T1158" s="11"/>
      <c r="V1158" s="11"/>
      <c r="W1158" s="11"/>
    </row>
    <row r="1159" spans="1:23" ht="12.75" customHeight="1">
      <c r="A1159" s="118">
        <v>1158</v>
      </c>
      <c r="B1159" s="128">
        <v>13</v>
      </c>
      <c r="C1159" s="156">
        <v>37043</v>
      </c>
      <c r="D1159" s="157" t="s">
        <v>49</v>
      </c>
      <c r="E1159" s="8">
        <v>2001</v>
      </c>
      <c r="F1159" s="158"/>
      <c r="G1159" s="162"/>
      <c r="J1159" s="11"/>
      <c r="K1159" s="11"/>
      <c r="L1159" s="11"/>
      <c r="O1159" s="11"/>
      <c r="T1159" s="11"/>
      <c r="V1159" s="11"/>
      <c r="W1159" s="11"/>
    </row>
    <row r="1160" spans="1:23" ht="12.75" customHeight="1">
      <c r="A1160" s="118">
        <v>1159</v>
      </c>
      <c r="B1160" s="128">
        <v>13</v>
      </c>
      <c r="C1160" s="156">
        <v>37073</v>
      </c>
      <c r="D1160" s="157" t="s">
        <v>50</v>
      </c>
      <c r="E1160" s="8">
        <v>2001</v>
      </c>
      <c r="F1160" s="158"/>
      <c r="G1160" s="162"/>
      <c r="J1160" s="11"/>
      <c r="K1160" s="11"/>
      <c r="L1160" s="11"/>
      <c r="O1160" s="11"/>
      <c r="T1160" s="11"/>
      <c r="V1160" s="11"/>
      <c r="W1160" s="11"/>
    </row>
    <row r="1161" spans="1:23" ht="12.75" customHeight="1">
      <c r="A1161" s="118">
        <v>1160</v>
      </c>
      <c r="B1161" s="128">
        <v>13</v>
      </c>
      <c r="C1161" s="156">
        <v>37104</v>
      </c>
      <c r="D1161" s="157" t="s">
        <v>51</v>
      </c>
      <c r="E1161" s="8">
        <v>2001</v>
      </c>
      <c r="F1161" s="158"/>
      <c r="G1161" s="162"/>
      <c r="H1161" s="162"/>
      <c r="J1161" s="11"/>
      <c r="K1161" s="11"/>
      <c r="L1161" s="11"/>
      <c r="O1161" s="11"/>
      <c r="S1161" s="180"/>
      <c r="T1161" s="11"/>
      <c r="V1161" s="11"/>
      <c r="W1161" s="11"/>
    </row>
    <row r="1162" spans="1:23" ht="12.75" customHeight="1">
      <c r="A1162" s="118">
        <v>1161</v>
      </c>
      <c r="B1162" s="128">
        <v>13</v>
      </c>
      <c r="C1162" s="156">
        <v>37135</v>
      </c>
      <c r="D1162" s="157" t="s">
        <v>52</v>
      </c>
      <c r="E1162" s="8">
        <v>2001</v>
      </c>
      <c r="F1162" s="158">
        <f t="shared" ref="F1162:F1179" si="309">C1162-H1162</f>
        <v>184</v>
      </c>
      <c r="G1162" s="158">
        <f t="shared" ref="G1162:G1179" si="310">IF(F1162&lt;365,1,2)</f>
        <v>1</v>
      </c>
      <c r="H1162" s="162">
        <v>36951</v>
      </c>
      <c r="I1162" s="163">
        <v>332452</v>
      </c>
      <c r="J1162" s="128"/>
      <c r="K1162" s="128"/>
      <c r="L1162" s="128"/>
      <c r="O1162" s="128"/>
      <c r="Q1162" s="11">
        <v>10.1</v>
      </c>
      <c r="S1162" s="180" t="s">
        <v>318</v>
      </c>
      <c r="T1162" s="11"/>
      <c r="V1162" s="11"/>
      <c r="W1162" s="11"/>
    </row>
    <row r="1163" spans="1:23" ht="12.75" customHeight="1">
      <c r="A1163" s="118">
        <v>1162</v>
      </c>
      <c r="B1163" s="128">
        <v>13</v>
      </c>
      <c r="C1163" s="156">
        <v>37165</v>
      </c>
      <c r="D1163" s="157" t="s">
        <v>53</v>
      </c>
      <c r="E1163" s="8">
        <v>2001</v>
      </c>
      <c r="F1163" s="158">
        <f t="shared" si="309"/>
        <v>214</v>
      </c>
      <c r="G1163" s="158">
        <f t="shared" si="310"/>
        <v>1</v>
      </c>
      <c r="H1163" s="162">
        <v>36951</v>
      </c>
      <c r="I1163" s="163">
        <v>587730</v>
      </c>
      <c r="J1163" s="11">
        <v>17.3</v>
      </c>
      <c r="K1163" s="11">
        <v>10.4</v>
      </c>
      <c r="L1163" s="11">
        <v>1.4</v>
      </c>
      <c r="O1163" s="11">
        <v>0</v>
      </c>
      <c r="Q1163" s="11">
        <v>9.1</v>
      </c>
      <c r="S1163" s="155" t="s">
        <v>321</v>
      </c>
      <c r="T1163" s="161">
        <f t="shared" ref="T1163:T1172" si="311">$I1163*K1163</f>
        <v>6112392</v>
      </c>
      <c r="U1163" s="161">
        <f t="shared" ref="U1163:U1172" si="312">$I1163*L1163</f>
        <v>822822</v>
      </c>
      <c r="V1163" s="161">
        <f t="shared" ref="V1163:V1172" si="313">$I1163*O1163</f>
        <v>0</v>
      </c>
      <c r="W1163" s="161">
        <f t="shared" ref="W1163:W1172" si="314">V1163*0.4</f>
        <v>0</v>
      </c>
    </row>
    <row r="1164" spans="1:23" ht="12.75" customHeight="1">
      <c r="A1164" s="118">
        <v>1163</v>
      </c>
      <c r="B1164" s="128">
        <v>13</v>
      </c>
      <c r="C1164" s="156">
        <v>37196</v>
      </c>
      <c r="D1164" s="157" t="s">
        <v>54</v>
      </c>
      <c r="E1164" s="8">
        <v>2001</v>
      </c>
      <c r="F1164" s="158">
        <f t="shared" si="309"/>
        <v>245</v>
      </c>
      <c r="G1164" s="158">
        <f t="shared" si="310"/>
        <v>1</v>
      </c>
      <c r="H1164" s="162">
        <v>36951</v>
      </c>
      <c r="I1164" s="163">
        <v>586709</v>
      </c>
      <c r="J1164" s="11">
        <v>15.75</v>
      </c>
      <c r="K1164" s="11">
        <v>10.7</v>
      </c>
      <c r="L1164" s="11">
        <v>4.0999999999999996</v>
      </c>
      <c r="O1164" s="11">
        <v>1.3</v>
      </c>
      <c r="Q1164" s="11">
        <v>8.3000000000000007</v>
      </c>
      <c r="T1164" s="161">
        <f t="shared" si="311"/>
        <v>6277786.2999999998</v>
      </c>
      <c r="U1164" s="161">
        <f t="shared" si="312"/>
        <v>2405506.9</v>
      </c>
      <c r="V1164" s="161">
        <f t="shared" si="313"/>
        <v>762721.70000000007</v>
      </c>
      <c r="W1164" s="161">
        <f t="shared" si="314"/>
        <v>305088.68000000005</v>
      </c>
    </row>
    <row r="1165" spans="1:23" ht="12.75" customHeight="1">
      <c r="A1165" s="118">
        <v>1164</v>
      </c>
      <c r="B1165" s="128">
        <v>13</v>
      </c>
      <c r="C1165" s="156">
        <v>37226</v>
      </c>
      <c r="D1165" s="157" t="s">
        <v>55</v>
      </c>
      <c r="E1165" s="8">
        <v>2001</v>
      </c>
      <c r="F1165" s="158">
        <f t="shared" si="309"/>
        <v>275</v>
      </c>
      <c r="G1165" s="158">
        <f t="shared" si="310"/>
        <v>1</v>
      </c>
      <c r="H1165" s="162">
        <v>36951</v>
      </c>
      <c r="I1165" s="163">
        <v>585965</v>
      </c>
      <c r="J1165" s="173"/>
      <c r="K1165" s="165">
        <f>(K1164+K1166)/2</f>
        <v>10.899999999999999</v>
      </c>
      <c r="L1165" s="165">
        <f>(L1164+L1166)/2</f>
        <v>4.5</v>
      </c>
      <c r="N1165" s="528">
        <v>1</v>
      </c>
      <c r="O1165" s="165">
        <f>(O1164+O1166)/2</f>
        <v>0.65</v>
      </c>
      <c r="P1165" s="8">
        <v>1</v>
      </c>
      <c r="Q1165" s="11">
        <v>7.4</v>
      </c>
      <c r="S1165" s="237" t="s">
        <v>213</v>
      </c>
      <c r="T1165" s="161">
        <f t="shared" si="311"/>
        <v>6387018.4999999991</v>
      </c>
      <c r="U1165" s="161">
        <f t="shared" si="312"/>
        <v>2636842.5</v>
      </c>
      <c r="V1165" s="161">
        <f t="shared" si="313"/>
        <v>380877.25</v>
      </c>
      <c r="W1165" s="161">
        <f t="shared" si="314"/>
        <v>152350.9</v>
      </c>
    </row>
    <row r="1166" spans="1:23" ht="12.75" customHeight="1">
      <c r="A1166" s="118">
        <v>1165</v>
      </c>
      <c r="B1166" s="128">
        <v>13</v>
      </c>
      <c r="C1166" s="156">
        <v>37257</v>
      </c>
      <c r="D1166" s="157" t="s">
        <v>44</v>
      </c>
      <c r="E1166" s="8">
        <v>2002</v>
      </c>
      <c r="F1166" s="158">
        <f t="shared" si="309"/>
        <v>306</v>
      </c>
      <c r="G1166" s="158">
        <f t="shared" si="310"/>
        <v>1</v>
      </c>
      <c r="H1166" s="162">
        <v>36951</v>
      </c>
      <c r="I1166" s="163">
        <v>585655</v>
      </c>
      <c r="J1166" s="11">
        <v>1.55</v>
      </c>
      <c r="K1166" s="11">
        <v>11.1</v>
      </c>
      <c r="L1166" s="11">
        <v>4.9000000000000004</v>
      </c>
      <c r="O1166" s="11">
        <v>0</v>
      </c>
      <c r="T1166" s="161">
        <f t="shared" si="311"/>
        <v>6500770.5</v>
      </c>
      <c r="U1166" s="161">
        <f t="shared" si="312"/>
        <v>2869709.5</v>
      </c>
      <c r="V1166" s="161">
        <f t="shared" si="313"/>
        <v>0</v>
      </c>
      <c r="W1166" s="161">
        <f t="shared" si="314"/>
        <v>0</v>
      </c>
    </row>
    <row r="1167" spans="1:23" ht="12.75" customHeight="1">
      <c r="A1167" s="118">
        <v>1166</v>
      </c>
      <c r="B1167" s="128">
        <v>13</v>
      </c>
      <c r="C1167" s="156">
        <v>37288</v>
      </c>
      <c r="D1167" s="157" t="s">
        <v>45</v>
      </c>
      <c r="E1167" s="8">
        <v>2002</v>
      </c>
      <c r="F1167" s="158">
        <f t="shared" si="309"/>
        <v>337</v>
      </c>
      <c r="G1167" s="158">
        <f t="shared" si="310"/>
        <v>1</v>
      </c>
      <c r="H1167" s="162">
        <v>36951</v>
      </c>
      <c r="I1167" s="163">
        <v>585379</v>
      </c>
      <c r="J1167" s="11">
        <v>3.38</v>
      </c>
      <c r="K1167" s="11">
        <v>7.23</v>
      </c>
      <c r="L1167" s="11">
        <v>2.83</v>
      </c>
      <c r="O1167" s="11">
        <v>0</v>
      </c>
      <c r="Q1167" s="11">
        <v>7.1</v>
      </c>
      <c r="T1167" s="161">
        <f t="shared" si="311"/>
        <v>4232290.17</v>
      </c>
      <c r="U1167" s="161">
        <f t="shared" si="312"/>
        <v>1656622.57</v>
      </c>
      <c r="V1167" s="161">
        <f t="shared" si="313"/>
        <v>0</v>
      </c>
      <c r="W1167" s="161">
        <f t="shared" si="314"/>
        <v>0</v>
      </c>
    </row>
    <row r="1168" spans="1:23" ht="12.75" customHeight="1">
      <c r="A1168" s="118">
        <v>1167</v>
      </c>
      <c r="B1168" s="128">
        <v>13</v>
      </c>
      <c r="C1168" s="156">
        <v>37316</v>
      </c>
      <c r="D1168" s="157" t="s">
        <v>46</v>
      </c>
      <c r="E1168" s="8">
        <v>2002</v>
      </c>
      <c r="F1168" s="158">
        <f t="shared" si="309"/>
        <v>365</v>
      </c>
      <c r="G1168" s="158">
        <f t="shared" si="310"/>
        <v>2</v>
      </c>
      <c r="H1168" s="162">
        <v>36951</v>
      </c>
      <c r="I1168" s="163">
        <v>584931</v>
      </c>
      <c r="J1168" s="173"/>
      <c r="K1168" s="165">
        <f>(K1167+K1169)/2</f>
        <v>6.3150000000000004</v>
      </c>
      <c r="L1168" s="165">
        <f>(L1167+L1169)/2</f>
        <v>2.1150000000000002</v>
      </c>
      <c r="N1168" s="528">
        <v>1</v>
      </c>
      <c r="O1168" s="165">
        <f>(O1167+O1169)/2</f>
        <v>0</v>
      </c>
      <c r="Q1168" s="11">
        <v>7.2</v>
      </c>
      <c r="T1168" s="161">
        <f t="shared" si="311"/>
        <v>3693839.2650000001</v>
      </c>
      <c r="U1168" s="161">
        <f t="shared" si="312"/>
        <v>1237129.0650000002</v>
      </c>
      <c r="V1168" s="161">
        <f t="shared" si="313"/>
        <v>0</v>
      </c>
      <c r="W1168" s="161">
        <f t="shared" si="314"/>
        <v>0</v>
      </c>
    </row>
    <row r="1169" spans="1:23" ht="12.75" customHeight="1">
      <c r="A1169" s="118">
        <v>1168</v>
      </c>
      <c r="B1169" s="128">
        <v>13</v>
      </c>
      <c r="C1169" s="156">
        <v>37347</v>
      </c>
      <c r="D1169" s="157" t="s">
        <v>47</v>
      </c>
      <c r="E1169" s="8">
        <v>2002</v>
      </c>
      <c r="F1169" s="158">
        <f t="shared" si="309"/>
        <v>396</v>
      </c>
      <c r="G1169" s="158">
        <f t="shared" si="310"/>
        <v>2</v>
      </c>
      <c r="H1169" s="162">
        <v>36951</v>
      </c>
      <c r="I1169" s="163">
        <v>584605</v>
      </c>
      <c r="J1169" s="11">
        <v>7.5</v>
      </c>
      <c r="K1169" s="11">
        <v>5.4</v>
      </c>
      <c r="L1169" s="11">
        <v>1.4</v>
      </c>
      <c r="O1169" s="11">
        <v>0</v>
      </c>
      <c r="Q1169" s="11">
        <v>8</v>
      </c>
      <c r="T1169" s="161">
        <f t="shared" si="311"/>
        <v>3156867</v>
      </c>
      <c r="U1169" s="161">
        <f t="shared" si="312"/>
        <v>818447</v>
      </c>
      <c r="V1169" s="161">
        <f t="shared" si="313"/>
        <v>0</v>
      </c>
      <c r="W1169" s="161">
        <f t="shared" si="314"/>
        <v>0</v>
      </c>
    </row>
    <row r="1170" spans="1:23" ht="12.75" customHeight="1">
      <c r="A1170" s="118">
        <v>1169</v>
      </c>
      <c r="B1170" s="128">
        <v>13</v>
      </c>
      <c r="C1170" s="156">
        <v>37377</v>
      </c>
      <c r="D1170" s="157" t="s">
        <v>48</v>
      </c>
      <c r="E1170" s="8">
        <v>2002</v>
      </c>
      <c r="F1170" s="158">
        <f t="shared" si="309"/>
        <v>426</v>
      </c>
      <c r="G1170" s="158">
        <f t="shared" si="310"/>
        <v>2</v>
      </c>
      <c r="H1170" s="162">
        <v>36951</v>
      </c>
      <c r="I1170" s="163">
        <v>584156</v>
      </c>
      <c r="J1170" s="11">
        <v>6.8</v>
      </c>
      <c r="K1170" s="11">
        <v>17.399999999999999</v>
      </c>
      <c r="L1170" s="11">
        <v>3.55</v>
      </c>
      <c r="O1170" s="11">
        <v>0</v>
      </c>
      <c r="P1170" s="8">
        <v>1</v>
      </c>
      <c r="Q1170" s="11">
        <v>8.6999999999999993</v>
      </c>
      <c r="T1170" s="161">
        <f t="shared" si="311"/>
        <v>10164314.399999999</v>
      </c>
      <c r="U1170" s="161">
        <f t="shared" si="312"/>
        <v>2073753.7999999998</v>
      </c>
      <c r="V1170" s="161">
        <f t="shared" si="313"/>
        <v>0</v>
      </c>
      <c r="W1170" s="161">
        <f t="shared" si="314"/>
        <v>0</v>
      </c>
    </row>
    <row r="1171" spans="1:23" ht="12.75" customHeight="1">
      <c r="A1171" s="118">
        <v>1170</v>
      </c>
      <c r="B1171" s="128">
        <v>13</v>
      </c>
      <c r="C1171" s="156">
        <v>37408</v>
      </c>
      <c r="D1171" s="157" t="s">
        <v>49</v>
      </c>
      <c r="E1171" s="8">
        <v>2002</v>
      </c>
      <c r="F1171" s="158">
        <f t="shared" si="309"/>
        <v>457</v>
      </c>
      <c r="G1171" s="158">
        <f t="shared" si="310"/>
        <v>2</v>
      </c>
      <c r="H1171" s="162">
        <v>36951</v>
      </c>
      <c r="I1171" s="163">
        <v>583421</v>
      </c>
      <c r="J1171" s="173"/>
      <c r="K1171" s="165">
        <f>(K1170+K1172)/2</f>
        <v>10.574999999999999</v>
      </c>
      <c r="L1171" s="165">
        <f>(L1170+L1172)/2</f>
        <v>2.5549999999999997</v>
      </c>
      <c r="N1171" s="528">
        <v>1</v>
      </c>
      <c r="O1171" s="165">
        <f>(O1170+O1172)/2</f>
        <v>0</v>
      </c>
      <c r="P1171" s="11"/>
      <c r="Q1171" s="11">
        <v>9.5</v>
      </c>
      <c r="T1171" s="161">
        <f t="shared" si="311"/>
        <v>6169677.0749999993</v>
      </c>
      <c r="U1171" s="161">
        <f t="shared" si="312"/>
        <v>1490640.6549999998</v>
      </c>
      <c r="V1171" s="161">
        <f t="shared" si="313"/>
        <v>0</v>
      </c>
      <c r="W1171" s="161">
        <f t="shared" si="314"/>
        <v>0</v>
      </c>
    </row>
    <row r="1172" spans="1:23" ht="12.75" customHeight="1">
      <c r="A1172" s="118">
        <v>1171</v>
      </c>
      <c r="B1172" s="128">
        <v>13</v>
      </c>
      <c r="C1172" s="156">
        <v>37438</v>
      </c>
      <c r="D1172" s="157" t="s">
        <v>50</v>
      </c>
      <c r="E1172" s="8">
        <v>2002</v>
      </c>
      <c r="F1172" s="158">
        <f t="shared" si="309"/>
        <v>487</v>
      </c>
      <c r="G1172" s="158">
        <f t="shared" si="310"/>
        <v>2</v>
      </c>
      <c r="H1172" s="162">
        <v>36951</v>
      </c>
      <c r="I1172" s="163">
        <v>583031</v>
      </c>
      <c r="J1172" s="11">
        <v>0.36</v>
      </c>
      <c r="K1172" s="11">
        <v>3.75</v>
      </c>
      <c r="L1172" s="11">
        <v>1.56</v>
      </c>
      <c r="O1172" s="11">
        <v>0</v>
      </c>
      <c r="T1172" s="161">
        <f t="shared" si="311"/>
        <v>2186366.25</v>
      </c>
      <c r="U1172" s="161">
        <f t="shared" si="312"/>
        <v>909528.36</v>
      </c>
      <c r="V1172" s="161">
        <f t="shared" si="313"/>
        <v>0</v>
      </c>
      <c r="W1172" s="161">
        <f t="shared" si="314"/>
        <v>0</v>
      </c>
    </row>
    <row r="1173" spans="1:23" ht="12.75" customHeight="1">
      <c r="A1173" s="118">
        <v>1172</v>
      </c>
      <c r="B1173" s="128">
        <v>13</v>
      </c>
      <c r="C1173" s="156">
        <v>37469</v>
      </c>
      <c r="D1173" s="157" t="s">
        <v>51</v>
      </c>
      <c r="E1173" s="8">
        <v>2002</v>
      </c>
      <c r="F1173" s="158">
        <f t="shared" si="309"/>
        <v>518</v>
      </c>
      <c r="G1173" s="158">
        <f t="shared" si="310"/>
        <v>2</v>
      </c>
      <c r="H1173" s="162">
        <v>36951</v>
      </c>
      <c r="I1173" s="163">
        <v>582685</v>
      </c>
      <c r="J1173" s="11"/>
      <c r="K1173" s="11"/>
      <c r="L1173" s="128"/>
      <c r="O1173" s="128"/>
      <c r="Q1173" s="11">
        <v>10.1</v>
      </c>
      <c r="T1173" s="11"/>
      <c r="V1173" s="161"/>
      <c r="W1173" s="161"/>
    </row>
    <row r="1174" spans="1:23" ht="12.75" customHeight="1">
      <c r="A1174" s="118">
        <v>1173</v>
      </c>
      <c r="B1174" s="128">
        <v>13</v>
      </c>
      <c r="C1174" s="156">
        <v>37500</v>
      </c>
      <c r="D1174" s="157" t="s">
        <v>52</v>
      </c>
      <c r="E1174" s="8">
        <v>2002</v>
      </c>
      <c r="F1174" s="158">
        <f t="shared" si="309"/>
        <v>549</v>
      </c>
      <c r="G1174" s="158">
        <f t="shared" si="310"/>
        <v>2</v>
      </c>
      <c r="H1174" s="162">
        <v>36951</v>
      </c>
      <c r="I1174" s="179">
        <v>480000</v>
      </c>
      <c r="J1174" s="11"/>
      <c r="K1174" s="11"/>
      <c r="L1174" s="128"/>
      <c r="O1174" s="128"/>
      <c r="S1174" s="155" t="s">
        <v>26</v>
      </c>
      <c r="T1174" s="11"/>
      <c r="V1174" s="161"/>
      <c r="W1174" s="161"/>
    </row>
    <row r="1175" spans="1:23" ht="12.75" customHeight="1">
      <c r="A1175" s="118">
        <v>1174</v>
      </c>
      <c r="B1175" s="128">
        <v>13</v>
      </c>
      <c r="C1175" s="156">
        <v>37530</v>
      </c>
      <c r="D1175" s="157" t="s">
        <v>53</v>
      </c>
      <c r="E1175" s="8">
        <v>2002</v>
      </c>
      <c r="F1175" s="158">
        <f t="shared" si="309"/>
        <v>579</v>
      </c>
      <c r="G1175" s="158">
        <f t="shared" si="310"/>
        <v>2</v>
      </c>
      <c r="H1175" s="162">
        <v>36951</v>
      </c>
      <c r="I1175" s="163">
        <v>372106</v>
      </c>
      <c r="J1175" s="11"/>
      <c r="K1175" s="11"/>
      <c r="L1175" s="128"/>
      <c r="O1175" s="128"/>
      <c r="T1175" s="11"/>
      <c r="V1175" s="161"/>
      <c r="W1175" s="161"/>
    </row>
    <row r="1176" spans="1:23" ht="12.75" customHeight="1">
      <c r="A1176" s="118">
        <v>1175</v>
      </c>
      <c r="B1176" s="128">
        <v>13</v>
      </c>
      <c r="C1176" s="156">
        <v>37561</v>
      </c>
      <c r="D1176" s="157" t="s">
        <v>54</v>
      </c>
      <c r="E1176" s="8">
        <v>2002</v>
      </c>
      <c r="F1176" s="158">
        <f t="shared" si="309"/>
        <v>610</v>
      </c>
      <c r="G1176" s="158">
        <f t="shared" si="310"/>
        <v>2</v>
      </c>
      <c r="H1176" s="162">
        <v>36951</v>
      </c>
      <c r="I1176" s="163">
        <v>371609</v>
      </c>
      <c r="J1176" s="11">
        <v>12.2</v>
      </c>
      <c r="K1176" s="11">
        <v>14.8</v>
      </c>
      <c r="L1176" s="11">
        <v>2.25</v>
      </c>
      <c r="O1176" s="11">
        <v>0.55000000000000004</v>
      </c>
      <c r="Q1176" s="11">
        <v>7.9</v>
      </c>
      <c r="T1176" s="161">
        <f t="shared" ref="T1176:U1178" si="315">$I1176*K1176</f>
        <v>5499813.2000000002</v>
      </c>
      <c r="U1176" s="161">
        <f t="shared" si="315"/>
        <v>836120.25</v>
      </c>
      <c r="V1176" s="161">
        <f t="shared" ref="V1176:V1178" si="316">$I1176*O1176</f>
        <v>204384.95</v>
      </c>
      <c r="W1176" s="161">
        <f>V1176*0.4</f>
        <v>81753.98000000001</v>
      </c>
    </row>
    <row r="1177" spans="1:23" ht="12.75" customHeight="1">
      <c r="A1177" s="118">
        <v>1176</v>
      </c>
      <c r="B1177" s="128">
        <v>13</v>
      </c>
      <c r="C1177" s="156">
        <v>37591</v>
      </c>
      <c r="D1177" s="157" t="s">
        <v>55</v>
      </c>
      <c r="E1177" s="8">
        <v>2002</v>
      </c>
      <c r="F1177" s="158">
        <f t="shared" si="309"/>
        <v>640</v>
      </c>
      <c r="G1177" s="158">
        <f t="shared" si="310"/>
        <v>2</v>
      </c>
      <c r="H1177" s="162">
        <v>36951</v>
      </c>
      <c r="I1177" s="163">
        <v>359542</v>
      </c>
      <c r="J1177" s="173"/>
      <c r="K1177" s="165">
        <f>(K1176+K1178)/2</f>
        <v>14.574999999999999</v>
      </c>
      <c r="L1177" s="165">
        <f>(L1176+L1178)/2</f>
        <v>5.45</v>
      </c>
      <c r="N1177" s="528">
        <v>1</v>
      </c>
      <c r="O1177" s="165">
        <f>(O1176+O1178)/2</f>
        <v>0.47500000000000003</v>
      </c>
      <c r="Q1177" s="11">
        <v>7.9</v>
      </c>
      <c r="T1177" s="161">
        <f t="shared" si="315"/>
        <v>5240324.6499999994</v>
      </c>
      <c r="U1177" s="161">
        <f t="shared" si="315"/>
        <v>1959503.9000000001</v>
      </c>
      <c r="V1177" s="161">
        <f t="shared" si="316"/>
        <v>170782.45</v>
      </c>
      <c r="W1177" s="161">
        <f>V1177*0.4</f>
        <v>68312.98000000001</v>
      </c>
    </row>
    <row r="1178" spans="1:23" ht="12.75" customHeight="1">
      <c r="A1178" s="118">
        <v>1177</v>
      </c>
      <c r="B1178" s="128">
        <v>13</v>
      </c>
      <c r="C1178" s="156">
        <v>37622</v>
      </c>
      <c r="D1178" s="157" t="s">
        <v>44</v>
      </c>
      <c r="E1178" s="8">
        <v>2003</v>
      </c>
      <c r="F1178" s="158">
        <f t="shared" si="309"/>
        <v>671</v>
      </c>
      <c r="G1178" s="158">
        <f t="shared" si="310"/>
        <v>2</v>
      </c>
      <c r="H1178" s="162">
        <v>36951</v>
      </c>
      <c r="I1178" s="163">
        <v>197630</v>
      </c>
      <c r="J1178" s="11">
        <v>8.5</v>
      </c>
      <c r="K1178" s="11">
        <v>14.35</v>
      </c>
      <c r="L1178" s="11">
        <v>8.65</v>
      </c>
      <c r="O1178" s="11">
        <v>0.4</v>
      </c>
      <c r="Q1178" s="11">
        <v>7.6</v>
      </c>
      <c r="T1178" s="161">
        <f t="shared" si="315"/>
        <v>2835990.5</v>
      </c>
      <c r="U1178" s="161">
        <f t="shared" si="315"/>
        <v>1709499.5</v>
      </c>
      <c r="V1178" s="161">
        <f t="shared" si="316"/>
        <v>79052</v>
      </c>
      <c r="W1178" s="161">
        <f>V1178*0.4</f>
        <v>31620.800000000003</v>
      </c>
    </row>
    <row r="1179" spans="1:23" ht="12.75" customHeight="1">
      <c r="A1179" s="118">
        <v>1178</v>
      </c>
      <c r="B1179" s="128">
        <v>13</v>
      </c>
      <c r="C1179" s="156">
        <v>37653</v>
      </c>
      <c r="D1179" s="157" t="s">
        <v>45</v>
      </c>
      <c r="E1179" s="8">
        <v>2003</v>
      </c>
      <c r="F1179" s="158">
        <f t="shared" si="309"/>
        <v>702</v>
      </c>
      <c r="G1179" s="158">
        <f t="shared" si="310"/>
        <v>2</v>
      </c>
      <c r="H1179" s="162">
        <v>36951</v>
      </c>
      <c r="I1179" s="163">
        <v>31962</v>
      </c>
      <c r="J1179" s="11"/>
      <c r="K1179" s="11"/>
      <c r="L1179" s="146">
        <v>11.85</v>
      </c>
      <c r="N1179" s="528" t="s">
        <v>795</v>
      </c>
      <c r="O1179" s="146">
        <v>0.4</v>
      </c>
      <c r="Q1179" s="11">
        <v>7.6</v>
      </c>
      <c r="S1179" s="155" t="s">
        <v>13</v>
      </c>
      <c r="T1179" s="11"/>
      <c r="U1179" s="161">
        <f>$I1179*L1179</f>
        <v>378749.7</v>
      </c>
      <c r="V1179" s="161">
        <f>$I1179*O1179</f>
        <v>12784.800000000001</v>
      </c>
      <c r="W1179" s="161">
        <f>V1179*0.4</f>
        <v>5113.920000000001</v>
      </c>
    </row>
    <row r="1180" spans="1:23" ht="12.75" customHeight="1">
      <c r="A1180" s="118">
        <v>1179</v>
      </c>
      <c r="B1180" s="128">
        <v>13</v>
      </c>
      <c r="C1180" s="156">
        <v>37681</v>
      </c>
      <c r="D1180" s="157" t="s">
        <v>46</v>
      </c>
      <c r="E1180" s="8">
        <v>2003</v>
      </c>
      <c r="F1180" s="158"/>
      <c r="I1180" s="194"/>
      <c r="J1180" s="11"/>
      <c r="K1180" s="11"/>
      <c r="L1180" s="11"/>
      <c r="O1180" s="11"/>
      <c r="T1180" s="11"/>
      <c r="V1180" s="11"/>
      <c r="W1180" s="11"/>
    </row>
    <row r="1181" spans="1:23" ht="12.75" customHeight="1">
      <c r="A1181" s="118">
        <v>1180</v>
      </c>
      <c r="B1181" s="128">
        <v>13</v>
      </c>
      <c r="C1181" s="156">
        <v>37712</v>
      </c>
      <c r="D1181" s="157" t="s">
        <v>47</v>
      </c>
      <c r="E1181" s="8">
        <v>2003</v>
      </c>
      <c r="F1181" s="158"/>
      <c r="I1181" s="194"/>
      <c r="J1181" s="11"/>
      <c r="K1181" s="11"/>
      <c r="L1181" s="11"/>
      <c r="O1181" s="11"/>
      <c r="T1181" s="11"/>
      <c r="V1181" s="11"/>
      <c r="W1181" s="11"/>
    </row>
    <row r="1182" spans="1:23" ht="12.75" customHeight="1">
      <c r="A1182" s="118">
        <v>1181</v>
      </c>
      <c r="B1182" s="128">
        <v>13</v>
      </c>
      <c r="C1182" s="156">
        <v>37742</v>
      </c>
      <c r="D1182" s="157" t="s">
        <v>48</v>
      </c>
      <c r="E1182" s="8">
        <v>2003</v>
      </c>
      <c r="F1182" s="158"/>
      <c r="I1182" s="194"/>
      <c r="J1182" s="11"/>
      <c r="K1182" s="11"/>
      <c r="L1182" s="11"/>
      <c r="O1182" s="11"/>
      <c r="T1182" s="11"/>
      <c r="V1182" s="11"/>
      <c r="W1182" s="11"/>
    </row>
    <row r="1183" spans="1:23" ht="12.75" customHeight="1">
      <c r="A1183" s="118">
        <v>1182</v>
      </c>
      <c r="B1183" s="128">
        <v>13</v>
      </c>
      <c r="C1183" s="156">
        <v>37773</v>
      </c>
      <c r="D1183" s="157" t="s">
        <v>49</v>
      </c>
      <c r="E1183" s="8">
        <v>2003</v>
      </c>
      <c r="F1183" s="158"/>
      <c r="I1183" s="194"/>
      <c r="J1183" s="11"/>
      <c r="K1183" s="11"/>
      <c r="L1183" s="11"/>
      <c r="O1183" s="11"/>
      <c r="T1183" s="11"/>
      <c r="V1183" s="11"/>
      <c r="W1183" s="11"/>
    </row>
    <row r="1184" spans="1:23" ht="12.75" customHeight="1">
      <c r="A1184" s="118">
        <v>1183</v>
      </c>
      <c r="B1184" s="128">
        <v>13</v>
      </c>
      <c r="C1184" s="156">
        <v>37803</v>
      </c>
      <c r="D1184" s="157" t="s">
        <v>50</v>
      </c>
      <c r="E1184" s="8">
        <v>2003</v>
      </c>
      <c r="F1184" s="158"/>
      <c r="I1184" s="194"/>
      <c r="J1184" s="11"/>
      <c r="K1184" s="11"/>
      <c r="L1184" s="11"/>
      <c r="O1184" s="11"/>
      <c r="T1184" s="11"/>
      <c r="V1184" s="11"/>
      <c r="W1184" s="11"/>
    </row>
    <row r="1185" spans="1:23" ht="12.75" customHeight="1">
      <c r="A1185" s="118">
        <v>1184</v>
      </c>
      <c r="B1185" s="128">
        <v>13</v>
      </c>
      <c r="C1185" s="156">
        <v>37834</v>
      </c>
      <c r="D1185" s="157" t="s">
        <v>51</v>
      </c>
      <c r="E1185" s="8">
        <v>2003</v>
      </c>
      <c r="F1185" s="158"/>
      <c r="I1185" s="194"/>
      <c r="J1185" s="11"/>
      <c r="K1185" s="11"/>
      <c r="L1185" s="11"/>
      <c r="O1185" s="11"/>
      <c r="T1185" s="11"/>
      <c r="V1185" s="11"/>
      <c r="W1185" s="11"/>
    </row>
    <row r="1186" spans="1:23" ht="12.75" customHeight="1">
      <c r="A1186" s="118">
        <v>1185</v>
      </c>
      <c r="B1186" s="128">
        <v>13</v>
      </c>
      <c r="C1186" s="156">
        <v>37865</v>
      </c>
      <c r="D1186" s="157" t="s">
        <v>52</v>
      </c>
      <c r="E1186" s="8">
        <v>2003</v>
      </c>
      <c r="F1186" s="158"/>
      <c r="I1186" s="194"/>
      <c r="J1186" s="11"/>
      <c r="K1186" s="11"/>
      <c r="L1186" s="11"/>
      <c r="O1186" s="11"/>
      <c r="T1186" s="11"/>
      <c r="V1186" s="11"/>
      <c r="W1186" s="11"/>
    </row>
    <row r="1187" spans="1:23" ht="12.75" customHeight="1">
      <c r="A1187" s="118">
        <v>1186</v>
      </c>
      <c r="B1187" s="128">
        <v>13</v>
      </c>
      <c r="C1187" s="156">
        <v>37895</v>
      </c>
      <c r="D1187" s="157" t="s">
        <v>53</v>
      </c>
      <c r="E1187" s="8">
        <v>2003</v>
      </c>
      <c r="F1187" s="158"/>
      <c r="I1187" s="194"/>
      <c r="J1187" s="11"/>
      <c r="K1187" s="11"/>
      <c r="L1187" s="11"/>
      <c r="O1187" s="11"/>
      <c r="T1187" s="11"/>
      <c r="V1187" s="11"/>
      <c r="W1187" s="11"/>
    </row>
    <row r="1188" spans="1:23" ht="12.75" customHeight="1">
      <c r="A1188" s="118">
        <v>1187</v>
      </c>
      <c r="B1188" s="128">
        <v>13</v>
      </c>
      <c r="C1188" s="156">
        <v>37926</v>
      </c>
      <c r="D1188" s="157" t="s">
        <v>54</v>
      </c>
      <c r="E1188" s="8">
        <v>2003</v>
      </c>
      <c r="F1188" s="158"/>
      <c r="I1188" s="194"/>
      <c r="J1188" s="11"/>
      <c r="K1188" s="11"/>
      <c r="L1188" s="11"/>
      <c r="O1188" s="11"/>
      <c r="T1188" s="11"/>
      <c r="V1188" s="11"/>
      <c r="W1188" s="11"/>
    </row>
    <row r="1189" spans="1:23" ht="12.75" customHeight="1">
      <c r="A1189" s="118">
        <v>1188</v>
      </c>
      <c r="B1189" s="128">
        <v>13</v>
      </c>
      <c r="C1189" s="156">
        <v>37956</v>
      </c>
      <c r="D1189" s="157" t="s">
        <v>55</v>
      </c>
      <c r="E1189" s="8">
        <v>2003</v>
      </c>
      <c r="F1189" s="158">
        <f t="shared" ref="F1189:F1211" si="317">C1189-H1189</f>
        <v>0</v>
      </c>
      <c r="G1189" s="158">
        <f t="shared" ref="G1189:G1211" si="318">IF(F1189&lt;365,1,2)</f>
        <v>1</v>
      </c>
      <c r="H1189" s="162">
        <v>37956</v>
      </c>
      <c r="I1189" s="194">
        <v>163690</v>
      </c>
      <c r="J1189" s="11"/>
      <c r="K1189" s="11"/>
      <c r="L1189" s="165">
        <v>0</v>
      </c>
      <c r="N1189" s="528" t="s">
        <v>794</v>
      </c>
      <c r="O1189" s="146">
        <v>0</v>
      </c>
      <c r="S1189" s="155" t="s">
        <v>11</v>
      </c>
      <c r="T1189" s="11"/>
      <c r="U1189" s="161">
        <f t="shared" ref="U1189:U1211" si="319">$I1189*L1189</f>
        <v>0</v>
      </c>
      <c r="V1189" s="161">
        <f t="shared" ref="V1189:V1211" si="320">$I1189*O1189</f>
        <v>0</v>
      </c>
      <c r="W1189" s="161">
        <f t="shared" ref="W1189:W1211" si="321">V1189*0.4</f>
        <v>0</v>
      </c>
    </row>
    <row r="1190" spans="1:23" ht="12.75" customHeight="1">
      <c r="A1190" s="118">
        <v>1189</v>
      </c>
      <c r="B1190" s="128">
        <v>13</v>
      </c>
      <c r="C1190" s="156">
        <v>37987</v>
      </c>
      <c r="D1190" s="157" t="s">
        <v>44</v>
      </c>
      <c r="E1190" s="8">
        <v>2004</v>
      </c>
      <c r="F1190" s="158">
        <f t="shared" si="317"/>
        <v>31</v>
      </c>
      <c r="G1190" s="158">
        <f t="shared" si="318"/>
        <v>1</v>
      </c>
      <c r="H1190" s="162">
        <v>37956</v>
      </c>
      <c r="I1190" s="194">
        <v>363876</v>
      </c>
      <c r="J1190" s="11"/>
      <c r="K1190" s="11"/>
      <c r="L1190" s="165">
        <v>0</v>
      </c>
      <c r="N1190" s="528" t="s">
        <v>794</v>
      </c>
      <c r="O1190" s="146">
        <v>0.1</v>
      </c>
      <c r="T1190" s="11"/>
      <c r="U1190" s="161">
        <f t="shared" si="319"/>
        <v>0</v>
      </c>
      <c r="V1190" s="161">
        <f t="shared" si="320"/>
        <v>36387.599999999999</v>
      </c>
      <c r="W1190" s="161">
        <f t="shared" si="321"/>
        <v>14555.04</v>
      </c>
    </row>
    <row r="1191" spans="1:23" ht="12.75" customHeight="1">
      <c r="A1191" s="118">
        <v>1190</v>
      </c>
      <c r="B1191" s="128">
        <v>13</v>
      </c>
      <c r="C1191" s="156">
        <v>38018</v>
      </c>
      <c r="D1191" s="157" t="s">
        <v>45</v>
      </c>
      <c r="E1191" s="8">
        <v>2004</v>
      </c>
      <c r="F1191" s="158">
        <f t="shared" si="317"/>
        <v>62</v>
      </c>
      <c r="G1191" s="158">
        <f t="shared" si="318"/>
        <v>1</v>
      </c>
      <c r="H1191" s="162">
        <v>37956</v>
      </c>
      <c r="I1191" s="194">
        <v>701653</v>
      </c>
      <c r="J1191" s="11"/>
      <c r="K1191" s="11"/>
      <c r="L1191" s="165">
        <v>0</v>
      </c>
      <c r="N1191" s="528" t="s">
        <v>794</v>
      </c>
      <c r="O1191" s="146">
        <v>0.4</v>
      </c>
      <c r="T1191" s="11"/>
      <c r="U1191" s="161">
        <f t="shared" si="319"/>
        <v>0</v>
      </c>
      <c r="V1191" s="161">
        <f t="shared" si="320"/>
        <v>280661.2</v>
      </c>
      <c r="W1191" s="161">
        <f t="shared" si="321"/>
        <v>112264.48000000001</v>
      </c>
    </row>
    <row r="1192" spans="1:23" ht="12.75" customHeight="1">
      <c r="A1192" s="118">
        <v>1191</v>
      </c>
      <c r="B1192" s="128">
        <v>13</v>
      </c>
      <c r="C1192" s="156">
        <v>38047</v>
      </c>
      <c r="D1192" s="157" t="s">
        <v>46</v>
      </c>
      <c r="E1192" s="8">
        <v>2004</v>
      </c>
      <c r="F1192" s="158">
        <f t="shared" si="317"/>
        <v>91</v>
      </c>
      <c r="G1192" s="158">
        <f t="shared" si="318"/>
        <v>1</v>
      </c>
      <c r="H1192" s="162">
        <v>37956</v>
      </c>
      <c r="I1192" s="194">
        <v>686254</v>
      </c>
      <c r="J1192" s="15">
        <v>0.5</v>
      </c>
      <c r="K1192" s="15">
        <v>0.4</v>
      </c>
      <c r="L1192" s="15">
        <v>0</v>
      </c>
      <c r="O1192" s="15">
        <v>0.6</v>
      </c>
      <c r="Q1192" s="11">
        <v>7.6</v>
      </c>
      <c r="R1192" s="11">
        <v>32.299999999999997</v>
      </c>
      <c r="T1192" s="161">
        <f t="shared" ref="T1192:T1211" si="322">$I1192*K1192</f>
        <v>274501.60000000003</v>
      </c>
      <c r="U1192" s="161">
        <f t="shared" si="319"/>
        <v>0</v>
      </c>
      <c r="V1192" s="161">
        <f t="shared" si="320"/>
        <v>411752.39999999997</v>
      </c>
      <c r="W1192" s="161">
        <f t="shared" si="321"/>
        <v>164700.96</v>
      </c>
    </row>
    <row r="1193" spans="1:23" ht="12.75" customHeight="1">
      <c r="A1193" s="118">
        <v>1192</v>
      </c>
      <c r="B1193" s="128">
        <v>13</v>
      </c>
      <c r="C1193" s="156">
        <v>38078</v>
      </c>
      <c r="D1193" s="157" t="s">
        <v>47</v>
      </c>
      <c r="E1193" s="8">
        <v>2004</v>
      </c>
      <c r="F1193" s="158">
        <f t="shared" si="317"/>
        <v>122</v>
      </c>
      <c r="G1193" s="158">
        <f t="shared" si="318"/>
        <v>1</v>
      </c>
      <c r="H1193" s="162">
        <v>37956</v>
      </c>
      <c r="I1193" s="194">
        <v>674426</v>
      </c>
      <c r="J1193" s="15">
        <v>3.57</v>
      </c>
      <c r="K1193" s="15">
        <v>1.1599999999999999</v>
      </c>
      <c r="L1193" s="15">
        <v>0.11</v>
      </c>
      <c r="M1193" s="174">
        <v>0</v>
      </c>
      <c r="O1193" s="15">
        <v>0.12</v>
      </c>
      <c r="Q1193" s="11">
        <v>9.3000000000000007</v>
      </c>
      <c r="R1193" s="11">
        <v>30.5</v>
      </c>
      <c r="T1193" s="161">
        <f t="shared" si="322"/>
        <v>782334.15999999992</v>
      </c>
      <c r="U1193" s="161">
        <f t="shared" si="319"/>
        <v>74186.86</v>
      </c>
      <c r="V1193" s="161">
        <f t="shared" si="320"/>
        <v>80931.12</v>
      </c>
      <c r="W1193" s="161">
        <f t="shared" si="321"/>
        <v>32372.448</v>
      </c>
    </row>
    <row r="1194" spans="1:23" ht="12.75" customHeight="1">
      <c r="A1194" s="118">
        <v>1193</v>
      </c>
      <c r="B1194" s="128">
        <v>13</v>
      </c>
      <c r="C1194" s="156">
        <v>38108</v>
      </c>
      <c r="D1194" s="157" t="s">
        <v>48</v>
      </c>
      <c r="E1194" s="8">
        <v>2004</v>
      </c>
      <c r="F1194" s="158">
        <f t="shared" si="317"/>
        <v>152</v>
      </c>
      <c r="G1194" s="158">
        <f t="shared" si="318"/>
        <v>1</v>
      </c>
      <c r="H1194" s="162">
        <v>37956</v>
      </c>
      <c r="I1194" s="194">
        <v>662975</v>
      </c>
      <c r="J1194" s="15">
        <v>2.7</v>
      </c>
      <c r="K1194" s="15">
        <v>4.4000000000000004</v>
      </c>
      <c r="L1194" s="15">
        <v>0.25</v>
      </c>
      <c r="M1194" s="174">
        <v>0</v>
      </c>
      <c r="O1194" s="15">
        <v>3</v>
      </c>
      <c r="P1194" s="8">
        <v>1</v>
      </c>
      <c r="Q1194" s="11">
        <v>9.8000000000000007</v>
      </c>
      <c r="R1194" s="11">
        <v>30</v>
      </c>
      <c r="T1194" s="161">
        <f t="shared" si="322"/>
        <v>2917090.0000000005</v>
      </c>
      <c r="U1194" s="161">
        <f t="shared" si="319"/>
        <v>165743.75</v>
      </c>
      <c r="V1194" s="161">
        <f t="shared" si="320"/>
        <v>1988925</v>
      </c>
      <c r="W1194" s="161">
        <f t="shared" si="321"/>
        <v>795570</v>
      </c>
    </row>
    <row r="1195" spans="1:23" ht="12.75" customHeight="1">
      <c r="A1195" s="118">
        <v>1194</v>
      </c>
      <c r="B1195" s="128">
        <v>13</v>
      </c>
      <c r="C1195" s="156">
        <v>38139</v>
      </c>
      <c r="D1195" s="157" t="s">
        <v>49</v>
      </c>
      <c r="E1195" s="8">
        <v>2004</v>
      </c>
      <c r="F1195" s="158">
        <f t="shared" si="317"/>
        <v>183</v>
      </c>
      <c r="G1195" s="158">
        <f t="shared" si="318"/>
        <v>1</v>
      </c>
      <c r="H1195" s="162">
        <v>37956</v>
      </c>
      <c r="I1195" s="194">
        <v>660250</v>
      </c>
      <c r="J1195" s="15">
        <v>1.2</v>
      </c>
      <c r="K1195" s="15">
        <v>1.4</v>
      </c>
      <c r="L1195" s="15">
        <v>0.4</v>
      </c>
      <c r="M1195" s="174">
        <v>0</v>
      </c>
      <c r="O1195" s="15">
        <v>0.35</v>
      </c>
      <c r="Q1195" s="11">
        <v>10.35</v>
      </c>
      <c r="R1195" s="11">
        <v>29</v>
      </c>
      <c r="T1195" s="161">
        <f t="shared" si="322"/>
        <v>924349.99999999988</v>
      </c>
      <c r="U1195" s="161">
        <f t="shared" si="319"/>
        <v>264100</v>
      </c>
      <c r="V1195" s="161">
        <f t="shared" si="320"/>
        <v>231087.49999999997</v>
      </c>
      <c r="W1195" s="161">
        <f t="shared" si="321"/>
        <v>92435</v>
      </c>
    </row>
    <row r="1196" spans="1:23" ht="12.75" customHeight="1">
      <c r="A1196" s="118">
        <v>1195</v>
      </c>
      <c r="B1196" s="128">
        <v>13</v>
      </c>
      <c r="C1196" s="156">
        <v>38169</v>
      </c>
      <c r="D1196" s="157" t="s">
        <v>50</v>
      </c>
      <c r="E1196" s="8">
        <v>2004</v>
      </c>
      <c r="F1196" s="158">
        <f t="shared" si="317"/>
        <v>213</v>
      </c>
      <c r="G1196" s="158">
        <f t="shared" si="318"/>
        <v>1</v>
      </c>
      <c r="H1196" s="162">
        <v>37956</v>
      </c>
      <c r="I1196" s="194">
        <v>659058</v>
      </c>
      <c r="J1196" s="15">
        <v>0.6</v>
      </c>
      <c r="K1196" s="15">
        <v>1.4</v>
      </c>
      <c r="L1196" s="15">
        <v>0.1</v>
      </c>
      <c r="O1196" s="15">
        <v>0.1</v>
      </c>
      <c r="Q1196" s="11">
        <v>11.5</v>
      </c>
      <c r="R1196" s="11">
        <v>25</v>
      </c>
      <c r="T1196" s="161">
        <f t="shared" si="322"/>
        <v>922681.2</v>
      </c>
      <c r="U1196" s="161">
        <f t="shared" si="319"/>
        <v>65905.8</v>
      </c>
      <c r="V1196" s="161">
        <f t="shared" si="320"/>
        <v>65905.8</v>
      </c>
      <c r="W1196" s="161">
        <f t="shared" si="321"/>
        <v>26362.320000000003</v>
      </c>
    </row>
    <row r="1197" spans="1:23" ht="12.75" customHeight="1">
      <c r="A1197" s="118">
        <v>1196</v>
      </c>
      <c r="B1197" s="128">
        <v>13</v>
      </c>
      <c r="C1197" s="156">
        <v>38200</v>
      </c>
      <c r="D1197" s="157" t="s">
        <v>51</v>
      </c>
      <c r="E1197" s="8">
        <v>2004</v>
      </c>
      <c r="F1197" s="158">
        <f t="shared" si="317"/>
        <v>244</v>
      </c>
      <c r="G1197" s="158">
        <f t="shared" si="318"/>
        <v>1</v>
      </c>
      <c r="H1197" s="162">
        <v>37956</v>
      </c>
      <c r="I1197" s="198">
        <v>658000</v>
      </c>
      <c r="J1197" s="173"/>
      <c r="K1197" s="165">
        <f>(K1196+K1198)/2</f>
        <v>3.5</v>
      </c>
      <c r="L1197" s="165">
        <f>(L1196+L1198)/2</f>
        <v>0.75</v>
      </c>
      <c r="N1197" s="528">
        <v>1</v>
      </c>
      <c r="O1197" s="165">
        <f>(O1196+O1198)/2</f>
        <v>0.1</v>
      </c>
      <c r="T1197" s="161">
        <f t="shared" si="322"/>
        <v>2303000</v>
      </c>
      <c r="U1197" s="161">
        <f t="shared" si="319"/>
        <v>493500</v>
      </c>
      <c r="V1197" s="161">
        <f t="shared" si="320"/>
        <v>65800</v>
      </c>
      <c r="W1197" s="161">
        <f t="shared" si="321"/>
        <v>26320</v>
      </c>
    </row>
    <row r="1198" spans="1:23" ht="12.75" customHeight="1">
      <c r="A1198" s="118">
        <v>1197</v>
      </c>
      <c r="B1198" s="128">
        <v>13</v>
      </c>
      <c r="C1198" s="156">
        <v>38231</v>
      </c>
      <c r="D1198" s="157" t="s">
        <v>52</v>
      </c>
      <c r="E1198" s="8">
        <v>2004</v>
      </c>
      <c r="F1198" s="158">
        <f t="shared" si="317"/>
        <v>275</v>
      </c>
      <c r="G1198" s="158">
        <f t="shared" si="318"/>
        <v>1</v>
      </c>
      <c r="H1198" s="162">
        <v>37956</v>
      </c>
      <c r="I1198" s="198">
        <v>656500</v>
      </c>
      <c r="J1198" s="15">
        <v>1.2</v>
      </c>
      <c r="K1198" s="15">
        <v>5.6</v>
      </c>
      <c r="L1198" s="15">
        <v>1.4</v>
      </c>
      <c r="O1198" s="15">
        <v>0.1</v>
      </c>
      <c r="Q1198" s="11">
        <v>10.4</v>
      </c>
      <c r="R1198" s="11">
        <v>26.3</v>
      </c>
      <c r="T1198" s="161">
        <f t="shared" si="322"/>
        <v>3676399.9999999995</v>
      </c>
      <c r="U1198" s="161">
        <f t="shared" si="319"/>
        <v>919099.99999999988</v>
      </c>
      <c r="V1198" s="161">
        <f t="shared" si="320"/>
        <v>65650</v>
      </c>
      <c r="W1198" s="161">
        <f t="shared" si="321"/>
        <v>26260</v>
      </c>
    </row>
    <row r="1199" spans="1:23" ht="12.75" customHeight="1">
      <c r="A1199" s="118">
        <v>1198</v>
      </c>
      <c r="B1199" s="128">
        <v>13</v>
      </c>
      <c r="C1199" s="156">
        <v>38261</v>
      </c>
      <c r="D1199" s="157" t="s">
        <v>53</v>
      </c>
      <c r="E1199" s="8">
        <v>2004</v>
      </c>
      <c r="F1199" s="158">
        <f t="shared" si="317"/>
        <v>305</v>
      </c>
      <c r="G1199" s="158">
        <f t="shared" si="318"/>
        <v>1</v>
      </c>
      <c r="H1199" s="162">
        <v>37956</v>
      </c>
      <c r="I1199" s="198">
        <v>655000</v>
      </c>
      <c r="J1199" s="15">
        <v>0.77</v>
      </c>
      <c r="K1199" s="15">
        <v>5.23</v>
      </c>
      <c r="L1199" s="15">
        <v>2.2000000000000002</v>
      </c>
      <c r="M1199" s="174">
        <v>1</v>
      </c>
      <c r="O1199" s="15">
        <v>0.23</v>
      </c>
      <c r="Q1199" s="11">
        <v>9.4</v>
      </c>
      <c r="R1199" s="11">
        <v>28.9</v>
      </c>
      <c r="T1199" s="161">
        <f t="shared" si="322"/>
        <v>3425650.0000000005</v>
      </c>
      <c r="U1199" s="161">
        <f t="shared" si="319"/>
        <v>1441000</v>
      </c>
      <c r="V1199" s="161">
        <f t="shared" si="320"/>
        <v>150650</v>
      </c>
      <c r="W1199" s="161">
        <f t="shared" si="321"/>
        <v>60260</v>
      </c>
    </row>
    <row r="1200" spans="1:23" ht="12.75" customHeight="1">
      <c r="A1200" s="118">
        <v>1199</v>
      </c>
      <c r="B1200" s="128">
        <v>13</v>
      </c>
      <c r="C1200" s="156">
        <v>38292</v>
      </c>
      <c r="D1200" s="157" t="s">
        <v>54</v>
      </c>
      <c r="E1200" s="8">
        <v>2004</v>
      </c>
      <c r="F1200" s="158">
        <f t="shared" si="317"/>
        <v>336</v>
      </c>
      <c r="G1200" s="158">
        <f t="shared" si="318"/>
        <v>1</v>
      </c>
      <c r="H1200" s="162">
        <v>37956</v>
      </c>
      <c r="I1200" s="198">
        <v>653000</v>
      </c>
      <c r="J1200" s="15">
        <v>1.77</v>
      </c>
      <c r="K1200" s="15">
        <v>6.47</v>
      </c>
      <c r="L1200" s="15">
        <v>1.9</v>
      </c>
      <c r="M1200" s="174">
        <v>1</v>
      </c>
      <c r="O1200" s="15">
        <v>0.6</v>
      </c>
      <c r="Q1200" s="11">
        <v>8.1999999999999993</v>
      </c>
      <c r="R1200" s="11">
        <v>28.2</v>
      </c>
      <c r="T1200" s="161">
        <f t="shared" si="322"/>
        <v>4224910</v>
      </c>
      <c r="U1200" s="161">
        <f t="shared" si="319"/>
        <v>1240700</v>
      </c>
      <c r="V1200" s="161">
        <f t="shared" si="320"/>
        <v>391800</v>
      </c>
      <c r="W1200" s="161">
        <f t="shared" si="321"/>
        <v>156720</v>
      </c>
    </row>
    <row r="1201" spans="1:23" ht="12.75" customHeight="1">
      <c r="A1201" s="118">
        <v>1200</v>
      </c>
      <c r="B1201" s="128">
        <v>13</v>
      </c>
      <c r="C1201" s="156">
        <v>38322</v>
      </c>
      <c r="D1201" s="157" t="s">
        <v>55</v>
      </c>
      <c r="E1201" s="8">
        <v>2004</v>
      </c>
      <c r="F1201" s="158">
        <f t="shared" si="317"/>
        <v>366</v>
      </c>
      <c r="G1201" s="158">
        <f t="shared" si="318"/>
        <v>2</v>
      </c>
      <c r="H1201" s="162">
        <v>37956</v>
      </c>
      <c r="I1201" s="198">
        <v>651500</v>
      </c>
      <c r="J1201" s="15">
        <v>2.98</v>
      </c>
      <c r="K1201" s="15">
        <v>7.18</v>
      </c>
      <c r="L1201" s="15">
        <v>2.08</v>
      </c>
      <c r="M1201" s="174">
        <v>2</v>
      </c>
      <c r="O1201" s="15">
        <v>0.52</v>
      </c>
      <c r="P1201" s="8">
        <v>1</v>
      </c>
      <c r="Q1201" s="11">
        <v>8</v>
      </c>
      <c r="R1201" s="11">
        <v>29</v>
      </c>
      <c r="T1201" s="161">
        <f t="shared" si="322"/>
        <v>4677770</v>
      </c>
      <c r="U1201" s="161">
        <f t="shared" si="319"/>
        <v>1355120</v>
      </c>
      <c r="V1201" s="161">
        <f t="shared" si="320"/>
        <v>338780</v>
      </c>
      <c r="W1201" s="161">
        <f t="shared" si="321"/>
        <v>135512</v>
      </c>
    </row>
    <row r="1202" spans="1:23" ht="12.75" customHeight="1">
      <c r="A1202" s="118">
        <v>1201</v>
      </c>
      <c r="B1202" s="128">
        <v>13</v>
      </c>
      <c r="C1202" s="156">
        <v>38353</v>
      </c>
      <c r="D1202" s="157" t="s">
        <v>44</v>
      </c>
      <c r="E1202" s="8">
        <v>2005</v>
      </c>
      <c r="F1202" s="158">
        <f t="shared" si="317"/>
        <v>397</v>
      </c>
      <c r="G1202" s="158">
        <f t="shared" si="318"/>
        <v>2</v>
      </c>
      <c r="H1202" s="162">
        <v>37956</v>
      </c>
      <c r="I1202" s="194">
        <v>650417</v>
      </c>
      <c r="J1202" s="15">
        <v>0.95</v>
      </c>
      <c r="K1202" s="15">
        <v>1.76</v>
      </c>
      <c r="L1202" s="15">
        <v>0.67</v>
      </c>
      <c r="M1202" s="174">
        <v>0</v>
      </c>
      <c r="O1202" s="15">
        <v>0.12</v>
      </c>
      <c r="Q1202" s="11">
        <v>7</v>
      </c>
      <c r="R1202" s="11">
        <v>29</v>
      </c>
      <c r="T1202" s="161">
        <f t="shared" si="322"/>
        <v>1144733.92</v>
      </c>
      <c r="U1202" s="161">
        <f t="shared" si="319"/>
        <v>435779.39</v>
      </c>
      <c r="V1202" s="161">
        <f t="shared" si="320"/>
        <v>78050.039999999994</v>
      </c>
      <c r="W1202" s="161">
        <f t="shared" si="321"/>
        <v>31220.016</v>
      </c>
    </row>
    <row r="1203" spans="1:23" ht="12.75" customHeight="1">
      <c r="A1203" s="118">
        <v>1202</v>
      </c>
      <c r="B1203" s="128">
        <v>13</v>
      </c>
      <c r="C1203" s="156">
        <v>38384</v>
      </c>
      <c r="D1203" s="157" t="s">
        <v>45</v>
      </c>
      <c r="E1203" s="8">
        <v>2005</v>
      </c>
      <c r="F1203" s="158">
        <f t="shared" si="317"/>
        <v>428</v>
      </c>
      <c r="G1203" s="158">
        <f t="shared" si="318"/>
        <v>2</v>
      </c>
      <c r="H1203" s="162">
        <v>37956</v>
      </c>
      <c r="I1203" s="198">
        <v>650250</v>
      </c>
      <c r="J1203" s="15">
        <v>0.02</v>
      </c>
      <c r="K1203" s="15">
        <v>0.12</v>
      </c>
      <c r="L1203" s="15">
        <v>0.02</v>
      </c>
      <c r="M1203" s="174">
        <v>0</v>
      </c>
      <c r="O1203" s="15">
        <v>0.02</v>
      </c>
      <c r="Q1203" s="11">
        <v>7</v>
      </c>
      <c r="R1203" s="11">
        <v>30</v>
      </c>
      <c r="T1203" s="161">
        <f t="shared" si="322"/>
        <v>78030</v>
      </c>
      <c r="U1203" s="161">
        <f t="shared" si="319"/>
        <v>13005</v>
      </c>
      <c r="V1203" s="161">
        <f t="shared" si="320"/>
        <v>13005</v>
      </c>
      <c r="W1203" s="161">
        <f t="shared" si="321"/>
        <v>5202</v>
      </c>
    </row>
    <row r="1204" spans="1:23" ht="12.75" customHeight="1">
      <c r="A1204" s="118">
        <v>1203</v>
      </c>
      <c r="B1204" s="128">
        <v>13</v>
      </c>
      <c r="C1204" s="156">
        <v>38412</v>
      </c>
      <c r="D1204" s="157" t="s">
        <v>46</v>
      </c>
      <c r="E1204" s="8">
        <v>2005</v>
      </c>
      <c r="F1204" s="158">
        <f t="shared" si="317"/>
        <v>456</v>
      </c>
      <c r="G1204" s="158">
        <f t="shared" si="318"/>
        <v>2</v>
      </c>
      <c r="H1204" s="162">
        <v>37956</v>
      </c>
      <c r="I1204" s="194">
        <v>650108</v>
      </c>
      <c r="J1204" s="15">
        <v>0.13</v>
      </c>
      <c r="K1204" s="15">
        <v>0.22</v>
      </c>
      <c r="L1204" s="15">
        <v>0.12</v>
      </c>
      <c r="M1204" s="174">
        <v>0</v>
      </c>
      <c r="O1204" s="15">
        <v>0</v>
      </c>
      <c r="Q1204" s="11">
        <v>8</v>
      </c>
      <c r="R1204" s="11">
        <v>31</v>
      </c>
      <c r="T1204" s="161">
        <f t="shared" si="322"/>
        <v>143023.76</v>
      </c>
      <c r="U1204" s="161">
        <f t="shared" si="319"/>
        <v>78012.959999999992</v>
      </c>
      <c r="V1204" s="161">
        <f t="shared" si="320"/>
        <v>0</v>
      </c>
      <c r="W1204" s="161">
        <f t="shared" si="321"/>
        <v>0</v>
      </c>
    </row>
    <row r="1205" spans="1:23" ht="12.75" customHeight="1">
      <c r="A1205" s="118">
        <v>1204</v>
      </c>
      <c r="B1205" s="128">
        <v>13</v>
      </c>
      <c r="C1205" s="156">
        <v>38443</v>
      </c>
      <c r="D1205" s="157" t="s">
        <v>47</v>
      </c>
      <c r="E1205" s="8">
        <v>2005</v>
      </c>
      <c r="F1205" s="158">
        <f t="shared" si="317"/>
        <v>487</v>
      </c>
      <c r="G1205" s="158">
        <f t="shared" si="318"/>
        <v>2</v>
      </c>
      <c r="H1205" s="162">
        <v>37956</v>
      </c>
      <c r="I1205" s="194">
        <v>647639</v>
      </c>
      <c r="J1205" s="15">
        <v>2.96</v>
      </c>
      <c r="K1205" s="15">
        <v>0.2</v>
      </c>
      <c r="L1205" s="15">
        <v>0.03</v>
      </c>
      <c r="M1205" s="174">
        <v>0</v>
      </c>
      <c r="O1205" s="15">
        <v>0.13</v>
      </c>
      <c r="Q1205" s="11">
        <v>8</v>
      </c>
      <c r="R1205" s="11">
        <v>31</v>
      </c>
      <c r="T1205" s="161">
        <f t="shared" si="322"/>
        <v>129527.8</v>
      </c>
      <c r="U1205" s="161">
        <f t="shared" si="319"/>
        <v>19429.169999999998</v>
      </c>
      <c r="V1205" s="161">
        <f t="shared" si="320"/>
        <v>84193.07</v>
      </c>
      <c r="W1205" s="161">
        <f t="shared" si="321"/>
        <v>33677.228000000003</v>
      </c>
    </row>
    <row r="1206" spans="1:23" ht="12.75" customHeight="1">
      <c r="A1206" s="118">
        <v>1205</v>
      </c>
      <c r="B1206" s="128">
        <v>13</v>
      </c>
      <c r="C1206" s="156">
        <v>38473</v>
      </c>
      <c r="D1206" s="157" t="s">
        <v>48</v>
      </c>
      <c r="E1206" s="8">
        <v>2005</v>
      </c>
      <c r="F1206" s="158">
        <f t="shared" si="317"/>
        <v>517</v>
      </c>
      <c r="G1206" s="158">
        <f t="shared" si="318"/>
        <v>2</v>
      </c>
      <c r="H1206" s="162">
        <v>37956</v>
      </c>
      <c r="I1206" s="194">
        <v>646758</v>
      </c>
      <c r="J1206" s="15">
        <v>8.42</v>
      </c>
      <c r="K1206" s="15">
        <v>5.48</v>
      </c>
      <c r="L1206" s="15">
        <v>1.93</v>
      </c>
      <c r="M1206" s="174">
        <v>0</v>
      </c>
      <c r="O1206" s="15">
        <v>2.62</v>
      </c>
      <c r="P1206" s="8">
        <v>1</v>
      </c>
      <c r="Q1206" s="11">
        <v>10</v>
      </c>
      <c r="R1206" s="11">
        <v>31</v>
      </c>
      <c r="T1206" s="161">
        <f t="shared" si="322"/>
        <v>3544233.8400000003</v>
      </c>
      <c r="U1206" s="161">
        <f t="shared" si="319"/>
        <v>1248242.94</v>
      </c>
      <c r="V1206" s="161">
        <f t="shared" si="320"/>
        <v>1694505.96</v>
      </c>
      <c r="W1206" s="161">
        <f t="shared" si="321"/>
        <v>677802.38400000008</v>
      </c>
    </row>
    <row r="1207" spans="1:23" ht="12.75" customHeight="1">
      <c r="A1207" s="118">
        <v>1206</v>
      </c>
      <c r="B1207" s="128">
        <v>13</v>
      </c>
      <c r="C1207" s="156">
        <v>38504</v>
      </c>
      <c r="D1207" s="157" t="s">
        <v>49</v>
      </c>
      <c r="E1207" s="8">
        <v>2005</v>
      </c>
      <c r="F1207" s="158">
        <f t="shared" si="317"/>
        <v>548</v>
      </c>
      <c r="G1207" s="158">
        <f t="shared" si="318"/>
        <v>2</v>
      </c>
      <c r="H1207" s="162">
        <v>37956</v>
      </c>
      <c r="I1207" s="194">
        <v>645598</v>
      </c>
      <c r="J1207" s="15">
        <v>0.95</v>
      </c>
      <c r="K1207" s="15">
        <v>4.68</v>
      </c>
      <c r="L1207" s="15">
        <v>2.15</v>
      </c>
      <c r="M1207" s="174">
        <v>2</v>
      </c>
      <c r="O1207" s="15">
        <v>7.0000000000000007E-2</v>
      </c>
      <c r="Q1207" s="11">
        <v>10</v>
      </c>
      <c r="R1207" s="11">
        <v>30</v>
      </c>
      <c r="T1207" s="161">
        <f t="shared" si="322"/>
        <v>3021398.6399999997</v>
      </c>
      <c r="U1207" s="161">
        <f t="shared" si="319"/>
        <v>1388035.7</v>
      </c>
      <c r="V1207" s="161">
        <f t="shared" si="320"/>
        <v>45191.860000000008</v>
      </c>
      <c r="W1207" s="161">
        <f t="shared" si="321"/>
        <v>18076.744000000002</v>
      </c>
    </row>
    <row r="1208" spans="1:23" ht="12.75" customHeight="1">
      <c r="A1208" s="118">
        <v>1207</v>
      </c>
      <c r="B1208" s="128">
        <v>13</v>
      </c>
      <c r="C1208" s="156">
        <v>38534</v>
      </c>
      <c r="D1208" s="157" t="s">
        <v>50</v>
      </c>
      <c r="E1208" s="8">
        <v>2005</v>
      </c>
      <c r="F1208" s="158">
        <f t="shared" si="317"/>
        <v>578</v>
      </c>
      <c r="G1208" s="158">
        <f t="shared" si="318"/>
        <v>2</v>
      </c>
      <c r="H1208" s="162">
        <v>37956</v>
      </c>
      <c r="I1208" s="194">
        <v>644000</v>
      </c>
      <c r="J1208" s="15">
        <v>0.02</v>
      </c>
      <c r="K1208" s="15">
        <v>1.93</v>
      </c>
      <c r="L1208" s="15">
        <v>0.8</v>
      </c>
      <c r="M1208" s="174">
        <v>0</v>
      </c>
      <c r="O1208" s="15">
        <v>0</v>
      </c>
      <c r="Q1208" s="11">
        <v>11</v>
      </c>
      <c r="R1208" s="11">
        <v>23</v>
      </c>
      <c r="T1208" s="161">
        <f t="shared" si="322"/>
        <v>1242920</v>
      </c>
      <c r="U1208" s="161">
        <f t="shared" si="319"/>
        <v>515200</v>
      </c>
      <c r="V1208" s="161">
        <f t="shared" si="320"/>
        <v>0</v>
      </c>
      <c r="W1208" s="161">
        <f t="shared" si="321"/>
        <v>0</v>
      </c>
    </row>
    <row r="1209" spans="1:23" ht="12.75" customHeight="1">
      <c r="A1209" s="118">
        <v>1208</v>
      </c>
      <c r="B1209" s="128">
        <v>13</v>
      </c>
      <c r="C1209" s="156">
        <v>38565</v>
      </c>
      <c r="D1209" s="157" t="s">
        <v>51</v>
      </c>
      <c r="E1209" s="8">
        <v>2005</v>
      </c>
      <c r="F1209" s="158">
        <f t="shared" si="317"/>
        <v>609</v>
      </c>
      <c r="G1209" s="158">
        <f t="shared" si="318"/>
        <v>2</v>
      </c>
      <c r="H1209" s="162">
        <v>37956</v>
      </c>
      <c r="I1209" s="194">
        <v>643000</v>
      </c>
      <c r="J1209" s="15">
        <v>1.3</v>
      </c>
      <c r="K1209" s="15">
        <v>0.32</v>
      </c>
      <c r="L1209" s="15">
        <v>0.18</v>
      </c>
      <c r="M1209" s="174">
        <v>1</v>
      </c>
      <c r="O1209" s="15">
        <v>0</v>
      </c>
      <c r="Q1209" s="11">
        <v>12</v>
      </c>
      <c r="R1209" s="11">
        <v>24</v>
      </c>
      <c r="T1209" s="161">
        <f t="shared" si="322"/>
        <v>205760</v>
      </c>
      <c r="U1209" s="161">
        <f t="shared" si="319"/>
        <v>115740</v>
      </c>
      <c r="V1209" s="161">
        <f t="shared" si="320"/>
        <v>0</v>
      </c>
      <c r="W1209" s="161">
        <f t="shared" si="321"/>
        <v>0</v>
      </c>
    </row>
    <row r="1210" spans="1:23" ht="12.75" customHeight="1">
      <c r="A1210" s="118">
        <v>1209</v>
      </c>
      <c r="B1210" s="128">
        <v>13</v>
      </c>
      <c r="C1210" s="156">
        <v>38596</v>
      </c>
      <c r="D1210" s="157" t="s">
        <v>52</v>
      </c>
      <c r="E1210" s="8">
        <v>2005</v>
      </c>
      <c r="F1210" s="158">
        <f t="shared" si="317"/>
        <v>640</v>
      </c>
      <c r="G1210" s="158">
        <f t="shared" si="318"/>
        <v>2</v>
      </c>
      <c r="H1210" s="162">
        <v>37956</v>
      </c>
      <c r="I1210" s="194">
        <v>594000</v>
      </c>
      <c r="J1210" s="15">
        <v>2.57</v>
      </c>
      <c r="K1210" s="15">
        <v>3.1</v>
      </c>
      <c r="L1210" s="15">
        <v>0.78</v>
      </c>
      <c r="M1210" s="174">
        <v>0</v>
      </c>
      <c r="O1210" s="15">
        <v>0.18</v>
      </c>
      <c r="Q1210" s="11">
        <v>10</v>
      </c>
      <c r="R1210" s="11">
        <v>30</v>
      </c>
      <c r="T1210" s="161">
        <f t="shared" si="322"/>
        <v>1841400</v>
      </c>
      <c r="U1210" s="161">
        <f t="shared" si="319"/>
        <v>463320</v>
      </c>
      <c r="V1210" s="161">
        <f t="shared" si="320"/>
        <v>106920</v>
      </c>
      <c r="W1210" s="161">
        <f t="shared" si="321"/>
        <v>42768</v>
      </c>
    </row>
    <row r="1211" spans="1:23" ht="12.75" customHeight="1">
      <c r="A1211" s="118">
        <v>1210</v>
      </c>
      <c r="B1211" s="128">
        <v>13</v>
      </c>
      <c r="C1211" s="156">
        <v>38626</v>
      </c>
      <c r="D1211" s="157" t="s">
        <v>53</v>
      </c>
      <c r="E1211" s="8">
        <v>2005</v>
      </c>
      <c r="F1211" s="158">
        <f t="shared" si="317"/>
        <v>670</v>
      </c>
      <c r="G1211" s="158">
        <f t="shared" si="318"/>
        <v>2</v>
      </c>
      <c r="H1211" s="162">
        <v>37956</v>
      </c>
      <c r="I1211" s="194">
        <v>194497</v>
      </c>
      <c r="J1211" s="15">
        <v>1.75</v>
      </c>
      <c r="K1211" s="15">
        <v>6.92</v>
      </c>
      <c r="L1211" s="15">
        <v>2.87</v>
      </c>
      <c r="O1211" s="15">
        <v>0.08</v>
      </c>
      <c r="Q1211" s="11">
        <v>9</v>
      </c>
      <c r="R1211" s="11">
        <v>27</v>
      </c>
      <c r="T1211" s="161">
        <f t="shared" si="322"/>
        <v>1345919.24</v>
      </c>
      <c r="U1211" s="161">
        <f t="shared" si="319"/>
        <v>558206.39</v>
      </c>
      <c r="V1211" s="161">
        <f t="shared" si="320"/>
        <v>15559.76</v>
      </c>
      <c r="W1211" s="161">
        <f t="shared" si="321"/>
        <v>6223.9040000000005</v>
      </c>
    </row>
    <row r="1212" spans="1:23" ht="12.75" customHeight="1">
      <c r="A1212" s="118">
        <v>1211</v>
      </c>
      <c r="B1212" s="128">
        <v>13</v>
      </c>
      <c r="C1212" s="156">
        <v>38657</v>
      </c>
      <c r="D1212" s="157" t="s">
        <v>54</v>
      </c>
      <c r="E1212" s="8">
        <v>2005</v>
      </c>
      <c r="F1212" s="158"/>
      <c r="I1212" s="194"/>
      <c r="S1212" s="155" t="s">
        <v>14</v>
      </c>
    </row>
    <row r="1213" spans="1:23" ht="12.75" customHeight="1">
      <c r="A1213" s="118">
        <v>1212</v>
      </c>
      <c r="B1213" s="128">
        <v>13</v>
      </c>
      <c r="C1213" s="181">
        <v>38687</v>
      </c>
      <c r="D1213" s="157" t="s">
        <v>55</v>
      </c>
      <c r="E1213" s="8">
        <v>2005</v>
      </c>
      <c r="F1213" s="158"/>
      <c r="G1213" s="128"/>
      <c r="H1213" s="172"/>
      <c r="I1213" s="194"/>
      <c r="J1213" s="173"/>
      <c r="K1213" s="173"/>
      <c r="L1213" s="173"/>
      <c r="O1213" s="173"/>
      <c r="P1213" s="170"/>
      <c r="Q1213" s="128"/>
      <c r="R1213" s="128"/>
      <c r="S1213" s="180"/>
      <c r="T1213" s="173"/>
      <c r="U1213" s="171"/>
      <c r="V1213" s="173"/>
      <c r="W1213" s="173"/>
    </row>
    <row r="1214" spans="1:23" ht="12.75" customHeight="1">
      <c r="A1214" s="118">
        <v>1213</v>
      </c>
      <c r="B1214" s="128">
        <v>13</v>
      </c>
      <c r="C1214" s="181">
        <v>38718</v>
      </c>
      <c r="D1214" s="157" t="s">
        <v>44</v>
      </c>
      <c r="E1214" s="8">
        <v>2006</v>
      </c>
      <c r="F1214" s="158"/>
      <c r="G1214" s="128"/>
      <c r="H1214" s="172"/>
      <c r="I1214" s="194"/>
      <c r="J1214" s="173"/>
      <c r="K1214" s="173"/>
      <c r="L1214" s="173"/>
      <c r="O1214" s="173"/>
      <c r="P1214" s="170"/>
      <c r="Q1214" s="128"/>
      <c r="R1214" s="128"/>
      <c r="S1214" s="180"/>
      <c r="T1214" s="173"/>
      <c r="U1214" s="171"/>
      <c r="V1214" s="173"/>
      <c r="W1214" s="173"/>
    </row>
    <row r="1215" spans="1:23" ht="12.75" customHeight="1">
      <c r="A1215" s="118">
        <v>1214</v>
      </c>
      <c r="B1215" s="128">
        <v>13</v>
      </c>
      <c r="C1215" s="181">
        <v>38749</v>
      </c>
      <c r="D1215" s="157" t="s">
        <v>45</v>
      </c>
      <c r="E1215" s="8">
        <v>2006</v>
      </c>
      <c r="F1215" s="158"/>
      <c r="G1215" s="128"/>
      <c r="H1215" s="172"/>
      <c r="I1215" s="194"/>
      <c r="J1215" s="173"/>
      <c r="K1215" s="173"/>
      <c r="L1215" s="173"/>
      <c r="O1215" s="173"/>
      <c r="P1215" s="170"/>
      <c r="Q1215" s="128"/>
      <c r="R1215" s="128"/>
      <c r="S1215" s="180"/>
      <c r="T1215" s="173"/>
      <c r="U1215" s="171"/>
      <c r="V1215" s="173"/>
      <c r="W1215" s="173"/>
    </row>
    <row r="1216" spans="1:23" ht="12.75" customHeight="1">
      <c r="A1216" s="118">
        <v>1215</v>
      </c>
      <c r="B1216" s="128">
        <v>13</v>
      </c>
      <c r="C1216" s="181">
        <v>38777</v>
      </c>
      <c r="D1216" s="157" t="s">
        <v>46</v>
      </c>
      <c r="E1216" s="8">
        <v>2006</v>
      </c>
      <c r="F1216" s="158"/>
      <c r="G1216" s="128"/>
      <c r="H1216" s="172"/>
      <c r="I1216" s="194"/>
      <c r="J1216" s="173"/>
      <c r="K1216" s="173"/>
      <c r="L1216" s="173"/>
      <c r="O1216" s="173"/>
      <c r="P1216" s="170"/>
      <c r="Q1216" s="128"/>
      <c r="R1216" s="128"/>
      <c r="S1216" s="180"/>
      <c r="T1216" s="173"/>
      <c r="U1216" s="171"/>
      <c r="V1216" s="173"/>
      <c r="W1216" s="173"/>
    </row>
    <row r="1217" spans="1:244" ht="12.75" customHeight="1">
      <c r="A1217" s="118">
        <v>1216</v>
      </c>
      <c r="B1217" s="128">
        <v>13</v>
      </c>
      <c r="C1217" s="181">
        <v>38808</v>
      </c>
      <c r="D1217" s="157" t="s">
        <v>47</v>
      </c>
      <c r="E1217" s="8">
        <v>2006</v>
      </c>
      <c r="F1217" s="158"/>
      <c r="G1217" s="128"/>
      <c r="H1217" s="172"/>
      <c r="I1217" s="194"/>
      <c r="J1217" s="173"/>
      <c r="K1217" s="173"/>
      <c r="L1217" s="173"/>
      <c r="O1217" s="173"/>
      <c r="P1217" s="170"/>
      <c r="Q1217" s="128"/>
      <c r="R1217" s="128"/>
      <c r="S1217" s="180"/>
      <c r="T1217" s="173"/>
      <c r="U1217" s="171"/>
      <c r="V1217" s="173"/>
      <c r="W1217" s="173"/>
    </row>
    <row r="1218" spans="1:244" s="127" customFormat="1" ht="12.75" customHeight="1">
      <c r="A1218" s="118">
        <v>1217</v>
      </c>
      <c r="B1218" s="128">
        <v>13</v>
      </c>
      <c r="C1218" s="181">
        <v>38838</v>
      </c>
      <c r="D1218" s="157" t="s">
        <v>48</v>
      </c>
      <c r="E1218" s="8">
        <v>2006</v>
      </c>
      <c r="F1218" s="158"/>
      <c r="G1218" s="128"/>
      <c r="H1218" s="172"/>
      <c r="I1218" s="194"/>
      <c r="J1218" s="173"/>
      <c r="K1218" s="173"/>
      <c r="L1218" s="173"/>
      <c r="M1218" s="174"/>
      <c r="N1218" s="528"/>
      <c r="O1218" s="173"/>
      <c r="P1218" s="170"/>
      <c r="Q1218" s="128"/>
      <c r="R1218" s="128"/>
      <c r="S1218" s="180"/>
      <c r="T1218" s="173"/>
      <c r="U1218" s="171"/>
      <c r="V1218" s="173"/>
      <c r="W1218" s="173"/>
      <c r="X1218" s="118"/>
      <c r="Y1218" s="118"/>
      <c r="Z1218" s="118"/>
      <c r="AA1218" s="118"/>
      <c r="AB1218" s="118"/>
      <c r="AC1218" s="118"/>
      <c r="AD1218" s="118"/>
      <c r="AE1218" s="118"/>
      <c r="AF1218" s="118"/>
      <c r="AG1218" s="118"/>
      <c r="AH1218" s="118"/>
      <c r="AI1218" s="118"/>
      <c r="AJ1218" s="118"/>
      <c r="AK1218" s="118"/>
      <c r="AL1218" s="118"/>
      <c r="AM1218" s="118"/>
      <c r="AN1218" s="118"/>
      <c r="AO1218" s="118"/>
      <c r="AP1218" s="118"/>
      <c r="AQ1218" s="118"/>
      <c r="AR1218" s="118"/>
      <c r="AS1218" s="118"/>
      <c r="AT1218" s="118"/>
      <c r="AU1218" s="118"/>
      <c r="AV1218" s="118"/>
      <c r="AW1218" s="118"/>
      <c r="AX1218" s="118"/>
      <c r="AY1218" s="118"/>
      <c r="AZ1218" s="118"/>
      <c r="BA1218" s="118"/>
      <c r="BB1218" s="118"/>
      <c r="BC1218" s="118"/>
      <c r="BD1218" s="118"/>
      <c r="BE1218" s="118"/>
      <c r="BF1218" s="118"/>
      <c r="BG1218" s="118"/>
      <c r="BH1218" s="118"/>
      <c r="BI1218" s="118"/>
      <c r="BJ1218" s="118"/>
      <c r="BK1218" s="118"/>
      <c r="BL1218" s="118"/>
      <c r="BM1218" s="118"/>
      <c r="BN1218" s="118"/>
      <c r="BO1218" s="118"/>
      <c r="BP1218" s="118"/>
      <c r="BQ1218" s="118"/>
      <c r="BR1218" s="118"/>
      <c r="BS1218" s="118"/>
      <c r="BT1218" s="118"/>
      <c r="BU1218" s="118"/>
      <c r="BV1218" s="118"/>
      <c r="BW1218" s="118"/>
      <c r="BX1218" s="118"/>
      <c r="BY1218" s="118"/>
      <c r="BZ1218" s="118"/>
      <c r="CA1218" s="118"/>
      <c r="CB1218" s="118"/>
      <c r="CC1218" s="118"/>
      <c r="CD1218" s="118"/>
      <c r="CE1218" s="118"/>
      <c r="CF1218" s="118"/>
      <c r="CG1218" s="118"/>
      <c r="CH1218" s="118"/>
      <c r="CI1218" s="118"/>
      <c r="CJ1218" s="118"/>
      <c r="CK1218" s="118"/>
      <c r="CL1218" s="118"/>
      <c r="CM1218" s="118"/>
      <c r="CN1218" s="118"/>
      <c r="CO1218" s="118"/>
      <c r="CP1218" s="118"/>
      <c r="CQ1218" s="118"/>
      <c r="CR1218" s="118"/>
      <c r="CS1218" s="118"/>
      <c r="CT1218" s="118"/>
      <c r="CU1218" s="118"/>
      <c r="CV1218" s="118"/>
      <c r="CW1218" s="118"/>
      <c r="CX1218" s="118"/>
      <c r="CY1218" s="118"/>
      <c r="CZ1218" s="118"/>
      <c r="DA1218" s="118"/>
      <c r="DB1218" s="118"/>
      <c r="DC1218" s="118"/>
      <c r="DD1218" s="118"/>
      <c r="DE1218" s="118"/>
      <c r="DF1218" s="118"/>
      <c r="DG1218" s="118"/>
      <c r="DH1218" s="118"/>
      <c r="DI1218" s="118"/>
      <c r="DJ1218" s="118"/>
      <c r="DK1218" s="118"/>
      <c r="DL1218" s="118"/>
      <c r="DM1218" s="118"/>
      <c r="DN1218" s="118"/>
      <c r="DO1218" s="118"/>
      <c r="DP1218" s="118"/>
      <c r="DQ1218" s="118"/>
      <c r="DR1218" s="118"/>
      <c r="DS1218" s="118"/>
      <c r="DT1218" s="118"/>
      <c r="DU1218" s="118"/>
      <c r="DV1218" s="118"/>
      <c r="DW1218" s="118"/>
      <c r="DX1218" s="118"/>
      <c r="DY1218" s="118"/>
      <c r="DZ1218" s="118"/>
      <c r="EA1218" s="118"/>
      <c r="EB1218" s="118"/>
      <c r="EC1218" s="118"/>
      <c r="ED1218" s="118"/>
      <c r="EE1218" s="118"/>
      <c r="EF1218" s="118"/>
      <c r="EG1218" s="118"/>
      <c r="EH1218" s="118"/>
      <c r="EI1218" s="118"/>
      <c r="EJ1218" s="118"/>
      <c r="EK1218" s="118"/>
      <c r="EL1218" s="118"/>
      <c r="EM1218" s="118"/>
      <c r="EN1218" s="118"/>
      <c r="EO1218" s="118"/>
      <c r="EP1218" s="118"/>
      <c r="EQ1218" s="118"/>
      <c r="ER1218" s="118"/>
      <c r="ES1218" s="118"/>
      <c r="ET1218" s="118"/>
      <c r="EU1218" s="118"/>
      <c r="EV1218" s="118"/>
      <c r="EW1218" s="118"/>
      <c r="EX1218" s="118"/>
      <c r="EY1218" s="118"/>
      <c r="EZ1218" s="118"/>
      <c r="FA1218" s="118"/>
      <c r="FB1218" s="118"/>
      <c r="FC1218" s="118"/>
      <c r="FD1218" s="118"/>
      <c r="FE1218" s="118"/>
      <c r="FF1218" s="118"/>
      <c r="FG1218" s="118"/>
      <c r="FH1218" s="118"/>
      <c r="FI1218" s="118"/>
      <c r="FJ1218" s="118"/>
      <c r="FK1218" s="118"/>
      <c r="FL1218" s="118"/>
      <c r="FM1218" s="118"/>
      <c r="FN1218" s="118"/>
      <c r="FO1218" s="118"/>
      <c r="FP1218" s="118"/>
      <c r="FQ1218" s="118"/>
      <c r="FR1218" s="118"/>
      <c r="FS1218" s="118"/>
      <c r="FT1218" s="118"/>
      <c r="FU1218" s="118"/>
      <c r="FV1218" s="118"/>
      <c r="FW1218" s="118"/>
      <c r="FX1218" s="118"/>
      <c r="FY1218" s="118"/>
      <c r="FZ1218" s="118"/>
      <c r="GA1218" s="118"/>
      <c r="GB1218" s="118"/>
      <c r="GC1218" s="118"/>
      <c r="GD1218" s="118"/>
      <c r="GE1218" s="118"/>
      <c r="GF1218" s="118"/>
      <c r="GG1218" s="118"/>
      <c r="GH1218" s="118"/>
      <c r="GI1218" s="118"/>
      <c r="GJ1218" s="118"/>
      <c r="GK1218" s="118"/>
      <c r="GL1218" s="118"/>
      <c r="GM1218" s="118"/>
      <c r="GN1218" s="118"/>
      <c r="GO1218" s="118"/>
      <c r="GP1218" s="118"/>
      <c r="GQ1218" s="118"/>
      <c r="GR1218" s="118"/>
      <c r="GS1218" s="118"/>
      <c r="GT1218" s="118"/>
      <c r="GU1218" s="118"/>
      <c r="GV1218" s="118"/>
      <c r="GW1218" s="118"/>
      <c r="GX1218" s="118"/>
      <c r="GY1218" s="118"/>
      <c r="GZ1218" s="118"/>
      <c r="HA1218" s="118"/>
      <c r="HB1218" s="118"/>
      <c r="HC1218" s="118"/>
      <c r="HD1218" s="118"/>
      <c r="HE1218" s="118"/>
      <c r="HF1218" s="118"/>
      <c r="HG1218" s="118"/>
      <c r="HH1218" s="118"/>
      <c r="HI1218" s="118"/>
      <c r="HJ1218" s="118"/>
      <c r="HK1218" s="118"/>
      <c r="HL1218" s="118"/>
      <c r="HM1218" s="118"/>
      <c r="HN1218" s="118"/>
      <c r="HO1218" s="118"/>
      <c r="HP1218" s="118"/>
      <c r="HQ1218" s="118"/>
      <c r="HR1218" s="118"/>
      <c r="HS1218" s="118"/>
      <c r="HT1218" s="118"/>
      <c r="HU1218" s="118"/>
      <c r="HV1218" s="118"/>
      <c r="HW1218" s="118"/>
      <c r="HX1218" s="118"/>
      <c r="HY1218" s="118"/>
      <c r="HZ1218" s="118"/>
      <c r="IA1218" s="118"/>
      <c r="IB1218" s="118"/>
      <c r="IC1218" s="118"/>
      <c r="ID1218" s="118"/>
      <c r="IE1218" s="118"/>
      <c r="IF1218" s="118"/>
      <c r="IG1218" s="118"/>
      <c r="IH1218" s="118"/>
      <c r="II1218" s="118"/>
      <c r="IJ1218" s="118"/>
    </row>
    <row r="1219" spans="1:244" s="127" customFormat="1" ht="12.75" customHeight="1">
      <c r="A1219" s="118">
        <v>1218</v>
      </c>
      <c r="B1219" s="128">
        <v>13</v>
      </c>
      <c r="C1219" s="181">
        <v>38869</v>
      </c>
      <c r="D1219" s="157" t="s">
        <v>49</v>
      </c>
      <c r="E1219" s="8">
        <v>2006</v>
      </c>
      <c r="F1219" s="158"/>
      <c r="G1219" s="128"/>
      <c r="H1219" s="172"/>
      <c r="I1219" s="194"/>
      <c r="J1219" s="173"/>
      <c r="K1219" s="173"/>
      <c r="L1219" s="173"/>
      <c r="M1219" s="174"/>
      <c r="N1219" s="528"/>
      <c r="O1219" s="173"/>
      <c r="P1219" s="170"/>
      <c r="Q1219" s="128"/>
      <c r="R1219" s="128"/>
      <c r="S1219" s="180"/>
      <c r="T1219" s="173"/>
      <c r="U1219" s="171"/>
      <c r="V1219" s="173"/>
      <c r="W1219" s="173"/>
      <c r="X1219" s="118"/>
      <c r="Y1219" s="118"/>
      <c r="Z1219" s="118"/>
      <c r="AA1219" s="118"/>
      <c r="AB1219" s="118"/>
      <c r="AC1219" s="118"/>
      <c r="AD1219" s="118"/>
      <c r="AE1219" s="118"/>
      <c r="AF1219" s="118"/>
      <c r="AG1219" s="118"/>
      <c r="AH1219" s="118"/>
      <c r="AI1219" s="118"/>
      <c r="AJ1219" s="118"/>
      <c r="AK1219" s="118"/>
      <c r="AL1219" s="118"/>
      <c r="AM1219" s="118"/>
      <c r="AN1219" s="118"/>
      <c r="AO1219" s="118"/>
      <c r="AP1219" s="118"/>
      <c r="AQ1219" s="118"/>
      <c r="AR1219" s="118"/>
      <c r="AS1219" s="118"/>
      <c r="AT1219" s="118"/>
      <c r="AU1219" s="118"/>
      <c r="AV1219" s="118"/>
      <c r="AW1219" s="118"/>
      <c r="AX1219" s="118"/>
      <c r="AY1219" s="118"/>
      <c r="AZ1219" s="118"/>
      <c r="BA1219" s="118"/>
      <c r="BB1219" s="118"/>
      <c r="BC1219" s="118"/>
      <c r="BD1219" s="118"/>
      <c r="BE1219" s="118"/>
      <c r="BF1219" s="118"/>
      <c r="BG1219" s="118"/>
      <c r="BH1219" s="118"/>
      <c r="BI1219" s="118"/>
      <c r="BJ1219" s="118"/>
      <c r="BK1219" s="118"/>
      <c r="BL1219" s="118"/>
      <c r="BM1219" s="118"/>
      <c r="BN1219" s="118"/>
      <c r="BO1219" s="118"/>
      <c r="BP1219" s="118"/>
      <c r="BQ1219" s="118"/>
      <c r="BR1219" s="118"/>
      <c r="BS1219" s="118"/>
      <c r="BT1219" s="118"/>
      <c r="BU1219" s="118"/>
      <c r="BV1219" s="118"/>
      <c r="BW1219" s="118"/>
      <c r="BX1219" s="118"/>
      <c r="BY1219" s="118"/>
      <c r="BZ1219" s="118"/>
      <c r="CA1219" s="118"/>
      <c r="CB1219" s="118"/>
      <c r="CC1219" s="118"/>
      <c r="CD1219" s="118"/>
      <c r="CE1219" s="118"/>
      <c r="CF1219" s="118"/>
      <c r="CG1219" s="118"/>
      <c r="CH1219" s="118"/>
      <c r="CI1219" s="118"/>
      <c r="CJ1219" s="118"/>
      <c r="CK1219" s="118"/>
      <c r="CL1219" s="118"/>
      <c r="CM1219" s="118"/>
      <c r="CN1219" s="118"/>
      <c r="CO1219" s="118"/>
      <c r="CP1219" s="118"/>
      <c r="CQ1219" s="118"/>
      <c r="CR1219" s="118"/>
      <c r="CS1219" s="118"/>
      <c r="CT1219" s="118"/>
      <c r="CU1219" s="118"/>
      <c r="CV1219" s="118"/>
      <c r="CW1219" s="118"/>
      <c r="CX1219" s="118"/>
      <c r="CY1219" s="118"/>
      <c r="CZ1219" s="118"/>
      <c r="DA1219" s="118"/>
      <c r="DB1219" s="118"/>
      <c r="DC1219" s="118"/>
      <c r="DD1219" s="118"/>
      <c r="DE1219" s="118"/>
      <c r="DF1219" s="118"/>
      <c r="DG1219" s="118"/>
      <c r="DH1219" s="118"/>
      <c r="DI1219" s="118"/>
      <c r="DJ1219" s="118"/>
      <c r="DK1219" s="118"/>
      <c r="DL1219" s="118"/>
      <c r="DM1219" s="118"/>
      <c r="DN1219" s="118"/>
      <c r="DO1219" s="118"/>
      <c r="DP1219" s="118"/>
      <c r="DQ1219" s="118"/>
      <c r="DR1219" s="118"/>
      <c r="DS1219" s="118"/>
      <c r="DT1219" s="118"/>
      <c r="DU1219" s="118"/>
      <c r="DV1219" s="118"/>
      <c r="DW1219" s="118"/>
      <c r="DX1219" s="118"/>
      <c r="DY1219" s="118"/>
      <c r="DZ1219" s="118"/>
      <c r="EA1219" s="118"/>
      <c r="EB1219" s="118"/>
      <c r="EC1219" s="118"/>
      <c r="ED1219" s="118"/>
      <c r="EE1219" s="118"/>
      <c r="EF1219" s="118"/>
      <c r="EG1219" s="118"/>
      <c r="EH1219" s="118"/>
      <c r="EI1219" s="118"/>
      <c r="EJ1219" s="118"/>
      <c r="EK1219" s="118"/>
      <c r="EL1219" s="118"/>
      <c r="EM1219" s="118"/>
      <c r="EN1219" s="118"/>
      <c r="EO1219" s="118"/>
      <c r="EP1219" s="118"/>
      <c r="EQ1219" s="118"/>
      <c r="ER1219" s="118"/>
      <c r="ES1219" s="118"/>
      <c r="ET1219" s="118"/>
      <c r="EU1219" s="118"/>
      <c r="EV1219" s="118"/>
      <c r="EW1219" s="118"/>
      <c r="EX1219" s="118"/>
      <c r="EY1219" s="118"/>
      <c r="EZ1219" s="118"/>
      <c r="FA1219" s="118"/>
      <c r="FB1219" s="118"/>
      <c r="FC1219" s="118"/>
      <c r="FD1219" s="118"/>
      <c r="FE1219" s="118"/>
      <c r="FF1219" s="118"/>
      <c r="FG1219" s="118"/>
      <c r="FH1219" s="118"/>
      <c r="FI1219" s="118"/>
      <c r="FJ1219" s="118"/>
      <c r="FK1219" s="118"/>
      <c r="FL1219" s="118"/>
      <c r="FM1219" s="118"/>
      <c r="FN1219" s="118"/>
      <c r="FO1219" s="118"/>
      <c r="FP1219" s="118"/>
      <c r="FQ1219" s="118"/>
      <c r="FR1219" s="118"/>
      <c r="FS1219" s="118"/>
      <c r="FT1219" s="118"/>
      <c r="FU1219" s="118"/>
      <c r="FV1219" s="118"/>
      <c r="FW1219" s="118"/>
      <c r="FX1219" s="118"/>
      <c r="FY1219" s="118"/>
      <c r="FZ1219" s="118"/>
      <c r="GA1219" s="118"/>
      <c r="GB1219" s="118"/>
      <c r="GC1219" s="118"/>
      <c r="GD1219" s="118"/>
      <c r="GE1219" s="118"/>
      <c r="GF1219" s="118"/>
      <c r="GG1219" s="118"/>
      <c r="GH1219" s="118"/>
      <c r="GI1219" s="118"/>
      <c r="GJ1219" s="118"/>
      <c r="GK1219" s="118"/>
      <c r="GL1219" s="118"/>
      <c r="GM1219" s="118"/>
      <c r="GN1219" s="118"/>
      <c r="GO1219" s="118"/>
      <c r="GP1219" s="118"/>
      <c r="GQ1219" s="118"/>
      <c r="GR1219" s="118"/>
      <c r="GS1219" s="118"/>
      <c r="GT1219" s="118"/>
      <c r="GU1219" s="118"/>
      <c r="GV1219" s="118"/>
      <c r="GW1219" s="118"/>
      <c r="GX1219" s="118"/>
      <c r="GY1219" s="118"/>
      <c r="GZ1219" s="118"/>
      <c r="HA1219" s="118"/>
      <c r="HB1219" s="118"/>
      <c r="HC1219" s="118"/>
      <c r="HD1219" s="118"/>
      <c r="HE1219" s="118"/>
      <c r="HF1219" s="118"/>
      <c r="HG1219" s="118"/>
      <c r="HH1219" s="118"/>
      <c r="HI1219" s="118"/>
      <c r="HJ1219" s="118"/>
      <c r="HK1219" s="118"/>
      <c r="HL1219" s="118"/>
      <c r="HM1219" s="118"/>
      <c r="HN1219" s="118"/>
      <c r="HO1219" s="118"/>
      <c r="HP1219" s="118"/>
      <c r="HQ1219" s="118"/>
      <c r="HR1219" s="118"/>
      <c r="HS1219" s="118"/>
      <c r="HT1219" s="118"/>
      <c r="HU1219" s="118"/>
      <c r="HV1219" s="118"/>
      <c r="HW1219" s="118"/>
      <c r="HX1219" s="118"/>
      <c r="HY1219" s="118"/>
      <c r="HZ1219" s="118"/>
      <c r="IA1219" s="118"/>
      <c r="IB1219" s="118"/>
      <c r="IC1219" s="118"/>
      <c r="ID1219" s="118"/>
      <c r="IE1219" s="118"/>
      <c r="IF1219" s="118"/>
      <c r="IG1219" s="118"/>
      <c r="IH1219" s="118"/>
      <c r="II1219" s="118"/>
      <c r="IJ1219" s="118"/>
    </row>
    <row r="1220" spans="1:244" s="127" customFormat="1" ht="12.75" customHeight="1">
      <c r="A1220" s="118">
        <v>1219</v>
      </c>
      <c r="B1220" s="128">
        <v>13</v>
      </c>
      <c r="C1220" s="181">
        <v>38899</v>
      </c>
      <c r="D1220" s="157" t="s">
        <v>50</v>
      </c>
      <c r="E1220" s="8">
        <v>2006</v>
      </c>
      <c r="F1220" s="158"/>
      <c r="G1220" s="128"/>
      <c r="H1220" s="172"/>
      <c r="I1220" s="194"/>
      <c r="J1220" s="173"/>
      <c r="K1220" s="173"/>
      <c r="L1220" s="173"/>
      <c r="M1220" s="174"/>
      <c r="N1220" s="528"/>
      <c r="O1220" s="173"/>
      <c r="P1220" s="170"/>
      <c r="Q1220" s="128"/>
      <c r="R1220" s="128"/>
      <c r="S1220" s="180"/>
      <c r="T1220" s="173"/>
      <c r="U1220" s="171"/>
      <c r="V1220" s="173"/>
      <c r="W1220" s="173"/>
      <c r="X1220" s="118"/>
      <c r="Y1220" s="118"/>
      <c r="Z1220" s="118"/>
      <c r="AA1220" s="118"/>
      <c r="AB1220" s="118"/>
      <c r="AC1220" s="118"/>
      <c r="AD1220" s="118"/>
      <c r="AE1220" s="118"/>
      <c r="AF1220" s="118"/>
      <c r="AG1220" s="118"/>
      <c r="AH1220" s="118"/>
      <c r="AI1220" s="118"/>
      <c r="AJ1220" s="118"/>
      <c r="AK1220" s="118"/>
      <c r="AL1220" s="118"/>
      <c r="AM1220" s="118"/>
      <c r="AN1220" s="118"/>
      <c r="AO1220" s="118"/>
      <c r="AP1220" s="118"/>
      <c r="AQ1220" s="118"/>
      <c r="AR1220" s="118"/>
      <c r="AS1220" s="118"/>
      <c r="AT1220" s="118"/>
      <c r="AU1220" s="118"/>
      <c r="AV1220" s="118"/>
      <c r="AW1220" s="118"/>
      <c r="AX1220" s="118"/>
      <c r="AY1220" s="118"/>
      <c r="AZ1220" s="118"/>
      <c r="BA1220" s="118"/>
      <c r="BB1220" s="118"/>
      <c r="BC1220" s="118"/>
      <c r="BD1220" s="118"/>
      <c r="BE1220" s="118"/>
      <c r="BF1220" s="118"/>
      <c r="BG1220" s="118"/>
      <c r="BH1220" s="118"/>
      <c r="BI1220" s="118"/>
      <c r="BJ1220" s="118"/>
      <c r="BK1220" s="118"/>
      <c r="BL1220" s="118"/>
      <c r="BM1220" s="118"/>
      <c r="BN1220" s="118"/>
      <c r="BO1220" s="118"/>
      <c r="BP1220" s="118"/>
      <c r="BQ1220" s="118"/>
      <c r="BR1220" s="118"/>
      <c r="BS1220" s="118"/>
      <c r="BT1220" s="118"/>
      <c r="BU1220" s="118"/>
      <c r="BV1220" s="118"/>
      <c r="BW1220" s="118"/>
      <c r="BX1220" s="118"/>
      <c r="BY1220" s="118"/>
      <c r="BZ1220" s="118"/>
      <c r="CA1220" s="118"/>
      <c r="CB1220" s="118"/>
      <c r="CC1220" s="118"/>
      <c r="CD1220" s="118"/>
      <c r="CE1220" s="118"/>
      <c r="CF1220" s="118"/>
      <c r="CG1220" s="118"/>
      <c r="CH1220" s="118"/>
      <c r="CI1220" s="118"/>
      <c r="CJ1220" s="118"/>
      <c r="CK1220" s="118"/>
      <c r="CL1220" s="118"/>
      <c r="CM1220" s="118"/>
      <c r="CN1220" s="118"/>
      <c r="CO1220" s="118"/>
      <c r="CP1220" s="118"/>
      <c r="CQ1220" s="118"/>
      <c r="CR1220" s="118"/>
      <c r="CS1220" s="118"/>
      <c r="CT1220" s="118"/>
      <c r="CU1220" s="118"/>
      <c r="CV1220" s="118"/>
      <c r="CW1220" s="118"/>
      <c r="CX1220" s="118"/>
      <c r="CY1220" s="118"/>
      <c r="CZ1220" s="118"/>
      <c r="DA1220" s="118"/>
      <c r="DB1220" s="118"/>
      <c r="DC1220" s="118"/>
      <c r="DD1220" s="118"/>
      <c r="DE1220" s="118"/>
      <c r="DF1220" s="118"/>
      <c r="DG1220" s="118"/>
      <c r="DH1220" s="118"/>
      <c r="DI1220" s="118"/>
      <c r="DJ1220" s="118"/>
      <c r="DK1220" s="118"/>
      <c r="DL1220" s="118"/>
      <c r="DM1220" s="118"/>
      <c r="DN1220" s="118"/>
      <c r="DO1220" s="118"/>
      <c r="DP1220" s="118"/>
      <c r="DQ1220" s="118"/>
      <c r="DR1220" s="118"/>
      <c r="DS1220" s="118"/>
      <c r="DT1220" s="118"/>
      <c r="DU1220" s="118"/>
      <c r="DV1220" s="118"/>
      <c r="DW1220" s="118"/>
      <c r="DX1220" s="118"/>
      <c r="DY1220" s="118"/>
      <c r="DZ1220" s="118"/>
      <c r="EA1220" s="118"/>
      <c r="EB1220" s="118"/>
      <c r="EC1220" s="118"/>
      <c r="ED1220" s="118"/>
      <c r="EE1220" s="118"/>
      <c r="EF1220" s="118"/>
      <c r="EG1220" s="118"/>
      <c r="EH1220" s="118"/>
      <c r="EI1220" s="118"/>
      <c r="EJ1220" s="118"/>
      <c r="EK1220" s="118"/>
      <c r="EL1220" s="118"/>
      <c r="EM1220" s="118"/>
      <c r="EN1220" s="118"/>
      <c r="EO1220" s="118"/>
      <c r="EP1220" s="118"/>
      <c r="EQ1220" s="118"/>
      <c r="ER1220" s="118"/>
      <c r="ES1220" s="118"/>
      <c r="ET1220" s="118"/>
      <c r="EU1220" s="118"/>
      <c r="EV1220" s="118"/>
      <c r="EW1220" s="118"/>
      <c r="EX1220" s="118"/>
      <c r="EY1220" s="118"/>
      <c r="EZ1220" s="118"/>
      <c r="FA1220" s="118"/>
      <c r="FB1220" s="118"/>
      <c r="FC1220" s="118"/>
      <c r="FD1220" s="118"/>
      <c r="FE1220" s="118"/>
      <c r="FF1220" s="118"/>
      <c r="FG1220" s="118"/>
      <c r="FH1220" s="118"/>
      <c r="FI1220" s="118"/>
      <c r="FJ1220" s="118"/>
      <c r="FK1220" s="118"/>
      <c r="FL1220" s="118"/>
      <c r="FM1220" s="118"/>
      <c r="FN1220" s="118"/>
      <c r="FO1220" s="118"/>
      <c r="FP1220" s="118"/>
      <c r="FQ1220" s="118"/>
      <c r="FR1220" s="118"/>
      <c r="FS1220" s="118"/>
      <c r="FT1220" s="118"/>
      <c r="FU1220" s="118"/>
      <c r="FV1220" s="118"/>
      <c r="FW1220" s="118"/>
      <c r="FX1220" s="118"/>
      <c r="FY1220" s="118"/>
      <c r="FZ1220" s="118"/>
      <c r="GA1220" s="118"/>
      <c r="GB1220" s="118"/>
      <c r="GC1220" s="118"/>
      <c r="GD1220" s="118"/>
      <c r="GE1220" s="118"/>
      <c r="GF1220" s="118"/>
      <c r="GG1220" s="118"/>
      <c r="GH1220" s="118"/>
      <c r="GI1220" s="118"/>
      <c r="GJ1220" s="118"/>
      <c r="GK1220" s="118"/>
      <c r="GL1220" s="118"/>
      <c r="GM1220" s="118"/>
      <c r="GN1220" s="118"/>
      <c r="GO1220" s="118"/>
      <c r="GP1220" s="118"/>
      <c r="GQ1220" s="118"/>
      <c r="GR1220" s="118"/>
      <c r="GS1220" s="118"/>
      <c r="GT1220" s="118"/>
      <c r="GU1220" s="118"/>
      <c r="GV1220" s="118"/>
      <c r="GW1220" s="118"/>
      <c r="GX1220" s="118"/>
      <c r="GY1220" s="118"/>
      <c r="GZ1220" s="118"/>
      <c r="HA1220" s="118"/>
      <c r="HB1220" s="118"/>
      <c r="HC1220" s="118"/>
      <c r="HD1220" s="118"/>
      <c r="HE1220" s="118"/>
      <c r="HF1220" s="118"/>
      <c r="HG1220" s="118"/>
      <c r="HH1220" s="118"/>
      <c r="HI1220" s="118"/>
      <c r="HJ1220" s="118"/>
      <c r="HK1220" s="118"/>
      <c r="HL1220" s="118"/>
      <c r="HM1220" s="118"/>
      <c r="HN1220" s="118"/>
      <c r="HO1220" s="118"/>
      <c r="HP1220" s="118"/>
      <c r="HQ1220" s="118"/>
      <c r="HR1220" s="118"/>
      <c r="HS1220" s="118"/>
      <c r="HT1220" s="118"/>
      <c r="HU1220" s="118"/>
      <c r="HV1220" s="118"/>
      <c r="HW1220" s="118"/>
      <c r="HX1220" s="118"/>
      <c r="HY1220" s="118"/>
      <c r="HZ1220" s="118"/>
      <c r="IA1220" s="118"/>
      <c r="IB1220" s="118"/>
      <c r="IC1220" s="118"/>
      <c r="ID1220" s="118"/>
      <c r="IE1220" s="118"/>
      <c r="IF1220" s="118"/>
      <c r="IG1220" s="118"/>
      <c r="IH1220" s="118"/>
      <c r="II1220" s="118"/>
      <c r="IJ1220" s="118"/>
    </row>
    <row r="1221" spans="1:244" s="127" customFormat="1" ht="12.75" customHeight="1">
      <c r="A1221" s="118">
        <v>1220</v>
      </c>
      <c r="B1221" s="128">
        <v>13</v>
      </c>
      <c r="C1221" s="181">
        <v>38930</v>
      </c>
      <c r="D1221" s="157" t="s">
        <v>51</v>
      </c>
      <c r="E1221" s="8">
        <v>2006</v>
      </c>
      <c r="F1221" s="158">
        <f t="shared" ref="F1221:F1238" si="323">C1221-H1221</f>
        <v>273</v>
      </c>
      <c r="G1221" s="158">
        <f t="shared" ref="G1221:G1235" si="324">IF(F1221&lt;365,1,2)</f>
        <v>1</v>
      </c>
      <c r="H1221" s="172">
        <v>38657</v>
      </c>
      <c r="I1221" s="194">
        <v>553847</v>
      </c>
      <c r="J1221" s="173"/>
      <c r="K1221" s="173"/>
      <c r="L1221" s="165">
        <v>0.2</v>
      </c>
      <c r="M1221" s="174"/>
      <c r="N1221" s="528" t="s">
        <v>446</v>
      </c>
      <c r="O1221" s="165">
        <v>0.22</v>
      </c>
      <c r="P1221" s="170"/>
      <c r="Q1221" s="128"/>
      <c r="R1221" s="128"/>
      <c r="S1221" s="180" t="s">
        <v>324</v>
      </c>
      <c r="T1221" s="173"/>
      <c r="U1221" s="161">
        <f t="shared" ref="U1221:U1238" si="325">$I1221*L1221</f>
        <v>110769.40000000001</v>
      </c>
      <c r="V1221" s="161">
        <f t="shared" ref="V1221:V1238" si="326">$I1221*O1221</f>
        <v>121846.34</v>
      </c>
      <c r="W1221" s="161">
        <f t="shared" ref="W1221:W1238" si="327">V1221*0.4</f>
        <v>48738.536</v>
      </c>
      <c r="X1221" s="118"/>
      <c r="Y1221" s="118"/>
      <c r="Z1221" s="118"/>
      <c r="AA1221" s="118"/>
      <c r="AB1221" s="118"/>
      <c r="AC1221" s="118"/>
      <c r="AD1221" s="118"/>
      <c r="AE1221" s="118"/>
      <c r="AF1221" s="118"/>
      <c r="AG1221" s="118"/>
      <c r="AH1221" s="118"/>
      <c r="AI1221" s="118"/>
      <c r="AJ1221" s="118"/>
      <c r="AK1221" s="118"/>
      <c r="AL1221" s="118"/>
      <c r="AM1221" s="118"/>
      <c r="AN1221" s="118"/>
      <c r="AO1221" s="118"/>
      <c r="AP1221" s="118"/>
      <c r="AQ1221" s="118"/>
      <c r="AR1221" s="118"/>
      <c r="AS1221" s="118"/>
      <c r="AT1221" s="118"/>
      <c r="AU1221" s="118"/>
      <c r="AV1221" s="118"/>
      <c r="AW1221" s="118"/>
      <c r="AX1221" s="118"/>
      <c r="AY1221" s="118"/>
      <c r="AZ1221" s="118"/>
      <c r="BA1221" s="118"/>
      <c r="BB1221" s="118"/>
      <c r="BC1221" s="118"/>
      <c r="BD1221" s="118"/>
      <c r="BE1221" s="118"/>
      <c r="BF1221" s="118"/>
      <c r="BG1221" s="118"/>
      <c r="BH1221" s="118"/>
      <c r="BI1221" s="118"/>
      <c r="BJ1221" s="118"/>
      <c r="BK1221" s="118"/>
      <c r="BL1221" s="118"/>
      <c r="BM1221" s="118"/>
      <c r="BN1221" s="118"/>
      <c r="BO1221" s="118"/>
      <c r="BP1221" s="118"/>
      <c r="BQ1221" s="118"/>
      <c r="BR1221" s="118"/>
      <c r="BS1221" s="118"/>
      <c r="BT1221" s="118"/>
      <c r="BU1221" s="118"/>
      <c r="BV1221" s="118"/>
      <c r="BW1221" s="118"/>
      <c r="BX1221" s="118"/>
      <c r="BY1221" s="118"/>
      <c r="BZ1221" s="118"/>
      <c r="CA1221" s="118"/>
      <c r="CB1221" s="118"/>
      <c r="CC1221" s="118"/>
      <c r="CD1221" s="118"/>
      <c r="CE1221" s="118"/>
      <c r="CF1221" s="118"/>
      <c r="CG1221" s="118"/>
      <c r="CH1221" s="118"/>
      <c r="CI1221" s="118"/>
      <c r="CJ1221" s="118"/>
      <c r="CK1221" s="118"/>
      <c r="CL1221" s="118"/>
      <c r="CM1221" s="118"/>
      <c r="CN1221" s="118"/>
      <c r="CO1221" s="118"/>
      <c r="CP1221" s="118"/>
      <c r="CQ1221" s="118"/>
      <c r="CR1221" s="118"/>
      <c r="CS1221" s="118"/>
      <c r="CT1221" s="118"/>
      <c r="CU1221" s="118"/>
      <c r="CV1221" s="118"/>
      <c r="CW1221" s="118"/>
      <c r="CX1221" s="118"/>
      <c r="CY1221" s="118"/>
      <c r="CZ1221" s="118"/>
      <c r="DA1221" s="118"/>
      <c r="DB1221" s="118"/>
      <c r="DC1221" s="118"/>
      <c r="DD1221" s="118"/>
      <c r="DE1221" s="118"/>
      <c r="DF1221" s="118"/>
      <c r="DG1221" s="118"/>
      <c r="DH1221" s="118"/>
      <c r="DI1221" s="118"/>
      <c r="DJ1221" s="118"/>
      <c r="DK1221" s="118"/>
      <c r="DL1221" s="118"/>
      <c r="DM1221" s="118"/>
      <c r="DN1221" s="118"/>
      <c r="DO1221" s="118"/>
      <c r="DP1221" s="118"/>
      <c r="DQ1221" s="118"/>
      <c r="DR1221" s="118"/>
      <c r="DS1221" s="118"/>
      <c r="DT1221" s="118"/>
      <c r="DU1221" s="118"/>
      <c r="DV1221" s="118"/>
      <c r="DW1221" s="118"/>
      <c r="DX1221" s="118"/>
      <c r="DY1221" s="118"/>
      <c r="DZ1221" s="118"/>
      <c r="EA1221" s="118"/>
      <c r="EB1221" s="118"/>
      <c r="EC1221" s="118"/>
      <c r="ED1221" s="118"/>
      <c r="EE1221" s="118"/>
      <c r="EF1221" s="118"/>
      <c r="EG1221" s="118"/>
      <c r="EH1221" s="118"/>
      <c r="EI1221" s="118"/>
      <c r="EJ1221" s="118"/>
      <c r="EK1221" s="118"/>
      <c r="EL1221" s="118"/>
      <c r="EM1221" s="118"/>
      <c r="EN1221" s="118"/>
      <c r="EO1221" s="118"/>
      <c r="EP1221" s="118"/>
      <c r="EQ1221" s="118"/>
      <c r="ER1221" s="118"/>
      <c r="ES1221" s="118"/>
      <c r="ET1221" s="118"/>
      <c r="EU1221" s="118"/>
      <c r="EV1221" s="118"/>
      <c r="EW1221" s="118"/>
      <c r="EX1221" s="118"/>
      <c r="EY1221" s="118"/>
      <c r="EZ1221" s="118"/>
      <c r="FA1221" s="118"/>
      <c r="FB1221" s="118"/>
      <c r="FC1221" s="118"/>
      <c r="FD1221" s="118"/>
      <c r="FE1221" s="118"/>
      <c r="FF1221" s="118"/>
      <c r="FG1221" s="118"/>
      <c r="FH1221" s="118"/>
      <c r="FI1221" s="118"/>
      <c r="FJ1221" s="118"/>
      <c r="FK1221" s="118"/>
      <c r="FL1221" s="118"/>
      <c r="FM1221" s="118"/>
      <c r="FN1221" s="118"/>
      <c r="FO1221" s="118"/>
      <c r="FP1221" s="118"/>
      <c r="FQ1221" s="118"/>
      <c r="FR1221" s="118"/>
      <c r="FS1221" s="118"/>
      <c r="FT1221" s="118"/>
      <c r="FU1221" s="118"/>
      <c r="FV1221" s="118"/>
      <c r="FW1221" s="118"/>
      <c r="FX1221" s="118"/>
      <c r="FY1221" s="118"/>
      <c r="FZ1221" s="118"/>
      <c r="GA1221" s="118"/>
      <c r="GB1221" s="118"/>
      <c r="GC1221" s="118"/>
      <c r="GD1221" s="118"/>
      <c r="GE1221" s="118"/>
      <c r="GF1221" s="118"/>
      <c r="GG1221" s="118"/>
      <c r="GH1221" s="118"/>
      <c r="GI1221" s="118"/>
      <c r="GJ1221" s="118"/>
      <c r="GK1221" s="118"/>
      <c r="GL1221" s="118"/>
      <c r="GM1221" s="118"/>
      <c r="GN1221" s="118"/>
      <c r="GO1221" s="118"/>
      <c r="GP1221" s="118"/>
      <c r="GQ1221" s="118"/>
      <c r="GR1221" s="118"/>
      <c r="GS1221" s="118"/>
      <c r="GT1221" s="118"/>
      <c r="GU1221" s="118"/>
      <c r="GV1221" s="118"/>
      <c r="GW1221" s="118"/>
      <c r="GX1221" s="118"/>
      <c r="GY1221" s="118"/>
      <c r="GZ1221" s="118"/>
      <c r="HA1221" s="118"/>
      <c r="HB1221" s="118"/>
      <c r="HC1221" s="118"/>
      <c r="HD1221" s="118"/>
      <c r="HE1221" s="118"/>
      <c r="HF1221" s="118"/>
      <c r="HG1221" s="118"/>
      <c r="HH1221" s="118"/>
      <c r="HI1221" s="118"/>
      <c r="HJ1221" s="118"/>
      <c r="HK1221" s="118"/>
      <c r="HL1221" s="118"/>
      <c r="HM1221" s="118"/>
      <c r="HN1221" s="118"/>
      <c r="HO1221" s="118"/>
      <c r="HP1221" s="118"/>
      <c r="HQ1221" s="118"/>
      <c r="HR1221" s="118"/>
      <c r="HS1221" s="118"/>
      <c r="HT1221" s="118"/>
      <c r="HU1221" s="118"/>
      <c r="HV1221" s="118"/>
      <c r="HW1221" s="118"/>
      <c r="HX1221" s="118"/>
      <c r="HY1221" s="118"/>
      <c r="HZ1221" s="118"/>
      <c r="IA1221" s="118"/>
      <c r="IB1221" s="118"/>
      <c r="IC1221" s="118"/>
      <c r="ID1221" s="118"/>
      <c r="IE1221" s="118"/>
      <c r="IF1221" s="118"/>
      <c r="IG1221" s="118"/>
      <c r="IH1221" s="118"/>
      <c r="II1221" s="118"/>
      <c r="IJ1221" s="118"/>
    </row>
    <row r="1222" spans="1:244" s="127" customFormat="1">
      <c r="A1222" s="118">
        <v>1221</v>
      </c>
      <c r="B1222" s="128">
        <v>13</v>
      </c>
      <c r="C1222" s="181">
        <v>38961</v>
      </c>
      <c r="D1222" s="157" t="s">
        <v>52</v>
      </c>
      <c r="E1222" s="8">
        <v>2006</v>
      </c>
      <c r="F1222" s="158">
        <f t="shared" si="323"/>
        <v>304</v>
      </c>
      <c r="G1222" s="158">
        <f t="shared" si="324"/>
        <v>1</v>
      </c>
      <c r="H1222" s="172">
        <v>38657</v>
      </c>
      <c r="I1222" s="194">
        <v>553040</v>
      </c>
      <c r="J1222" s="173">
        <v>18.55</v>
      </c>
      <c r="K1222" s="173">
        <v>4.87</v>
      </c>
      <c r="L1222" s="173">
        <v>0.4</v>
      </c>
      <c r="M1222" s="174"/>
      <c r="N1222" s="528"/>
      <c r="O1222" s="173">
        <v>2.3199999999999998</v>
      </c>
      <c r="P1222" s="170"/>
      <c r="Q1222" s="128">
        <v>10</v>
      </c>
      <c r="R1222" s="128">
        <v>28</v>
      </c>
      <c r="S1222" s="180"/>
      <c r="T1222" s="161">
        <f t="shared" ref="T1222:T1238" si="328">$I1222*K1222</f>
        <v>2693304.8000000003</v>
      </c>
      <c r="U1222" s="161">
        <f t="shared" si="325"/>
        <v>221216</v>
      </c>
      <c r="V1222" s="161">
        <f t="shared" si="326"/>
        <v>1283052.7999999998</v>
      </c>
      <c r="W1222" s="161">
        <f t="shared" si="327"/>
        <v>513221.11999999994</v>
      </c>
      <c r="X1222" s="118"/>
      <c r="Y1222" s="118"/>
      <c r="Z1222" s="118"/>
      <c r="AA1222" s="118"/>
      <c r="AB1222" s="118"/>
      <c r="AC1222" s="118"/>
      <c r="AD1222" s="118"/>
      <c r="AE1222" s="118"/>
      <c r="AF1222" s="118"/>
      <c r="AG1222" s="118"/>
      <c r="AH1222" s="118"/>
      <c r="AI1222" s="118"/>
      <c r="AJ1222" s="118"/>
      <c r="AK1222" s="118"/>
      <c r="AL1222" s="118"/>
      <c r="AM1222" s="118"/>
      <c r="AN1222" s="118"/>
      <c r="AO1222" s="118"/>
      <c r="AP1222" s="118"/>
      <c r="AQ1222" s="118"/>
      <c r="AR1222" s="118"/>
      <c r="AS1222" s="118"/>
      <c r="AT1222" s="118"/>
      <c r="AU1222" s="118"/>
      <c r="AV1222" s="118"/>
      <c r="AW1222" s="118"/>
      <c r="AX1222" s="118"/>
      <c r="AY1222" s="118"/>
      <c r="AZ1222" s="118"/>
      <c r="BA1222" s="118"/>
      <c r="BB1222" s="118"/>
      <c r="BC1222" s="118"/>
      <c r="BD1222" s="118"/>
      <c r="BE1222" s="118"/>
      <c r="BF1222" s="118"/>
      <c r="BG1222" s="118"/>
      <c r="BH1222" s="118"/>
      <c r="BI1222" s="118"/>
      <c r="BJ1222" s="118"/>
      <c r="BK1222" s="118"/>
      <c r="BL1222" s="118"/>
      <c r="BM1222" s="118"/>
      <c r="BN1222" s="118"/>
      <c r="BO1222" s="118"/>
      <c r="BP1222" s="118"/>
      <c r="BQ1222" s="118"/>
      <c r="BR1222" s="118"/>
      <c r="BS1222" s="118"/>
      <c r="BT1222" s="118"/>
      <c r="BU1222" s="118"/>
      <c r="BV1222" s="118"/>
      <c r="BW1222" s="118"/>
      <c r="BX1222" s="118"/>
      <c r="BY1222" s="118"/>
      <c r="BZ1222" s="118"/>
      <c r="CA1222" s="118"/>
      <c r="CB1222" s="118"/>
      <c r="CC1222" s="118"/>
      <c r="CD1222" s="118"/>
      <c r="CE1222" s="118"/>
      <c r="CF1222" s="118"/>
      <c r="CG1222" s="118"/>
      <c r="CH1222" s="118"/>
      <c r="CI1222" s="118"/>
      <c r="CJ1222" s="118"/>
      <c r="CK1222" s="118"/>
      <c r="CL1222" s="118"/>
      <c r="CM1222" s="118"/>
      <c r="CN1222" s="118"/>
      <c r="CO1222" s="118"/>
      <c r="CP1222" s="118"/>
      <c r="CQ1222" s="118"/>
      <c r="CR1222" s="118"/>
      <c r="CS1222" s="118"/>
      <c r="CT1222" s="118"/>
      <c r="CU1222" s="118"/>
      <c r="CV1222" s="118"/>
      <c r="CW1222" s="118"/>
      <c r="CX1222" s="118"/>
      <c r="CY1222" s="118"/>
      <c r="CZ1222" s="118"/>
      <c r="DA1222" s="118"/>
      <c r="DB1222" s="118"/>
      <c r="DC1222" s="118"/>
      <c r="DD1222" s="118"/>
      <c r="DE1222" s="118"/>
      <c r="DF1222" s="118"/>
      <c r="DG1222" s="118"/>
      <c r="DH1222" s="118"/>
      <c r="DI1222" s="118"/>
      <c r="DJ1222" s="118"/>
      <c r="DK1222" s="118"/>
      <c r="DL1222" s="118"/>
      <c r="DM1222" s="118"/>
      <c r="DN1222" s="118"/>
      <c r="DO1222" s="118"/>
      <c r="DP1222" s="118"/>
      <c r="DQ1222" s="118"/>
      <c r="DR1222" s="118"/>
      <c r="DS1222" s="118"/>
      <c r="DT1222" s="118"/>
      <c r="DU1222" s="118"/>
      <c r="DV1222" s="118"/>
      <c r="DW1222" s="118"/>
      <c r="DX1222" s="118"/>
      <c r="DY1222" s="118"/>
      <c r="DZ1222" s="118"/>
      <c r="EA1222" s="118"/>
      <c r="EB1222" s="118"/>
      <c r="EC1222" s="118"/>
      <c r="ED1222" s="118"/>
      <c r="EE1222" s="118"/>
      <c r="EF1222" s="118"/>
      <c r="EG1222" s="118"/>
      <c r="EH1222" s="118"/>
      <c r="EI1222" s="118"/>
      <c r="EJ1222" s="118"/>
      <c r="EK1222" s="118"/>
      <c r="EL1222" s="118"/>
      <c r="EM1222" s="118"/>
      <c r="EN1222" s="118"/>
      <c r="EO1222" s="118"/>
      <c r="EP1222" s="118"/>
      <c r="EQ1222" s="118"/>
      <c r="ER1222" s="118"/>
      <c r="ES1222" s="118"/>
      <c r="ET1222" s="118"/>
      <c r="EU1222" s="118"/>
      <c r="EV1222" s="118"/>
      <c r="EW1222" s="118"/>
      <c r="EX1222" s="118"/>
      <c r="EY1222" s="118"/>
      <c r="EZ1222" s="118"/>
      <c r="FA1222" s="118"/>
      <c r="FB1222" s="118"/>
      <c r="FC1222" s="118"/>
      <c r="FD1222" s="118"/>
      <c r="FE1222" s="118"/>
      <c r="FF1222" s="118"/>
      <c r="FG1222" s="118"/>
      <c r="FH1222" s="118"/>
      <c r="FI1222" s="118"/>
      <c r="FJ1222" s="118"/>
      <c r="FK1222" s="118"/>
      <c r="FL1222" s="118"/>
      <c r="FM1222" s="118"/>
      <c r="FN1222" s="118"/>
      <c r="FO1222" s="118"/>
      <c r="FP1222" s="118"/>
      <c r="FQ1222" s="118"/>
      <c r="FR1222" s="118"/>
      <c r="FS1222" s="118"/>
      <c r="FT1222" s="118"/>
      <c r="FU1222" s="118"/>
      <c r="FV1222" s="118"/>
      <c r="FW1222" s="118"/>
      <c r="FX1222" s="118"/>
      <c r="FY1222" s="118"/>
      <c r="FZ1222" s="118"/>
      <c r="GA1222" s="118"/>
      <c r="GB1222" s="118"/>
      <c r="GC1222" s="118"/>
      <c r="GD1222" s="118"/>
      <c r="GE1222" s="118"/>
      <c r="GF1222" s="118"/>
      <c r="GG1222" s="118"/>
      <c r="GH1222" s="118"/>
      <c r="GI1222" s="118"/>
      <c r="GJ1222" s="118"/>
      <c r="GK1222" s="118"/>
      <c r="GL1222" s="118"/>
      <c r="GM1222" s="118"/>
      <c r="GN1222" s="118"/>
      <c r="GO1222" s="118"/>
      <c r="GP1222" s="118"/>
      <c r="GQ1222" s="118"/>
      <c r="GR1222" s="118"/>
      <c r="GS1222" s="118"/>
      <c r="GT1222" s="118"/>
      <c r="GU1222" s="118"/>
      <c r="GV1222" s="118"/>
      <c r="GW1222" s="118"/>
      <c r="GX1222" s="118"/>
      <c r="GY1222" s="118"/>
      <c r="GZ1222" s="118"/>
      <c r="HA1222" s="118"/>
      <c r="HB1222" s="118"/>
      <c r="HC1222" s="118"/>
      <c r="HD1222" s="118"/>
      <c r="HE1222" s="118"/>
      <c r="HF1222" s="118"/>
      <c r="HG1222" s="118"/>
      <c r="HH1222" s="118"/>
      <c r="HI1222" s="118"/>
      <c r="HJ1222" s="118"/>
      <c r="HK1222" s="118"/>
      <c r="HL1222" s="118"/>
      <c r="HM1222" s="118"/>
      <c r="HN1222" s="118"/>
      <c r="HO1222" s="118"/>
      <c r="HP1222" s="118"/>
      <c r="HQ1222" s="118"/>
      <c r="HR1222" s="118"/>
      <c r="HS1222" s="118"/>
      <c r="HT1222" s="118"/>
      <c r="HU1222" s="118"/>
      <c r="HV1222" s="118"/>
      <c r="HW1222" s="118"/>
      <c r="HX1222" s="118"/>
      <c r="HY1222" s="118"/>
      <c r="HZ1222" s="118"/>
      <c r="IA1222" s="118"/>
      <c r="IB1222" s="118"/>
      <c r="IC1222" s="118"/>
      <c r="ID1222" s="118"/>
      <c r="IE1222" s="118"/>
      <c r="IF1222" s="118"/>
      <c r="IG1222" s="118"/>
      <c r="IH1222" s="118"/>
      <c r="II1222" s="118"/>
      <c r="IJ1222" s="118"/>
    </row>
    <row r="1223" spans="1:244" s="127" customFormat="1" ht="12.75" customHeight="1">
      <c r="A1223" s="118">
        <v>1222</v>
      </c>
      <c r="B1223" s="128">
        <v>13</v>
      </c>
      <c r="C1223" s="156">
        <v>38991</v>
      </c>
      <c r="D1223" s="157" t="s">
        <v>53</v>
      </c>
      <c r="E1223" s="8">
        <v>2006</v>
      </c>
      <c r="F1223" s="158">
        <f t="shared" si="323"/>
        <v>334</v>
      </c>
      <c r="G1223" s="158">
        <f t="shared" si="324"/>
        <v>1</v>
      </c>
      <c r="H1223" s="162">
        <v>38657</v>
      </c>
      <c r="I1223" s="194">
        <v>552521</v>
      </c>
      <c r="J1223" s="15">
        <v>18.010000000000002</v>
      </c>
      <c r="K1223" s="15">
        <v>8.4</v>
      </c>
      <c r="L1223" s="15">
        <v>2.48</v>
      </c>
      <c r="M1223" s="174">
        <v>0</v>
      </c>
      <c r="N1223" s="528"/>
      <c r="O1223" s="15">
        <v>3.88</v>
      </c>
      <c r="P1223" s="8">
        <v>1</v>
      </c>
      <c r="Q1223" s="11">
        <v>10</v>
      </c>
      <c r="R1223" s="11">
        <v>28</v>
      </c>
      <c r="S1223" s="155"/>
      <c r="T1223" s="161">
        <f t="shared" si="328"/>
        <v>4641176.4000000004</v>
      </c>
      <c r="U1223" s="161">
        <f t="shared" si="325"/>
        <v>1370252.08</v>
      </c>
      <c r="V1223" s="161">
        <f t="shared" si="326"/>
        <v>2143781.48</v>
      </c>
      <c r="W1223" s="161">
        <f t="shared" si="327"/>
        <v>857512.59200000006</v>
      </c>
      <c r="X1223" s="118"/>
      <c r="Y1223" s="118"/>
      <c r="Z1223" s="118"/>
      <c r="AA1223" s="118"/>
      <c r="AB1223" s="118"/>
      <c r="AC1223" s="118"/>
      <c r="AD1223" s="118"/>
      <c r="AE1223" s="118"/>
      <c r="AF1223" s="118"/>
      <c r="AG1223" s="118"/>
      <c r="AH1223" s="118"/>
      <c r="AI1223" s="118"/>
      <c r="AJ1223" s="118"/>
      <c r="AK1223" s="118"/>
      <c r="AL1223" s="118"/>
      <c r="AM1223" s="118"/>
      <c r="AN1223" s="118"/>
      <c r="AO1223" s="118"/>
      <c r="AP1223" s="118"/>
      <c r="AQ1223" s="118"/>
      <c r="AR1223" s="118"/>
      <c r="AS1223" s="118"/>
      <c r="AT1223" s="118"/>
      <c r="AU1223" s="118"/>
      <c r="AV1223" s="118"/>
      <c r="AW1223" s="118"/>
      <c r="AX1223" s="118"/>
      <c r="AY1223" s="118"/>
      <c r="AZ1223" s="118"/>
      <c r="BA1223" s="118"/>
      <c r="BB1223" s="118"/>
      <c r="BC1223" s="118"/>
      <c r="BD1223" s="118"/>
      <c r="BE1223" s="118"/>
      <c r="BF1223" s="118"/>
      <c r="BG1223" s="118"/>
      <c r="BH1223" s="118"/>
      <c r="BI1223" s="118"/>
      <c r="BJ1223" s="118"/>
      <c r="BK1223" s="118"/>
      <c r="BL1223" s="118"/>
      <c r="BM1223" s="118"/>
      <c r="BN1223" s="118"/>
      <c r="BO1223" s="118"/>
      <c r="BP1223" s="118"/>
      <c r="BQ1223" s="118"/>
      <c r="BR1223" s="118"/>
      <c r="BS1223" s="118"/>
      <c r="BT1223" s="118"/>
      <c r="BU1223" s="118"/>
      <c r="BV1223" s="118"/>
      <c r="BW1223" s="118"/>
      <c r="BX1223" s="118"/>
      <c r="BY1223" s="118"/>
      <c r="BZ1223" s="118"/>
      <c r="CA1223" s="118"/>
      <c r="CB1223" s="118"/>
      <c r="CC1223" s="118"/>
      <c r="CD1223" s="118"/>
      <c r="CE1223" s="118"/>
      <c r="CF1223" s="118"/>
      <c r="CG1223" s="118"/>
      <c r="CH1223" s="118"/>
      <c r="CI1223" s="118"/>
      <c r="CJ1223" s="118"/>
      <c r="CK1223" s="118"/>
      <c r="CL1223" s="118"/>
      <c r="CM1223" s="118"/>
      <c r="CN1223" s="118"/>
      <c r="CO1223" s="118"/>
      <c r="CP1223" s="118"/>
      <c r="CQ1223" s="118"/>
      <c r="CR1223" s="118"/>
      <c r="CS1223" s="118"/>
      <c r="CT1223" s="118"/>
      <c r="CU1223" s="118"/>
      <c r="CV1223" s="118"/>
      <c r="CW1223" s="118"/>
      <c r="CX1223" s="118"/>
      <c r="CY1223" s="118"/>
      <c r="CZ1223" s="118"/>
      <c r="DA1223" s="118"/>
      <c r="DB1223" s="118"/>
      <c r="DC1223" s="118"/>
      <c r="DD1223" s="118"/>
      <c r="DE1223" s="118"/>
      <c r="DF1223" s="118"/>
      <c r="DG1223" s="118"/>
      <c r="DH1223" s="118"/>
      <c r="DI1223" s="118"/>
      <c r="DJ1223" s="118"/>
      <c r="DK1223" s="118"/>
      <c r="DL1223" s="118"/>
      <c r="DM1223" s="118"/>
      <c r="DN1223" s="118"/>
      <c r="DO1223" s="118"/>
      <c r="DP1223" s="118"/>
      <c r="DQ1223" s="118"/>
      <c r="DR1223" s="118"/>
      <c r="DS1223" s="118"/>
      <c r="DT1223" s="118"/>
      <c r="DU1223" s="118"/>
      <c r="DV1223" s="118"/>
      <c r="DW1223" s="118"/>
      <c r="DX1223" s="118"/>
      <c r="DY1223" s="118"/>
      <c r="DZ1223" s="118"/>
      <c r="EA1223" s="118"/>
      <c r="EB1223" s="118"/>
      <c r="EC1223" s="118"/>
      <c r="ED1223" s="118"/>
      <c r="EE1223" s="118"/>
      <c r="EF1223" s="118"/>
      <c r="EG1223" s="118"/>
      <c r="EH1223" s="118"/>
      <c r="EI1223" s="118"/>
      <c r="EJ1223" s="118"/>
      <c r="EK1223" s="118"/>
      <c r="EL1223" s="118"/>
      <c r="EM1223" s="118"/>
      <c r="EN1223" s="118"/>
      <c r="EO1223" s="118"/>
      <c r="EP1223" s="118"/>
      <c r="EQ1223" s="118"/>
      <c r="ER1223" s="118"/>
      <c r="ES1223" s="118"/>
      <c r="ET1223" s="118"/>
      <c r="EU1223" s="118"/>
      <c r="EV1223" s="118"/>
      <c r="EW1223" s="118"/>
      <c r="EX1223" s="118"/>
      <c r="EY1223" s="118"/>
      <c r="EZ1223" s="118"/>
      <c r="FA1223" s="118"/>
      <c r="FB1223" s="118"/>
      <c r="FC1223" s="118"/>
      <c r="FD1223" s="118"/>
      <c r="FE1223" s="118"/>
      <c r="FF1223" s="118"/>
      <c r="FG1223" s="118"/>
      <c r="FH1223" s="118"/>
      <c r="FI1223" s="118"/>
      <c r="FJ1223" s="118"/>
      <c r="FK1223" s="118"/>
      <c r="FL1223" s="118"/>
      <c r="FM1223" s="118"/>
      <c r="FN1223" s="118"/>
      <c r="FO1223" s="118"/>
      <c r="FP1223" s="118"/>
      <c r="FQ1223" s="118"/>
      <c r="FR1223" s="118"/>
      <c r="FS1223" s="118"/>
      <c r="FT1223" s="118"/>
      <c r="FU1223" s="118"/>
      <c r="FV1223" s="118"/>
      <c r="FW1223" s="118"/>
      <c r="FX1223" s="118"/>
      <c r="FY1223" s="118"/>
      <c r="FZ1223" s="118"/>
      <c r="GA1223" s="118"/>
      <c r="GB1223" s="118"/>
      <c r="GC1223" s="118"/>
      <c r="GD1223" s="118"/>
      <c r="GE1223" s="118"/>
      <c r="GF1223" s="118"/>
      <c r="GG1223" s="118"/>
      <c r="GH1223" s="118"/>
      <c r="GI1223" s="118"/>
      <c r="GJ1223" s="118"/>
      <c r="GK1223" s="118"/>
      <c r="GL1223" s="118"/>
      <c r="GM1223" s="118"/>
      <c r="GN1223" s="118"/>
      <c r="GO1223" s="118"/>
      <c r="GP1223" s="118"/>
      <c r="GQ1223" s="118"/>
      <c r="GR1223" s="118"/>
      <c r="GS1223" s="118"/>
      <c r="GT1223" s="118"/>
      <c r="GU1223" s="118"/>
      <c r="GV1223" s="118"/>
      <c r="GW1223" s="118"/>
      <c r="GX1223" s="118"/>
      <c r="GY1223" s="118"/>
      <c r="GZ1223" s="118"/>
      <c r="HA1223" s="118"/>
      <c r="HB1223" s="118"/>
      <c r="HC1223" s="118"/>
      <c r="HD1223" s="118"/>
      <c r="HE1223" s="118"/>
      <c r="HF1223" s="118"/>
      <c r="HG1223" s="118"/>
      <c r="HH1223" s="118"/>
      <c r="HI1223" s="118"/>
      <c r="HJ1223" s="118"/>
      <c r="HK1223" s="118"/>
      <c r="HL1223" s="118"/>
      <c r="HM1223" s="118"/>
      <c r="HN1223" s="118"/>
      <c r="HO1223" s="118"/>
      <c r="HP1223" s="118"/>
      <c r="HQ1223" s="118"/>
      <c r="HR1223" s="118"/>
      <c r="HS1223" s="118"/>
      <c r="HT1223" s="118"/>
      <c r="HU1223" s="118"/>
      <c r="HV1223" s="118"/>
      <c r="HW1223" s="118"/>
      <c r="HX1223" s="118"/>
      <c r="HY1223" s="118"/>
      <c r="HZ1223" s="118"/>
      <c r="IA1223" s="118"/>
      <c r="IB1223" s="118"/>
      <c r="IC1223" s="118"/>
      <c r="ID1223" s="118"/>
      <c r="IE1223" s="118"/>
      <c r="IF1223" s="118"/>
      <c r="IG1223" s="118"/>
      <c r="IH1223" s="118"/>
      <c r="II1223" s="118"/>
      <c r="IJ1223" s="118"/>
    </row>
    <row r="1224" spans="1:244" s="127" customFormat="1">
      <c r="A1224" s="118">
        <v>1223</v>
      </c>
      <c r="B1224" s="128">
        <v>13</v>
      </c>
      <c r="C1224" s="156">
        <v>39022</v>
      </c>
      <c r="D1224" s="157" t="s">
        <v>54</v>
      </c>
      <c r="E1224" s="8">
        <v>2006</v>
      </c>
      <c r="F1224" s="158">
        <f t="shared" si="323"/>
        <v>365</v>
      </c>
      <c r="G1224" s="158">
        <f t="shared" si="324"/>
        <v>2</v>
      </c>
      <c r="H1224" s="162">
        <v>38657</v>
      </c>
      <c r="I1224" s="194">
        <v>551867</v>
      </c>
      <c r="J1224" s="15">
        <v>6.65</v>
      </c>
      <c r="K1224" s="15">
        <v>7.2333333</v>
      </c>
      <c r="L1224" s="15">
        <v>2.8250000000000002</v>
      </c>
      <c r="M1224" s="174">
        <v>2</v>
      </c>
      <c r="N1224" s="528"/>
      <c r="O1224" s="15">
        <v>1.3583333</v>
      </c>
      <c r="P1224" s="8"/>
      <c r="Q1224" s="11">
        <v>8</v>
      </c>
      <c r="R1224" s="11">
        <v>28</v>
      </c>
      <c r="S1224" s="155"/>
      <c r="T1224" s="161">
        <f t="shared" si="328"/>
        <v>3991837.9482710999</v>
      </c>
      <c r="U1224" s="161">
        <f t="shared" si="325"/>
        <v>1559024.2750000001</v>
      </c>
      <c r="V1224" s="161">
        <f t="shared" si="326"/>
        <v>749619.32327109994</v>
      </c>
      <c r="W1224" s="161">
        <f t="shared" si="327"/>
        <v>299847.72930844</v>
      </c>
    </row>
    <row r="1225" spans="1:244" s="127" customFormat="1">
      <c r="A1225" s="118">
        <v>1224</v>
      </c>
      <c r="B1225" s="128">
        <v>13</v>
      </c>
      <c r="C1225" s="156">
        <v>39052</v>
      </c>
      <c r="D1225" s="157" t="s">
        <v>55</v>
      </c>
      <c r="E1225" s="8">
        <v>2006</v>
      </c>
      <c r="F1225" s="158">
        <f t="shared" si="323"/>
        <v>395</v>
      </c>
      <c r="G1225" s="158">
        <f t="shared" si="324"/>
        <v>2</v>
      </c>
      <c r="H1225" s="162">
        <v>38657</v>
      </c>
      <c r="I1225" s="194">
        <v>551442</v>
      </c>
      <c r="J1225" s="15">
        <v>7.0000000000000007E-2</v>
      </c>
      <c r="K1225" s="15">
        <v>0.77</v>
      </c>
      <c r="L1225" s="15">
        <v>0.48</v>
      </c>
      <c r="M1225" s="174">
        <v>0</v>
      </c>
      <c r="N1225" s="528"/>
      <c r="O1225" s="15">
        <v>0</v>
      </c>
      <c r="P1225" s="8"/>
      <c r="Q1225" s="11">
        <v>7</v>
      </c>
      <c r="R1225" s="11">
        <v>29</v>
      </c>
      <c r="S1225" s="155"/>
      <c r="T1225" s="161">
        <f t="shared" si="328"/>
        <v>424610.34</v>
      </c>
      <c r="U1225" s="161">
        <f t="shared" si="325"/>
        <v>264692.15999999997</v>
      </c>
      <c r="V1225" s="161">
        <f t="shared" si="326"/>
        <v>0</v>
      </c>
      <c r="W1225" s="161">
        <f t="shared" si="327"/>
        <v>0</v>
      </c>
    </row>
    <row r="1226" spans="1:244" s="127" customFormat="1">
      <c r="A1226" s="118">
        <v>1225</v>
      </c>
      <c r="B1226" s="128">
        <v>13</v>
      </c>
      <c r="C1226" s="156">
        <v>39083</v>
      </c>
      <c r="D1226" s="157" t="s">
        <v>44</v>
      </c>
      <c r="E1226" s="8">
        <v>2007</v>
      </c>
      <c r="F1226" s="158">
        <f t="shared" si="323"/>
        <v>426</v>
      </c>
      <c r="G1226" s="158">
        <f t="shared" si="324"/>
        <v>2</v>
      </c>
      <c r="H1226" s="178">
        <v>38657</v>
      </c>
      <c r="I1226" s="194">
        <v>551125</v>
      </c>
      <c r="J1226" s="164">
        <v>0.05</v>
      </c>
      <c r="K1226" s="164">
        <v>0.1166666</v>
      </c>
      <c r="L1226" s="164">
        <v>0.1</v>
      </c>
      <c r="M1226" s="193">
        <v>0</v>
      </c>
      <c r="N1226" s="529"/>
      <c r="O1226" s="164">
        <v>1.66666E-2</v>
      </c>
      <c r="P1226" s="207"/>
      <c r="Q1226" s="118">
        <v>6</v>
      </c>
      <c r="R1226" s="118">
        <v>29</v>
      </c>
      <c r="S1226" s="221"/>
      <c r="T1226" s="161">
        <f t="shared" si="328"/>
        <v>64297.879924999994</v>
      </c>
      <c r="U1226" s="161">
        <f t="shared" si="325"/>
        <v>55112.5</v>
      </c>
      <c r="V1226" s="161">
        <f t="shared" si="326"/>
        <v>9185.3799249999993</v>
      </c>
      <c r="W1226" s="161">
        <f t="shared" si="327"/>
        <v>3674.1519699999999</v>
      </c>
    </row>
    <row r="1227" spans="1:244" s="127" customFormat="1">
      <c r="A1227" s="118">
        <v>1226</v>
      </c>
      <c r="B1227" s="128">
        <v>13</v>
      </c>
      <c r="C1227" s="156">
        <v>39114</v>
      </c>
      <c r="D1227" s="157" t="s">
        <v>45</v>
      </c>
      <c r="E1227" s="8">
        <v>2007</v>
      </c>
      <c r="F1227" s="158">
        <f t="shared" si="323"/>
        <v>457</v>
      </c>
      <c r="G1227" s="158">
        <f t="shared" si="324"/>
        <v>2</v>
      </c>
      <c r="H1227" s="178">
        <v>38657</v>
      </c>
      <c r="I1227" s="194">
        <v>550897</v>
      </c>
      <c r="J1227" s="164">
        <v>7.0000000000000007E-2</v>
      </c>
      <c r="K1227" s="164">
        <v>0.08</v>
      </c>
      <c r="L1227" s="164">
        <v>0.08</v>
      </c>
      <c r="M1227" s="193">
        <v>0</v>
      </c>
      <c r="N1227" s="529"/>
      <c r="O1227" s="164">
        <v>0</v>
      </c>
      <c r="P1227" s="207"/>
      <c r="Q1227" s="118">
        <v>7</v>
      </c>
      <c r="R1227" s="118">
        <v>30</v>
      </c>
      <c r="S1227" s="221"/>
      <c r="T1227" s="161">
        <f t="shared" si="328"/>
        <v>44071.76</v>
      </c>
      <c r="U1227" s="161">
        <f t="shared" si="325"/>
        <v>44071.76</v>
      </c>
      <c r="V1227" s="161">
        <f t="shared" si="326"/>
        <v>0</v>
      </c>
      <c r="W1227" s="161">
        <f t="shared" si="327"/>
        <v>0</v>
      </c>
    </row>
    <row r="1228" spans="1:244" s="127" customFormat="1">
      <c r="A1228" s="118">
        <v>1227</v>
      </c>
      <c r="B1228" s="128">
        <v>13</v>
      </c>
      <c r="C1228" s="156">
        <v>39142</v>
      </c>
      <c r="D1228" s="157" t="s">
        <v>46</v>
      </c>
      <c r="E1228" s="8">
        <v>2007</v>
      </c>
      <c r="F1228" s="158">
        <f t="shared" si="323"/>
        <v>485</v>
      </c>
      <c r="G1228" s="158">
        <f t="shared" si="324"/>
        <v>2</v>
      </c>
      <c r="H1228" s="178">
        <v>38657</v>
      </c>
      <c r="I1228" s="194">
        <v>572386</v>
      </c>
      <c r="J1228" s="164">
        <v>0.27</v>
      </c>
      <c r="K1228" s="164">
        <v>7.0000000000000007E-2</v>
      </c>
      <c r="L1228" s="164">
        <v>0.03</v>
      </c>
      <c r="M1228" s="193">
        <v>0</v>
      </c>
      <c r="N1228" s="529"/>
      <c r="O1228" s="164">
        <v>0.08</v>
      </c>
      <c r="P1228" s="207"/>
      <c r="Q1228" s="118">
        <v>7</v>
      </c>
      <c r="R1228" s="118">
        <v>29</v>
      </c>
      <c r="S1228" s="221"/>
      <c r="T1228" s="161">
        <f t="shared" si="328"/>
        <v>40067.020000000004</v>
      </c>
      <c r="U1228" s="161">
        <f t="shared" si="325"/>
        <v>17171.579999999998</v>
      </c>
      <c r="V1228" s="161">
        <f t="shared" si="326"/>
        <v>45790.879999999997</v>
      </c>
      <c r="W1228" s="161">
        <f t="shared" si="327"/>
        <v>18316.351999999999</v>
      </c>
    </row>
    <row r="1229" spans="1:244" s="127" customFormat="1">
      <c r="A1229" s="118">
        <v>1228</v>
      </c>
      <c r="B1229" s="128">
        <v>13</v>
      </c>
      <c r="C1229" s="156">
        <v>39173</v>
      </c>
      <c r="D1229" s="157" t="s">
        <v>47</v>
      </c>
      <c r="E1229" s="8">
        <v>2007</v>
      </c>
      <c r="F1229" s="158">
        <f t="shared" si="323"/>
        <v>516</v>
      </c>
      <c r="G1229" s="158">
        <f t="shared" si="324"/>
        <v>2</v>
      </c>
      <c r="H1229" s="178">
        <v>38657</v>
      </c>
      <c r="I1229" s="194">
        <v>572072</v>
      </c>
      <c r="J1229" s="164">
        <v>1.3</v>
      </c>
      <c r="K1229" s="164">
        <v>0.1</v>
      </c>
      <c r="L1229" s="164">
        <v>0</v>
      </c>
      <c r="M1229" s="193">
        <v>0</v>
      </c>
      <c r="N1229" s="529"/>
      <c r="O1229" s="164">
        <v>0.1</v>
      </c>
      <c r="P1229" s="207"/>
      <c r="Q1229" s="118">
        <v>8</v>
      </c>
      <c r="R1229" s="118">
        <v>29</v>
      </c>
      <c r="S1229" s="221"/>
      <c r="T1229" s="161">
        <f t="shared" si="328"/>
        <v>57207.200000000004</v>
      </c>
      <c r="U1229" s="161">
        <f t="shared" si="325"/>
        <v>0</v>
      </c>
      <c r="V1229" s="161">
        <f t="shared" si="326"/>
        <v>57207.200000000004</v>
      </c>
      <c r="W1229" s="161">
        <f t="shared" si="327"/>
        <v>22882.880000000005</v>
      </c>
    </row>
    <row r="1230" spans="1:244">
      <c r="A1230" s="118">
        <v>1229</v>
      </c>
      <c r="B1230" s="128">
        <v>13</v>
      </c>
      <c r="C1230" s="156">
        <v>39203</v>
      </c>
      <c r="D1230" s="157" t="s">
        <v>48</v>
      </c>
      <c r="E1230" s="8">
        <v>2007</v>
      </c>
      <c r="F1230" s="158">
        <f t="shared" si="323"/>
        <v>546</v>
      </c>
      <c r="G1230" s="158">
        <f t="shared" si="324"/>
        <v>2</v>
      </c>
      <c r="H1230" s="178">
        <v>38657</v>
      </c>
      <c r="I1230" s="194">
        <v>550895</v>
      </c>
      <c r="J1230" s="164">
        <v>5.28</v>
      </c>
      <c r="K1230" s="164">
        <v>1.1299999999999999</v>
      </c>
      <c r="L1230" s="164">
        <v>0.2</v>
      </c>
      <c r="M1230" s="193">
        <v>0</v>
      </c>
      <c r="N1230" s="529"/>
      <c r="O1230" s="164">
        <v>0.93</v>
      </c>
      <c r="P1230" s="207"/>
      <c r="Q1230" s="118">
        <v>9</v>
      </c>
      <c r="R1230" s="118">
        <v>30</v>
      </c>
      <c r="S1230" s="221"/>
      <c r="T1230" s="161">
        <f t="shared" si="328"/>
        <v>622511.35</v>
      </c>
      <c r="U1230" s="161">
        <f t="shared" si="325"/>
        <v>110179</v>
      </c>
      <c r="V1230" s="161">
        <f t="shared" si="326"/>
        <v>512332.35000000003</v>
      </c>
      <c r="W1230" s="161">
        <f t="shared" si="327"/>
        <v>204932.94000000003</v>
      </c>
      <c r="X1230" s="127"/>
      <c r="Y1230" s="127"/>
      <c r="Z1230" s="127"/>
      <c r="AA1230" s="127"/>
      <c r="AB1230" s="127"/>
      <c r="AC1230" s="127"/>
      <c r="AD1230" s="127"/>
      <c r="AE1230" s="127"/>
      <c r="AF1230" s="127"/>
      <c r="AG1230" s="127"/>
      <c r="AH1230" s="127"/>
      <c r="AI1230" s="127"/>
      <c r="AJ1230" s="127"/>
      <c r="AK1230" s="127"/>
      <c r="AL1230" s="127"/>
      <c r="AM1230" s="127"/>
      <c r="AN1230" s="127"/>
      <c r="AO1230" s="127"/>
      <c r="AP1230" s="127"/>
      <c r="AQ1230" s="127"/>
      <c r="AR1230" s="127"/>
      <c r="AS1230" s="127"/>
      <c r="AT1230" s="127"/>
      <c r="AU1230" s="127"/>
      <c r="AV1230" s="127"/>
      <c r="AW1230" s="127"/>
      <c r="AX1230" s="127"/>
      <c r="AY1230" s="127"/>
      <c r="AZ1230" s="127"/>
      <c r="BA1230" s="127"/>
      <c r="BB1230" s="127"/>
      <c r="BC1230" s="127"/>
      <c r="BD1230" s="127"/>
      <c r="BE1230" s="127"/>
      <c r="BF1230" s="127"/>
      <c r="BG1230" s="127"/>
      <c r="BH1230" s="127"/>
      <c r="BI1230" s="127"/>
      <c r="BJ1230" s="127"/>
      <c r="BK1230" s="127"/>
      <c r="BL1230" s="127"/>
      <c r="BM1230" s="127"/>
      <c r="BN1230" s="127"/>
      <c r="BO1230" s="127"/>
      <c r="BP1230" s="127"/>
      <c r="BQ1230" s="127"/>
      <c r="BR1230" s="127"/>
      <c r="BS1230" s="127"/>
      <c r="BT1230" s="127"/>
      <c r="BU1230" s="127"/>
      <c r="BV1230" s="127"/>
      <c r="BW1230" s="127"/>
      <c r="BX1230" s="127"/>
      <c r="BY1230" s="127"/>
      <c r="BZ1230" s="127"/>
      <c r="CA1230" s="127"/>
      <c r="CB1230" s="127"/>
      <c r="CC1230" s="127"/>
      <c r="CD1230" s="127"/>
      <c r="CE1230" s="127"/>
      <c r="CF1230" s="127"/>
      <c r="CG1230" s="127"/>
      <c r="CH1230" s="127"/>
      <c r="CI1230" s="127"/>
      <c r="CJ1230" s="127"/>
      <c r="CK1230" s="127"/>
      <c r="CL1230" s="127"/>
      <c r="CM1230" s="127"/>
      <c r="CN1230" s="127"/>
      <c r="CO1230" s="127"/>
      <c r="CP1230" s="127"/>
      <c r="CQ1230" s="127"/>
      <c r="CR1230" s="127"/>
      <c r="CS1230" s="127"/>
      <c r="CT1230" s="127"/>
      <c r="CU1230" s="127"/>
      <c r="CV1230" s="127"/>
      <c r="CW1230" s="127"/>
      <c r="CX1230" s="127"/>
      <c r="CY1230" s="127"/>
      <c r="CZ1230" s="127"/>
      <c r="DA1230" s="127"/>
      <c r="DB1230" s="127"/>
      <c r="DC1230" s="127"/>
      <c r="DD1230" s="127"/>
      <c r="DE1230" s="127"/>
      <c r="DF1230" s="127"/>
      <c r="DG1230" s="127"/>
      <c r="DH1230" s="127"/>
      <c r="DI1230" s="127"/>
      <c r="DJ1230" s="127"/>
      <c r="DK1230" s="127"/>
      <c r="DL1230" s="127"/>
      <c r="DM1230" s="127"/>
      <c r="DN1230" s="127"/>
      <c r="DO1230" s="127"/>
      <c r="DP1230" s="127"/>
      <c r="DQ1230" s="127"/>
      <c r="DR1230" s="127"/>
      <c r="DS1230" s="127"/>
      <c r="DT1230" s="127"/>
      <c r="DU1230" s="127"/>
      <c r="DV1230" s="127"/>
      <c r="DW1230" s="127"/>
      <c r="DX1230" s="127"/>
      <c r="DY1230" s="127"/>
      <c r="DZ1230" s="127"/>
      <c r="EA1230" s="127"/>
      <c r="EB1230" s="127"/>
      <c r="EC1230" s="127"/>
      <c r="ED1230" s="127"/>
      <c r="EE1230" s="127"/>
      <c r="EF1230" s="127"/>
      <c r="EG1230" s="127"/>
      <c r="EH1230" s="127"/>
      <c r="EI1230" s="127"/>
      <c r="EJ1230" s="127"/>
      <c r="EK1230" s="127"/>
      <c r="EL1230" s="127"/>
      <c r="EM1230" s="127"/>
      <c r="EN1230" s="127"/>
      <c r="EO1230" s="127"/>
      <c r="EP1230" s="127"/>
      <c r="EQ1230" s="127"/>
      <c r="ER1230" s="127"/>
      <c r="ES1230" s="127"/>
      <c r="ET1230" s="127"/>
      <c r="EU1230" s="127"/>
      <c r="EV1230" s="127"/>
      <c r="EW1230" s="127"/>
      <c r="EX1230" s="127"/>
      <c r="EY1230" s="127"/>
      <c r="EZ1230" s="127"/>
      <c r="FA1230" s="127"/>
      <c r="FB1230" s="127"/>
      <c r="FC1230" s="127"/>
      <c r="FD1230" s="127"/>
      <c r="FE1230" s="127"/>
      <c r="FF1230" s="127"/>
      <c r="FG1230" s="127"/>
      <c r="FH1230" s="127"/>
      <c r="FI1230" s="127"/>
      <c r="FJ1230" s="127"/>
      <c r="FK1230" s="127"/>
      <c r="FL1230" s="127"/>
      <c r="FM1230" s="127"/>
      <c r="FN1230" s="127"/>
      <c r="FO1230" s="127"/>
      <c r="FP1230" s="127"/>
      <c r="FQ1230" s="127"/>
      <c r="FR1230" s="127"/>
      <c r="FS1230" s="127"/>
      <c r="FT1230" s="127"/>
      <c r="FU1230" s="127"/>
      <c r="FV1230" s="127"/>
      <c r="FW1230" s="127"/>
      <c r="FX1230" s="127"/>
      <c r="FY1230" s="127"/>
      <c r="FZ1230" s="127"/>
      <c r="GA1230" s="127"/>
      <c r="GB1230" s="127"/>
      <c r="GC1230" s="127"/>
      <c r="GD1230" s="127"/>
      <c r="GE1230" s="127"/>
      <c r="GF1230" s="127"/>
      <c r="GG1230" s="127"/>
      <c r="GH1230" s="127"/>
      <c r="GI1230" s="127"/>
      <c r="GJ1230" s="127"/>
      <c r="GK1230" s="127"/>
      <c r="GL1230" s="127"/>
      <c r="GM1230" s="127"/>
      <c r="GN1230" s="127"/>
      <c r="GO1230" s="127"/>
      <c r="GP1230" s="127"/>
      <c r="GQ1230" s="127"/>
      <c r="GR1230" s="127"/>
      <c r="GS1230" s="127"/>
      <c r="GT1230" s="127"/>
      <c r="GU1230" s="127"/>
      <c r="GV1230" s="127"/>
      <c r="GW1230" s="127"/>
      <c r="GX1230" s="127"/>
      <c r="GY1230" s="127"/>
      <c r="GZ1230" s="127"/>
      <c r="HA1230" s="127"/>
      <c r="HB1230" s="127"/>
      <c r="HC1230" s="127"/>
      <c r="HD1230" s="127"/>
      <c r="HE1230" s="127"/>
      <c r="HF1230" s="127"/>
      <c r="HG1230" s="127"/>
      <c r="HH1230" s="127"/>
      <c r="HI1230" s="127"/>
      <c r="HJ1230" s="127"/>
      <c r="HK1230" s="127"/>
      <c r="HL1230" s="127"/>
      <c r="HM1230" s="127"/>
      <c r="HN1230" s="127"/>
      <c r="HO1230" s="127"/>
      <c r="HP1230" s="127"/>
      <c r="HQ1230" s="127"/>
      <c r="HR1230" s="127"/>
      <c r="HS1230" s="127"/>
      <c r="HT1230" s="127"/>
      <c r="HU1230" s="127"/>
      <c r="HV1230" s="127"/>
      <c r="HW1230" s="127"/>
      <c r="HX1230" s="127"/>
      <c r="HY1230" s="127"/>
      <c r="HZ1230" s="127"/>
      <c r="IA1230" s="127"/>
      <c r="IB1230" s="127"/>
      <c r="IC1230" s="127"/>
      <c r="ID1230" s="127"/>
      <c r="IE1230" s="127"/>
      <c r="IF1230" s="127"/>
      <c r="IG1230" s="127"/>
      <c r="IH1230" s="127"/>
      <c r="II1230" s="127"/>
      <c r="IJ1230" s="127"/>
    </row>
    <row r="1231" spans="1:244">
      <c r="A1231" s="118">
        <v>1230</v>
      </c>
      <c r="B1231" s="128">
        <v>13</v>
      </c>
      <c r="C1231" s="156">
        <v>39234</v>
      </c>
      <c r="D1231" s="157" t="s">
        <v>49</v>
      </c>
      <c r="E1231" s="8">
        <v>2007</v>
      </c>
      <c r="F1231" s="158">
        <f t="shared" si="323"/>
        <v>577</v>
      </c>
      <c r="G1231" s="158">
        <f t="shared" si="324"/>
        <v>2</v>
      </c>
      <c r="H1231" s="178">
        <v>38657</v>
      </c>
      <c r="I1231" s="194">
        <v>550603</v>
      </c>
      <c r="J1231" s="164">
        <v>4.7699999999999996</v>
      </c>
      <c r="K1231" s="164">
        <v>0.33</v>
      </c>
      <c r="L1231" s="164">
        <v>0.15</v>
      </c>
      <c r="M1231" s="193">
        <v>0</v>
      </c>
      <c r="N1231" s="529"/>
      <c r="O1231" s="164">
        <v>1.72</v>
      </c>
      <c r="P1231" s="207"/>
      <c r="Q1231" s="118">
        <v>10</v>
      </c>
      <c r="R1231" s="118">
        <v>28</v>
      </c>
      <c r="S1231" s="221"/>
      <c r="T1231" s="161">
        <f t="shared" si="328"/>
        <v>181698.99000000002</v>
      </c>
      <c r="U1231" s="161">
        <f t="shared" si="325"/>
        <v>82590.45</v>
      </c>
      <c r="V1231" s="161">
        <f t="shared" si="326"/>
        <v>947037.16</v>
      </c>
      <c r="W1231" s="161">
        <f t="shared" si="327"/>
        <v>378814.86400000006</v>
      </c>
      <c r="X1231" s="127"/>
      <c r="Y1231" s="127"/>
      <c r="Z1231" s="127"/>
      <c r="AA1231" s="127"/>
      <c r="AB1231" s="127"/>
      <c r="AC1231" s="127"/>
      <c r="AD1231" s="127"/>
      <c r="AE1231" s="127"/>
      <c r="AF1231" s="127"/>
      <c r="AG1231" s="127"/>
      <c r="AH1231" s="127"/>
      <c r="AI1231" s="127"/>
      <c r="AJ1231" s="127"/>
      <c r="AK1231" s="127"/>
      <c r="AL1231" s="127"/>
      <c r="AM1231" s="127"/>
      <c r="AN1231" s="127"/>
      <c r="AO1231" s="127"/>
      <c r="AP1231" s="127"/>
      <c r="AQ1231" s="127"/>
      <c r="AR1231" s="127"/>
      <c r="AS1231" s="127"/>
      <c r="AT1231" s="127"/>
      <c r="AU1231" s="127"/>
      <c r="AV1231" s="127"/>
      <c r="AW1231" s="127"/>
      <c r="AX1231" s="127"/>
      <c r="AY1231" s="127"/>
      <c r="AZ1231" s="127"/>
      <c r="BA1231" s="127"/>
      <c r="BB1231" s="127"/>
      <c r="BC1231" s="127"/>
      <c r="BD1231" s="127"/>
      <c r="BE1231" s="127"/>
      <c r="BF1231" s="127"/>
      <c r="BG1231" s="127"/>
      <c r="BH1231" s="127"/>
      <c r="BI1231" s="127"/>
      <c r="BJ1231" s="127"/>
      <c r="BK1231" s="127"/>
      <c r="BL1231" s="127"/>
      <c r="BM1231" s="127"/>
      <c r="BN1231" s="127"/>
      <c r="BO1231" s="127"/>
      <c r="BP1231" s="127"/>
      <c r="BQ1231" s="127"/>
      <c r="BR1231" s="127"/>
      <c r="BS1231" s="127"/>
      <c r="BT1231" s="127"/>
      <c r="BU1231" s="127"/>
      <c r="BV1231" s="127"/>
      <c r="BW1231" s="127"/>
      <c r="BX1231" s="127"/>
      <c r="BY1231" s="127"/>
      <c r="BZ1231" s="127"/>
      <c r="CA1231" s="127"/>
      <c r="CB1231" s="127"/>
      <c r="CC1231" s="127"/>
      <c r="CD1231" s="127"/>
      <c r="CE1231" s="127"/>
      <c r="CF1231" s="127"/>
      <c r="CG1231" s="127"/>
      <c r="CH1231" s="127"/>
      <c r="CI1231" s="127"/>
      <c r="CJ1231" s="127"/>
      <c r="CK1231" s="127"/>
      <c r="CL1231" s="127"/>
      <c r="CM1231" s="127"/>
      <c r="CN1231" s="127"/>
      <c r="CO1231" s="127"/>
      <c r="CP1231" s="127"/>
      <c r="CQ1231" s="127"/>
      <c r="CR1231" s="127"/>
      <c r="CS1231" s="127"/>
      <c r="CT1231" s="127"/>
      <c r="CU1231" s="127"/>
      <c r="CV1231" s="127"/>
      <c r="CW1231" s="127"/>
      <c r="CX1231" s="127"/>
      <c r="CY1231" s="127"/>
      <c r="CZ1231" s="127"/>
      <c r="DA1231" s="127"/>
      <c r="DB1231" s="127"/>
      <c r="DC1231" s="127"/>
      <c r="DD1231" s="127"/>
      <c r="DE1231" s="127"/>
      <c r="DF1231" s="127"/>
      <c r="DG1231" s="127"/>
      <c r="DH1231" s="127"/>
      <c r="DI1231" s="127"/>
      <c r="DJ1231" s="127"/>
      <c r="DK1231" s="127"/>
      <c r="DL1231" s="127"/>
      <c r="DM1231" s="127"/>
      <c r="DN1231" s="127"/>
      <c r="DO1231" s="127"/>
      <c r="DP1231" s="127"/>
      <c r="DQ1231" s="127"/>
      <c r="DR1231" s="127"/>
      <c r="DS1231" s="127"/>
      <c r="DT1231" s="127"/>
      <c r="DU1231" s="127"/>
      <c r="DV1231" s="127"/>
      <c r="DW1231" s="127"/>
      <c r="DX1231" s="127"/>
      <c r="DY1231" s="127"/>
      <c r="DZ1231" s="127"/>
      <c r="EA1231" s="127"/>
      <c r="EB1231" s="127"/>
      <c r="EC1231" s="127"/>
      <c r="ED1231" s="127"/>
      <c r="EE1231" s="127"/>
      <c r="EF1231" s="127"/>
      <c r="EG1231" s="127"/>
      <c r="EH1231" s="127"/>
      <c r="EI1231" s="127"/>
      <c r="EJ1231" s="127"/>
      <c r="EK1231" s="127"/>
      <c r="EL1231" s="127"/>
      <c r="EM1231" s="127"/>
      <c r="EN1231" s="127"/>
      <c r="EO1231" s="127"/>
      <c r="EP1231" s="127"/>
      <c r="EQ1231" s="127"/>
      <c r="ER1231" s="127"/>
      <c r="ES1231" s="127"/>
      <c r="ET1231" s="127"/>
      <c r="EU1231" s="127"/>
      <c r="EV1231" s="127"/>
      <c r="EW1231" s="127"/>
      <c r="EX1231" s="127"/>
      <c r="EY1231" s="127"/>
      <c r="EZ1231" s="127"/>
      <c r="FA1231" s="127"/>
      <c r="FB1231" s="127"/>
      <c r="FC1231" s="127"/>
      <c r="FD1231" s="127"/>
      <c r="FE1231" s="127"/>
      <c r="FF1231" s="127"/>
      <c r="FG1231" s="127"/>
      <c r="FH1231" s="127"/>
      <c r="FI1231" s="127"/>
      <c r="FJ1231" s="127"/>
      <c r="FK1231" s="127"/>
      <c r="FL1231" s="127"/>
      <c r="FM1231" s="127"/>
      <c r="FN1231" s="127"/>
      <c r="FO1231" s="127"/>
      <c r="FP1231" s="127"/>
      <c r="FQ1231" s="127"/>
      <c r="FR1231" s="127"/>
      <c r="FS1231" s="127"/>
      <c r="FT1231" s="127"/>
      <c r="FU1231" s="127"/>
      <c r="FV1231" s="127"/>
      <c r="FW1231" s="127"/>
      <c r="FX1231" s="127"/>
      <c r="FY1231" s="127"/>
      <c r="FZ1231" s="127"/>
      <c r="GA1231" s="127"/>
      <c r="GB1231" s="127"/>
      <c r="GC1231" s="127"/>
      <c r="GD1231" s="127"/>
      <c r="GE1231" s="127"/>
      <c r="GF1231" s="127"/>
      <c r="GG1231" s="127"/>
      <c r="GH1231" s="127"/>
      <c r="GI1231" s="127"/>
      <c r="GJ1231" s="127"/>
      <c r="GK1231" s="127"/>
      <c r="GL1231" s="127"/>
      <c r="GM1231" s="127"/>
      <c r="GN1231" s="127"/>
      <c r="GO1231" s="127"/>
      <c r="GP1231" s="127"/>
      <c r="GQ1231" s="127"/>
      <c r="GR1231" s="127"/>
      <c r="GS1231" s="127"/>
      <c r="GT1231" s="127"/>
      <c r="GU1231" s="127"/>
      <c r="GV1231" s="127"/>
      <c r="GW1231" s="127"/>
      <c r="GX1231" s="127"/>
      <c r="GY1231" s="127"/>
      <c r="GZ1231" s="127"/>
      <c r="HA1231" s="127"/>
      <c r="HB1231" s="127"/>
      <c r="HC1231" s="127"/>
      <c r="HD1231" s="127"/>
      <c r="HE1231" s="127"/>
      <c r="HF1231" s="127"/>
      <c r="HG1231" s="127"/>
      <c r="HH1231" s="127"/>
      <c r="HI1231" s="127"/>
      <c r="HJ1231" s="127"/>
      <c r="HK1231" s="127"/>
      <c r="HL1231" s="127"/>
      <c r="HM1231" s="127"/>
      <c r="HN1231" s="127"/>
      <c r="HO1231" s="127"/>
      <c r="HP1231" s="127"/>
      <c r="HQ1231" s="127"/>
      <c r="HR1231" s="127"/>
      <c r="HS1231" s="127"/>
      <c r="HT1231" s="127"/>
      <c r="HU1231" s="127"/>
      <c r="HV1231" s="127"/>
      <c r="HW1231" s="127"/>
      <c r="HX1231" s="127"/>
      <c r="HY1231" s="127"/>
      <c r="HZ1231" s="127"/>
      <c r="IA1231" s="127"/>
      <c r="IB1231" s="127"/>
      <c r="IC1231" s="127"/>
      <c r="ID1231" s="127"/>
      <c r="IE1231" s="127"/>
      <c r="IF1231" s="127"/>
      <c r="IG1231" s="127"/>
      <c r="IH1231" s="127"/>
      <c r="II1231" s="127"/>
      <c r="IJ1231" s="127"/>
    </row>
    <row r="1232" spans="1:244">
      <c r="A1232" s="118">
        <v>1231</v>
      </c>
      <c r="B1232" s="128">
        <v>13</v>
      </c>
      <c r="C1232" s="156">
        <v>39264</v>
      </c>
      <c r="D1232" s="157" t="s">
        <v>50</v>
      </c>
      <c r="E1232" s="8">
        <v>2007</v>
      </c>
      <c r="F1232" s="158">
        <f t="shared" si="323"/>
        <v>607</v>
      </c>
      <c r="G1232" s="158">
        <f t="shared" si="324"/>
        <v>2</v>
      </c>
      <c r="H1232" s="178">
        <v>38657</v>
      </c>
      <c r="I1232" s="194">
        <v>550125</v>
      </c>
      <c r="J1232" s="164">
        <v>0.57999999999999996</v>
      </c>
      <c r="K1232" s="164">
        <v>0.85</v>
      </c>
      <c r="L1232" s="164">
        <v>0.33</v>
      </c>
      <c r="M1232" s="193">
        <v>0</v>
      </c>
      <c r="N1232" s="529"/>
      <c r="O1232" s="164">
        <v>1.48</v>
      </c>
      <c r="P1232" s="207"/>
      <c r="Q1232" s="118">
        <v>10</v>
      </c>
      <c r="R1232" s="118">
        <v>23</v>
      </c>
      <c r="S1232" s="221"/>
      <c r="T1232" s="161">
        <f t="shared" si="328"/>
        <v>467606.25</v>
      </c>
      <c r="U1232" s="161">
        <f t="shared" si="325"/>
        <v>181541.25</v>
      </c>
      <c r="V1232" s="161">
        <f t="shared" si="326"/>
        <v>814185</v>
      </c>
      <c r="W1232" s="161">
        <f t="shared" si="327"/>
        <v>325674</v>
      </c>
      <c r="X1232" s="127"/>
      <c r="Y1232" s="127"/>
      <c r="Z1232" s="127"/>
      <c r="AA1232" s="127"/>
      <c r="AB1232" s="127"/>
      <c r="AC1232" s="127"/>
      <c r="AD1232" s="127"/>
      <c r="AE1232" s="127"/>
      <c r="AF1232" s="127"/>
      <c r="AG1232" s="127"/>
      <c r="AH1232" s="127"/>
      <c r="AI1232" s="127"/>
      <c r="AJ1232" s="127"/>
      <c r="AK1232" s="127"/>
      <c r="AL1232" s="127"/>
      <c r="AM1232" s="127"/>
      <c r="AN1232" s="127"/>
      <c r="AO1232" s="127"/>
      <c r="AP1232" s="127"/>
      <c r="AQ1232" s="127"/>
      <c r="AR1232" s="127"/>
      <c r="AS1232" s="127"/>
      <c r="AT1232" s="127"/>
      <c r="AU1232" s="127"/>
      <c r="AV1232" s="127"/>
      <c r="AW1232" s="127"/>
      <c r="AX1232" s="127"/>
      <c r="AY1232" s="127"/>
      <c r="AZ1232" s="127"/>
      <c r="BA1232" s="127"/>
      <c r="BB1232" s="127"/>
      <c r="BC1232" s="127"/>
      <c r="BD1232" s="127"/>
      <c r="BE1232" s="127"/>
      <c r="BF1232" s="127"/>
      <c r="BG1232" s="127"/>
      <c r="BH1232" s="127"/>
      <c r="BI1232" s="127"/>
      <c r="BJ1232" s="127"/>
      <c r="BK1232" s="127"/>
      <c r="BL1232" s="127"/>
      <c r="BM1232" s="127"/>
      <c r="BN1232" s="127"/>
      <c r="BO1232" s="127"/>
      <c r="BP1232" s="127"/>
      <c r="BQ1232" s="127"/>
      <c r="BR1232" s="127"/>
      <c r="BS1232" s="127"/>
      <c r="BT1232" s="127"/>
      <c r="BU1232" s="127"/>
      <c r="BV1232" s="127"/>
      <c r="BW1232" s="127"/>
      <c r="BX1232" s="127"/>
      <c r="BY1232" s="127"/>
      <c r="BZ1232" s="127"/>
      <c r="CA1232" s="127"/>
      <c r="CB1232" s="127"/>
      <c r="CC1232" s="127"/>
      <c r="CD1232" s="127"/>
      <c r="CE1232" s="127"/>
      <c r="CF1232" s="127"/>
      <c r="CG1232" s="127"/>
      <c r="CH1232" s="127"/>
      <c r="CI1232" s="127"/>
      <c r="CJ1232" s="127"/>
      <c r="CK1232" s="127"/>
      <c r="CL1232" s="127"/>
      <c r="CM1232" s="127"/>
      <c r="CN1232" s="127"/>
      <c r="CO1232" s="127"/>
      <c r="CP1232" s="127"/>
      <c r="CQ1232" s="127"/>
      <c r="CR1232" s="127"/>
      <c r="CS1232" s="127"/>
      <c r="CT1232" s="127"/>
      <c r="CU1232" s="127"/>
      <c r="CV1232" s="127"/>
      <c r="CW1232" s="127"/>
      <c r="CX1232" s="127"/>
      <c r="CY1232" s="127"/>
      <c r="CZ1232" s="127"/>
      <c r="DA1232" s="127"/>
      <c r="DB1232" s="127"/>
      <c r="DC1232" s="127"/>
      <c r="DD1232" s="127"/>
      <c r="DE1232" s="127"/>
      <c r="DF1232" s="127"/>
      <c r="DG1232" s="127"/>
      <c r="DH1232" s="127"/>
      <c r="DI1232" s="127"/>
      <c r="DJ1232" s="127"/>
      <c r="DK1232" s="127"/>
      <c r="DL1232" s="127"/>
      <c r="DM1232" s="127"/>
      <c r="DN1232" s="127"/>
      <c r="DO1232" s="127"/>
      <c r="DP1232" s="127"/>
      <c r="DQ1232" s="127"/>
      <c r="DR1232" s="127"/>
      <c r="DS1232" s="127"/>
      <c r="DT1232" s="127"/>
      <c r="DU1232" s="127"/>
      <c r="DV1232" s="127"/>
      <c r="DW1232" s="127"/>
      <c r="DX1232" s="127"/>
      <c r="DY1232" s="127"/>
      <c r="DZ1232" s="127"/>
      <c r="EA1232" s="127"/>
      <c r="EB1232" s="127"/>
      <c r="EC1232" s="127"/>
      <c r="ED1232" s="127"/>
      <c r="EE1232" s="127"/>
      <c r="EF1232" s="127"/>
      <c r="EG1232" s="127"/>
      <c r="EH1232" s="127"/>
      <c r="EI1232" s="127"/>
      <c r="EJ1232" s="127"/>
      <c r="EK1232" s="127"/>
      <c r="EL1232" s="127"/>
      <c r="EM1232" s="127"/>
      <c r="EN1232" s="127"/>
      <c r="EO1232" s="127"/>
      <c r="EP1232" s="127"/>
      <c r="EQ1232" s="127"/>
      <c r="ER1232" s="127"/>
      <c r="ES1232" s="127"/>
      <c r="ET1232" s="127"/>
      <c r="EU1232" s="127"/>
      <c r="EV1232" s="127"/>
      <c r="EW1232" s="127"/>
      <c r="EX1232" s="127"/>
      <c r="EY1232" s="127"/>
      <c r="EZ1232" s="127"/>
      <c r="FA1232" s="127"/>
      <c r="FB1232" s="127"/>
      <c r="FC1232" s="127"/>
      <c r="FD1232" s="127"/>
      <c r="FE1232" s="127"/>
      <c r="FF1232" s="127"/>
      <c r="FG1232" s="127"/>
      <c r="FH1232" s="127"/>
      <c r="FI1232" s="127"/>
      <c r="FJ1232" s="127"/>
      <c r="FK1232" s="127"/>
      <c r="FL1232" s="127"/>
      <c r="FM1232" s="127"/>
      <c r="FN1232" s="127"/>
      <c r="FO1232" s="127"/>
      <c r="FP1232" s="127"/>
      <c r="FQ1232" s="127"/>
      <c r="FR1232" s="127"/>
      <c r="FS1232" s="127"/>
      <c r="FT1232" s="127"/>
      <c r="FU1232" s="127"/>
      <c r="FV1232" s="127"/>
      <c r="FW1232" s="127"/>
      <c r="FX1232" s="127"/>
      <c r="FY1232" s="127"/>
      <c r="FZ1232" s="127"/>
      <c r="GA1232" s="127"/>
      <c r="GB1232" s="127"/>
      <c r="GC1232" s="127"/>
      <c r="GD1232" s="127"/>
      <c r="GE1232" s="127"/>
      <c r="GF1232" s="127"/>
      <c r="GG1232" s="127"/>
      <c r="GH1232" s="127"/>
      <c r="GI1232" s="127"/>
      <c r="GJ1232" s="127"/>
      <c r="GK1232" s="127"/>
      <c r="GL1232" s="127"/>
      <c r="GM1232" s="127"/>
      <c r="GN1232" s="127"/>
      <c r="GO1232" s="127"/>
      <c r="GP1232" s="127"/>
      <c r="GQ1232" s="127"/>
      <c r="GR1232" s="127"/>
      <c r="GS1232" s="127"/>
      <c r="GT1232" s="127"/>
      <c r="GU1232" s="127"/>
      <c r="GV1232" s="127"/>
      <c r="GW1232" s="127"/>
      <c r="GX1232" s="127"/>
      <c r="GY1232" s="127"/>
      <c r="GZ1232" s="127"/>
      <c r="HA1232" s="127"/>
      <c r="HB1232" s="127"/>
      <c r="HC1232" s="127"/>
      <c r="HD1232" s="127"/>
      <c r="HE1232" s="127"/>
      <c r="HF1232" s="127"/>
      <c r="HG1232" s="127"/>
      <c r="HH1232" s="127"/>
      <c r="HI1232" s="127"/>
      <c r="HJ1232" s="127"/>
      <c r="HK1232" s="127"/>
      <c r="HL1232" s="127"/>
      <c r="HM1232" s="127"/>
      <c r="HN1232" s="127"/>
      <c r="HO1232" s="127"/>
      <c r="HP1232" s="127"/>
      <c r="HQ1232" s="127"/>
      <c r="HR1232" s="127"/>
      <c r="HS1232" s="127"/>
      <c r="HT1232" s="127"/>
      <c r="HU1232" s="127"/>
      <c r="HV1232" s="127"/>
      <c r="HW1232" s="127"/>
      <c r="HX1232" s="127"/>
      <c r="HY1232" s="127"/>
      <c r="HZ1232" s="127"/>
      <c r="IA1232" s="127"/>
      <c r="IB1232" s="127"/>
      <c r="IC1232" s="127"/>
      <c r="ID1232" s="127"/>
      <c r="IE1232" s="127"/>
      <c r="IF1232" s="127"/>
      <c r="IG1232" s="127"/>
      <c r="IH1232" s="127"/>
      <c r="II1232" s="127"/>
      <c r="IJ1232" s="127"/>
    </row>
    <row r="1233" spans="1:244">
      <c r="A1233" s="118">
        <v>1232</v>
      </c>
      <c r="B1233" s="128">
        <v>13</v>
      </c>
      <c r="C1233" s="156">
        <v>39295</v>
      </c>
      <c r="D1233" s="157" t="s">
        <v>51</v>
      </c>
      <c r="E1233" s="8">
        <v>2007</v>
      </c>
      <c r="F1233" s="158">
        <f t="shared" si="323"/>
        <v>638</v>
      </c>
      <c r="G1233" s="158">
        <f t="shared" si="324"/>
        <v>2</v>
      </c>
      <c r="H1233" s="178">
        <v>38657</v>
      </c>
      <c r="I1233" s="194">
        <v>549263</v>
      </c>
      <c r="J1233" s="164">
        <v>0.35</v>
      </c>
      <c r="K1233" s="164">
        <v>0.73</v>
      </c>
      <c r="L1233" s="164">
        <v>0.42</v>
      </c>
      <c r="M1233" s="193">
        <v>0</v>
      </c>
      <c r="N1233" s="529"/>
      <c r="O1233" s="164">
        <v>0.17</v>
      </c>
      <c r="P1233" s="207"/>
      <c r="Q1233" s="118">
        <v>11</v>
      </c>
      <c r="R1233" s="118">
        <v>28</v>
      </c>
      <c r="S1233" s="221"/>
      <c r="T1233" s="161">
        <f t="shared" si="328"/>
        <v>400961.99</v>
      </c>
      <c r="U1233" s="161">
        <f t="shared" si="325"/>
        <v>230690.46</v>
      </c>
      <c r="V1233" s="161">
        <f t="shared" si="326"/>
        <v>93374.71</v>
      </c>
      <c r="W1233" s="161">
        <f t="shared" si="327"/>
        <v>37349.884000000005</v>
      </c>
      <c r="X1233" s="127"/>
      <c r="Y1233" s="127"/>
      <c r="Z1233" s="127"/>
      <c r="AA1233" s="127"/>
      <c r="AB1233" s="127"/>
      <c r="AC1233" s="127"/>
      <c r="AD1233" s="127"/>
      <c r="AE1233" s="127"/>
      <c r="AF1233" s="127"/>
      <c r="AG1233" s="127"/>
      <c r="AH1233" s="127"/>
      <c r="AI1233" s="127"/>
      <c r="AJ1233" s="127"/>
      <c r="AK1233" s="127"/>
      <c r="AL1233" s="127"/>
      <c r="AM1233" s="127"/>
      <c r="AN1233" s="127"/>
      <c r="AO1233" s="127"/>
      <c r="AP1233" s="127"/>
      <c r="AQ1233" s="127"/>
      <c r="AR1233" s="127"/>
      <c r="AS1233" s="127"/>
      <c r="AT1233" s="127"/>
      <c r="AU1233" s="127"/>
      <c r="AV1233" s="127"/>
      <c r="AW1233" s="127"/>
      <c r="AX1233" s="127"/>
      <c r="AY1233" s="127"/>
      <c r="AZ1233" s="127"/>
      <c r="BA1233" s="127"/>
      <c r="BB1233" s="127"/>
      <c r="BC1233" s="127"/>
      <c r="BD1233" s="127"/>
      <c r="BE1233" s="127"/>
      <c r="BF1233" s="127"/>
      <c r="BG1233" s="127"/>
      <c r="BH1233" s="127"/>
      <c r="BI1233" s="127"/>
      <c r="BJ1233" s="127"/>
      <c r="BK1233" s="127"/>
      <c r="BL1233" s="127"/>
      <c r="BM1233" s="127"/>
      <c r="BN1233" s="127"/>
      <c r="BO1233" s="127"/>
      <c r="BP1233" s="127"/>
      <c r="BQ1233" s="127"/>
      <c r="BR1233" s="127"/>
      <c r="BS1233" s="127"/>
      <c r="BT1233" s="127"/>
      <c r="BU1233" s="127"/>
      <c r="BV1233" s="127"/>
      <c r="BW1233" s="127"/>
      <c r="BX1233" s="127"/>
      <c r="BY1233" s="127"/>
      <c r="BZ1233" s="127"/>
      <c r="CA1233" s="127"/>
      <c r="CB1233" s="127"/>
      <c r="CC1233" s="127"/>
      <c r="CD1233" s="127"/>
      <c r="CE1233" s="127"/>
      <c r="CF1233" s="127"/>
      <c r="CG1233" s="127"/>
      <c r="CH1233" s="127"/>
      <c r="CI1233" s="127"/>
      <c r="CJ1233" s="127"/>
      <c r="CK1233" s="127"/>
      <c r="CL1233" s="127"/>
      <c r="CM1233" s="127"/>
      <c r="CN1233" s="127"/>
      <c r="CO1233" s="127"/>
      <c r="CP1233" s="127"/>
      <c r="CQ1233" s="127"/>
      <c r="CR1233" s="127"/>
      <c r="CS1233" s="127"/>
      <c r="CT1233" s="127"/>
      <c r="CU1233" s="127"/>
      <c r="CV1233" s="127"/>
      <c r="CW1233" s="127"/>
      <c r="CX1233" s="127"/>
      <c r="CY1233" s="127"/>
      <c r="CZ1233" s="127"/>
      <c r="DA1233" s="127"/>
      <c r="DB1233" s="127"/>
      <c r="DC1233" s="127"/>
      <c r="DD1233" s="127"/>
      <c r="DE1233" s="127"/>
      <c r="DF1233" s="127"/>
      <c r="DG1233" s="127"/>
      <c r="DH1233" s="127"/>
      <c r="DI1233" s="127"/>
      <c r="DJ1233" s="127"/>
      <c r="DK1233" s="127"/>
      <c r="DL1233" s="127"/>
      <c r="DM1233" s="127"/>
      <c r="DN1233" s="127"/>
      <c r="DO1233" s="127"/>
      <c r="DP1233" s="127"/>
      <c r="DQ1233" s="127"/>
      <c r="DR1233" s="127"/>
      <c r="DS1233" s="127"/>
      <c r="DT1233" s="127"/>
      <c r="DU1233" s="127"/>
      <c r="DV1233" s="127"/>
      <c r="DW1233" s="127"/>
      <c r="DX1233" s="127"/>
      <c r="DY1233" s="127"/>
      <c r="DZ1233" s="127"/>
      <c r="EA1233" s="127"/>
      <c r="EB1233" s="127"/>
      <c r="EC1233" s="127"/>
      <c r="ED1233" s="127"/>
      <c r="EE1233" s="127"/>
      <c r="EF1233" s="127"/>
      <c r="EG1233" s="127"/>
      <c r="EH1233" s="127"/>
      <c r="EI1233" s="127"/>
      <c r="EJ1233" s="127"/>
      <c r="EK1233" s="127"/>
      <c r="EL1233" s="127"/>
      <c r="EM1233" s="127"/>
      <c r="EN1233" s="127"/>
      <c r="EO1233" s="127"/>
      <c r="EP1233" s="127"/>
      <c r="EQ1233" s="127"/>
      <c r="ER1233" s="127"/>
      <c r="ES1233" s="127"/>
      <c r="ET1233" s="127"/>
      <c r="EU1233" s="127"/>
      <c r="EV1233" s="127"/>
      <c r="EW1233" s="127"/>
      <c r="EX1233" s="127"/>
      <c r="EY1233" s="127"/>
      <c r="EZ1233" s="127"/>
      <c r="FA1233" s="127"/>
      <c r="FB1233" s="127"/>
      <c r="FC1233" s="127"/>
      <c r="FD1233" s="127"/>
      <c r="FE1233" s="127"/>
      <c r="FF1233" s="127"/>
      <c r="FG1233" s="127"/>
      <c r="FH1233" s="127"/>
      <c r="FI1233" s="127"/>
      <c r="FJ1233" s="127"/>
      <c r="FK1233" s="127"/>
      <c r="FL1233" s="127"/>
      <c r="FM1233" s="127"/>
      <c r="FN1233" s="127"/>
      <c r="FO1233" s="127"/>
      <c r="FP1233" s="127"/>
      <c r="FQ1233" s="127"/>
      <c r="FR1233" s="127"/>
      <c r="FS1233" s="127"/>
      <c r="FT1233" s="127"/>
      <c r="FU1233" s="127"/>
      <c r="FV1233" s="127"/>
      <c r="FW1233" s="127"/>
      <c r="FX1233" s="127"/>
      <c r="FY1233" s="127"/>
      <c r="FZ1233" s="127"/>
      <c r="GA1233" s="127"/>
      <c r="GB1233" s="127"/>
      <c r="GC1233" s="127"/>
      <c r="GD1233" s="127"/>
      <c r="GE1233" s="127"/>
      <c r="GF1233" s="127"/>
      <c r="GG1233" s="127"/>
      <c r="GH1233" s="127"/>
      <c r="GI1233" s="127"/>
      <c r="GJ1233" s="127"/>
      <c r="GK1233" s="127"/>
      <c r="GL1233" s="127"/>
      <c r="GM1233" s="127"/>
      <c r="GN1233" s="127"/>
      <c r="GO1233" s="127"/>
      <c r="GP1233" s="127"/>
      <c r="GQ1233" s="127"/>
      <c r="GR1233" s="127"/>
      <c r="GS1233" s="127"/>
      <c r="GT1233" s="127"/>
      <c r="GU1233" s="127"/>
      <c r="GV1233" s="127"/>
      <c r="GW1233" s="127"/>
      <c r="GX1233" s="127"/>
      <c r="GY1233" s="127"/>
      <c r="GZ1233" s="127"/>
      <c r="HA1233" s="127"/>
      <c r="HB1233" s="127"/>
      <c r="HC1233" s="127"/>
      <c r="HD1233" s="127"/>
      <c r="HE1233" s="127"/>
      <c r="HF1233" s="127"/>
      <c r="HG1233" s="127"/>
      <c r="HH1233" s="127"/>
      <c r="HI1233" s="127"/>
      <c r="HJ1233" s="127"/>
      <c r="HK1233" s="127"/>
      <c r="HL1233" s="127"/>
      <c r="HM1233" s="127"/>
      <c r="HN1233" s="127"/>
      <c r="HO1233" s="127"/>
      <c r="HP1233" s="127"/>
      <c r="HQ1233" s="127"/>
      <c r="HR1233" s="127"/>
      <c r="HS1233" s="127"/>
      <c r="HT1233" s="127"/>
      <c r="HU1233" s="127"/>
      <c r="HV1233" s="127"/>
      <c r="HW1233" s="127"/>
      <c r="HX1233" s="127"/>
      <c r="HY1233" s="127"/>
      <c r="HZ1233" s="127"/>
      <c r="IA1233" s="127"/>
      <c r="IB1233" s="127"/>
      <c r="IC1233" s="127"/>
      <c r="ID1233" s="127"/>
      <c r="IE1233" s="127"/>
      <c r="IF1233" s="127"/>
      <c r="IG1233" s="127"/>
      <c r="IH1233" s="127"/>
      <c r="II1233" s="127"/>
      <c r="IJ1233" s="127"/>
    </row>
    <row r="1234" spans="1:244">
      <c r="A1234" s="118">
        <v>1233</v>
      </c>
      <c r="B1234" s="128">
        <v>13</v>
      </c>
      <c r="C1234" s="156">
        <v>39326</v>
      </c>
      <c r="D1234" s="157" t="s">
        <v>52</v>
      </c>
      <c r="E1234" s="8">
        <v>2007</v>
      </c>
      <c r="F1234" s="158">
        <f t="shared" si="323"/>
        <v>669</v>
      </c>
      <c r="G1234" s="158">
        <f t="shared" si="324"/>
        <v>2</v>
      </c>
      <c r="H1234" s="178">
        <v>38657</v>
      </c>
      <c r="I1234" s="194">
        <v>547749</v>
      </c>
      <c r="J1234" s="164">
        <v>0.52</v>
      </c>
      <c r="K1234" s="164">
        <v>2.13</v>
      </c>
      <c r="L1234" s="164">
        <v>1.03</v>
      </c>
      <c r="M1234" s="193">
        <v>0</v>
      </c>
      <c r="N1234" s="529"/>
      <c r="O1234" s="164">
        <v>0.32</v>
      </c>
      <c r="P1234" s="207"/>
      <c r="Q1234" s="11">
        <v>10</v>
      </c>
      <c r="R1234" s="11">
        <v>29</v>
      </c>
      <c r="S1234" s="221"/>
      <c r="T1234" s="161">
        <f t="shared" si="328"/>
        <v>1166705.3699999999</v>
      </c>
      <c r="U1234" s="161">
        <f t="shared" si="325"/>
        <v>564181.47</v>
      </c>
      <c r="V1234" s="161">
        <f t="shared" si="326"/>
        <v>175279.68</v>
      </c>
      <c r="W1234" s="161">
        <f t="shared" si="327"/>
        <v>70111.872000000003</v>
      </c>
      <c r="X1234" s="127"/>
      <c r="Y1234" s="127"/>
      <c r="Z1234" s="127"/>
      <c r="AA1234" s="127"/>
      <c r="AB1234" s="127"/>
      <c r="AC1234" s="127"/>
      <c r="AD1234" s="127"/>
      <c r="AE1234" s="127"/>
      <c r="AF1234" s="127"/>
      <c r="AG1234" s="127"/>
      <c r="AH1234" s="127"/>
      <c r="AI1234" s="127"/>
      <c r="AJ1234" s="127"/>
      <c r="AK1234" s="127"/>
      <c r="AL1234" s="127"/>
      <c r="AM1234" s="127"/>
      <c r="AN1234" s="127"/>
      <c r="AO1234" s="127"/>
      <c r="AP1234" s="127"/>
      <c r="AQ1234" s="127"/>
      <c r="AR1234" s="127"/>
      <c r="AS1234" s="127"/>
      <c r="AT1234" s="127"/>
      <c r="AU1234" s="127"/>
      <c r="AV1234" s="127"/>
      <c r="AW1234" s="127"/>
      <c r="AX1234" s="127"/>
      <c r="AY1234" s="127"/>
      <c r="AZ1234" s="127"/>
      <c r="BA1234" s="127"/>
      <c r="BB1234" s="127"/>
      <c r="BC1234" s="127"/>
      <c r="BD1234" s="127"/>
      <c r="BE1234" s="127"/>
      <c r="BF1234" s="127"/>
      <c r="BG1234" s="127"/>
      <c r="BH1234" s="127"/>
      <c r="BI1234" s="127"/>
      <c r="BJ1234" s="127"/>
      <c r="BK1234" s="127"/>
      <c r="BL1234" s="127"/>
      <c r="BM1234" s="127"/>
      <c r="BN1234" s="127"/>
      <c r="BO1234" s="127"/>
      <c r="BP1234" s="127"/>
      <c r="BQ1234" s="127"/>
      <c r="BR1234" s="127"/>
      <c r="BS1234" s="127"/>
      <c r="BT1234" s="127"/>
      <c r="BU1234" s="127"/>
      <c r="BV1234" s="127"/>
      <c r="BW1234" s="127"/>
      <c r="BX1234" s="127"/>
      <c r="BY1234" s="127"/>
      <c r="BZ1234" s="127"/>
      <c r="CA1234" s="127"/>
      <c r="CB1234" s="127"/>
      <c r="CC1234" s="127"/>
      <c r="CD1234" s="127"/>
      <c r="CE1234" s="127"/>
      <c r="CF1234" s="127"/>
      <c r="CG1234" s="127"/>
      <c r="CH1234" s="127"/>
      <c r="CI1234" s="127"/>
      <c r="CJ1234" s="127"/>
      <c r="CK1234" s="127"/>
      <c r="CL1234" s="127"/>
      <c r="CM1234" s="127"/>
      <c r="CN1234" s="127"/>
      <c r="CO1234" s="127"/>
      <c r="CP1234" s="127"/>
      <c r="CQ1234" s="127"/>
      <c r="CR1234" s="127"/>
      <c r="CS1234" s="127"/>
      <c r="CT1234" s="127"/>
      <c r="CU1234" s="127"/>
      <c r="CV1234" s="127"/>
      <c r="CW1234" s="127"/>
      <c r="CX1234" s="127"/>
      <c r="CY1234" s="127"/>
      <c r="CZ1234" s="127"/>
      <c r="DA1234" s="127"/>
      <c r="DB1234" s="127"/>
      <c r="DC1234" s="127"/>
      <c r="DD1234" s="127"/>
      <c r="DE1234" s="127"/>
      <c r="DF1234" s="127"/>
      <c r="DG1234" s="127"/>
      <c r="DH1234" s="127"/>
      <c r="DI1234" s="127"/>
      <c r="DJ1234" s="127"/>
      <c r="DK1234" s="127"/>
      <c r="DL1234" s="127"/>
      <c r="DM1234" s="127"/>
      <c r="DN1234" s="127"/>
      <c r="DO1234" s="127"/>
      <c r="DP1234" s="127"/>
      <c r="DQ1234" s="127"/>
      <c r="DR1234" s="127"/>
      <c r="DS1234" s="127"/>
      <c r="DT1234" s="127"/>
      <c r="DU1234" s="127"/>
      <c r="DV1234" s="127"/>
      <c r="DW1234" s="127"/>
      <c r="DX1234" s="127"/>
      <c r="DY1234" s="127"/>
      <c r="DZ1234" s="127"/>
      <c r="EA1234" s="127"/>
      <c r="EB1234" s="127"/>
      <c r="EC1234" s="127"/>
      <c r="ED1234" s="127"/>
      <c r="EE1234" s="127"/>
      <c r="EF1234" s="127"/>
      <c r="EG1234" s="127"/>
      <c r="EH1234" s="127"/>
      <c r="EI1234" s="127"/>
      <c r="EJ1234" s="127"/>
      <c r="EK1234" s="127"/>
      <c r="EL1234" s="127"/>
      <c r="EM1234" s="127"/>
      <c r="EN1234" s="127"/>
      <c r="EO1234" s="127"/>
      <c r="EP1234" s="127"/>
      <c r="EQ1234" s="127"/>
      <c r="ER1234" s="127"/>
      <c r="ES1234" s="127"/>
      <c r="ET1234" s="127"/>
      <c r="EU1234" s="127"/>
      <c r="EV1234" s="127"/>
      <c r="EW1234" s="127"/>
      <c r="EX1234" s="127"/>
      <c r="EY1234" s="127"/>
      <c r="EZ1234" s="127"/>
      <c r="FA1234" s="127"/>
      <c r="FB1234" s="127"/>
      <c r="FC1234" s="127"/>
      <c r="FD1234" s="127"/>
      <c r="FE1234" s="127"/>
      <c r="FF1234" s="127"/>
      <c r="FG1234" s="127"/>
      <c r="FH1234" s="127"/>
      <c r="FI1234" s="127"/>
      <c r="FJ1234" s="127"/>
      <c r="FK1234" s="127"/>
      <c r="FL1234" s="127"/>
      <c r="FM1234" s="127"/>
      <c r="FN1234" s="127"/>
      <c r="FO1234" s="127"/>
      <c r="FP1234" s="127"/>
      <c r="FQ1234" s="127"/>
      <c r="FR1234" s="127"/>
      <c r="FS1234" s="127"/>
      <c r="FT1234" s="127"/>
      <c r="FU1234" s="127"/>
      <c r="FV1234" s="127"/>
      <c r="FW1234" s="127"/>
      <c r="FX1234" s="127"/>
      <c r="FY1234" s="127"/>
      <c r="FZ1234" s="127"/>
      <c r="GA1234" s="127"/>
      <c r="GB1234" s="127"/>
      <c r="GC1234" s="127"/>
      <c r="GD1234" s="127"/>
      <c r="GE1234" s="127"/>
      <c r="GF1234" s="127"/>
      <c r="GG1234" s="127"/>
      <c r="GH1234" s="127"/>
      <c r="GI1234" s="127"/>
      <c r="GJ1234" s="127"/>
      <c r="GK1234" s="127"/>
      <c r="GL1234" s="127"/>
      <c r="GM1234" s="127"/>
      <c r="GN1234" s="127"/>
      <c r="GO1234" s="127"/>
      <c r="GP1234" s="127"/>
      <c r="GQ1234" s="127"/>
      <c r="GR1234" s="127"/>
      <c r="GS1234" s="127"/>
      <c r="GT1234" s="127"/>
      <c r="GU1234" s="127"/>
      <c r="GV1234" s="127"/>
      <c r="GW1234" s="127"/>
      <c r="GX1234" s="127"/>
      <c r="GY1234" s="127"/>
      <c r="GZ1234" s="127"/>
      <c r="HA1234" s="127"/>
      <c r="HB1234" s="127"/>
      <c r="HC1234" s="127"/>
      <c r="HD1234" s="127"/>
      <c r="HE1234" s="127"/>
      <c r="HF1234" s="127"/>
      <c r="HG1234" s="127"/>
      <c r="HH1234" s="127"/>
      <c r="HI1234" s="127"/>
      <c r="HJ1234" s="127"/>
      <c r="HK1234" s="127"/>
      <c r="HL1234" s="127"/>
      <c r="HM1234" s="127"/>
      <c r="HN1234" s="127"/>
      <c r="HO1234" s="127"/>
      <c r="HP1234" s="127"/>
      <c r="HQ1234" s="127"/>
      <c r="HR1234" s="127"/>
      <c r="HS1234" s="127"/>
      <c r="HT1234" s="127"/>
      <c r="HU1234" s="127"/>
      <c r="HV1234" s="127"/>
      <c r="HW1234" s="127"/>
      <c r="HX1234" s="127"/>
      <c r="HY1234" s="127"/>
      <c r="HZ1234" s="127"/>
      <c r="IA1234" s="127"/>
      <c r="IB1234" s="127"/>
      <c r="IC1234" s="127"/>
      <c r="ID1234" s="127"/>
      <c r="IE1234" s="127"/>
      <c r="IF1234" s="127"/>
      <c r="IG1234" s="127"/>
      <c r="IH1234" s="127"/>
      <c r="II1234" s="127"/>
      <c r="IJ1234" s="127"/>
    </row>
    <row r="1235" spans="1:244">
      <c r="A1235" s="118">
        <v>1234</v>
      </c>
      <c r="B1235" s="128">
        <v>13</v>
      </c>
      <c r="C1235" s="156">
        <v>39356</v>
      </c>
      <c r="D1235" s="157" t="s">
        <v>53</v>
      </c>
      <c r="E1235" s="8">
        <v>2007</v>
      </c>
      <c r="F1235" s="158">
        <f t="shared" si="323"/>
        <v>699</v>
      </c>
      <c r="G1235" s="158">
        <f t="shared" si="324"/>
        <v>2</v>
      </c>
      <c r="H1235" s="178">
        <v>38657</v>
      </c>
      <c r="I1235" s="194">
        <v>546972</v>
      </c>
      <c r="J1235" s="164">
        <v>0.28000000000000003</v>
      </c>
      <c r="K1235" s="164">
        <v>2.33</v>
      </c>
      <c r="L1235" s="164">
        <v>1.23</v>
      </c>
      <c r="M1235" s="193">
        <v>1</v>
      </c>
      <c r="N1235" s="529"/>
      <c r="O1235" s="164">
        <v>0.13</v>
      </c>
      <c r="P1235" s="207"/>
      <c r="Q1235" s="118">
        <v>9</v>
      </c>
      <c r="R1235" s="118" t="s">
        <v>39</v>
      </c>
      <c r="S1235" s="221"/>
      <c r="T1235" s="161">
        <f t="shared" si="328"/>
        <v>1274444.76</v>
      </c>
      <c r="U1235" s="161">
        <f t="shared" si="325"/>
        <v>672775.55999999994</v>
      </c>
      <c r="V1235" s="161">
        <f t="shared" si="326"/>
        <v>71106.36</v>
      </c>
      <c r="W1235" s="161">
        <f t="shared" si="327"/>
        <v>28442.544000000002</v>
      </c>
      <c r="X1235" s="127"/>
      <c r="Y1235" s="127"/>
      <c r="Z1235" s="127"/>
      <c r="AA1235" s="127"/>
      <c r="AB1235" s="127"/>
      <c r="AC1235" s="127"/>
      <c r="AD1235" s="127"/>
      <c r="AE1235" s="127"/>
      <c r="AF1235" s="127"/>
      <c r="AG1235" s="127"/>
      <c r="AH1235" s="127"/>
      <c r="AI1235" s="127"/>
      <c r="AJ1235" s="127"/>
      <c r="AK1235" s="127"/>
      <c r="AL1235" s="127"/>
      <c r="AM1235" s="127"/>
      <c r="AN1235" s="127"/>
      <c r="AO1235" s="127"/>
      <c r="AP1235" s="127"/>
      <c r="AQ1235" s="127"/>
      <c r="AR1235" s="127"/>
      <c r="AS1235" s="127"/>
      <c r="AT1235" s="127"/>
      <c r="AU1235" s="127"/>
      <c r="AV1235" s="127"/>
      <c r="AW1235" s="127"/>
      <c r="AX1235" s="127"/>
      <c r="AY1235" s="127"/>
      <c r="AZ1235" s="127"/>
      <c r="BA1235" s="127"/>
      <c r="BB1235" s="127"/>
      <c r="BC1235" s="127"/>
      <c r="BD1235" s="127"/>
      <c r="BE1235" s="127"/>
      <c r="BF1235" s="127"/>
      <c r="BG1235" s="127"/>
      <c r="BH1235" s="127"/>
      <c r="BI1235" s="127"/>
      <c r="BJ1235" s="127"/>
      <c r="BK1235" s="127"/>
      <c r="BL1235" s="127"/>
      <c r="BM1235" s="127"/>
      <c r="BN1235" s="127"/>
      <c r="BO1235" s="127"/>
      <c r="BP1235" s="127"/>
      <c r="BQ1235" s="127"/>
      <c r="BR1235" s="127"/>
      <c r="BS1235" s="127"/>
      <c r="BT1235" s="127"/>
      <c r="BU1235" s="127"/>
      <c r="BV1235" s="127"/>
      <c r="BW1235" s="127"/>
      <c r="BX1235" s="127"/>
      <c r="BY1235" s="127"/>
      <c r="BZ1235" s="127"/>
      <c r="CA1235" s="127"/>
      <c r="CB1235" s="127"/>
      <c r="CC1235" s="127"/>
      <c r="CD1235" s="127"/>
      <c r="CE1235" s="127"/>
      <c r="CF1235" s="127"/>
      <c r="CG1235" s="127"/>
      <c r="CH1235" s="127"/>
      <c r="CI1235" s="127"/>
      <c r="CJ1235" s="127"/>
      <c r="CK1235" s="127"/>
      <c r="CL1235" s="127"/>
      <c r="CM1235" s="127"/>
      <c r="CN1235" s="127"/>
      <c r="CO1235" s="127"/>
      <c r="CP1235" s="127"/>
      <c r="CQ1235" s="127"/>
      <c r="CR1235" s="127"/>
      <c r="CS1235" s="127"/>
      <c r="CT1235" s="127"/>
      <c r="CU1235" s="127"/>
      <c r="CV1235" s="127"/>
      <c r="CW1235" s="127"/>
      <c r="CX1235" s="127"/>
      <c r="CY1235" s="127"/>
      <c r="CZ1235" s="127"/>
      <c r="DA1235" s="127"/>
      <c r="DB1235" s="127"/>
      <c r="DC1235" s="127"/>
      <c r="DD1235" s="127"/>
      <c r="DE1235" s="127"/>
      <c r="DF1235" s="127"/>
      <c r="DG1235" s="127"/>
      <c r="DH1235" s="127"/>
      <c r="DI1235" s="127"/>
      <c r="DJ1235" s="127"/>
      <c r="DK1235" s="127"/>
      <c r="DL1235" s="127"/>
      <c r="DM1235" s="127"/>
      <c r="DN1235" s="127"/>
      <c r="DO1235" s="127"/>
      <c r="DP1235" s="127"/>
      <c r="DQ1235" s="127"/>
      <c r="DR1235" s="127"/>
      <c r="DS1235" s="127"/>
      <c r="DT1235" s="127"/>
      <c r="DU1235" s="127"/>
      <c r="DV1235" s="127"/>
      <c r="DW1235" s="127"/>
      <c r="DX1235" s="127"/>
      <c r="DY1235" s="127"/>
      <c r="DZ1235" s="127"/>
      <c r="EA1235" s="127"/>
      <c r="EB1235" s="127"/>
      <c r="EC1235" s="127"/>
      <c r="ED1235" s="127"/>
      <c r="EE1235" s="127"/>
      <c r="EF1235" s="127"/>
      <c r="EG1235" s="127"/>
      <c r="EH1235" s="127"/>
      <c r="EI1235" s="127"/>
      <c r="EJ1235" s="127"/>
      <c r="EK1235" s="127"/>
      <c r="EL1235" s="127"/>
      <c r="EM1235" s="127"/>
      <c r="EN1235" s="127"/>
      <c r="EO1235" s="127"/>
      <c r="EP1235" s="127"/>
      <c r="EQ1235" s="127"/>
      <c r="ER1235" s="127"/>
      <c r="ES1235" s="127"/>
      <c r="ET1235" s="127"/>
      <c r="EU1235" s="127"/>
      <c r="EV1235" s="127"/>
      <c r="EW1235" s="127"/>
      <c r="EX1235" s="127"/>
      <c r="EY1235" s="127"/>
      <c r="EZ1235" s="127"/>
      <c r="FA1235" s="127"/>
      <c r="FB1235" s="127"/>
      <c r="FC1235" s="127"/>
      <c r="FD1235" s="127"/>
      <c r="FE1235" s="127"/>
      <c r="FF1235" s="127"/>
      <c r="FG1235" s="127"/>
      <c r="FH1235" s="127"/>
      <c r="FI1235" s="127"/>
      <c r="FJ1235" s="127"/>
      <c r="FK1235" s="127"/>
      <c r="FL1235" s="127"/>
      <c r="FM1235" s="127"/>
      <c r="FN1235" s="127"/>
      <c r="FO1235" s="127"/>
      <c r="FP1235" s="127"/>
      <c r="FQ1235" s="127"/>
      <c r="FR1235" s="127"/>
      <c r="FS1235" s="127"/>
      <c r="FT1235" s="127"/>
      <c r="FU1235" s="127"/>
      <c r="FV1235" s="127"/>
      <c r="FW1235" s="127"/>
      <c r="FX1235" s="127"/>
      <c r="FY1235" s="127"/>
      <c r="FZ1235" s="127"/>
      <c r="GA1235" s="127"/>
      <c r="GB1235" s="127"/>
      <c r="GC1235" s="127"/>
      <c r="GD1235" s="127"/>
      <c r="GE1235" s="127"/>
      <c r="GF1235" s="127"/>
      <c r="GG1235" s="127"/>
      <c r="GH1235" s="127"/>
      <c r="GI1235" s="127"/>
      <c r="GJ1235" s="127"/>
      <c r="GK1235" s="127"/>
      <c r="GL1235" s="127"/>
      <c r="GM1235" s="127"/>
      <c r="GN1235" s="127"/>
      <c r="GO1235" s="127"/>
      <c r="GP1235" s="127"/>
      <c r="GQ1235" s="127"/>
      <c r="GR1235" s="127"/>
      <c r="GS1235" s="127"/>
      <c r="GT1235" s="127"/>
      <c r="GU1235" s="127"/>
      <c r="GV1235" s="127"/>
      <c r="GW1235" s="127"/>
      <c r="GX1235" s="127"/>
      <c r="GY1235" s="127"/>
      <c r="GZ1235" s="127"/>
      <c r="HA1235" s="127"/>
      <c r="HB1235" s="127"/>
      <c r="HC1235" s="127"/>
      <c r="HD1235" s="127"/>
      <c r="HE1235" s="127"/>
      <c r="HF1235" s="127"/>
      <c r="HG1235" s="127"/>
      <c r="HH1235" s="127"/>
      <c r="HI1235" s="127"/>
      <c r="HJ1235" s="127"/>
      <c r="HK1235" s="127"/>
      <c r="HL1235" s="127"/>
      <c r="HM1235" s="127"/>
      <c r="HN1235" s="127"/>
      <c r="HO1235" s="127"/>
      <c r="HP1235" s="127"/>
      <c r="HQ1235" s="127"/>
      <c r="HR1235" s="127"/>
      <c r="HS1235" s="127"/>
      <c r="HT1235" s="127"/>
      <c r="HU1235" s="127"/>
      <c r="HV1235" s="127"/>
      <c r="HW1235" s="127"/>
      <c r="HX1235" s="127"/>
      <c r="HY1235" s="127"/>
      <c r="HZ1235" s="127"/>
      <c r="IA1235" s="127"/>
      <c r="IB1235" s="127"/>
      <c r="IC1235" s="127"/>
      <c r="ID1235" s="127"/>
      <c r="IE1235" s="127"/>
      <c r="IF1235" s="127"/>
      <c r="IG1235" s="127"/>
      <c r="IH1235" s="127"/>
      <c r="II1235" s="127"/>
      <c r="IJ1235" s="127"/>
    </row>
    <row r="1236" spans="1:244" ht="12.75" customHeight="1">
      <c r="A1236" s="118">
        <v>1235</v>
      </c>
      <c r="B1236" s="128">
        <v>13</v>
      </c>
      <c r="C1236" s="156">
        <v>39387</v>
      </c>
      <c r="D1236" s="157" t="s">
        <v>54</v>
      </c>
      <c r="E1236" s="8">
        <v>2007</v>
      </c>
      <c r="F1236" s="158">
        <f t="shared" si="323"/>
        <v>730</v>
      </c>
      <c r="G1236" s="158">
        <f>IF(F1236&lt;730,2,3)</f>
        <v>3</v>
      </c>
      <c r="H1236" s="178">
        <v>38657</v>
      </c>
      <c r="I1236" s="194">
        <v>400858</v>
      </c>
      <c r="J1236" s="164">
        <v>0.12</v>
      </c>
      <c r="K1236" s="164">
        <v>2.08</v>
      </c>
      <c r="L1236" s="164">
        <v>1.1000000000000001</v>
      </c>
      <c r="M1236" s="193">
        <v>0</v>
      </c>
      <c r="N1236" s="529"/>
      <c r="O1236" s="164">
        <v>7.0000000000000007E-2</v>
      </c>
      <c r="P1236" s="207"/>
      <c r="Q1236" s="118">
        <v>8</v>
      </c>
      <c r="R1236" s="118" t="s">
        <v>39</v>
      </c>
      <c r="S1236" s="221" t="s">
        <v>2</v>
      </c>
      <c r="T1236" s="161">
        <f t="shared" si="328"/>
        <v>833784.64</v>
      </c>
      <c r="U1236" s="161">
        <f t="shared" si="325"/>
        <v>440943.80000000005</v>
      </c>
      <c r="V1236" s="161">
        <f t="shared" si="326"/>
        <v>28060.06</v>
      </c>
      <c r="W1236" s="161">
        <f t="shared" si="327"/>
        <v>11224.024000000001</v>
      </c>
    </row>
    <row r="1237" spans="1:244" ht="12.75" customHeight="1">
      <c r="A1237" s="118">
        <v>1236</v>
      </c>
      <c r="B1237" s="128">
        <v>13</v>
      </c>
      <c r="C1237" s="156">
        <v>39417</v>
      </c>
      <c r="D1237" s="157" t="s">
        <v>55</v>
      </c>
      <c r="E1237" s="8">
        <v>2007</v>
      </c>
      <c r="F1237" s="158">
        <f t="shared" si="323"/>
        <v>760</v>
      </c>
      <c r="G1237" s="158">
        <f>IF(F1237&lt;730,2,3)</f>
        <v>3</v>
      </c>
      <c r="H1237" s="178">
        <v>38657</v>
      </c>
      <c r="I1237" s="194">
        <v>400179</v>
      </c>
      <c r="J1237" s="164">
        <v>0.25</v>
      </c>
      <c r="K1237" s="164">
        <v>1.93</v>
      </c>
      <c r="L1237" s="164">
        <v>1.1499999999999999</v>
      </c>
      <c r="M1237" s="193">
        <v>0</v>
      </c>
      <c r="N1237" s="529"/>
      <c r="O1237" s="164">
        <v>0.3</v>
      </c>
      <c r="P1237" s="207"/>
      <c r="Q1237" s="118">
        <v>7</v>
      </c>
      <c r="R1237" s="118" t="s">
        <v>39</v>
      </c>
      <c r="S1237" s="221"/>
      <c r="T1237" s="161">
        <f t="shared" si="328"/>
        <v>772345.47</v>
      </c>
      <c r="U1237" s="161">
        <f t="shared" si="325"/>
        <v>460205.85</v>
      </c>
      <c r="V1237" s="161">
        <f t="shared" si="326"/>
        <v>120053.7</v>
      </c>
      <c r="W1237" s="161">
        <f t="shared" si="327"/>
        <v>48021.48</v>
      </c>
    </row>
    <row r="1238" spans="1:244" ht="12.75" customHeight="1">
      <c r="A1238" s="118">
        <v>1237</v>
      </c>
      <c r="B1238" s="128">
        <v>13</v>
      </c>
      <c r="C1238" s="183">
        <v>39448</v>
      </c>
      <c r="D1238" s="184" t="s">
        <v>44</v>
      </c>
      <c r="E1238" s="185">
        <v>2008</v>
      </c>
      <c r="F1238" s="158">
        <f t="shared" si="323"/>
        <v>791</v>
      </c>
      <c r="G1238" s="158">
        <f>IF(F1238&lt;730,2,3)</f>
        <v>3</v>
      </c>
      <c r="H1238" s="178">
        <v>38657</v>
      </c>
      <c r="I1238" s="249">
        <v>399437</v>
      </c>
      <c r="J1238" s="189">
        <v>0.25</v>
      </c>
      <c r="K1238" s="189">
        <v>1.87</v>
      </c>
      <c r="L1238" s="189">
        <v>0.93</v>
      </c>
      <c r="M1238" s="437"/>
      <c r="N1238" s="530"/>
      <c r="O1238" s="189">
        <v>0.25</v>
      </c>
      <c r="P1238" s="208"/>
      <c r="Q1238" s="209"/>
      <c r="R1238" s="209"/>
      <c r="S1238" s="182"/>
      <c r="T1238" s="188">
        <f t="shared" si="328"/>
        <v>746947.19000000006</v>
      </c>
      <c r="U1238" s="188">
        <f t="shared" si="325"/>
        <v>371476.41000000003</v>
      </c>
      <c r="V1238" s="188">
        <f t="shared" si="326"/>
        <v>99859.25</v>
      </c>
      <c r="W1238" s="161">
        <f t="shared" si="327"/>
        <v>39943.700000000004</v>
      </c>
    </row>
    <row r="1239" spans="1:244" ht="12.75" customHeight="1">
      <c r="A1239" s="118">
        <v>1238</v>
      </c>
      <c r="B1239" s="128">
        <v>13</v>
      </c>
      <c r="C1239" s="156">
        <v>39479</v>
      </c>
      <c r="D1239" s="157" t="s">
        <v>45</v>
      </c>
      <c r="E1239" s="127">
        <v>2008</v>
      </c>
      <c r="F1239" s="158"/>
      <c r="G1239" s="158"/>
      <c r="H1239" s="162"/>
      <c r="I1239" s="194"/>
      <c r="Q1239" s="158"/>
      <c r="R1239" s="158"/>
      <c r="T1239" s="128"/>
      <c r="U1239" s="118"/>
      <c r="V1239" s="118"/>
      <c r="W1239" s="118"/>
    </row>
    <row r="1240" spans="1:244" ht="12.75" customHeight="1">
      <c r="A1240" s="118">
        <v>1239</v>
      </c>
      <c r="B1240" s="128">
        <v>13</v>
      </c>
      <c r="C1240" s="156">
        <v>39508</v>
      </c>
      <c r="D1240" s="157" t="s">
        <v>46</v>
      </c>
      <c r="E1240" s="127">
        <v>2008</v>
      </c>
      <c r="F1240" s="158"/>
      <c r="G1240" s="158"/>
      <c r="H1240" s="162"/>
      <c r="I1240" s="194"/>
      <c r="Q1240" s="158"/>
      <c r="R1240" s="158"/>
      <c r="T1240" s="128"/>
      <c r="U1240" s="118"/>
      <c r="V1240" s="118"/>
      <c r="W1240" s="118"/>
    </row>
    <row r="1241" spans="1:244" ht="12.75" customHeight="1">
      <c r="A1241" s="118">
        <v>1240</v>
      </c>
      <c r="B1241" s="128">
        <v>13</v>
      </c>
      <c r="C1241" s="156">
        <v>39539</v>
      </c>
      <c r="D1241" s="157" t="s">
        <v>47</v>
      </c>
      <c r="E1241" s="127">
        <v>2008</v>
      </c>
      <c r="F1241" s="158"/>
      <c r="G1241" s="158"/>
      <c r="H1241" s="162"/>
      <c r="I1241" s="194"/>
      <c r="Q1241" s="158"/>
      <c r="R1241" s="158"/>
      <c r="T1241" s="128"/>
      <c r="U1241" s="118"/>
      <c r="V1241" s="118"/>
      <c r="W1241" s="118"/>
    </row>
    <row r="1242" spans="1:244" ht="12.75" customHeight="1">
      <c r="A1242" s="118">
        <v>1241</v>
      </c>
      <c r="B1242" s="128">
        <v>13</v>
      </c>
      <c r="C1242" s="156">
        <v>39569</v>
      </c>
      <c r="D1242" s="157" t="s">
        <v>48</v>
      </c>
      <c r="E1242" s="127">
        <v>2008</v>
      </c>
      <c r="F1242" s="158"/>
      <c r="G1242" s="158"/>
      <c r="H1242" s="162"/>
      <c r="I1242" s="194"/>
      <c r="Q1242" s="158"/>
      <c r="R1242" s="158"/>
      <c r="T1242" s="128"/>
      <c r="U1242" s="118"/>
      <c r="V1242" s="118"/>
      <c r="W1242" s="118"/>
    </row>
    <row r="1243" spans="1:244" ht="12.75" customHeight="1">
      <c r="A1243" s="118">
        <v>1242</v>
      </c>
      <c r="B1243" s="128">
        <v>13</v>
      </c>
      <c r="C1243" s="156">
        <v>39600</v>
      </c>
      <c r="D1243" s="157" t="s">
        <v>49</v>
      </c>
      <c r="E1243" s="127">
        <v>2008</v>
      </c>
      <c r="F1243" s="158"/>
      <c r="G1243" s="158"/>
      <c r="H1243" s="162"/>
      <c r="I1243" s="194"/>
      <c r="Q1243" s="158"/>
      <c r="R1243" s="158"/>
      <c r="T1243" s="128"/>
      <c r="U1243" s="118"/>
      <c r="V1243" s="118"/>
      <c r="W1243" s="118"/>
    </row>
    <row r="1244" spans="1:244" ht="12.75" customHeight="1">
      <c r="A1244" s="118">
        <v>1243</v>
      </c>
      <c r="B1244" s="128">
        <v>13</v>
      </c>
      <c r="C1244" s="156">
        <v>39630</v>
      </c>
      <c r="D1244" s="176" t="s">
        <v>50</v>
      </c>
      <c r="E1244" s="127">
        <v>2008</v>
      </c>
      <c r="F1244" s="158"/>
      <c r="G1244" s="158"/>
      <c r="H1244" s="175"/>
      <c r="I1244" s="194"/>
      <c r="Q1244" s="158"/>
      <c r="R1244" s="158"/>
      <c r="T1244" s="188"/>
      <c r="U1244" s="188"/>
      <c r="V1244" s="188"/>
      <c r="W1244" s="161"/>
    </row>
    <row r="1245" spans="1:244" ht="12.75" customHeight="1">
      <c r="A1245" s="118">
        <v>1244</v>
      </c>
      <c r="B1245" s="128">
        <v>13</v>
      </c>
      <c r="C1245" s="156">
        <v>39661</v>
      </c>
      <c r="D1245" s="176" t="s">
        <v>51</v>
      </c>
      <c r="E1245" s="127">
        <v>2008</v>
      </c>
      <c r="F1245" s="158">
        <f t="shared" ref="F1245:F1255" si="329">C1245-H1245</f>
        <v>274</v>
      </c>
      <c r="G1245" s="158">
        <f t="shared" ref="G1245:G1255" si="330">IF(F1245&lt;365,1,2)</f>
        <v>1</v>
      </c>
      <c r="H1245" s="175">
        <v>39387</v>
      </c>
      <c r="I1245" s="194">
        <v>679874</v>
      </c>
      <c r="J1245" s="15">
        <v>1.28</v>
      </c>
      <c r="K1245" s="15">
        <v>0.92</v>
      </c>
      <c r="L1245" s="15">
        <v>0.28000000000000003</v>
      </c>
      <c r="O1245" s="15">
        <v>0.2</v>
      </c>
      <c r="Q1245" s="158"/>
      <c r="R1245" s="158"/>
      <c r="S1245" s="155" t="s">
        <v>326</v>
      </c>
      <c r="T1245" s="188">
        <f t="shared" ref="T1245:T1255" si="331">$I1245*K1245</f>
        <v>625484.08000000007</v>
      </c>
      <c r="U1245" s="188">
        <f t="shared" ref="U1245:U1255" si="332">$I1245*L1245</f>
        <v>190364.72000000003</v>
      </c>
      <c r="V1245" s="188">
        <f t="shared" ref="V1245:V1255" si="333">$I1245*O1245</f>
        <v>135974.80000000002</v>
      </c>
      <c r="W1245" s="161">
        <f t="shared" ref="W1245:W1261" si="334">V1245*0.4</f>
        <v>54389.920000000013</v>
      </c>
    </row>
    <row r="1246" spans="1:244" ht="12.75" customHeight="1">
      <c r="A1246" s="118">
        <v>1245</v>
      </c>
      <c r="B1246" s="128">
        <v>13</v>
      </c>
      <c r="C1246" s="156">
        <v>39692</v>
      </c>
      <c r="D1246" s="176" t="s">
        <v>52</v>
      </c>
      <c r="E1246" s="127">
        <v>2008</v>
      </c>
      <c r="F1246" s="158">
        <f t="shared" si="329"/>
        <v>305</v>
      </c>
      <c r="G1246" s="158">
        <f t="shared" si="330"/>
        <v>1</v>
      </c>
      <c r="H1246" s="175">
        <v>39387</v>
      </c>
      <c r="I1246" s="194">
        <v>679000</v>
      </c>
      <c r="J1246" s="15">
        <v>1.22</v>
      </c>
      <c r="K1246" s="15">
        <v>2.13</v>
      </c>
      <c r="L1246" s="15">
        <v>0.68</v>
      </c>
      <c r="M1246" s="174">
        <v>0</v>
      </c>
      <c r="O1246" s="15">
        <v>0.4</v>
      </c>
      <c r="Q1246" s="158"/>
      <c r="R1246" s="158"/>
      <c r="T1246" s="188">
        <f t="shared" si="331"/>
        <v>1446270</v>
      </c>
      <c r="U1246" s="188">
        <f t="shared" si="332"/>
        <v>461720.00000000006</v>
      </c>
      <c r="V1246" s="188">
        <f t="shared" si="333"/>
        <v>271600</v>
      </c>
      <c r="W1246" s="161">
        <f t="shared" si="334"/>
        <v>108640</v>
      </c>
    </row>
    <row r="1247" spans="1:244" ht="12.75" customHeight="1">
      <c r="A1247" s="118">
        <v>1246</v>
      </c>
      <c r="B1247" s="128">
        <v>13</v>
      </c>
      <c r="C1247" s="156">
        <v>39722</v>
      </c>
      <c r="D1247" s="176" t="s">
        <v>53</v>
      </c>
      <c r="E1247" s="127">
        <v>2008</v>
      </c>
      <c r="F1247" s="158">
        <f t="shared" si="329"/>
        <v>335</v>
      </c>
      <c r="G1247" s="158">
        <f t="shared" si="330"/>
        <v>1</v>
      </c>
      <c r="H1247" s="175">
        <v>39387</v>
      </c>
      <c r="I1247" s="194">
        <v>678000</v>
      </c>
      <c r="J1247" s="15">
        <v>3.12</v>
      </c>
      <c r="K1247" s="15">
        <v>2.9</v>
      </c>
      <c r="L1247" s="15">
        <v>1.05</v>
      </c>
      <c r="M1247" s="174">
        <v>0</v>
      </c>
      <c r="O1247" s="15">
        <v>0.71</v>
      </c>
      <c r="Q1247" s="158"/>
      <c r="R1247" s="158"/>
      <c r="T1247" s="188">
        <f t="shared" si="331"/>
        <v>1966200</v>
      </c>
      <c r="U1247" s="188">
        <f t="shared" si="332"/>
        <v>711900</v>
      </c>
      <c r="V1247" s="188">
        <f t="shared" si="333"/>
        <v>481380</v>
      </c>
      <c r="W1247" s="161">
        <f t="shared" si="334"/>
        <v>192552</v>
      </c>
    </row>
    <row r="1248" spans="1:244" ht="12.75" customHeight="1">
      <c r="A1248" s="118">
        <v>1247</v>
      </c>
      <c r="B1248" s="128">
        <v>13</v>
      </c>
      <c r="C1248" s="156">
        <v>39753</v>
      </c>
      <c r="D1248" s="176" t="s">
        <v>54</v>
      </c>
      <c r="E1248" s="127">
        <v>2008</v>
      </c>
      <c r="F1248" s="158">
        <f t="shared" si="329"/>
        <v>366</v>
      </c>
      <c r="G1248" s="158">
        <f t="shared" si="330"/>
        <v>2</v>
      </c>
      <c r="H1248" s="175">
        <v>39387</v>
      </c>
      <c r="I1248" s="194">
        <v>678000</v>
      </c>
      <c r="J1248" s="15">
        <v>2.86</v>
      </c>
      <c r="K1248" s="15">
        <v>2.6</v>
      </c>
      <c r="L1248" s="15">
        <v>1.1599999999999999</v>
      </c>
      <c r="M1248" s="174">
        <v>2</v>
      </c>
      <c r="O1248" s="15">
        <v>0.88</v>
      </c>
      <c r="P1248" s="8">
        <v>1</v>
      </c>
      <c r="Q1248" s="158"/>
      <c r="R1248" s="158"/>
      <c r="T1248" s="188">
        <f t="shared" si="331"/>
        <v>1762800</v>
      </c>
      <c r="U1248" s="188">
        <f t="shared" si="332"/>
        <v>786480</v>
      </c>
      <c r="V1248" s="188">
        <f t="shared" si="333"/>
        <v>596640</v>
      </c>
      <c r="W1248" s="161">
        <f t="shared" si="334"/>
        <v>238656</v>
      </c>
    </row>
    <row r="1249" spans="1:23" ht="12.75" customHeight="1">
      <c r="A1249" s="118">
        <v>1248</v>
      </c>
      <c r="B1249" s="128">
        <v>13</v>
      </c>
      <c r="C1249" s="156">
        <v>39783</v>
      </c>
      <c r="D1249" s="176" t="s">
        <v>55</v>
      </c>
      <c r="E1249" s="127">
        <v>2008</v>
      </c>
      <c r="F1249" s="158">
        <f t="shared" si="329"/>
        <v>396</v>
      </c>
      <c r="G1249" s="158">
        <f t="shared" si="330"/>
        <v>2</v>
      </c>
      <c r="H1249" s="175">
        <v>39387</v>
      </c>
      <c r="I1249" s="194">
        <v>677960</v>
      </c>
      <c r="J1249" s="164">
        <v>0</v>
      </c>
      <c r="K1249" s="164">
        <v>0.66666666666666663</v>
      </c>
      <c r="L1249" s="164">
        <v>0.35</v>
      </c>
      <c r="M1249" s="193">
        <v>0</v>
      </c>
      <c r="N1249" s="529"/>
      <c r="O1249" s="164">
        <v>0</v>
      </c>
      <c r="Q1249" s="158"/>
      <c r="R1249" s="158"/>
      <c r="T1249" s="188">
        <f t="shared" si="331"/>
        <v>451973.33333333331</v>
      </c>
      <c r="U1249" s="188">
        <f t="shared" si="332"/>
        <v>237285.99999999997</v>
      </c>
      <c r="V1249" s="188">
        <f t="shared" si="333"/>
        <v>0</v>
      </c>
      <c r="W1249" s="161">
        <f t="shared" si="334"/>
        <v>0</v>
      </c>
    </row>
    <row r="1250" spans="1:23" ht="12.75" customHeight="1">
      <c r="A1250" s="118">
        <v>1249</v>
      </c>
      <c r="B1250" s="128">
        <v>13</v>
      </c>
      <c r="C1250" s="156">
        <v>39814</v>
      </c>
      <c r="D1250" s="157" t="s">
        <v>44</v>
      </c>
      <c r="E1250" s="127">
        <v>2009</v>
      </c>
      <c r="F1250" s="158">
        <f t="shared" si="329"/>
        <v>427</v>
      </c>
      <c r="G1250" s="158">
        <f t="shared" si="330"/>
        <v>2</v>
      </c>
      <c r="H1250" s="175">
        <v>39387</v>
      </c>
      <c r="I1250" s="194">
        <v>677463</v>
      </c>
      <c r="J1250" s="164">
        <v>0.03</v>
      </c>
      <c r="K1250" s="164">
        <v>0.08</v>
      </c>
      <c r="L1250" s="164">
        <v>0.03</v>
      </c>
      <c r="M1250" s="193">
        <v>0</v>
      </c>
      <c r="N1250" s="529"/>
      <c r="O1250" s="164">
        <v>0</v>
      </c>
      <c r="P1250" s="127"/>
      <c r="Q1250" s="193"/>
      <c r="R1250" s="193"/>
      <c r="S1250" s="140"/>
      <c r="T1250" s="171">
        <f t="shared" si="331"/>
        <v>54197.04</v>
      </c>
      <c r="U1250" s="171">
        <f t="shared" si="332"/>
        <v>20323.89</v>
      </c>
      <c r="V1250" s="171">
        <f t="shared" si="333"/>
        <v>0</v>
      </c>
      <c r="W1250" s="171">
        <f t="shared" si="334"/>
        <v>0</v>
      </c>
    </row>
    <row r="1251" spans="1:23" ht="12.75" customHeight="1">
      <c r="A1251" s="118">
        <v>1250</v>
      </c>
      <c r="B1251" s="128">
        <v>13</v>
      </c>
      <c r="C1251" s="156">
        <v>39845</v>
      </c>
      <c r="D1251" s="157" t="s">
        <v>45</v>
      </c>
      <c r="E1251" s="127">
        <v>2009</v>
      </c>
      <c r="F1251" s="158">
        <f t="shared" si="329"/>
        <v>458</v>
      </c>
      <c r="G1251" s="158">
        <f t="shared" si="330"/>
        <v>2</v>
      </c>
      <c r="H1251" s="175">
        <v>39387</v>
      </c>
      <c r="I1251" s="194">
        <v>676979</v>
      </c>
      <c r="J1251" s="164">
        <v>0.05</v>
      </c>
      <c r="K1251" s="164">
        <v>7.0000000000000007E-2</v>
      </c>
      <c r="L1251" s="164">
        <v>0.05</v>
      </c>
      <c r="M1251" s="193">
        <v>0</v>
      </c>
      <c r="N1251" s="529"/>
      <c r="O1251" s="164">
        <v>0</v>
      </c>
      <c r="P1251" s="118"/>
      <c r="Q1251" s="118"/>
      <c r="R1251" s="118"/>
      <c r="S1251" s="221"/>
      <c r="T1251" s="171">
        <f t="shared" si="331"/>
        <v>47388.530000000006</v>
      </c>
      <c r="U1251" s="171">
        <f t="shared" si="332"/>
        <v>33848.950000000004</v>
      </c>
      <c r="V1251" s="171">
        <f t="shared" si="333"/>
        <v>0</v>
      </c>
      <c r="W1251" s="171">
        <f t="shared" si="334"/>
        <v>0</v>
      </c>
    </row>
    <row r="1252" spans="1:23" ht="12.75" customHeight="1">
      <c r="A1252" s="118">
        <v>1251</v>
      </c>
      <c r="B1252" s="128">
        <v>13</v>
      </c>
      <c r="C1252" s="156">
        <v>39873</v>
      </c>
      <c r="D1252" s="157" t="s">
        <v>46</v>
      </c>
      <c r="E1252" s="127">
        <v>2009</v>
      </c>
      <c r="F1252" s="158">
        <f t="shared" si="329"/>
        <v>486</v>
      </c>
      <c r="G1252" s="158">
        <f t="shared" si="330"/>
        <v>2</v>
      </c>
      <c r="H1252" s="175">
        <v>39387</v>
      </c>
      <c r="I1252" s="194">
        <v>676454</v>
      </c>
      <c r="J1252" s="164">
        <v>0.17</v>
      </c>
      <c r="K1252" s="164">
        <v>0.13</v>
      </c>
      <c r="L1252" s="164">
        <v>0.09</v>
      </c>
      <c r="M1252" s="193">
        <v>0</v>
      </c>
      <c r="N1252" s="529"/>
      <c r="O1252" s="164">
        <v>0.02</v>
      </c>
      <c r="P1252" s="118"/>
      <c r="Q1252" s="118"/>
      <c r="R1252" s="118"/>
      <c r="S1252" s="221"/>
      <c r="T1252" s="171">
        <f t="shared" si="331"/>
        <v>87939.02</v>
      </c>
      <c r="U1252" s="171">
        <f t="shared" si="332"/>
        <v>60880.86</v>
      </c>
      <c r="V1252" s="171">
        <f t="shared" si="333"/>
        <v>13529.08</v>
      </c>
      <c r="W1252" s="171">
        <f t="shared" si="334"/>
        <v>5411.6320000000005</v>
      </c>
    </row>
    <row r="1253" spans="1:23" ht="12.75" customHeight="1">
      <c r="A1253" s="118">
        <v>1252</v>
      </c>
      <c r="B1253" s="128">
        <v>13</v>
      </c>
      <c r="C1253" s="156">
        <v>39904</v>
      </c>
      <c r="D1253" s="157" t="s">
        <v>47</v>
      </c>
      <c r="E1253" s="127">
        <v>2009</v>
      </c>
      <c r="F1253" s="158">
        <f t="shared" si="329"/>
        <v>517</v>
      </c>
      <c r="G1253" s="158">
        <f t="shared" si="330"/>
        <v>2</v>
      </c>
      <c r="H1253" s="175">
        <v>39387</v>
      </c>
      <c r="I1253" s="194">
        <v>675956</v>
      </c>
      <c r="J1253" s="164">
        <v>2.25</v>
      </c>
      <c r="K1253" s="164">
        <v>0.05</v>
      </c>
      <c r="L1253" s="164">
        <v>0.02</v>
      </c>
      <c r="M1253" s="193">
        <v>0</v>
      </c>
      <c r="N1253" s="529"/>
      <c r="O1253" s="164">
        <v>0.02</v>
      </c>
      <c r="P1253" s="118"/>
      <c r="Q1253" s="118"/>
      <c r="R1253" s="118"/>
      <c r="S1253" s="221"/>
      <c r="T1253" s="171">
        <f t="shared" si="331"/>
        <v>33797.800000000003</v>
      </c>
      <c r="U1253" s="171">
        <f t="shared" si="332"/>
        <v>13519.12</v>
      </c>
      <c r="V1253" s="171">
        <f t="shared" si="333"/>
        <v>13519.12</v>
      </c>
      <c r="W1253" s="171">
        <f t="shared" si="334"/>
        <v>5407.648000000001</v>
      </c>
    </row>
    <row r="1254" spans="1:23" ht="12.75" customHeight="1">
      <c r="A1254" s="118">
        <v>1253</v>
      </c>
      <c r="B1254" s="128">
        <v>13</v>
      </c>
      <c r="C1254" s="156">
        <v>39934</v>
      </c>
      <c r="D1254" s="157" t="s">
        <v>48</v>
      </c>
      <c r="E1254" s="127">
        <v>2009</v>
      </c>
      <c r="F1254" s="158">
        <f t="shared" si="329"/>
        <v>547</v>
      </c>
      <c r="G1254" s="158">
        <f t="shared" si="330"/>
        <v>2</v>
      </c>
      <c r="H1254" s="175">
        <v>39387</v>
      </c>
      <c r="I1254" s="194">
        <v>675000</v>
      </c>
      <c r="J1254" s="164">
        <v>1.75</v>
      </c>
      <c r="K1254" s="164">
        <v>0.18</v>
      </c>
      <c r="L1254" s="164">
        <v>0.03</v>
      </c>
      <c r="M1254" s="193">
        <v>0</v>
      </c>
      <c r="N1254" s="529"/>
      <c r="O1254" s="164">
        <v>0.3</v>
      </c>
      <c r="P1254" s="118"/>
      <c r="Q1254" s="118"/>
      <c r="R1254" s="118"/>
      <c r="S1254" s="221"/>
      <c r="T1254" s="171">
        <f t="shared" si="331"/>
        <v>121500</v>
      </c>
      <c r="U1254" s="171">
        <f t="shared" si="332"/>
        <v>20250</v>
      </c>
      <c r="V1254" s="171">
        <f t="shared" si="333"/>
        <v>202500</v>
      </c>
      <c r="W1254" s="171">
        <f t="shared" si="334"/>
        <v>81000</v>
      </c>
    </row>
    <row r="1255" spans="1:23" ht="12.75" customHeight="1">
      <c r="A1255" s="118">
        <v>1254</v>
      </c>
      <c r="B1255" s="128">
        <v>13</v>
      </c>
      <c r="C1255" s="156">
        <v>39965</v>
      </c>
      <c r="D1255" s="157" t="s">
        <v>49</v>
      </c>
      <c r="E1255" s="127">
        <v>2009</v>
      </c>
      <c r="F1255" s="158">
        <f t="shared" si="329"/>
        <v>578</v>
      </c>
      <c r="G1255" s="158">
        <f t="shared" si="330"/>
        <v>2</v>
      </c>
      <c r="H1255" s="175">
        <v>39387</v>
      </c>
      <c r="I1255" s="194">
        <v>674539</v>
      </c>
      <c r="J1255" s="164">
        <v>0.61</v>
      </c>
      <c r="K1255" s="164">
        <v>0.3</v>
      </c>
      <c r="L1255" s="164">
        <v>0.11</v>
      </c>
      <c r="M1255" s="193">
        <v>0</v>
      </c>
      <c r="N1255" s="529"/>
      <c r="O1255" s="164">
        <v>0.16</v>
      </c>
      <c r="P1255" s="118"/>
      <c r="Q1255" s="118"/>
      <c r="R1255" s="118"/>
      <c r="S1255" s="221"/>
      <c r="T1255" s="171">
        <f t="shared" si="331"/>
        <v>202361.69999999998</v>
      </c>
      <c r="U1255" s="171">
        <f t="shared" si="332"/>
        <v>74199.289999999994</v>
      </c>
      <c r="V1255" s="171">
        <f t="shared" si="333"/>
        <v>107926.24</v>
      </c>
      <c r="W1255" s="171">
        <f t="shared" si="334"/>
        <v>43170.496000000006</v>
      </c>
    </row>
    <row r="1256" spans="1:23">
      <c r="A1256" s="118">
        <v>1255</v>
      </c>
      <c r="B1256" s="128">
        <v>13</v>
      </c>
      <c r="C1256" s="156">
        <v>39995</v>
      </c>
      <c r="D1256" s="157" t="s">
        <v>50</v>
      </c>
      <c r="E1256" s="127">
        <v>2009</v>
      </c>
      <c r="F1256" s="158">
        <f t="shared" ref="F1256:F1261" si="335">C1256-H1256</f>
        <v>602</v>
      </c>
      <c r="G1256" s="158">
        <f t="shared" ref="G1256:G1261" si="336">IF(F1256&lt;365,1,2)</f>
        <v>2</v>
      </c>
      <c r="H1256" s="175">
        <v>39393</v>
      </c>
      <c r="I1256" s="125">
        <v>678580</v>
      </c>
      <c r="J1256" s="191">
        <v>0.43</v>
      </c>
      <c r="K1256" s="191">
        <v>0.42</v>
      </c>
      <c r="L1256" s="191">
        <v>0.23</v>
      </c>
      <c r="M1256" s="193">
        <v>0</v>
      </c>
      <c r="N1256" s="529"/>
      <c r="O1256" s="191">
        <v>0.27</v>
      </c>
      <c r="P1256" s="127"/>
      <c r="Q1256" s="127"/>
      <c r="R1256" s="127"/>
      <c r="S1256" s="140"/>
      <c r="T1256" s="171">
        <f t="shared" ref="T1256:T1261" si="337">$I1256*K1256</f>
        <v>285003.59999999998</v>
      </c>
      <c r="U1256" s="171">
        <f t="shared" ref="U1256:U1261" si="338">$I1256*L1256</f>
        <v>156073.4</v>
      </c>
      <c r="V1256" s="171">
        <f t="shared" ref="V1256:V1261" si="339">$I1256*O1256</f>
        <v>183216.6</v>
      </c>
      <c r="W1256" s="171">
        <f t="shared" si="334"/>
        <v>73286.64</v>
      </c>
    </row>
    <row r="1257" spans="1:23">
      <c r="A1257" s="118">
        <v>1256</v>
      </c>
      <c r="B1257" s="128">
        <v>13</v>
      </c>
      <c r="C1257" s="156">
        <v>40026</v>
      </c>
      <c r="D1257" s="157" t="s">
        <v>51</v>
      </c>
      <c r="E1257" s="127">
        <v>2009</v>
      </c>
      <c r="F1257" s="158">
        <f t="shared" si="335"/>
        <v>633</v>
      </c>
      <c r="G1257" s="158">
        <f t="shared" si="336"/>
        <v>2</v>
      </c>
      <c r="H1257" s="175">
        <v>39393</v>
      </c>
      <c r="I1257" s="125">
        <v>672485</v>
      </c>
      <c r="J1257" s="191">
        <v>8.3000000000000004E-2</v>
      </c>
      <c r="K1257" s="191">
        <v>0.53300000000000003</v>
      </c>
      <c r="L1257" s="191">
        <v>0.23300000000000001</v>
      </c>
      <c r="M1257" s="193">
        <v>0</v>
      </c>
      <c r="N1257" s="529"/>
      <c r="O1257" s="191">
        <v>0.317</v>
      </c>
      <c r="P1257" s="127"/>
      <c r="Q1257" s="127"/>
      <c r="R1257" s="127"/>
      <c r="S1257" s="140"/>
      <c r="T1257" s="171">
        <f t="shared" si="337"/>
        <v>358434.505</v>
      </c>
      <c r="U1257" s="171">
        <f t="shared" si="338"/>
        <v>156689.005</v>
      </c>
      <c r="V1257" s="171">
        <f t="shared" si="339"/>
        <v>213177.745</v>
      </c>
      <c r="W1257" s="171">
        <f t="shared" si="334"/>
        <v>85271.097999999998</v>
      </c>
    </row>
    <row r="1258" spans="1:23">
      <c r="A1258" s="118">
        <v>1257</v>
      </c>
      <c r="B1258" s="128">
        <v>13</v>
      </c>
      <c r="C1258" s="156">
        <v>40057</v>
      </c>
      <c r="D1258" s="157" t="s">
        <v>52</v>
      </c>
      <c r="E1258" s="127">
        <v>2009</v>
      </c>
      <c r="F1258" s="158">
        <f t="shared" si="335"/>
        <v>664</v>
      </c>
      <c r="G1258" s="158">
        <f t="shared" si="336"/>
        <v>2</v>
      </c>
      <c r="H1258" s="175">
        <v>39393</v>
      </c>
      <c r="I1258" s="125">
        <v>603829</v>
      </c>
      <c r="J1258" s="191">
        <v>2.48</v>
      </c>
      <c r="K1258" s="191">
        <v>2.73</v>
      </c>
      <c r="L1258" s="191">
        <v>1.47</v>
      </c>
      <c r="M1258" s="193">
        <v>0</v>
      </c>
      <c r="N1258" s="529"/>
      <c r="O1258" s="191">
        <v>0.57999999999999996</v>
      </c>
      <c r="P1258" s="127"/>
      <c r="Q1258" s="127"/>
      <c r="R1258" s="127"/>
      <c r="S1258" s="140"/>
      <c r="T1258" s="171">
        <f t="shared" si="337"/>
        <v>1648453.17</v>
      </c>
      <c r="U1258" s="171">
        <f t="shared" si="338"/>
        <v>887628.63</v>
      </c>
      <c r="V1258" s="171">
        <f t="shared" si="339"/>
        <v>350220.81999999995</v>
      </c>
      <c r="W1258" s="171">
        <f t="shared" si="334"/>
        <v>140088.32799999998</v>
      </c>
    </row>
    <row r="1259" spans="1:23">
      <c r="A1259" s="118">
        <v>1258</v>
      </c>
      <c r="B1259" s="128">
        <v>13</v>
      </c>
      <c r="C1259" s="156">
        <v>40087</v>
      </c>
      <c r="D1259" s="157" t="s">
        <v>53</v>
      </c>
      <c r="E1259" s="127">
        <v>2009</v>
      </c>
      <c r="F1259" s="158">
        <f t="shared" si="335"/>
        <v>694</v>
      </c>
      <c r="G1259" s="158">
        <f t="shared" si="336"/>
        <v>2</v>
      </c>
      <c r="H1259" s="175">
        <v>39393</v>
      </c>
      <c r="I1259" s="125">
        <v>601402</v>
      </c>
      <c r="J1259" s="191">
        <v>0.25</v>
      </c>
      <c r="K1259" s="191">
        <v>8.9499999999999993</v>
      </c>
      <c r="L1259" s="191">
        <v>4.22</v>
      </c>
      <c r="M1259" s="193">
        <v>0</v>
      </c>
      <c r="N1259" s="529"/>
      <c r="O1259" s="191">
        <v>0.38</v>
      </c>
      <c r="P1259" s="127"/>
      <c r="Q1259" s="127"/>
      <c r="R1259" s="127"/>
      <c r="S1259" s="140"/>
      <c r="T1259" s="171">
        <f t="shared" si="337"/>
        <v>5382547.8999999994</v>
      </c>
      <c r="U1259" s="171">
        <f t="shared" si="338"/>
        <v>2537916.44</v>
      </c>
      <c r="V1259" s="171">
        <f t="shared" si="339"/>
        <v>228532.76</v>
      </c>
      <c r="W1259" s="171">
        <f t="shared" si="334"/>
        <v>91413.104000000007</v>
      </c>
    </row>
    <row r="1260" spans="1:23">
      <c r="A1260" s="118">
        <v>1259</v>
      </c>
      <c r="B1260" s="128">
        <v>13</v>
      </c>
      <c r="C1260" s="156">
        <v>40118</v>
      </c>
      <c r="D1260" s="157" t="s">
        <v>54</v>
      </c>
      <c r="E1260" s="127">
        <v>2009</v>
      </c>
      <c r="F1260" s="158">
        <f t="shared" si="335"/>
        <v>725</v>
      </c>
      <c r="G1260" s="158">
        <f t="shared" si="336"/>
        <v>2</v>
      </c>
      <c r="H1260" s="175">
        <v>39393</v>
      </c>
      <c r="I1260" s="125">
        <v>600613</v>
      </c>
      <c r="J1260" s="191">
        <v>1.55</v>
      </c>
      <c r="K1260" s="191">
        <v>6.3</v>
      </c>
      <c r="L1260" s="191">
        <v>4.133</v>
      </c>
      <c r="M1260" s="193">
        <v>0</v>
      </c>
      <c r="N1260" s="529"/>
      <c r="O1260" s="191">
        <v>0.71699999999999997</v>
      </c>
      <c r="P1260" s="127"/>
      <c r="Q1260" s="127"/>
      <c r="R1260" s="127"/>
      <c r="S1260" s="140"/>
      <c r="T1260" s="171">
        <f t="shared" si="337"/>
        <v>3783861.9</v>
      </c>
      <c r="U1260" s="171">
        <f t="shared" si="338"/>
        <v>2482333.5290000001</v>
      </c>
      <c r="V1260" s="171">
        <f t="shared" si="339"/>
        <v>430639.52100000001</v>
      </c>
      <c r="W1260" s="171">
        <f t="shared" si="334"/>
        <v>172255.80840000001</v>
      </c>
    </row>
    <row r="1261" spans="1:23">
      <c r="A1261" s="118">
        <v>1260</v>
      </c>
      <c r="B1261" s="128">
        <v>13</v>
      </c>
      <c r="C1261" s="156">
        <v>40148</v>
      </c>
      <c r="D1261" s="157" t="s">
        <v>55</v>
      </c>
      <c r="E1261" s="127">
        <v>2009</v>
      </c>
      <c r="F1261" s="158">
        <f t="shared" si="335"/>
        <v>755</v>
      </c>
      <c r="G1261" s="158">
        <f t="shared" si="336"/>
        <v>2</v>
      </c>
      <c r="H1261" s="175">
        <v>39393</v>
      </c>
      <c r="I1261" s="125">
        <v>520835</v>
      </c>
      <c r="J1261" s="191">
        <v>0.52</v>
      </c>
      <c r="K1261" s="191">
        <v>4.99</v>
      </c>
      <c r="L1261" s="191">
        <v>3.17</v>
      </c>
      <c r="M1261" s="193"/>
      <c r="N1261" s="529"/>
      <c r="O1261" s="191">
        <v>0.24</v>
      </c>
      <c r="P1261" s="127"/>
      <c r="Q1261" s="127"/>
      <c r="R1261" s="127"/>
      <c r="S1261" s="140"/>
      <c r="T1261" s="171">
        <f t="shared" si="337"/>
        <v>2598966.65</v>
      </c>
      <c r="U1261" s="171">
        <f t="shared" si="338"/>
        <v>1651046.95</v>
      </c>
      <c r="V1261" s="171">
        <f t="shared" si="339"/>
        <v>125000.4</v>
      </c>
      <c r="W1261" s="171">
        <f t="shared" si="334"/>
        <v>50000.160000000003</v>
      </c>
    </row>
    <row r="1262" spans="1:23" ht="12.75" customHeight="1">
      <c r="A1262" s="118">
        <v>1261</v>
      </c>
      <c r="B1262" s="128">
        <v>14</v>
      </c>
      <c r="C1262" s="181">
        <v>36526</v>
      </c>
      <c r="D1262" s="157" t="s">
        <v>44</v>
      </c>
      <c r="E1262" s="8">
        <v>2000</v>
      </c>
      <c r="F1262" s="158"/>
      <c r="G1262" s="172"/>
      <c r="H1262" s="128"/>
      <c r="I1262" s="160"/>
      <c r="J1262" s="128"/>
      <c r="K1262" s="128"/>
      <c r="L1262" s="128"/>
      <c r="O1262" s="128"/>
      <c r="P1262" s="170"/>
      <c r="Q1262" s="128"/>
      <c r="R1262" s="128"/>
      <c r="S1262" s="180"/>
      <c r="T1262" s="128"/>
      <c r="U1262" s="171"/>
      <c r="V1262" s="128"/>
      <c r="W1262" s="128"/>
    </row>
    <row r="1263" spans="1:23" ht="12.75" customHeight="1">
      <c r="A1263" s="118">
        <v>1262</v>
      </c>
      <c r="B1263" s="128">
        <v>14</v>
      </c>
      <c r="C1263" s="181">
        <v>36557</v>
      </c>
      <c r="D1263" s="157" t="s">
        <v>45</v>
      </c>
      <c r="E1263" s="8">
        <v>2000</v>
      </c>
      <c r="F1263" s="158"/>
      <c r="G1263" s="172"/>
      <c r="H1263" s="128"/>
      <c r="I1263" s="160"/>
      <c r="J1263" s="128"/>
      <c r="K1263" s="128"/>
      <c r="L1263" s="128"/>
      <c r="O1263" s="128"/>
      <c r="P1263" s="170"/>
      <c r="Q1263" s="128"/>
      <c r="R1263" s="128"/>
      <c r="S1263" s="180"/>
      <c r="T1263" s="128"/>
      <c r="U1263" s="171"/>
      <c r="V1263" s="128"/>
      <c r="W1263" s="128"/>
    </row>
    <row r="1264" spans="1:23" ht="12.75" customHeight="1">
      <c r="A1264" s="118">
        <v>1263</v>
      </c>
      <c r="B1264" s="128">
        <v>14</v>
      </c>
      <c r="C1264" s="181">
        <v>36586</v>
      </c>
      <c r="D1264" s="157" t="s">
        <v>46</v>
      </c>
      <c r="E1264" s="8">
        <v>2000</v>
      </c>
      <c r="F1264" s="158"/>
      <c r="G1264" s="172"/>
      <c r="H1264" s="128"/>
      <c r="I1264" s="160"/>
      <c r="J1264" s="128"/>
      <c r="K1264" s="128"/>
      <c r="L1264" s="128"/>
      <c r="O1264" s="128"/>
      <c r="P1264" s="170"/>
      <c r="Q1264" s="128"/>
      <c r="R1264" s="128"/>
      <c r="S1264" s="180"/>
      <c r="T1264" s="128"/>
      <c r="U1264" s="171"/>
      <c r="V1264" s="128"/>
      <c r="W1264" s="128"/>
    </row>
    <row r="1265" spans="1:244" ht="12.75" customHeight="1">
      <c r="A1265" s="118">
        <v>1264</v>
      </c>
      <c r="B1265" s="128">
        <v>14</v>
      </c>
      <c r="C1265" s="181">
        <v>36617</v>
      </c>
      <c r="D1265" s="157" t="s">
        <v>47</v>
      </c>
      <c r="E1265" s="8">
        <v>2000</v>
      </c>
      <c r="F1265" s="158">
        <f>C1265-H1265</f>
        <v>0</v>
      </c>
      <c r="G1265" s="158">
        <f>IF(F1265&lt;365,1,2)</f>
        <v>1</v>
      </c>
      <c r="H1265" s="172">
        <v>36617</v>
      </c>
      <c r="I1265" s="160">
        <v>439914</v>
      </c>
      <c r="J1265" s="128"/>
      <c r="K1265" s="128"/>
      <c r="L1265" s="128"/>
      <c r="O1265" s="128"/>
      <c r="P1265" s="170"/>
      <c r="Q1265" s="128"/>
      <c r="R1265" s="128"/>
      <c r="S1265" s="180" t="s">
        <v>11</v>
      </c>
      <c r="T1265" s="128"/>
      <c r="U1265" s="171"/>
      <c r="V1265" s="128"/>
      <c r="W1265" s="128"/>
    </row>
    <row r="1266" spans="1:244" ht="12.75" customHeight="1">
      <c r="A1266" s="118">
        <v>1265</v>
      </c>
      <c r="B1266" s="128">
        <v>14</v>
      </c>
      <c r="C1266" s="181">
        <v>36647</v>
      </c>
      <c r="D1266" s="157" t="s">
        <v>48</v>
      </c>
      <c r="E1266" s="8">
        <v>2000</v>
      </c>
      <c r="F1266" s="158">
        <f>C1266-H1266</f>
        <v>30</v>
      </c>
      <c r="G1266" s="158">
        <f>IF(F1266&lt;365,1,2)</f>
        <v>1</v>
      </c>
      <c r="H1266" s="172">
        <v>36617</v>
      </c>
      <c r="I1266" s="160">
        <v>437231</v>
      </c>
      <c r="J1266" s="128"/>
      <c r="K1266" s="128"/>
      <c r="L1266" s="128"/>
      <c r="O1266" s="128"/>
      <c r="P1266" s="170"/>
      <c r="Q1266" s="128"/>
      <c r="R1266" s="128"/>
      <c r="S1266" s="180"/>
      <c r="T1266" s="128"/>
      <c r="U1266" s="171"/>
      <c r="V1266" s="128"/>
      <c r="W1266" s="128"/>
    </row>
    <row r="1267" spans="1:244" ht="12.75" customHeight="1">
      <c r="A1267" s="118">
        <v>1266</v>
      </c>
      <c r="B1267" s="128">
        <v>14</v>
      </c>
      <c r="C1267" s="181">
        <v>36678</v>
      </c>
      <c r="D1267" s="157" t="s">
        <v>49</v>
      </c>
      <c r="E1267" s="8">
        <v>2000</v>
      </c>
      <c r="F1267" s="158">
        <f>C1267-H1267</f>
        <v>61</v>
      </c>
      <c r="G1267" s="158">
        <f>IF(F1267&lt;365,1,2)</f>
        <v>1</v>
      </c>
      <c r="H1267" s="172">
        <v>36617</v>
      </c>
      <c r="I1267" s="160">
        <v>428855</v>
      </c>
      <c r="J1267" s="128"/>
      <c r="K1267" s="128"/>
      <c r="L1267" s="128"/>
      <c r="O1267" s="128"/>
      <c r="P1267" s="170"/>
      <c r="Q1267" s="128"/>
      <c r="R1267" s="128"/>
      <c r="S1267" s="180"/>
      <c r="T1267" s="128"/>
      <c r="U1267" s="171"/>
      <c r="V1267" s="128"/>
      <c r="W1267" s="128"/>
    </row>
    <row r="1268" spans="1:244" ht="12.75" customHeight="1">
      <c r="A1268" s="118">
        <v>1267</v>
      </c>
      <c r="B1268" s="128">
        <v>14</v>
      </c>
      <c r="C1268" s="181">
        <v>36708</v>
      </c>
      <c r="D1268" s="157" t="s">
        <v>50</v>
      </c>
      <c r="E1268" s="8">
        <v>2000</v>
      </c>
      <c r="F1268" s="158">
        <f>C1268-H1268</f>
        <v>91</v>
      </c>
      <c r="G1268" s="158">
        <f>IF(F1268&lt;365,1,2)</f>
        <v>1</v>
      </c>
      <c r="H1268" s="172">
        <v>36617</v>
      </c>
      <c r="I1268" s="160">
        <v>410544</v>
      </c>
      <c r="J1268" s="128"/>
      <c r="K1268" s="128"/>
      <c r="L1268" s="128"/>
      <c r="O1268" s="128"/>
      <c r="P1268" s="170"/>
      <c r="Q1268" s="128"/>
      <c r="R1268" s="128"/>
      <c r="S1268" s="180"/>
      <c r="T1268" s="128"/>
      <c r="U1268" s="171"/>
      <c r="V1268" s="128"/>
      <c r="W1268" s="128"/>
    </row>
    <row r="1269" spans="1:244" ht="12.75" customHeight="1">
      <c r="A1269" s="118">
        <v>1268</v>
      </c>
      <c r="B1269" s="128">
        <v>14</v>
      </c>
      <c r="C1269" s="181">
        <v>36739</v>
      </c>
      <c r="D1269" s="157" t="s">
        <v>51</v>
      </c>
      <c r="E1269" s="8">
        <v>2000</v>
      </c>
      <c r="F1269" s="158">
        <f>C1269-H1269</f>
        <v>122</v>
      </c>
      <c r="G1269" s="158">
        <f>IF(F1269&lt;365,1,2)</f>
        <v>1</v>
      </c>
      <c r="H1269" s="172">
        <v>36617</v>
      </c>
      <c r="I1269" s="160">
        <v>399498</v>
      </c>
      <c r="J1269" s="128"/>
      <c r="K1269" s="128"/>
      <c r="L1269" s="128"/>
      <c r="O1269" s="128"/>
      <c r="P1269" s="170"/>
      <c r="Q1269" s="128"/>
      <c r="R1269" s="128"/>
      <c r="S1269" s="180"/>
      <c r="T1269" s="128"/>
      <c r="U1269" s="171"/>
      <c r="V1269" s="128"/>
      <c r="W1269" s="128"/>
    </row>
    <row r="1270" spans="1:244" ht="12.75" customHeight="1">
      <c r="A1270" s="118">
        <v>1269</v>
      </c>
      <c r="B1270" s="128">
        <v>14</v>
      </c>
      <c r="C1270" s="181">
        <v>36770</v>
      </c>
      <c r="D1270" s="157" t="s">
        <v>52</v>
      </c>
      <c r="E1270" s="8">
        <v>2000</v>
      </c>
      <c r="F1270" s="158"/>
      <c r="G1270" s="172"/>
      <c r="H1270" s="128"/>
      <c r="I1270" s="160"/>
      <c r="J1270" s="128"/>
      <c r="K1270" s="128"/>
      <c r="L1270" s="128"/>
      <c r="O1270" s="128"/>
      <c r="P1270" s="170"/>
      <c r="Q1270" s="128"/>
      <c r="R1270" s="128"/>
      <c r="S1270" s="180" t="s">
        <v>370</v>
      </c>
      <c r="T1270" s="128"/>
      <c r="U1270" s="171"/>
      <c r="V1270" s="128"/>
      <c r="W1270" s="128"/>
    </row>
    <row r="1271" spans="1:244" ht="12.75" customHeight="1">
      <c r="A1271" s="118">
        <v>1270</v>
      </c>
      <c r="B1271" s="128">
        <v>14</v>
      </c>
      <c r="C1271" s="181">
        <v>36800</v>
      </c>
      <c r="D1271" s="157" t="s">
        <v>53</v>
      </c>
      <c r="E1271" s="8">
        <v>2000</v>
      </c>
      <c r="F1271" s="158"/>
      <c r="G1271" s="172"/>
      <c r="H1271" s="128"/>
      <c r="I1271" s="160"/>
      <c r="J1271" s="128"/>
      <c r="K1271" s="128"/>
      <c r="L1271" s="128"/>
      <c r="O1271" s="128"/>
      <c r="P1271" s="170"/>
      <c r="Q1271" s="128"/>
      <c r="R1271" s="128"/>
      <c r="S1271" s="180"/>
      <c r="T1271" s="128"/>
      <c r="U1271" s="171"/>
      <c r="V1271" s="128"/>
      <c r="W1271" s="128"/>
      <c r="X1271" s="127"/>
      <c r="Y1271" s="127"/>
      <c r="Z1271" s="127"/>
      <c r="AA1271" s="127"/>
      <c r="AB1271" s="127"/>
      <c r="AC1271" s="127"/>
      <c r="AD1271" s="127"/>
      <c r="AE1271" s="127"/>
      <c r="AF1271" s="127"/>
      <c r="AG1271" s="127"/>
      <c r="AH1271" s="127"/>
      <c r="AI1271" s="127"/>
      <c r="AJ1271" s="127"/>
      <c r="AK1271" s="127"/>
      <c r="AL1271" s="127"/>
      <c r="AM1271" s="127"/>
      <c r="AN1271" s="127"/>
      <c r="AO1271" s="127"/>
      <c r="AP1271" s="127"/>
      <c r="AQ1271" s="127"/>
      <c r="AR1271" s="127"/>
      <c r="AS1271" s="127"/>
      <c r="AT1271" s="127"/>
      <c r="AU1271" s="127"/>
      <c r="AV1271" s="127"/>
      <c r="AW1271" s="127"/>
      <c r="AX1271" s="127"/>
      <c r="AY1271" s="127"/>
      <c r="AZ1271" s="127"/>
      <c r="BA1271" s="127"/>
      <c r="BB1271" s="127"/>
      <c r="BC1271" s="127"/>
      <c r="BD1271" s="127"/>
      <c r="BE1271" s="127"/>
      <c r="BF1271" s="127"/>
      <c r="BG1271" s="127"/>
      <c r="BH1271" s="127"/>
      <c r="BI1271" s="127"/>
      <c r="BJ1271" s="127"/>
      <c r="BK1271" s="127"/>
      <c r="BL1271" s="127"/>
      <c r="BM1271" s="127"/>
      <c r="BN1271" s="127"/>
      <c r="BO1271" s="127"/>
      <c r="BP1271" s="127"/>
      <c r="BQ1271" s="127"/>
      <c r="BR1271" s="127"/>
      <c r="BS1271" s="127"/>
      <c r="BT1271" s="127"/>
      <c r="BU1271" s="127"/>
      <c r="BV1271" s="127"/>
      <c r="BW1271" s="127"/>
      <c r="BX1271" s="127"/>
      <c r="BY1271" s="127"/>
      <c r="BZ1271" s="127"/>
      <c r="CA1271" s="127"/>
      <c r="CB1271" s="127"/>
      <c r="CC1271" s="127"/>
      <c r="CD1271" s="127"/>
      <c r="CE1271" s="127"/>
      <c r="CF1271" s="127"/>
      <c r="CG1271" s="127"/>
      <c r="CH1271" s="127"/>
      <c r="CI1271" s="127"/>
      <c r="CJ1271" s="127"/>
      <c r="CK1271" s="127"/>
      <c r="CL1271" s="127"/>
      <c r="CM1271" s="127"/>
      <c r="CN1271" s="127"/>
      <c r="CO1271" s="127"/>
      <c r="CP1271" s="127"/>
      <c r="CQ1271" s="127"/>
      <c r="CR1271" s="127"/>
      <c r="CS1271" s="127"/>
      <c r="CT1271" s="127"/>
      <c r="CU1271" s="127"/>
      <c r="CV1271" s="127"/>
      <c r="CW1271" s="127"/>
      <c r="CX1271" s="127"/>
      <c r="CY1271" s="127"/>
      <c r="CZ1271" s="127"/>
      <c r="DA1271" s="127"/>
      <c r="DB1271" s="127"/>
      <c r="DC1271" s="127"/>
      <c r="DD1271" s="127"/>
      <c r="DE1271" s="127"/>
      <c r="DF1271" s="127"/>
      <c r="DG1271" s="127"/>
      <c r="DH1271" s="127"/>
      <c r="DI1271" s="127"/>
      <c r="DJ1271" s="127"/>
      <c r="DK1271" s="127"/>
      <c r="DL1271" s="127"/>
      <c r="DM1271" s="127"/>
      <c r="DN1271" s="127"/>
      <c r="DO1271" s="127"/>
      <c r="DP1271" s="127"/>
      <c r="DQ1271" s="127"/>
      <c r="DR1271" s="127"/>
      <c r="DS1271" s="127"/>
      <c r="DT1271" s="127"/>
      <c r="DU1271" s="127"/>
      <c r="DV1271" s="127"/>
      <c r="DW1271" s="127"/>
      <c r="DX1271" s="127"/>
      <c r="DY1271" s="127"/>
      <c r="DZ1271" s="127"/>
      <c r="EA1271" s="127"/>
      <c r="EB1271" s="127"/>
      <c r="EC1271" s="127"/>
      <c r="ED1271" s="127"/>
      <c r="EE1271" s="127"/>
      <c r="EF1271" s="127"/>
      <c r="EG1271" s="127"/>
      <c r="EH1271" s="127"/>
      <c r="EI1271" s="127"/>
      <c r="EJ1271" s="127"/>
      <c r="EK1271" s="127"/>
      <c r="EL1271" s="127"/>
      <c r="EM1271" s="127"/>
      <c r="EN1271" s="127"/>
      <c r="EO1271" s="127"/>
      <c r="EP1271" s="127"/>
      <c r="EQ1271" s="127"/>
      <c r="ER1271" s="127"/>
      <c r="ES1271" s="127"/>
      <c r="ET1271" s="127"/>
      <c r="EU1271" s="127"/>
      <c r="EV1271" s="127"/>
      <c r="EW1271" s="127"/>
      <c r="EX1271" s="127"/>
      <c r="EY1271" s="127"/>
      <c r="EZ1271" s="127"/>
      <c r="FA1271" s="127"/>
      <c r="FB1271" s="127"/>
      <c r="FC1271" s="127"/>
      <c r="FD1271" s="127"/>
      <c r="FE1271" s="127"/>
      <c r="FF1271" s="127"/>
      <c r="FG1271" s="127"/>
      <c r="FH1271" s="127"/>
      <c r="FI1271" s="127"/>
      <c r="FJ1271" s="127"/>
      <c r="FK1271" s="127"/>
      <c r="FL1271" s="127"/>
      <c r="FM1271" s="127"/>
      <c r="FN1271" s="127"/>
      <c r="FO1271" s="127"/>
      <c r="FP1271" s="127"/>
      <c r="FQ1271" s="127"/>
      <c r="FR1271" s="127"/>
      <c r="FS1271" s="127"/>
      <c r="FT1271" s="127"/>
      <c r="FU1271" s="127"/>
      <c r="FV1271" s="127"/>
      <c r="FW1271" s="127"/>
      <c r="FX1271" s="127"/>
      <c r="FY1271" s="127"/>
      <c r="FZ1271" s="127"/>
      <c r="GA1271" s="127"/>
      <c r="GB1271" s="127"/>
      <c r="GC1271" s="127"/>
      <c r="GD1271" s="127"/>
      <c r="GE1271" s="127"/>
      <c r="GF1271" s="127"/>
      <c r="GG1271" s="127"/>
      <c r="GH1271" s="127"/>
      <c r="GI1271" s="127"/>
      <c r="GJ1271" s="127"/>
      <c r="GK1271" s="127"/>
      <c r="GL1271" s="127"/>
      <c r="GM1271" s="127"/>
      <c r="GN1271" s="127"/>
      <c r="GO1271" s="127"/>
      <c r="GP1271" s="127"/>
      <c r="GQ1271" s="127"/>
      <c r="GR1271" s="127"/>
      <c r="GS1271" s="127"/>
      <c r="GT1271" s="127"/>
      <c r="GU1271" s="127"/>
      <c r="GV1271" s="127"/>
      <c r="GW1271" s="127"/>
      <c r="GX1271" s="127"/>
      <c r="GY1271" s="127"/>
      <c r="GZ1271" s="127"/>
      <c r="HA1271" s="127"/>
      <c r="HB1271" s="127"/>
      <c r="HC1271" s="127"/>
      <c r="HD1271" s="127"/>
      <c r="HE1271" s="127"/>
      <c r="HF1271" s="127"/>
      <c r="HG1271" s="127"/>
      <c r="HH1271" s="127"/>
      <c r="HI1271" s="127"/>
      <c r="HJ1271" s="127"/>
      <c r="HK1271" s="127"/>
      <c r="HL1271" s="127"/>
      <c r="HM1271" s="127"/>
      <c r="HN1271" s="127"/>
      <c r="HO1271" s="127"/>
      <c r="HP1271" s="127"/>
      <c r="HQ1271" s="127"/>
      <c r="HR1271" s="127"/>
      <c r="HS1271" s="127"/>
      <c r="HT1271" s="127"/>
      <c r="HU1271" s="127"/>
      <c r="HV1271" s="127"/>
      <c r="HW1271" s="127"/>
      <c r="HX1271" s="127"/>
      <c r="HY1271" s="127"/>
      <c r="HZ1271" s="127"/>
      <c r="IA1271" s="127"/>
      <c r="IB1271" s="127"/>
      <c r="IC1271" s="127"/>
      <c r="ID1271" s="127"/>
      <c r="IE1271" s="127"/>
      <c r="IF1271" s="127"/>
      <c r="IG1271" s="127"/>
      <c r="IH1271" s="127"/>
      <c r="II1271" s="127"/>
      <c r="IJ1271" s="127"/>
    </row>
    <row r="1272" spans="1:244" ht="12.75" customHeight="1">
      <c r="A1272" s="118">
        <v>1271</v>
      </c>
      <c r="B1272" s="128">
        <v>14</v>
      </c>
      <c r="C1272" s="181">
        <v>36831</v>
      </c>
      <c r="D1272" s="157" t="s">
        <v>54</v>
      </c>
      <c r="E1272" s="8">
        <v>2000</v>
      </c>
      <c r="F1272" s="158"/>
      <c r="G1272" s="172"/>
      <c r="H1272" s="128"/>
      <c r="I1272" s="160"/>
      <c r="J1272" s="128"/>
      <c r="K1272" s="128"/>
      <c r="L1272" s="128"/>
      <c r="O1272" s="128"/>
      <c r="P1272" s="170"/>
      <c r="Q1272" s="128"/>
      <c r="R1272" s="128"/>
      <c r="S1272" s="180"/>
      <c r="T1272" s="128"/>
      <c r="U1272" s="171"/>
      <c r="V1272" s="128"/>
      <c r="W1272" s="128"/>
      <c r="X1272" s="127"/>
      <c r="Y1272" s="127"/>
      <c r="Z1272" s="127"/>
      <c r="AA1272" s="127"/>
      <c r="AB1272" s="127"/>
      <c r="AC1272" s="127"/>
      <c r="AD1272" s="127"/>
      <c r="AE1272" s="127"/>
      <c r="AF1272" s="127"/>
      <c r="AG1272" s="127"/>
      <c r="AH1272" s="127"/>
      <c r="AI1272" s="127"/>
      <c r="AJ1272" s="127"/>
      <c r="AK1272" s="127"/>
      <c r="AL1272" s="127"/>
      <c r="AM1272" s="127"/>
      <c r="AN1272" s="127"/>
      <c r="AO1272" s="127"/>
      <c r="AP1272" s="127"/>
      <c r="AQ1272" s="127"/>
      <c r="AR1272" s="127"/>
      <c r="AS1272" s="127"/>
      <c r="AT1272" s="127"/>
      <c r="AU1272" s="127"/>
      <c r="AV1272" s="127"/>
      <c r="AW1272" s="127"/>
      <c r="AX1272" s="127"/>
      <c r="AY1272" s="127"/>
      <c r="AZ1272" s="127"/>
      <c r="BA1272" s="127"/>
      <c r="BB1272" s="127"/>
      <c r="BC1272" s="127"/>
      <c r="BD1272" s="127"/>
      <c r="BE1272" s="127"/>
      <c r="BF1272" s="127"/>
      <c r="BG1272" s="127"/>
      <c r="BH1272" s="127"/>
      <c r="BI1272" s="127"/>
      <c r="BJ1272" s="127"/>
      <c r="BK1272" s="127"/>
      <c r="BL1272" s="127"/>
      <c r="BM1272" s="127"/>
      <c r="BN1272" s="127"/>
      <c r="BO1272" s="127"/>
      <c r="BP1272" s="127"/>
      <c r="BQ1272" s="127"/>
      <c r="BR1272" s="127"/>
      <c r="BS1272" s="127"/>
      <c r="BT1272" s="127"/>
      <c r="BU1272" s="127"/>
      <c r="BV1272" s="127"/>
      <c r="BW1272" s="127"/>
      <c r="BX1272" s="127"/>
      <c r="BY1272" s="127"/>
      <c r="BZ1272" s="127"/>
      <c r="CA1272" s="127"/>
      <c r="CB1272" s="127"/>
      <c r="CC1272" s="127"/>
      <c r="CD1272" s="127"/>
      <c r="CE1272" s="127"/>
      <c r="CF1272" s="127"/>
      <c r="CG1272" s="127"/>
      <c r="CH1272" s="127"/>
      <c r="CI1272" s="127"/>
      <c r="CJ1272" s="127"/>
      <c r="CK1272" s="127"/>
      <c r="CL1272" s="127"/>
      <c r="CM1272" s="127"/>
      <c r="CN1272" s="127"/>
      <c r="CO1272" s="127"/>
      <c r="CP1272" s="127"/>
      <c r="CQ1272" s="127"/>
      <c r="CR1272" s="127"/>
      <c r="CS1272" s="127"/>
      <c r="CT1272" s="127"/>
      <c r="CU1272" s="127"/>
      <c r="CV1272" s="127"/>
      <c r="CW1272" s="127"/>
      <c r="CX1272" s="127"/>
      <c r="CY1272" s="127"/>
      <c r="CZ1272" s="127"/>
      <c r="DA1272" s="127"/>
      <c r="DB1272" s="127"/>
      <c r="DC1272" s="127"/>
      <c r="DD1272" s="127"/>
      <c r="DE1272" s="127"/>
      <c r="DF1272" s="127"/>
      <c r="DG1272" s="127"/>
      <c r="DH1272" s="127"/>
      <c r="DI1272" s="127"/>
      <c r="DJ1272" s="127"/>
      <c r="DK1272" s="127"/>
      <c r="DL1272" s="127"/>
      <c r="DM1272" s="127"/>
      <c r="DN1272" s="127"/>
      <c r="DO1272" s="127"/>
      <c r="DP1272" s="127"/>
      <c r="DQ1272" s="127"/>
      <c r="DR1272" s="127"/>
      <c r="DS1272" s="127"/>
      <c r="DT1272" s="127"/>
      <c r="DU1272" s="127"/>
      <c r="DV1272" s="127"/>
      <c r="DW1272" s="127"/>
      <c r="DX1272" s="127"/>
      <c r="DY1272" s="127"/>
      <c r="DZ1272" s="127"/>
      <c r="EA1272" s="127"/>
      <c r="EB1272" s="127"/>
      <c r="EC1272" s="127"/>
      <c r="ED1272" s="127"/>
      <c r="EE1272" s="127"/>
      <c r="EF1272" s="127"/>
      <c r="EG1272" s="127"/>
      <c r="EH1272" s="127"/>
      <c r="EI1272" s="127"/>
      <c r="EJ1272" s="127"/>
      <c r="EK1272" s="127"/>
      <c r="EL1272" s="127"/>
      <c r="EM1272" s="127"/>
      <c r="EN1272" s="127"/>
      <c r="EO1272" s="127"/>
      <c r="EP1272" s="127"/>
      <c r="EQ1272" s="127"/>
      <c r="ER1272" s="127"/>
      <c r="ES1272" s="127"/>
      <c r="ET1272" s="127"/>
      <c r="EU1272" s="127"/>
      <c r="EV1272" s="127"/>
      <c r="EW1272" s="127"/>
      <c r="EX1272" s="127"/>
      <c r="EY1272" s="127"/>
      <c r="EZ1272" s="127"/>
      <c r="FA1272" s="127"/>
      <c r="FB1272" s="127"/>
      <c r="FC1272" s="127"/>
      <c r="FD1272" s="127"/>
      <c r="FE1272" s="127"/>
      <c r="FF1272" s="127"/>
      <c r="FG1272" s="127"/>
      <c r="FH1272" s="127"/>
      <c r="FI1272" s="127"/>
      <c r="FJ1272" s="127"/>
      <c r="FK1272" s="127"/>
      <c r="FL1272" s="127"/>
      <c r="FM1272" s="127"/>
      <c r="FN1272" s="127"/>
      <c r="FO1272" s="127"/>
      <c r="FP1272" s="127"/>
      <c r="FQ1272" s="127"/>
      <c r="FR1272" s="127"/>
      <c r="FS1272" s="127"/>
      <c r="FT1272" s="127"/>
      <c r="FU1272" s="127"/>
      <c r="FV1272" s="127"/>
      <c r="FW1272" s="127"/>
      <c r="FX1272" s="127"/>
      <c r="FY1272" s="127"/>
      <c r="FZ1272" s="127"/>
      <c r="GA1272" s="127"/>
      <c r="GB1272" s="127"/>
      <c r="GC1272" s="127"/>
      <c r="GD1272" s="127"/>
      <c r="GE1272" s="127"/>
      <c r="GF1272" s="127"/>
      <c r="GG1272" s="127"/>
      <c r="GH1272" s="127"/>
      <c r="GI1272" s="127"/>
      <c r="GJ1272" s="127"/>
      <c r="GK1272" s="127"/>
      <c r="GL1272" s="127"/>
      <c r="GM1272" s="127"/>
      <c r="GN1272" s="127"/>
      <c r="GO1272" s="127"/>
      <c r="GP1272" s="127"/>
      <c r="GQ1272" s="127"/>
      <c r="GR1272" s="127"/>
      <c r="GS1272" s="127"/>
      <c r="GT1272" s="127"/>
      <c r="GU1272" s="127"/>
      <c r="GV1272" s="127"/>
      <c r="GW1272" s="127"/>
      <c r="GX1272" s="127"/>
      <c r="GY1272" s="127"/>
      <c r="GZ1272" s="127"/>
      <c r="HA1272" s="127"/>
      <c r="HB1272" s="127"/>
      <c r="HC1272" s="127"/>
      <c r="HD1272" s="127"/>
      <c r="HE1272" s="127"/>
      <c r="HF1272" s="127"/>
      <c r="HG1272" s="127"/>
      <c r="HH1272" s="127"/>
      <c r="HI1272" s="127"/>
      <c r="HJ1272" s="127"/>
      <c r="HK1272" s="127"/>
      <c r="HL1272" s="127"/>
      <c r="HM1272" s="127"/>
      <c r="HN1272" s="127"/>
      <c r="HO1272" s="127"/>
      <c r="HP1272" s="127"/>
      <c r="HQ1272" s="127"/>
      <c r="HR1272" s="127"/>
      <c r="HS1272" s="127"/>
      <c r="HT1272" s="127"/>
      <c r="HU1272" s="127"/>
      <c r="HV1272" s="127"/>
      <c r="HW1272" s="127"/>
      <c r="HX1272" s="127"/>
      <c r="HY1272" s="127"/>
      <c r="HZ1272" s="127"/>
      <c r="IA1272" s="127"/>
      <c r="IB1272" s="127"/>
      <c r="IC1272" s="127"/>
      <c r="ID1272" s="127"/>
      <c r="IE1272" s="127"/>
      <c r="IF1272" s="127"/>
      <c r="IG1272" s="127"/>
      <c r="IH1272" s="127"/>
      <c r="II1272" s="127"/>
      <c r="IJ1272" s="127"/>
    </row>
    <row r="1273" spans="1:244" ht="12.75" customHeight="1">
      <c r="A1273" s="118">
        <v>1272</v>
      </c>
      <c r="B1273" s="128">
        <v>14</v>
      </c>
      <c r="C1273" s="181">
        <v>36861</v>
      </c>
      <c r="D1273" s="157" t="s">
        <v>55</v>
      </c>
      <c r="E1273" s="8">
        <v>2000</v>
      </c>
      <c r="F1273" s="158"/>
      <c r="G1273" s="172"/>
      <c r="H1273" s="128"/>
      <c r="I1273" s="160"/>
      <c r="J1273" s="128"/>
      <c r="K1273" s="128"/>
      <c r="L1273" s="128"/>
      <c r="O1273" s="128"/>
      <c r="P1273" s="170"/>
      <c r="Q1273" s="128"/>
      <c r="R1273" s="128"/>
      <c r="S1273" s="180"/>
      <c r="T1273" s="128"/>
      <c r="U1273" s="171"/>
      <c r="V1273" s="128"/>
      <c r="W1273" s="128"/>
      <c r="X1273" s="127"/>
      <c r="Y1273" s="127"/>
      <c r="Z1273" s="127"/>
      <c r="AA1273" s="127"/>
      <c r="AB1273" s="127"/>
      <c r="AC1273" s="127"/>
      <c r="AD1273" s="127"/>
      <c r="AE1273" s="127"/>
      <c r="AF1273" s="127"/>
      <c r="AG1273" s="127"/>
      <c r="AH1273" s="127"/>
      <c r="AI1273" s="127"/>
      <c r="AJ1273" s="127"/>
      <c r="AK1273" s="127"/>
      <c r="AL1273" s="127"/>
      <c r="AM1273" s="127"/>
      <c r="AN1273" s="127"/>
      <c r="AO1273" s="127"/>
      <c r="AP1273" s="127"/>
      <c r="AQ1273" s="127"/>
      <c r="AR1273" s="127"/>
      <c r="AS1273" s="127"/>
      <c r="AT1273" s="127"/>
      <c r="AU1273" s="127"/>
      <c r="AV1273" s="127"/>
      <c r="AW1273" s="127"/>
      <c r="AX1273" s="127"/>
      <c r="AY1273" s="127"/>
      <c r="AZ1273" s="127"/>
      <c r="BA1273" s="127"/>
      <c r="BB1273" s="127"/>
      <c r="BC1273" s="127"/>
      <c r="BD1273" s="127"/>
      <c r="BE1273" s="127"/>
      <c r="BF1273" s="127"/>
      <c r="BG1273" s="127"/>
      <c r="BH1273" s="127"/>
      <c r="BI1273" s="127"/>
      <c r="BJ1273" s="127"/>
      <c r="BK1273" s="127"/>
      <c r="BL1273" s="127"/>
      <c r="BM1273" s="127"/>
      <c r="BN1273" s="127"/>
      <c r="BO1273" s="127"/>
      <c r="BP1273" s="127"/>
      <c r="BQ1273" s="127"/>
      <c r="BR1273" s="127"/>
      <c r="BS1273" s="127"/>
      <c r="BT1273" s="127"/>
      <c r="BU1273" s="127"/>
      <c r="BV1273" s="127"/>
      <c r="BW1273" s="127"/>
      <c r="BX1273" s="127"/>
      <c r="BY1273" s="127"/>
      <c r="BZ1273" s="127"/>
      <c r="CA1273" s="127"/>
      <c r="CB1273" s="127"/>
      <c r="CC1273" s="127"/>
      <c r="CD1273" s="127"/>
      <c r="CE1273" s="127"/>
      <c r="CF1273" s="127"/>
      <c r="CG1273" s="127"/>
      <c r="CH1273" s="127"/>
      <c r="CI1273" s="127"/>
      <c r="CJ1273" s="127"/>
      <c r="CK1273" s="127"/>
      <c r="CL1273" s="127"/>
      <c r="CM1273" s="127"/>
      <c r="CN1273" s="127"/>
      <c r="CO1273" s="127"/>
      <c r="CP1273" s="127"/>
      <c r="CQ1273" s="127"/>
      <c r="CR1273" s="127"/>
      <c r="CS1273" s="127"/>
      <c r="CT1273" s="127"/>
      <c r="CU1273" s="127"/>
      <c r="CV1273" s="127"/>
      <c r="CW1273" s="127"/>
      <c r="CX1273" s="127"/>
      <c r="CY1273" s="127"/>
      <c r="CZ1273" s="127"/>
      <c r="DA1273" s="127"/>
      <c r="DB1273" s="127"/>
      <c r="DC1273" s="127"/>
      <c r="DD1273" s="127"/>
      <c r="DE1273" s="127"/>
      <c r="DF1273" s="127"/>
      <c r="DG1273" s="127"/>
      <c r="DH1273" s="127"/>
      <c r="DI1273" s="127"/>
      <c r="DJ1273" s="127"/>
      <c r="DK1273" s="127"/>
      <c r="DL1273" s="127"/>
      <c r="DM1273" s="127"/>
      <c r="DN1273" s="127"/>
      <c r="DO1273" s="127"/>
      <c r="DP1273" s="127"/>
      <c r="DQ1273" s="127"/>
      <c r="DR1273" s="127"/>
      <c r="DS1273" s="127"/>
      <c r="DT1273" s="127"/>
      <c r="DU1273" s="127"/>
      <c r="DV1273" s="127"/>
      <c r="DW1273" s="127"/>
      <c r="DX1273" s="127"/>
      <c r="DY1273" s="127"/>
      <c r="DZ1273" s="127"/>
      <c r="EA1273" s="127"/>
      <c r="EB1273" s="127"/>
      <c r="EC1273" s="127"/>
      <c r="ED1273" s="127"/>
      <c r="EE1273" s="127"/>
      <c r="EF1273" s="127"/>
      <c r="EG1273" s="127"/>
      <c r="EH1273" s="127"/>
      <c r="EI1273" s="127"/>
      <c r="EJ1273" s="127"/>
      <c r="EK1273" s="127"/>
      <c r="EL1273" s="127"/>
      <c r="EM1273" s="127"/>
      <c r="EN1273" s="127"/>
      <c r="EO1273" s="127"/>
      <c r="EP1273" s="127"/>
      <c r="EQ1273" s="127"/>
      <c r="ER1273" s="127"/>
      <c r="ES1273" s="127"/>
      <c r="ET1273" s="127"/>
      <c r="EU1273" s="127"/>
      <c r="EV1273" s="127"/>
      <c r="EW1273" s="127"/>
      <c r="EX1273" s="127"/>
      <c r="EY1273" s="127"/>
      <c r="EZ1273" s="127"/>
      <c r="FA1273" s="127"/>
      <c r="FB1273" s="127"/>
      <c r="FC1273" s="127"/>
      <c r="FD1273" s="127"/>
      <c r="FE1273" s="127"/>
      <c r="FF1273" s="127"/>
      <c r="FG1273" s="127"/>
      <c r="FH1273" s="127"/>
      <c r="FI1273" s="127"/>
      <c r="FJ1273" s="127"/>
      <c r="FK1273" s="127"/>
      <c r="FL1273" s="127"/>
      <c r="FM1273" s="127"/>
      <c r="FN1273" s="127"/>
      <c r="FO1273" s="127"/>
      <c r="FP1273" s="127"/>
      <c r="FQ1273" s="127"/>
      <c r="FR1273" s="127"/>
      <c r="FS1273" s="127"/>
      <c r="FT1273" s="127"/>
      <c r="FU1273" s="127"/>
      <c r="FV1273" s="127"/>
      <c r="FW1273" s="127"/>
      <c r="FX1273" s="127"/>
      <c r="FY1273" s="127"/>
      <c r="FZ1273" s="127"/>
      <c r="GA1273" s="127"/>
      <c r="GB1273" s="127"/>
      <c r="GC1273" s="127"/>
      <c r="GD1273" s="127"/>
      <c r="GE1273" s="127"/>
      <c r="GF1273" s="127"/>
      <c r="GG1273" s="127"/>
      <c r="GH1273" s="127"/>
      <c r="GI1273" s="127"/>
      <c r="GJ1273" s="127"/>
      <c r="GK1273" s="127"/>
      <c r="GL1273" s="127"/>
      <c r="GM1273" s="127"/>
      <c r="GN1273" s="127"/>
      <c r="GO1273" s="127"/>
      <c r="GP1273" s="127"/>
      <c r="GQ1273" s="127"/>
      <c r="GR1273" s="127"/>
      <c r="GS1273" s="127"/>
      <c r="GT1273" s="127"/>
      <c r="GU1273" s="127"/>
      <c r="GV1273" s="127"/>
      <c r="GW1273" s="127"/>
      <c r="GX1273" s="127"/>
      <c r="GY1273" s="127"/>
      <c r="GZ1273" s="127"/>
      <c r="HA1273" s="127"/>
      <c r="HB1273" s="127"/>
      <c r="HC1273" s="127"/>
      <c r="HD1273" s="127"/>
      <c r="HE1273" s="127"/>
      <c r="HF1273" s="127"/>
      <c r="HG1273" s="127"/>
      <c r="HH1273" s="127"/>
      <c r="HI1273" s="127"/>
      <c r="HJ1273" s="127"/>
      <c r="HK1273" s="127"/>
      <c r="HL1273" s="127"/>
      <c r="HM1273" s="127"/>
      <c r="HN1273" s="127"/>
      <c r="HO1273" s="127"/>
      <c r="HP1273" s="127"/>
      <c r="HQ1273" s="127"/>
      <c r="HR1273" s="127"/>
      <c r="HS1273" s="127"/>
      <c r="HT1273" s="127"/>
      <c r="HU1273" s="127"/>
      <c r="HV1273" s="127"/>
      <c r="HW1273" s="127"/>
      <c r="HX1273" s="127"/>
      <c r="HY1273" s="127"/>
      <c r="HZ1273" s="127"/>
      <c r="IA1273" s="127"/>
      <c r="IB1273" s="127"/>
      <c r="IC1273" s="127"/>
      <c r="ID1273" s="127"/>
      <c r="IE1273" s="127"/>
      <c r="IF1273" s="127"/>
      <c r="IG1273" s="127"/>
      <c r="IH1273" s="127"/>
      <c r="II1273" s="127"/>
      <c r="IJ1273" s="127"/>
    </row>
    <row r="1274" spans="1:244" ht="12.75" customHeight="1">
      <c r="A1274" s="118">
        <v>1273</v>
      </c>
      <c r="B1274" s="128">
        <v>14</v>
      </c>
      <c r="C1274" s="181">
        <v>36892</v>
      </c>
      <c r="D1274" s="157" t="s">
        <v>44</v>
      </c>
      <c r="E1274" s="8">
        <v>2001</v>
      </c>
      <c r="F1274" s="158"/>
      <c r="G1274" s="172"/>
      <c r="H1274" s="128"/>
      <c r="I1274" s="160"/>
      <c r="J1274" s="128"/>
      <c r="K1274" s="128"/>
      <c r="L1274" s="128"/>
      <c r="O1274" s="128"/>
      <c r="P1274" s="170"/>
      <c r="Q1274" s="128"/>
      <c r="R1274" s="128"/>
      <c r="S1274" s="180"/>
      <c r="T1274" s="128"/>
      <c r="U1274" s="171"/>
      <c r="V1274" s="128"/>
      <c r="W1274" s="128"/>
    </row>
    <row r="1275" spans="1:244" ht="12.75" customHeight="1">
      <c r="A1275" s="118">
        <v>1274</v>
      </c>
      <c r="B1275" s="128">
        <v>14</v>
      </c>
      <c r="C1275" s="181">
        <v>36923</v>
      </c>
      <c r="D1275" s="157" t="s">
        <v>45</v>
      </c>
      <c r="E1275" s="8">
        <v>2001</v>
      </c>
      <c r="F1275" s="158"/>
      <c r="G1275" s="172"/>
      <c r="H1275" s="128"/>
      <c r="I1275" s="160"/>
      <c r="J1275" s="128"/>
      <c r="K1275" s="128"/>
      <c r="L1275" s="128"/>
      <c r="O1275" s="128"/>
      <c r="P1275" s="170"/>
      <c r="Q1275" s="128"/>
      <c r="R1275" s="128"/>
      <c r="S1275" s="180"/>
      <c r="T1275" s="128"/>
      <c r="U1275" s="171"/>
      <c r="V1275" s="128"/>
      <c r="W1275" s="128"/>
    </row>
    <row r="1276" spans="1:244" ht="12.75" customHeight="1">
      <c r="A1276" s="118">
        <v>1275</v>
      </c>
      <c r="B1276" s="128">
        <v>14</v>
      </c>
      <c r="C1276" s="181">
        <v>36951</v>
      </c>
      <c r="D1276" s="157" t="s">
        <v>46</v>
      </c>
      <c r="E1276" s="8">
        <v>2001</v>
      </c>
      <c r="F1276" s="158"/>
      <c r="G1276" s="172"/>
      <c r="H1276" s="128"/>
      <c r="I1276" s="160"/>
      <c r="J1276" s="128"/>
      <c r="K1276" s="128"/>
      <c r="L1276" s="128"/>
      <c r="O1276" s="128"/>
      <c r="P1276" s="170"/>
      <c r="Q1276" s="128"/>
      <c r="R1276" s="128"/>
      <c r="S1276" s="180"/>
      <c r="T1276" s="128"/>
      <c r="U1276" s="171"/>
      <c r="V1276" s="128"/>
      <c r="W1276" s="128"/>
    </row>
    <row r="1277" spans="1:244" ht="12.75" customHeight="1">
      <c r="A1277" s="118">
        <v>1276</v>
      </c>
      <c r="B1277" s="128">
        <v>14</v>
      </c>
      <c r="C1277" s="181">
        <v>36982</v>
      </c>
      <c r="D1277" s="157" t="s">
        <v>47</v>
      </c>
      <c r="E1277" s="8">
        <v>2001</v>
      </c>
      <c r="F1277" s="158">
        <f>C1277-H1277</f>
        <v>0</v>
      </c>
      <c r="G1277" s="158">
        <f>IF(F1277&lt;365,1,2)</f>
        <v>1</v>
      </c>
      <c r="H1277" s="172">
        <v>36982</v>
      </c>
      <c r="I1277" s="160">
        <v>335306</v>
      </c>
      <c r="J1277" s="173"/>
      <c r="K1277" s="173"/>
      <c r="L1277" s="173"/>
      <c r="O1277" s="173"/>
      <c r="P1277" s="170"/>
      <c r="Q1277" s="128"/>
      <c r="R1277" s="128"/>
      <c r="S1277" s="180" t="s">
        <v>11</v>
      </c>
      <c r="T1277" s="173"/>
      <c r="V1277" s="173"/>
      <c r="W1277" s="173"/>
    </row>
    <row r="1278" spans="1:244" ht="12.75" customHeight="1">
      <c r="A1278" s="118">
        <v>1277</v>
      </c>
      <c r="B1278" s="128">
        <v>14</v>
      </c>
      <c r="C1278" s="181">
        <v>37012</v>
      </c>
      <c r="D1278" s="157" t="s">
        <v>48</v>
      </c>
      <c r="E1278" s="8">
        <v>2001</v>
      </c>
      <c r="F1278" s="158">
        <f>C1278-H1278</f>
        <v>30</v>
      </c>
      <c r="G1278" s="158">
        <f>IF(F1278&lt;365,1,2)</f>
        <v>1</v>
      </c>
      <c r="H1278" s="172">
        <v>36982</v>
      </c>
      <c r="I1278" s="160">
        <v>370611</v>
      </c>
      <c r="J1278" s="173"/>
      <c r="K1278" s="173"/>
      <c r="L1278" s="173"/>
      <c r="O1278" s="173"/>
      <c r="P1278" s="170"/>
      <c r="Q1278" s="128"/>
      <c r="R1278" s="128"/>
      <c r="S1278" s="180"/>
      <c r="T1278" s="173"/>
      <c r="V1278" s="173"/>
      <c r="W1278" s="173"/>
    </row>
    <row r="1279" spans="1:244" ht="12.75" customHeight="1">
      <c r="A1279" s="118">
        <v>1278</v>
      </c>
      <c r="B1279" s="128">
        <v>14</v>
      </c>
      <c r="C1279" s="181">
        <v>37043</v>
      </c>
      <c r="D1279" s="157" t="s">
        <v>49</v>
      </c>
      <c r="E1279" s="8">
        <v>2001</v>
      </c>
      <c r="F1279" s="158">
        <f>C1279-H1279</f>
        <v>61</v>
      </c>
      <c r="G1279" s="158">
        <f>IF(F1279&lt;365,1,2)</f>
        <v>1</v>
      </c>
      <c r="H1279" s="172">
        <v>36982</v>
      </c>
      <c r="I1279" s="160">
        <v>349468</v>
      </c>
      <c r="J1279" s="128">
        <v>11.8</v>
      </c>
      <c r="K1279" s="128">
        <v>10.6</v>
      </c>
      <c r="L1279" s="128">
        <v>0.6</v>
      </c>
      <c r="O1279" s="128">
        <v>0</v>
      </c>
      <c r="P1279" s="170">
        <v>1</v>
      </c>
      <c r="Q1279" s="128">
        <v>9.4</v>
      </c>
      <c r="R1279" s="128"/>
      <c r="S1279" s="180"/>
      <c r="T1279" s="161">
        <f t="shared" ref="T1279:U1281" si="340">$I1279*K1279</f>
        <v>3704360.8</v>
      </c>
      <c r="U1279" s="161">
        <f t="shared" si="340"/>
        <v>209680.8</v>
      </c>
      <c r="V1279" s="161">
        <f t="shared" ref="V1279:V1281" si="341">$I1279*O1279</f>
        <v>0</v>
      </c>
      <c r="W1279" s="161">
        <f>V1279*0.4</f>
        <v>0</v>
      </c>
    </row>
    <row r="1280" spans="1:244" ht="12.75" customHeight="1">
      <c r="A1280" s="118">
        <v>1279</v>
      </c>
      <c r="B1280" s="259">
        <v>14</v>
      </c>
      <c r="C1280" s="181">
        <v>37073</v>
      </c>
      <c r="D1280" s="157" t="s">
        <v>50</v>
      </c>
      <c r="E1280" s="8">
        <v>2001</v>
      </c>
      <c r="F1280" s="158">
        <f>C1280-H1280</f>
        <v>91</v>
      </c>
      <c r="G1280" s="158">
        <f>IF(F1280&lt;365,1,2)</f>
        <v>1</v>
      </c>
      <c r="H1280" s="172">
        <v>36982</v>
      </c>
      <c r="I1280" s="160">
        <v>322041</v>
      </c>
      <c r="J1280" s="128">
        <v>3.95</v>
      </c>
      <c r="K1280" s="128">
        <v>2.0499999999999998</v>
      </c>
      <c r="L1280" s="128">
        <v>0.1</v>
      </c>
      <c r="M1280" s="174">
        <v>0</v>
      </c>
      <c r="O1280" s="128">
        <v>0</v>
      </c>
      <c r="P1280" s="170"/>
      <c r="Q1280" s="128"/>
      <c r="R1280" s="128"/>
      <c r="S1280" s="180"/>
      <c r="T1280" s="161">
        <f t="shared" si="340"/>
        <v>660184.04999999993</v>
      </c>
      <c r="U1280" s="161">
        <f t="shared" si="340"/>
        <v>32204.100000000002</v>
      </c>
      <c r="V1280" s="161">
        <f t="shared" si="341"/>
        <v>0</v>
      </c>
      <c r="W1280" s="161">
        <f>V1280*0.4</f>
        <v>0</v>
      </c>
    </row>
    <row r="1281" spans="1:23" ht="12.75" customHeight="1">
      <c r="A1281" s="118">
        <v>1280</v>
      </c>
      <c r="B1281" s="259">
        <v>14</v>
      </c>
      <c r="C1281" s="181">
        <v>37104</v>
      </c>
      <c r="D1281" s="157" t="s">
        <v>51</v>
      </c>
      <c r="E1281" s="8">
        <v>2001</v>
      </c>
      <c r="F1281" s="158">
        <f>C1281-H1281</f>
        <v>122</v>
      </c>
      <c r="G1281" s="158">
        <f>IF(F1281&lt;365,1,2)</f>
        <v>1</v>
      </c>
      <c r="H1281" s="172">
        <v>36982</v>
      </c>
      <c r="I1281" s="160">
        <v>319093</v>
      </c>
      <c r="J1281" s="128">
        <v>0.5</v>
      </c>
      <c r="K1281" s="128">
        <v>0.15</v>
      </c>
      <c r="L1281" s="128">
        <v>0</v>
      </c>
      <c r="O1281" s="128">
        <v>0</v>
      </c>
      <c r="P1281" s="170"/>
      <c r="Q1281" s="128">
        <v>10</v>
      </c>
      <c r="R1281" s="128"/>
      <c r="S1281" s="180"/>
      <c r="T1281" s="161">
        <f t="shared" si="340"/>
        <v>47863.95</v>
      </c>
      <c r="U1281" s="161">
        <f t="shared" si="340"/>
        <v>0</v>
      </c>
      <c r="V1281" s="161">
        <f t="shared" si="341"/>
        <v>0</v>
      </c>
      <c r="W1281" s="161">
        <f>V1281*0.4</f>
        <v>0</v>
      </c>
    </row>
    <row r="1282" spans="1:23" ht="12.75" customHeight="1">
      <c r="A1282" s="118">
        <v>1281</v>
      </c>
      <c r="B1282" s="128">
        <v>14</v>
      </c>
      <c r="C1282" s="181">
        <v>37135</v>
      </c>
      <c r="D1282" s="157" t="s">
        <v>52</v>
      </c>
      <c r="E1282" s="8">
        <v>2001</v>
      </c>
      <c r="F1282" s="158"/>
      <c r="G1282" s="172"/>
      <c r="H1282" s="128"/>
      <c r="I1282" s="160"/>
      <c r="J1282" s="173"/>
      <c r="K1282" s="173"/>
      <c r="L1282" s="173"/>
      <c r="O1282" s="173"/>
      <c r="P1282" s="170"/>
      <c r="Q1282" s="128"/>
      <c r="R1282" s="128"/>
      <c r="S1282" s="180" t="s">
        <v>317</v>
      </c>
      <c r="T1282" s="173"/>
      <c r="U1282" s="171"/>
      <c r="V1282" s="173"/>
      <c r="W1282" s="173"/>
    </row>
    <row r="1283" spans="1:23" ht="12.75" customHeight="1">
      <c r="A1283" s="118">
        <v>1282</v>
      </c>
      <c r="B1283" s="128">
        <v>14</v>
      </c>
      <c r="C1283" s="181">
        <v>37165</v>
      </c>
      <c r="D1283" s="157" t="s">
        <v>53</v>
      </c>
      <c r="E1283" s="8">
        <v>2001</v>
      </c>
      <c r="F1283" s="158"/>
      <c r="G1283" s="172"/>
      <c r="H1283" s="128"/>
      <c r="I1283" s="160"/>
      <c r="J1283" s="173"/>
      <c r="K1283" s="173"/>
      <c r="L1283" s="173"/>
      <c r="O1283" s="173"/>
      <c r="P1283" s="170"/>
      <c r="Q1283" s="128"/>
      <c r="R1283" s="128"/>
      <c r="S1283" s="180"/>
      <c r="T1283" s="173"/>
      <c r="U1283" s="171"/>
      <c r="V1283" s="173"/>
      <c r="W1283" s="173"/>
    </row>
    <row r="1284" spans="1:23" ht="12.75" customHeight="1">
      <c r="A1284" s="118">
        <v>1283</v>
      </c>
      <c r="B1284" s="128">
        <v>14</v>
      </c>
      <c r="C1284" s="181">
        <v>37196</v>
      </c>
      <c r="D1284" s="157" t="s">
        <v>54</v>
      </c>
      <c r="E1284" s="8">
        <v>2001</v>
      </c>
      <c r="F1284" s="158"/>
      <c r="G1284" s="172"/>
      <c r="H1284" s="128"/>
      <c r="I1284" s="160"/>
      <c r="J1284" s="173"/>
      <c r="K1284" s="173"/>
      <c r="L1284" s="173"/>
      <c r="O1284" s="173"/>
      <c r="P1284" s="170"/>
      <c r="Q1284" s="128"/>
      <c r="R1284" s="128"/>
      <c r="S1284" s="180"/>
      <c r="T1284" s="173"/>
      <c r="U1284" s="171"/>
      <c r="V1284" s="173"/>
      <c r="W1284" s="173"/>
    </row>
    <row r="1285" spans="1:23" ht="12.75" customHeight="1">
      <c r="A1285" s="118">
        <v>1284</v>
      </c>
      <c r="B1285" s="128">
        <v>14</v>
      </c>
      <c r="C1285" s="181">
        <v>37226</v>
      </c>
      <c r="D1285" s="157" t="s">
        <v>55</v>
      </c>
      <c r="E1285" s="8">
        <v>2001</v>
      </c>
      <c r="F1285" s="158"/>
      <c r="G1285" s="172"/>
      <c r="H1285" s="128"/>
      <c r="I1285" s="160"/>
      <c r="J1285" s="173"/>
      <c r="K1285" s="173"/>
      <c r="L1285" s="173"/>
      <c r="O1285" s="173"/>
      <c r="P1285" s="170"/>
      <c r="Q1285" s="128"/>
      <c r="R1285" s="128"/>
      <c r="S1285" s="180"/>
      <c r="T1285" s="173"/>
      <c r="U1285" s="171"/>
      <c r="V1285" s="173"/>
      <c r="W1285" s="173"/>
    </row>
    <row r="1286" spans="1:23" ht="12.75" customHeight="1">
      <c r="A1286" s="118">
        <v>1285</v>
      </c>
      <c r="B1286" s="128">
        <v>14</v>
      </c>
      <c r="C1286" s="181">
        <v>37257</v>
      </c>
      <c r="D1286" s="157" t="s">
        <v>44</v>
      </c>
      <c r="E1286" s="8">
        <v>2002</v>
      </c>
      <c r="F1286" s="158"/>
      <c r="G1286" s="172"/>
      <c r="H1286" s="128"/>
      <c r="I1286" s="160"/>
      <c r="J1286" s="128"/>
      <c r="K1286" s="128"/>
      <c r="L1286" s="128"/>
      <c r="O1286" s="128"/>
      <c r="P1286" s="170"/>
      <c r="Q1286" s="128"/>
      <c r="R1286" s="128"/>
      <c r="S1286" s="180"/>
      <c r="T1286" s="128"/>
      <c r="U1286" s="171"/>
      <c r="V1286" s="128"/>
      <c r="W1286" s="128"/>
    </row>
    <row r="1287" spans="1:23" ht="12.75" customHeight="1">
      <c r="A1287" s="118">
        <v>1286</v>
      </c>
      <c r="B1287" s="128">
        <v>14</v>
      </c>
      <c r="C1287" s="181">
        <v>37288</v>
      </c>
      <c r="D1287" s="157" t="s">
        <v>45</v>
      </c>
      <c r="E1287" s="8">
        <v>2002</v>
      </c>
      <c r="F1287" s="158"/>
      <c r="G1287" s="172"/>
      <c r="H1287" s="128"/>
      <c r="I1287" s="160"/>
      <c r="J1287" s="173"/>
      <c r="K1287" s="173"/>
      <c r="L1287" s="173"/>
      <c r="O1287" s="173"/>
      <c r="P1287" s="170"/>
      <c r="Q1287" s="128"/>
      <c r="R1287" s="128"/>
      <c r="S1287" s="180"/>
      <c r="T1287" s="173"/>
      <c r="U1287" s="171"/>
      <c r="V1287" s="173"/>
      <c r="W1287" s="173"/>
    </row>
    <row r="1288" spans="1:23" ht="12.75" customHeight="1">
      <c r="A1288" s="118">
        <v>1287</v>
      </c>
      <c r="B1288" s="128">
        <v>14</v>
      </c>
      <c r="C1288" s="181">
        <v>37316</v>
      </c>
      <c r="D1288" s="157" t="s">
        <v>46</v>
      </c>
      <c r="E1288" s="8">
        <v>2002</v>
      </c>
      <c r="F1288" s="158"/>
      <c r="G1288" s="172"/>
      <c r="H1288" s="128"/>
      <c r="I1288" s="160"/>
      <c r="J1288" s="173"/>
      <c r="K1288" s="173"/>
      <c r="L1288" s="173"/>
      <c r="O1288" s="173"/>
      <c r="P1288" s="170"/>
      <c r="Q1288" s="128"/>
      <c r="R1288" s="128"/>
      <c r="S1288" s="180"/>
      <c r="T1288" s="173"/>
      <c r="U1288" s="171"/>
      <c r="V1288" s="173"/>
      <c r="W1288" s="173"/>
    </row>
    <row r="1289" spans="1:23" ht="12.75" customHeight="1">
      <c r="A1289" s="118">
        <v>1288</v>
      </c>
      <c r="B1289" s="128">
        <v>14</v>
      </c>
      <c r="C1289" s="181">
        <v>37347</v>
      </c>
      <c r="D1289" s="157" t="s">
        <v>47</v>
      </c>
      <c r="E1289" s="8">
        <v>2002</v>
      </c>
      <c r="F1289" s="158"/>
      <c r="G1289" s="172"/>
      <c r="H1289" s="128"/>
      <c r="I1289" s="160"/>
      <c r="J1289" s="128"/>
      <c r="K1289" s="128"/>
      <c r="L1289" s="128"/>
      <c r="O1289" s="128"/>
      <c r="P1289" s="170"/>
      <c r="Q1289" s="128"/>
      <c r="R1289" s="128"/>
      <c r="S1289" s="180"/>
      <c r="T1289" s="128"/>
      <c r="U1289" s="171"/>
      <c r="V1289" s="128"/>
      <c r="W1289" s="128"/>
    </row>
    <row r="1290" spans="1:23" ht="12.75" customHeight="1">
      <c r="A1290" s="118">
        <v>1289</v>
      </c>
      <c r="B1290" s="128">
        <v>14</v>
      </c>
      <c r="C1290" s="181">
        <v>37377</v>
      </c>
      <c r="D1290" s="157" t="s">
        <v>48</v>
      </c>
      <c r="E1290" s="8">
        <v>2002</v>
      </c>
      <c r="F1290" s="158"/>
      <c r="G1290" s="172"/>
      <c r="H1290" s="128"/>
      <c r="I1290" s="160"/>
      <c r="J1290" s="128"/>
      <c r="K1290" s="128"/>
      <c r="L1290" s="128"/>
      <c r="O1290" s="128"/>
      <c r="P1290" s="170"/>
      <c r="Q1290" s="128"/>
      <c r="R1290" s="128"/>
      <c r="S1290" s="180"/>
      <c r="T1290" s="128"/>
      <c r="U1290" s="171"/>
      <c r="V1290" s="128"/>
      <c r="W1290" s="128"/>
    </row>
    <row r="1291" spans="1:23" ht="12.75" customHeight="1">
      <c r="A1291" s="118">
        <v>1290</v>
      </c>
      <c r="B1291" s="128">
        <v>14</v>
      </c>
      <c r="C1291" s="181">
        <v>37408</v>
      </c>
      <c r="D1291" s="157" t="s">
        <v>49</v>
      </c>
      <c r="E1291" s="8">
        <v>2002</v>
      </c>
      <c r="F1291" s="158"/>
      <c r="G1291" s="172"/>
      <c r="H1291" s="128"/>
      <c r="I1291" s="160"/>
      <c r="J1291" s="173"/>
      <c r="K1291" s="173"/>
      <c r="L1291" s="173"/>
      <c r="O1291" s="173"/>
      <c r="P1291" s="170"/>
      <c r="Q1291" s="128"/>
      <c r="R1291" s="128"/>
      <c r="S1291" s="180"/>
      <c r="T1291" s="173"/>
      <c r="U1291" s="171"/>
      <c r="V1291" s="173"/>
      <c r="W1291" s="173"/>
    </row>
    <row r="1292" spans="1:23" ht="12.75" customHeight="1">
      <c r="A1292" s="118">
        <v>1291</v>
      </c>
      <c r="B1292" s="128">
        <v>14</v>
      </c>
      <c r="C1292" s="181">
        <v>37438</v>
      </c>
      <c r="D1292" s="157" t="s">
        <v>50</v>
      </c>
      <c r="E1292" s="8">
        <v>2002</v>
      </c>
      <c r="F1292" s="158"/>
      <c r="G1292" s="172"/>
      <c r="H1292" s="128"/>
      <c r="I1292" s="160"/>
      <c r="J1292" s="128"/>
      <c r="K1292" s="128"/>
      <c r="L1292" s="128"/>
      <c r="O1292" s="128"/>
      <c r="P1292" s="170"/>
      <c r="Q1292" s="128"/>
      <c r="R1292" s="128"/>
      <c r="S1292" s="180"/>
      <c r="T1292" s="128"/>
      <c r="U1292" s="171"/>
      <c r="V1292" s="128"/>
      <c r="W1292" s="128"/>
    </row>
    <row r="1293" spans="1:23" ht="12.75" customHeight="1">
      <c r="A1293" s="118">
        <v>1292</v>
      </c>
      <c r="B1293" s="128">
        <v>14</v>
      </c>
      <c r="C1293" s="181">
        <v>37469</v>
      </c>
      <c r="D1293" s="157" t="s">
        <v>51</v>
      </c>
      <c r="E1293" s="8">
        <v>2002</v>
      </c>
      <c r="F1293" s="158"/>
      <c r="G1293" s="172"/>
      <c r="H1293" s="128"/>
      <c r="I1293" s="160"/>
      <c r="J1293" s="128"/>
      <c r="K1293" s="169"/>
      <c r="L1293" s="128"/>
      <c r="O1293" s="128"/>
      <c r="P1293" s="170"/>
      <c r="Q1293" s="128"/>
      <c r="R1293" s="128"/>
      <c r="S1293" s="180"/>
      <c r="T1293" s="169"/>
      <c r="U1293" s="171"/>
      <c r="V1293" s="128"/>
      <c r="W1293" s="128"/>
    </row>
    <row r="1294" spans="1:23" ht="12.75" customHeight="1">
      <c r="A1294" s="118">
        <v>1293</v>
      </c>
      <c r="B1294" s="128">
        <v>14</v>
      </c>
      <c r="C1294" s="181">
        <v>37500</v>
      </c>
      <c r="D1294" s="157" t="s">
        <v>52</v>
      </c>
      <c r="E1294" s="8">
        <v>2002</v>
      </c>
      <c r="F1294" s="158"/>
      <c r="G1294" s="172"/>
      <c r="H1294" s="128"/>
      <c r="I1294" s="160"/>
      <c r="J1294" s="128"/>
      <c r="K1294" s="169"/>
      <c r="L1294" s="128"/>
      <c r="O1294" s="128"/>
      <c r="P1294" s="170"/>
      <c r="Q1294" s="128"/>
      <c r="R1294" s="128"/>
      <c r="S1294" s="180"/>
      <c r="T1294" s="169"/>
      <c r="U1294" s="171"/>
      <c r="V1294" s="128"/>
      <c r="W1294" s="128"/>
    </row>
    <row r="1295" spans="1:23" ht="12.75" customHeight="1">
      <c r="A1295" s="118">
        <v>1294</v>
      </c>
      <c r="B1295" s="128">
        <v>14</v>
      </c>
      <c r="C1295" s="181">
        <v>37530</v>
      </c>
      <c r="D1295" s="157" t="s">
        <v>53</v>
      </c>
      <c r="E1295" s="8">
        <v>2002</v>
      </c>
      <c r="F1295" s="158"/>
      <c r="G1295" s="172"/>
      <c r="H1295" s="128"/>
      <c r="I1295" s="160"/>
      <c r="J1295" s="128"/>
      <c r="K1295" s="169"/>
      <c r="L1295" s="128"/>
      <c r="O1295" s="128"/>
      <c r="P1295" s="170"/>
      <c r="Q1295" s="128"/>
      <c r="R1295" s="128"/>
      <c r="S1295" s="180"/>
      <c r="T1295" s="169"/>
      <c r="U1295" s="171"/>
      <c r="V1295" s="128"/>
      <c r="W1295" s="128"/>
    </row>
    <row r="1296" spans="1:23" ht="12.75" customHeight="1">
      <c r="A1296" s="118">
        <v>1295</v>
      </c>
      <c r="B1296" s="128">
        <v>14</v>
      </c>
      <c r="C1296" s="181">
        <v>37561</v>
      </c>
      <c r="D1296" s="157" t="s">
        <v>54</v>
      </c>
      <c r="E1296" s="8">
        <v>2002</v>
      </c>
      <c r="F1296" s="158"/>
      <c r="G1296" s="172"/>
      <c r="H1296" s="128"/>
      <c r="I1296" s="160"/>
      <c r="J1296" s="128"/>
      <c r="K1296" s="169"/>
      <c r="L1296" s="128"/>
      <c r="O1296" s="128"/>
      <c r="P1296" s="170"/>
      <c r="Q1296" s="128"/>
      <c r="R1296" s="128"/>
      <c r="S1296" s="180"/>
      <c r="T1296" s="169"/>
      <c r="U1296" s="171"/>
      <c r="V1296" s="128"/>
      <c r="W1296" s="128"/>
    </row>
    <row r="1297" spans="1:23" ht="12.75" customHeight="1">
      <c r="A1297" s="118">
        <v>1296</v>
      </c>
      <c r="B1297" s="128">
        <v>14</v>
      </c>
      <c r="C1297" s="156">
        <v>37591</v>
      </c>
      <c r="D1297" s="157" t="s">
        <v>55</v>
      </c>
      <c r="E1297" s="8">
        <v>2002</v>
      </c>
      <c r="F1297" s="158"/>
      <c r="G1297" s="162"/>
      <c r="J1297" s="11"/>
      <c r="K1297" s="166"/>
      <c r="L1297" s="11"/>
      <c r="O1297" s="11"/>
      <c r="T1297" s="166"/>
      <c r="V1297" s="11"/>
      <c r="W1297" s="11"/>
    </row>
    <row r="1298" spans="1:23" ht="12.75" customHeight="1">
      <c r="A1298" s="118">
        <v>1297</v>
      </c>
      <c r="B1298" s="128">
        <v>15</v>
      </c>
      <c r="C1298" s="156">
        <v>36526</v>
      </c>
      <c r="D1298" s="157" t="s">
        <v>44</v>
      </c>
      <c r="E1298" s="8">
        <v>2000</v>
      </c>
      <c r="F1298" s="158"/>
      <c r="G1298" s="162"/>
      <c r="J1298" s="11"/>
      <c r="K1298" s="11"/>
      <c r="L1298" s="11"/>
      <c r="O1298" s="11"/>
      <c r="T1298" s="11"/>
      <c r="V1298" s="11"/>
      <c r="W1298" s="11"/>
    </row>
    <row r="1299" spans="1:23" ht="12.75" customHeight="1">
      <c r="A1299" s="118">
        <v>1298</v>
      </c>
      <c r="B1299" s="128">
        <v>15</v>
      </c>
      <c r="C1299" s="156">
        <v>36557</v>
      </c>
      <c r="D1299" s="157" t="s">
        <v>45</v>
      </c>
      <c r="E1299" s="8">
        <v>2000</v>
      </c>
      <c r="F1299" s="158"/>
      <c r="G1299" s="162"/>
      <c r="J1299" s="11"/>
      <c r="K1299" s="11"/>
      <c r="L1299" s="11"/>
      <c r="O1299" s="11"/>
      <c r="T1299" s="11"/>
      <c r="V1299" s="11"/>
      <c r="W1299" s="11"/>
    </row>
    <row r="1300" spans="1:23" ht="12.75" customHeight="1">
      <c r="A1300" s="118">
        <v>1299</v>
      </c>
      <c r="B1300" s="128">
        <v>15</v>
      </c>
      <c r="C1300" s="156">
        <v>36586</v>
      </c>
      <c r="D1300" s="157" t="s">
        <v>46</v>
      </c>
      <c r="E1300" s="8">
        <v>2000</v>
      </c>
      <c r="F1300" s="158"/>
      <c r="G1300" s="162"/>
      <c r="J1300" s="11"/>
      <c r="K1300" s="11"/>
      <c r="L1300" s="11"/>
      <c r="O1300" s="11"/>
      <c r="T1300" s="11"/>
      <c r="V1300" s="11"/>
      <c r="W1300" s="11"/>
    </row>
    <row r="1301" spans="1:23" ht="12.75" customHeight="1">
      <c r="A1301" s="118">
        <v>1300</v>
      </c>
      <c r="B1301" s="128">
        <v>15</v>
      </c>
      <c r="C1301" s="156">
        <v>36617</v>
      </c>
      <c r="D1301" s="157" t="s">
        <v>47</v>
      </c>
      <c r="E1301" s="8">
        <v>2000</v>
      </c>
      <c r="F1301" s="158">
        <f t="shared" ref="F1301:F1306" si="342">C1301-H1301</f>
        <v>0</v>
      </c>
      <c r="G1301" s="158">
        <f t="shared" ref="G1301:G1306" si="343">IF(F1301&lt;365,1,2)</f>
        <v>1</v>
      </c>
      <c r="H1301" s="162">
        <v>36617</v>
      </c>
      <c r="I1301" s="163">
        <v>258823</v>
      </c>
      <c r="S1301" s="155" t="s">
        <v>11</v>
      </c>
    </row>
    <row r="1302" spans="1:23" ht="12.75" customHeight="1">
      <c r="A1302" s="118">
        <v>1301</v>
      </c>
      <c r="B1302" s="128">
        <v>15</v>
      </c>
      <c r="C1302" s="156">
        <v>36647</v>
      </c>
      <c r="D1302" s="157" t="s">
        <v>48</v>
      </c>
      <c r="E1302" s="8">
        <v>2000</v>
      </c>
      <c r="F1302" s="158">
        <f t="shared" si="342"/>
        <v>30</v>
      </c>
      <c r="G1302" s="158">
        <f t="shared" si="343"/>
        <v>1</v>
      </c>
      <c r="H1302" s="162">
        <v>36617</v>
      </c>
      <c r="I1302" s="163">
        <v>373529</v>
      </c>
    </row>
    <row r="1303" spans="1:23" ht="12.75" customHeight="1">
      <c r="A1303" s="118">
        <v>1302</v>
      </c>
      <c r="B1303" s="128">
        <v>15</v>
      </c>
      <c r="C1303" s="156">
        <v>36678</v>
      </c>
      <c r="D1303" s="157" t="s">
        <v>49</v>
      </c>
      <c r="E1303" s="8">
        <v>2000</v>
      </c>
      <c r="F1303" s="158">
        <f t="shared" si="342"/>
        <v>61</v>
      </c>
      <c r="G1303" s="158">
        <f t="shared" si="343"/>
        <v>1</v>
      </c>
      <c r="H1303" s="162">
        <v>36617</v>
      </c>
      <c r="I1303" s="163">
        <v>365120</v>
      </c>
    </row>
    <row r="1304" spans="1:23" ht="12.75" customHeight="1">
      <c r="A1304" s="118">
        <v>1303</v>
      </c>
      <c r="B1304" s="128">
        <v>15</v>
      </c>
      <c r="C1304" s="156">
        <v>36708</v>
      </c>
      <c r="D1304" s="157" t="s">
        <v>50</v>
      </c>
      <c r="E1304" s="8">
        <v>2000</v>
      </c>
      <c r="F1304" s="158">
        <f t="shared" si="342"/>
        <v>91</v>
      </c>
      <c r="G1304" s="158">
        <f t="shared" si="343"/>
        <v>1</v>
      </c>
      <c r="H1304" s="162">
        <v>36617</v>
      </c>
      <c r="I1304" s="163">
        <v>338671</v>
      </c>
    </row>
    <row r="1305" spans="1:23" ht="12.75" customHeight="1">
      <c r="A1305" s="118">
        <v>1304</v>
      </c>
      <c r="B1305" s="128">
        <v>15</v>
      </c>
      <c r="C1305" s="156">
        <v>36739</v>
      </c>
      <c r="D1305" s="157" t="s">
        <v>51</v>
      </c>
      <c r="E1305" s="8">
        <v>2000</v>
      </c>
      <c r="F1305" s="158">
        <f t="shared" si="342"/>
        <v>122</v>
      </c>
      <c r="G1305" s="158">
        <f t="shared" si="343"/>
        <v>1</v>
      </c>
      <c r="H1305" s="162">
        <v>36617</v>
      </c>
      <c r="I1305" s="163">
        <v>318500</v>
      </c>
    </row>
    <row r="1306" spans="1:23" ht="12.75" customHeight="1">
      <c r="A1306" s="118">
        <v>1305</v>
      </c>
      <c r="B1306" s="128">
        <v>15</v>
      </c>
      <c r="C1306" s="156">
        <v>36770</v>
      </c>
      <c r="D1306" s="157" t="s">
        <v>52</v>
      </c>
      <c r="E1306" s="8">
        <v>2000</v>
      </c>
      <c r="F1306" s="158">
        <f t="shared" si="342"/>
        <v>153</v>
      </c>
      <c r="G1306" s="158">
        <f t="shared" si="343"/>
        <v>1</v>
      </c>
      <c r="H1306" s="162">
        <v>36617</v>
      </c>
      <c r="I1306" s="163">
        <v>313602</v>
      </c>
      <c r="J1306" s="11"/>
      <c r="K1306" s="11"/>
      <c r="L1306" s="11"/>
      <c r="O1306" s="11"/>
      <c r="T1306" s="11"/>
      <c r="V1306" s="11"/>
      <c r="W1306" s="11"/>
    </row>
    <row r="1307" spans="1:23" ht="12.75" customHeight="1">
      <c r="A1307" s="118">
        <v>1306</v>
      </c>
      <c r="B1307" s="128">
        <v>15</v>
      </c>
      <c r="C1307" s="156">
        <v>36800</v>
      </c>
      <c r="D1307" s="157" t="s">
        <v>53</v>
      </c>
      <c r="E1307" s="8">
        <v>2000</v>
      </c>
      <c r="F1307" s="158"/>
      <c r="G1307" s="162"/>
      <c r="Q1307" s="15"/>
      <c r="S1307" s="155" t="s">
        <v>323</v>
      </c>
    </row>
    <row r="1308" spans="1:23" ht="12.75" customHeight="1">
      <c r="A1308" s="118">
        <v>1307</v>
      </c>
      <c r="B1308" s="128">
        <v>15</v>
      </c>
      <c r="C1308" s="156">
        <v>36831</v>
      </c>
      <c r="D1308" s="157" t="s">
        <v>54</v>
      </c>
      <c r="E1308" s="8">
        <v>2000</v>
      </c>
      <c r="F1308" s="158"/>
      <c r="G1308" s="162"/>
      <c r="Q1308" s="15"/>
    </row>
    <row r="1309" spans="1:23" ht="12.75" customHeight="1">
      <c r="A1309" s="118">
        <v>1308</v>
      </c>
      <c r="B1309" s="128">
        <v>15</v>
      </c>
      <c r="C1309" s="156">
        <v>36861</v>
      </c>
      <c r="D1309" s="157" t="s">
        <v>55</v>
      </c>
      <c r="E1309" s="8">
        <v>2000</v>
      </c>
      <c r="F1309" s="158"/>
      <c r="G1309" s="162"/>
      <c r="Q1309" s="15"/>
    </row>
    <row r="1310" spans="1:23" ht="12.75" customHeight="1">
      <c r="A1310" s="118">
        <v>1309</v>
      </c>
      <c r="B1310" s="128">
        <v>15</v>
      </c>
      <c r="C1310" s="156">
        <v>36892</v>
      </c>
      <c r="D1310" s="157" t="s">
        <v>44</v>
      </c>
      <c r="E1310" s="8">
        <v>2001</v>
      </c>
      <c r="F1310" s="158"/>
      <c r="G1310" s="162"/>
      <c r="Q1310" s="15"/>
    </row>
    <row r="1311" spans="1:23" ht="12.75" customHeight="1">
      <c r="A1311" s="118">
        <v>1310</v>
      </c>
      <c r="B1311" s="128">
        <v>15</v>
      </c>
      <c r="C1311" s="156">
        <v>36923</v>
      </c>
      <c r="D1311" s="157" t="s">
        <v>45</v>
      </c>
      <c r="E1311" s="8">
        <v>2001</v>
      </c>
      <c r="F1311" s="158"/>
      <c r="G1311" s="162"/>
      <c r="Q1311" s="15"/>
    </row>
    <row r="1312" spans="1:23" ht="12.75" customHeight="1">
      <c r="A1312" s="118">
        <v>1311</v>
      </c>
      <c r="B1312" s="128">
        <v>15</v>
      </c>
      <c r="C1312" s="156">
        <v>36951</v>
      </c>
      <c r="D1312" s="157" t="s">
        <v>46</v>
      </c>
      <c r="E1312" s="8">
        <v>2001</v>
      </c>
      <c r="F1312" s="158">
        <f t="shared" ref="F1312:F1319" si="344">C1312-H1312</f>
        <v>0</v>
      </c>
      <c r="G1312" s="158">
        <f t="shared" ref="G1312:G1319" si="345">IF(F1312&lt;365,1,2)</f>
        <v>1</v>
      </c>
      <c r="H1312" s="162">
        <v>36951</v>
      </c>
      <c r="I1312" s="163">
        <v>62780</v>
      </c>
      <c r="L1312" s="173"/>
      <c r="Q1312" s="15"/>
      <c r="S1312" s="155" t="s">
        <v>11</v>
      </c>
    </row>
    <row r="1313" spans="1:23" ht="12.75" customHeight="1">
      <c r="A1313" s="118">
        <v>1312</v>
      </c>
      <c r="B1313" s="128">
        <v>15</v>
      </c>
      <c r="C1313" s="156">
        <v>36982</v>
      </c>
      <c r="D1313" s="157" t="s">
        <v>47</v>
      </c>
      <c r="E1313" s="8">
        <v>2001</v>
      </c>
      <c r="F1313" s="158">
        <f t="shared" si="344"/>
        <v>31</v>
      </c>
      <c r="G1313" s="158">
        <f t="shared" si="345"/>
        <v>1</v>
      </c>
      <c r="H1313" s="162">
        <v>36951</v>
      </c>
      <c r="I1313" s="163">
        <v>421600</v>
      </c>
      <c r="L1313" s="173"/>
    </row>
    <row r="1314" spans="1:23" ht="12.75" customHeight="1">
      <c r="A1314" s="118">
        <v>1313</v>
      </c>
      <c r="B1314" s="128">
        <v>15</v>
      </c>
      <c r="C1314" s="156">
        <v>37012</v>
      </c>
      <c r="D1314" s="157" t="s">
        <v>48</v>
      </c>
      <c r="E1314" s="8">
        <v>2001</v>
      </c>
      <c r="F1314" s="158">
        <f t="shared" si="344"/>
        <v>61</v>
      </c>
      <c r="G1314" s="158">
        <f t="shared" si="345"/>
        <v>1</v>
      </c>
      <c r="H1314" s="162">
        <v>36951</v>
      </c>
      <c r="I1314" s="163">
        <v>415822</v>
      </c>
      <c r="L1314" s="173"/>
    </row>
    <row r="1315" spans="1:23" ht="12.75" customHeight="1">
      <c r="A1315" s="118">
        <v>1314</v>
      </c>
      <c r="B1315" s="128">
        <v>15</v>
      </c>
      <c r="C1315" s="156">
        <v>37043</v>
      </c>
      <c r="D1315" s="157" t="s">
        <v>49</v>
      </c>
      <c r="E1315" s="8">
        <v>2001</v>
      </c>
      <c r="F1315" s="158">
        <f t="shared" si="344"/>
        <v>92</v>
      </c>
      <c r="G1315" s="158">
        <f t="shared" si="345"/>
        <v>1</v>
      </c>
      <c r="H1315" s="162">
        <v>36951</v>
      </c>
      <c r="I1315" s="163">
        <v>408909</v>
      </c>
      <c r="J1315" s="173">
        <v>5.9749999999999996</v>
      </c>
      <c r="K1315" s="173">
        <v>8.2750000000000004</v>
      </c>
      <c r="L1315" s="173">
        <v>0.35</v>
      </c>
      <c r="O1315" s="173">
        <v>0</v>
      </c>
      <c r="P1315" s="8">
        <v>1</v>
      </c>
      <c r="Q1315" s="15">
        <v>9.4</v>
      </c>
      <c r="T1315" s="161">
        <f t="shared" ref="T1315:U1318" si="346">$I1315*K1315</f>
        <v>3383721.9750000001</v>
      </c>
      <c r="U1315" s="161">
        <f t="shared" si="346"/>
        <v>143118.15</v>
      </c>
      <c r="V1315" s="161">
        <f t="shared" ref="V1315:V1318" si="347">$I1315*O1315</f>
        <v>0</v>
      </c>
      <c r="W1315" s="161">
        <f>V1315*0.4</f>
        <v>0</v>
      </c>
    </row>
    <row r="1316" spans="1:23" ht="12.75" customHeight="1">
      <c r="A1316" s="118">
        <v>1315</v>
      </c>
      <c r="B1316" s="259">
        <v>15</v>
      </c>
      <c r="C1316" s="156">
        <v>37073</v>
      </c>
      <c r="D1316" s="157" t="s">
        <v>50</v>
      </c>
      <c r="E1316" s="8">
        <v>2001</v>
      </c>
      <c r="F1316" s="158">
        <f t="shared" si="344"/>
        <v>122</v>
      </c>
      <c r="G1316" s="158">
        <f t="shared" si="345"/>
        <v>1</v>
      </c>
      <c r="H1316" s="162">
        <v>36951</v>
      </c>
      <c r="I1316" s="163">
        <v>392009</v>
      </c>
      <c r="J1316" s="173">
        <v>1.35</v>
      </c>
      <c r="K1316" s="173">
        <v>1.5</v>
      </c>
      <c r="L1316" s="173">
        <v>1.6666666666666666E-2</v>
      </c>
      <c r="M1316" s="174">
        <v>0</v>
      </c>
      <c r="O1316" s="173">
        <v>0</v>
      </c>
      <c r="Q1316" s="15">
        <v>9.9</v>
      </c>
      <c r="T1316" s="161">
        <f t="shared" si="346"/>
        <v>588013.5</v>
      </c>
      <c r="U1316" s="161">
        <f t="shared" si="346"/>
        <v>6533.4833333333336</v>
      </c>
      <c r="V1316" s="161">
        <f t="shared" si="347"/>
        <v>0</v>
      </c>
      <c r="W1316" s="161">
        <f>V1316*0.4</f>
        <v>0</v>
      </c>
    </row>
    <row r="1317" spans="1:23" ht="12.75" customHeight="1">
      <c r="A1317" s="118">
        <v>1316</v>
      </c>
      <c r="B1317" s="259">
        <v>15</v>
      </c>
      <c r="C1317" s="156">
        <v>37104</v>
      </c>
      <c r="D1317" s="157" t="s">
        <v>51</v>
      </c>
      <c r="E1317" s="8">
        <v>2001</v>
      </c>
      <c r="F1317" s="158">
        <f t="shared" si="344"/>
        <v>153</v>
      </c>
      <c r="G1317" s="158">
        <f t="shared" si="345"/>
        <v>1</v>
      </c>
      <c r="H1317" s="162">
        <v>36951</v>
      </c>
      <c r="I1317" s="163">
        <v>389141</v>
      </c>
      <c r="J1317" s="173">
        <v>1.3333333333333333</v>
      </c>
      <c r="K1317" s="173">
        <v>3.3333333333333333E-2</v>
      </c>
      <c r="L1317" s="173">
        <v>0</v>
      </c>
      <c r="O1317" s="173">
        <v>0</v>
      </c>
      <c r="Q1317" s="15">
        <v>10.4</v>
      </c>
      <c r="T1317" s="161">
        <f t="shared" si="346"/>
        <v>12971.366666666667</v>
      </c>
      <c r="U1317" s="161">
        <f t="shared" si="346"/>
        <v>0</v>
      </c>
      <c r="V1317" s="161">
        <f t="shared" si="347"/>
        <v>0</v>
      </c>
      <c r="W1317" s="161">
        <f>V1317*0.4</f>
        <v>0</v>
      </c>
    </row>
    <row r="1318" spans="1:23" ht="12.75" customHeight="1">
      <c r="A1318" s="118">
        <v>1317</v>
      </c>
      <c r="B1318" s="259">
        <v>15</v>
      </c>
      <c r="C1318" s="156">
        <v>37135</v>
      </c>
      <c r="D1318" s="157" t="s">
        <v>52</v>
      </c>
      <c r="E1318" s="8">
        <v>2001</v>
      </c>
      <c r="F1318" s="158">
        <f t="shared" si="344"/>
        <v>184</v>
      </c>
      <c r="G1318" s="158">
        <f t="shared" si="345"/>
        <v>1</v>
      </c>
      <c r="H1318" s="162">
        <v>36951</v>
      </c>
      <c r="I1318" s="163">
        <v>372749</v>
      </c>
      <c r="J1318" s="173"/>
      <c r="K1318" s="165">
        <f>(K1317+K1319)/2</f>
        <v>2.3616666666666668</v>
      </c>
      <c r="L1318" s="165">
        <f>(L1317+L1319)/2</f>
        <v>0.4</v>
      </c>
      <c r="N1318" s="528">
        <v>1</v>
      </c>
      <c r="O1318" s="165">
        <f>(O1317+O1319)/2</f>
        <v>0</v>
      </c>
      <c r="Q1318" s="15"/>
      <c r="T1318" s="161">
        <f t="shared" si="346"/>
        <v>880308.88833333342</v>
      </c>
      <c r="U1318" s="161">
        <f t="shared" si="346"/>
        <v>149099.6</v>
      </c>
      <c r="V1318" s="161">
        <f t="shared" si="347"/>
        <v>0</v>
      </c>
      <c r="W1318" s="161">
        <f>V1318*0.4</f>
        <v>0</v>
      </c>
    </row>
    <row r="1319" spans="1:23" ht="12.75" customHeight="1">
      <c r="A1319" s="118">
        <v>1318</v>
      </c>
      <c r="B1319" s="128">
        <v>15</v>
      </c>
      <c r="C1319" s="156">
        <v>37165</v>
      </c>
      <c r="D1319" s="157" t="s">
        <v>53</v>
      </c>
      <c r="E1319" s="8">
        <v>2001</v>
      </c>
      <c r="F1319" s="158">
        <f t="shared" si="344"/>
        <v>214</v>
      </c>
      <c r="G1319" s="158">
        <f t="shared" si="345"/>
        <v>1</v>
      </c>
      <c r="H1319" s="162">
        <v>36951</v>
      </c>
      <c r="I1319" s="160"/>
      <c r="J1319" s="15">
        <v>8</v>
      </c>
      <c r="K1319" s="15">
        <v>4.6900000000000004</v>
      </c>
      <c r="L1319" s="15">
        <v>0.8</v>
      </c>
      <c r="O1319" s="15">
        <v>0</v>
      </c>
      <c r="Q1319" s="15"/>
      <c r="S1319" s="155" t="s">
        <v>371</v>
      </c>
      <c r="T1319" s="161"/>
      <c r="V1319" s="161"/>
      <c r="W1319" s="161"/>
    </row>
    <row r="1320" spans="1:23" ht="12.75" customHeight="1">
      <c r="A1320" s="118">
        <v>1319</v>
      </c>
      <c r="B1320" s="128">
        <v>15</v>
      </c>
      <c r="C1320" s="156">
        <v>37196</v>
      </c>
      <c r="D1320" s="157" t="s">
        <v>54</v>
      </c>
      <c r="E1320" s="8">
        <v>2001</v>
      </c>
      <c r="F1320" s="158"/>
      <c r="G1320" s="162"/>
      <c r="H1320" s="162"/>
      <c r="Q1320" s="15"/>
    </row>
    <row r="1321" spans="1:23" ht="12.75" customHeight="1">
      <c r="A1321" s="118">
        <v>1320</v>
      </c>
      <c r="B1321" s="128">
        <v>15</v>
      </c>
      <c r="C1321" s="156">
        <v>37226</v>
      </c>
      <c r="D1321" s="157" t="s">
        <v>55</v>
      </c>
      <c r="E1321" s="8">
        <v>2001</v>
      </c>
      <c r="F1321" s="158"/>
      <c r="G1321" s="162"/>
      <c r="J1321" s="11"/>
      <c r="K1321" s="11"/>
      <c r="L1321" s="11"/>
      <c r="O1321" s="11"/>
      <c r="T1321" s="11"/>
      <c r="V1321" s="11"/>
      <c r="W1321" s="11"/>
    </row>
    <row r="1322" spans="1:23" ht="12.75" customHeight="1">
      <c r="A1322" s="118">
        <v>1321</v>
      </c>
      <c r="B1322" s="128">
        <v>15</v>
      </c>
      <c r="C1322" s="156">
        <v>37257</v>
      </c>
      <c r="D1322" s="157" t="s">
        <v>44</v>
      </c>
      <c r="E1322" s="8">
        <v>2002</v>
      </c>
      <c r="F1322" s="158"/>
      <c r="G1322" s="162"/>
      <c r="J1322" s="11"/>
      <c r="K1322" s="11"/>
      <c r="L1322" s="11"/>
      <c r="O1322" s="11"/>
      <c r="T1322" s="11"/>
      <c r="V1322" s="11"/>
      <c r="W1322" s="11"/>
    </row>
    <row r="1323" spans="1:23" ht="12.75" customHeight="1">
      <c r="A1323" s="118">
        <v>1322</v>
      </c>
      <c r="B1323" s="128">
        <v>15</v>
      </c>
      <c r="C1323" s="156">
        <v>37288</v>
      </c>
      <c r="D1323" s="157" t="s">
        <v>45</v>
      </c>
      <c r="E1323" s="8">
        <v>2002</v>
      </c>
      <c r="F1323" s="158"/>
      <c r="G1323" s="162"/>
      <c r="J1323" s="11"/>
      <c r="K1323" s="11"/>
      <c r="L1323" s="11"/>
      <c r="O1323" s="11"/>
      <c r="T1323" s="11"/>
      <c r="V1323" s="11"/>
      <c r="W1323" s="11"/>
    </row>
    <row r="1324" spans="1:23" ht="12.75" customHeight="1">
      <c r="A1324" s="118">
        <v>1323</v>
      </c>
      <c r="B1324" s="128">
        <v>15</v>
      </c>
      <c r="C1324" s="156">
        <v>37316</v>
      </c>
      <c r="D1324" s="157" t="s">
        <v>46</v>
      </c>
      <c r="E1324" s="8">
        <v>2002</v>
      </c>
      <c r="F1324" s="158"/>
      <c r="G1324" s="162"/>
      <c r="J1324" s="11"/>
      <c r="K1324" s="11"/>
      <c r="L1324" s="11"/>
      <c r="O1324" s="11"/>
      <c r="T1324" s="11"/>
      <c r="V1324" s="11"/>
      <c r="W1324" s="11"/>
    </row>
    <row r="1325" spans="1:23" ht="12.75" customHeight="1">
      <c r="A1325" s="118">
        <v>1324</v>
      </c>
      <c r="B1325" s="128">
        <v>15</v>
      </c>
      <c r="C1325" s="156">
        <v>37347</v>
      </c>
      <c r="D1325" s="157" t="s">
        <v>47</v>
      </c>
      <c r="E1325" s="8">
        <v>2002</v>
      </c>
      <c r="F1325" s="158"/>
      <c r="G1325" s="162"/>
      <c r="J1325" s="11"/>
      <c r="K1325" s="11"/>
      <c r="L1325" s="11"/>
      <c r="O1325" s="11"/>
      <c r="T1325" s="11"/>
      <c r="V1325" s="11"/>
      <c r="W1325" s="11"/>
    </row>
    <row r="1326" spans="1:23" ht="12.75" customHeight="1">
      <c r="A1326" s="118">
        <v>1325</v>
      </c>
      <c r="B1326" s="128">
        <v>15</v>
      </c>
      <c r="C1326" s="156">
        <v>37377</v>
      </c>
      <c r="D1326" s="157" t="s">
        <v>48</v>
      </c>
      <c r="E1326" s="8">
        <v>2002</v>
      </c>
      <c r="F1326" s="158"/>
      <c r="G1326" s="162"/>
      <c r="J1326" s="11"/>
      <c r="K1326" s="11"/>
      <c r="L1326" s="11"/>
      <c r="O1326" s="11"/>
      <c r="T1326" s="11"/>
      <c r="V1326" s="11"/>
      <c r="W1326" s="11"/>
    </row>
    <row r="1327" spans="1:23" ht="12.75" customHeight="1">
      <c r="A1327" s="118">
        <v>1326</v>
      </c>
      <c r="B1327" s="128">
        <v>15</v>
      </c>
      <c r="C1327" s="156">
        <v>37408</v>
      </c>
      <c r="D1327" s="157" t="s">
        <v>49</v>
      </c>
      <c r="E1327" s="8">
        <v>2002</v>
      </c>
      <c r="F1327" s="158"/>
      <c r="G1327" s="162"/>
      <c r="J1327" s="11"/>
      <c r="K1327" s="11"/>
      <c r="L1327" s="11"/>
      <c r="O1327" s="11"/>
      <c r="T1327" s="11"/>
      <c r="V1327" s="11"/>
      <c r="W1327" s="11"/>
    </row>
    <row r="1328" spans="1:23" ht="12.75" customHeight="1">
      <c r="A1328" s="118">
        <v>1327</v>
      </c>
      <c r="B1328" s="128">
        <v>15</v>
      </c>
      <c r="C1328" s="156">
        <v>37438</v>
      </c>
      <c r="D1328" s="157" t="s">
        <v>50</v>
      </c>
      <c r="E1328" s="8">
        <v>2002</v>
      </c>
      <c r="F1328" s="158"/>
      <c r="G1328" s="162"/>
      <c r="J1328" s="166"/>
      <c r="K1328" s="11"/>
      <c r="L1328" s="11"/>
      <c r="O1328" s="11"/>
      <c r="T1328" s="11"/>
      <c r="V1328" s="11"/>
      <c r="W1328" s="11"/>
    </row>
    <row r="1329" spans="1:244" ht="12.75" customHeight="1">
      <c r="A1329" s="118">
        <v>1328</v>
      </c>
      <c r="B1329" s="128">
        <v>15</v>
      </c>
      <c r="C1329" s="156">
        <v>37469</v>
      </c>
      <c r="D1329" s="157" t="s">
        <v>51</v>
      </c>
      <c r="E1329" s="8">
        <v>2002</v>
      </c>
      <c r="F1329" s="158"/>
      <c r="G1329" s="162"/>
      <c r="J1329" s="166"/>
      <c r="K1329" s="11"/>
      <c r="L1329" s="11"/>
      <c r="O1329" s="11"/>
      <c r="T1329" s="11"/>
      <c r="V1329" s="11"/>
      <c r="W1329" s="11"/>
    </row>
    <row r="1330" spans="1:244" ht="12.75" customHeight="1">
      <c r="A1330" s="118">
        <v>1329</v>
      </c>
      <c r="B1330" s="128">
        <v>15</v>
      </c>
      <c r="C1330" s="156">
        <v>37500</v>
      </c>
      <c r="D1330" s="157" t="s">
        <v>52</v>
      </c>
      <c r="E1330" s="8">
        <v>2002</v>
      </c>
      <c r="F1330" s="158"/>
      <c r="G1330" s="162"/>
      <c r="J1330" s="166"/>
      <c r="K1330" s="11"/>
      <c r="L1330" s="11"/>
      <c r="O1330" s="11"/>
      <c r="T1330" s="11"/>
      <c r="V1330" s="11"/>
      <c r="W1330" s="11"/>
    </row>
    <row r="1331" spans="1:244" ht="12.75" customHeight="1">
      <c r="A1331" s="118">
        <v>1330</v>
      </c>
      <c r="B1331" s="128">
        <v>15</v>
      </c>
      <c r="C1331" s="156">
        <v>37530</v>
      </c>
      <c r="D1331" s="157" t="s">
        <v>53</v>
      </c>
      <c r="E1331" s="8">
        <v>2002</v>
      </c>
      <c r="F1331" s="158"/>
      <c r="G1331" s="162"/>
      <c r="H1331" s="162"/>
      <c r="J1331" s="166"/>
      <c r="K1331" s="11"/>
      <c r="L1331" s="11"/>
      <c r="O1331" s="11"/>
      <c r="T1331" s="11"/>
      <c r="V1331" s="11"/>
      <c r="W1331" s="11"/>
    </row>
    <row r="1332" spans="1:244" s="128" customFormat="1" ht="12.75" customHeight="1">
      <c r="A1332" s="118">
        <v>1331</v>
      </c>
      <c r="B1332" s="128">
        <v>15</v>
      </c>
      <c r="C1332" s="156">
        <v>37561</v>
      </c>
      <c r="D1332" s="157" t="s">
        <v>54</v>
      </c>
      <c r="E1332" s="8">
        <v>2002</v>
      </c>
      <c r="F1332" s="158">
        <f t="shared" ref="F1332:F1340" si="348">C1332-H1332</f>
        <v>0</v>
      </c>
      <c r="G1332" s="158">
        <f t="shared" ref="G1332:G1340" si="349">IF(F1332&lt;365,1,2)</f>
        <v>1</v>
      </c>
      <c r="H1332" s="162">
        <v>37561</v>
      </c>
      <c r="I1332" s="163">
        <v>102637</v>
      </c>
      <c r="J1332" s="11"/>
      <c r="K1332" s="11"/>
      <c r="L1332" s="173"/>
      <c r="M1332" s="174"/>
      <c r="N1332" s="528"/>
      <c r="P1332" s="8"/>
      <c r="Q1332" s="11"/>
      <c r="R1332" s="11"/>
      <c r="S1332" s="155" t="s">
        <v>11</v>
      </c>
      <c r="T1332" s="11"/>
      <c r="U1332" s="161"/>
      <c r="V1332" s="161"/>
      <c r="W1332" s="161"/>
      <c r="X1332" s="118"/>
      <c r="Y1332" s="118"/>
      <c r="Z1332" s="118"/>
      <c r="AA1332" s="118"/>
      <c r="AB1332" s="118"/>
      <c r="AC1332" s="118"/>
      <c r="AD1332" s="118"/>
      <c r="AE1332" s="118"/>
      <c r="AF1332" s="118"/>
      <c r="AG1332" s="118"/>
      <c r="AH1332" s="118"/>
      <c r="AI1332" s="118"/>
      <c r="AJ1332" s="118"/>
      <c r="AK1332" s="118"/>
      <c r="AL1332" s="118"/>
      <c r="AM1332" s="118"/>
      <c r="AN1332" s="118"/>
      <c r="AO1332" s="118"/>
      <c r="AP1332" s="118"/>
      <c r="AQ1332" s="118"/>
      <c r="AR1332" s="118"/>
      <c r="AS1332" s="118"/>
      <c r="AT1332" s="118"/>
      <c r="AU1332" s="118"/>
      <c r="AV1332" s="118"/>
      <c r="AW1332" s="118"/>
      <c r="AX1332" s="118"/>
      <c r="AY1332" s="118"/>
      <c r="AZ1332" s="118"/>
      <c r="BA1332" s="118"/>
      <c r="BB1332" s="118"/>
      <c r="BC1332" s="118"/>
      <c r="BD1332" s="118"/>
      <c r="BE1332" s="118"/>
      <c r="BF1332" s="118"/>
      <c r="BG1332" s="118"/>
      <c r="BH1332" s="118"/>
      <c r="BI1332" s="118"/>
      <c r="BJ1332" s="118"/>
      <c r="BK1332" s="118"/>
      <c r="BL1332" s="118"/>
      <c r="BM1332" s="118"/>
      <c r="BN1332" s="118"/>
      <c r="BO1332" s="118"/>
      <c r="BP1332" s="118"/>
      <c r="BQ1332" s="118"/>
      <c r="BR1332" s="118"/>
      <c r="BS1332" s="118"/>
      <c r="BT1332" s="118"/>
      <c r="BU1332" s="118"/>
      <c r="BV1332" s="118"/>
      <c r="BW1332" s="118"/>
      <c r="BX1332" s="118"/>
      <c r="BY1332" s="118"/>
      <c r="BZ1332" s="118"/>
      <c r="CA1332" s="118"/>
      <c r="CB1332" s="118"/>
      <c r="CC1332" s="118"/>
      <c r="CD1332" s="118"/>
      <c r="CE1332" s="118"/>
      <c r="CF1332" s="118"/>
      <c r="CG1332" s="118"/>
      <c r="CH1332" s="118"/>
      <c r="CI1332" s="118"/>
      <c r="CJ1332" s="118"/>
      <c r="CK1332" s="118"/>
      <c r="CL1332" s="118"/>
      <c r="CM1332" s="118"/>
      <c r="CN1332" s="118"/>
      <c r="CO1332" s="118"/>
      <c r="CP1332" s="118"/>
      <c r="CQ1332" s="118"/>
      <c r="CR1332" s="118"/>
      <c r="CS1332" s="118"/>
      <c r="CT1332" s="118"/>
      <c r="CU1332" s="118"/>
      <c r="CV1332" s="118"/>
      <c r="CW1332" s="118"/>
      <c r="CX1332" s="118"/>
      <c r="CY1332" s="118"/>
      <c r="CZ1332" s="118"/>
      <c r="DA1332" s="118"/>
      <c r="DB1332" s="118"/>
      <c r="DC1332" s="118"/>
      <c r="DD1332" s="118"/>
      <c r="DE1332" s="118"/>
      <c r="DF1332" s="118"/>
      <c r="DG1332" s="118"/>
      <c r="DH1332" s="118"/>
      <c r="DI1332" s="118"/>
      <c r="DJ1332" s="118"/>
      <c r="DK1332" s="118"/>
      <c r="DL1332" s="118"/>
      <c r="DM1332" s="118"/>
      <c r="DN1332" s="118"/>
      <c r="DO1332" s="118"/>
      <c r="DP1332" s="118"/>
      <c r="DQ1332" s="118"/>
      <c r="DR1332" s="118"/>
      <c r="DS1332" s="118"/>
      <c r="DT1332" s="118"/>
      <c r="DU1332" s="118"/>
      <c r="DV1332" s="118"/>
      <c r="DW1332" s="118"/>
      <c r="DX1332" s="118"/>
      <c r="DY1332" s="118"/>
      <c r="DZ1332" s="118"/>
      <c r="EA1332" s="118"/>
      <c r="EB1332" s="118"/>
      <c r="EC1332" s="118"/>
      <c r="ED1332" s="118"/>
      <c r="EE1332" s="118"/>
      <c r="EF1332" s="118"/>
      <c r="EG1332" s="118"/>
      <c r="EH1332" s="118"/>
      <c r="EI1332" s="118"/>
      <c r="EJ1332" s="118"/>
      <c r="EK1332" s="118"/>
      <c r="EL1332" s="118"/>
      <c r="EM1332" s="118"/>
      <c r="EN1332" s="118"/>
      <c r="EO1332" s="118"/>
      <c r="EP1332" s="118"/>
      <c r="EQ1332" s="118"/>
      <c r="ER1332" s="118"/>
      <c r="ES1332" s="118"/>
      <c r="ET1332" s="118"/>
      <c r="EU1332" s="118"/>
      <c r="EV1332" s="118"/>
      <c r="EW1332" s="118"/>
      <c r="EX1332" s="118"/>
      <c r="EY1332" s="118"/>
      <c r="EZ1332" s="118"/>
      <c r="FA1332" s="118"/>
      <c r="FB1332" s="118"/>
      <c r="FC1332" s="118"/>
      <c r="FD1332" s="118"/>
      <c r="FE1332" s="118"/>
      <c r="FF1332" s="118"/>
      <c r="FG1332" s="118"/>
      <c r="FH1332" s="118"/>
      <c r="FI1332" s="118"/>
      <c r="FJ1332" s="118"/>
      <c r="FK1332" s="118"/>
      <c r="FL1332" s="118"/>
      <c r="FM1332" s="118"/>
      <c r="FN1332" s="118"/>
      <c r="FO1332" s="118"/>
      <c r="FP1332" s="118"/>
      <c r="FQ1332" s="118"/>
      <c r="FR1332" s="118"/>
      <c r="FS1332" s="118"/>
      <c r="FT1332" s="118"/>
      <c r="FU1332" s="118"/>
      <c r="FV1332" s="118"/>
      <c r="FW1332" s="118"/>
      <c r="FX1332" s="118"/>
      <c r="FY1332" s="118"/>
      <c r="FZ1332" s="118"/>
      <c r="GA1332" s="118"/>
      <c r="GB1332" s="118"/>
      <c r="GC1332" s="118"/>
      <c r="GD1332" s="118"/>
      <c r="GE1332" s="118"/>
      <c r="GF1332" s="118"/>
      <c r="GG1332" s="118"/>
      <c r="GH1332" s="118"/>
      <c r="GI1332" s="118"/>
      <c r="GJ1332" s="118"/>
      <c r="GK1332" s="118"/>
      <c r="GL1332" s="118"/>
      <c r="GM1332" s="118"/>
      <c r="GN1332" s="118"/>
      <c r="GO1332" s="118"/>
      <c r="GP1332" s="118"/>
      <c r="GQ1332" s="118"/>
      <c r="GR1332" s="118"/>
      <c r="GS1332" s="118"/>
      <c r="GT1332" s="118"/>
      <c r="GU1332" s="118"/>
      <c r="GV1332" s="118"/>
      <c r="GW1332" s="118"/>
      <c r="GX1332" s="118"/>
      <c r="GY1332" s="118"/>
      <c r="GZ1332" s="118"/>
      <c r="HA1332" s="118"/>
      <c r="HB1332" s="118"/>
      <c r="HC1332" s="118"/>
      <c r="HD1332" s="118"/>
      <c r="HE1332" s="118"/>
      <c r="HF1332" s="118"/>
      <c r="HG1332" s="118"/>
      <c r="HH1332" s="118"/>
      <c r="HI1332" s="118"/>
      <c r="HJ1332" s="118"/>
      <c r="HK1332" s="118"/>
      <c r="HL1332" s="118"/>
      <c r="HM1332" s="118"/>
      <c r="HN1332" s="118"/>
      <c r="HO1332" s="118"/>
      <c r="HP1332" s="118"/>
      <c r="HQ1332" s="118"/>
      <c r="HR1332" s="118"/>
      <c r="HS1332" s="118"/>
      <c r="HT1332" s="118"/>
      <c r="HU1332" s="118"/>
      <c r="HV1332" s="118"/>
      <c r="HW1332" s="118"/>
      <c r="HX1332" s="118"/>
      <c r="HY1332" s="118"/>
      <c r="HZ1332" s="118"/>
      <c r="IA1332" s="118"/>
      <c r="IB1332" s="118"/>
      <c r="IC1332" s="118"/>
      <c r="ID1332" s="118"/>
      <c r="IE1332" s="118"/>
      <c r="IF1332" s="118"/>
      <c r="IG1332" s="118"/>
      <c r="IH1332" s="118"/>
      <c r="II1332" s="118"/>
      <c r="IJ1332" s="118"/>
    </row>
    <row r="1333" spans="1:244" s="128" customFormat="1" ht="12.75" customHeight="1">
      <c r="A1333" s="118">
        <v>1332</v>
      </c>
      <c r="B1333" s="128">
        <v>15</v>
      </c>
      <c r="C1333" s="156">
        <v>37591</v>
      </c>
      <c r="D1333" s="157" t="s">
        <v>55</v>
      </c>
      <c r="E1333" s="8">
        <v>2002</v>
      </c>
      <c r="F1333" s="158">
        <f t="shared" si="348"/>
        <v>30</v>
      </c>
      <c r="G1333" s="158">
        <f t="shared" si="349"/>
        <v>1</v>
      </c>
      <c r="H1333" s="162">
        <v>37561</v>
      </c>
      <c r="I1333" s="163">
        <v>390430</v>
      </c>
      <c r="J1333" s="11"/>
      <c r="K1333" s="11"/>
      <c r="L1333" s="173"/>
      <c r="M1333" s="174"/>
      <c r="N1333" s="528"/>
      <c r="P1333" s="8"/>
      <c r="Q1333" s="11"/>
      <c r="R1333" s="11"/>
      <c r="S1333" s="155" t="s">
        <v>11</v>
      </c>
      <c r="T1333" s="11"/>
      <c r="U1333" s="161"/>
      <c r="V1333" s="161"/>
      <c r="W1333" s="161"/>
      <c r="X1333" s="118"/>
      <c r="Y1333" s="118"/>
      <c r="Z1333" s="118"/>
      <c r="AA1333" s="118"/>
      <c r="AB1333" s="118"/>
      <c r="AC1333" s="118"/>
      <c r="AD1333" s="118"/>
      <c r="AE1333" s="118"/>
      <c r="AF1333" s="118"/>
      <c r="AG1333" s="118"/>
      <c r="AH1333" s="118"/>
      <c r="AI1333" s="118"/>
      <c r="AJ1333" s="118"/>
      <c r="AK1333" s="118"/>
      <c r="AL1333" s="118"/>
      <c r="AM1333" s="118"/>
      <c r="AN1333" s="118"/>
      <c r="AO1333" s="118"/>
      <c r="AP1333" s="118"/>
      <c r="AQ1333" s="118"/>
      <c r="AR1333" s="118"/>
      <c r="AS1333" s="118"/>
      <c r="AT1333" s="118"/>
      <c r="AU1333" s="118"/>
      <c r="AV1333" s="118"/>
      <c r="AW1333" s="118"/>
      <c r="AX1333" s="118"/>
      <c r="AY1333" s="118"/>
      <c r="AZ1333" s="118"/>
      <c r="BA1333" s="118"/>
      <c r="BB1333" s="118"/>
      <c r="BC1333" s="118"/>
      <c r="BD1333" s="118"/>
      <c r="BE1333" s="118"/>
      <c r="BF1333" s="118"/>
      <c r="BG1333" s="118"/>
      <c r="BH1333" s="118"/>
      <c r="BI1333" s="118"/>
      <c r="BJ1333" s="118"/>
      <c r="BK1333" s="118"/>
      <c r="BL1333" s="118"/>
      <c r="BM1333" s="118"/>
      <c r="BN1333" s="118"/>
      <c r="BO1333" s="118"/>
      <c r="BP1333" s="118"/>
      <c r="BQ1333" s="118"/>
      <c r="BR1333" s="118"/>
      <c r="BS1333" s="118"/>
      <c r="BT1333" s="118"/>
      <c r="BU1333" s="118"/>
      <c r="BV1333" s="118"/>
      <c r="BW1333" s="118"/>
      <c r="BX1333" s="118"/>
      <c r="BY1333" s="118"/>
      <c r="BZ1333" s="118"/>
      <c r="CA1333" s="118"/>
      <c r="CB1333" s="118"/>
      <c r="CC1333" s="118"/>
      <c r="CD1333" s="118"/>
      <c r="CE1333" s="118"/>
      <c r="CF1333" s="118"/>
      <c r="CG1333" s="118"/>
      <c r="CH1333" s="118"/>
      <c r="CI1333" s="118"/>
      <c r="CJ1333" s="118"/>
      <c r="CK1333" s="118"/>
      <c r="CL1333" s="118"/>
      <c r="CM1333" s="118"/>
      <c r="CN1333" s="118"/>
      <c r="CO1333" s="118"/>
      <c r="CP1333" s="118"/>
      <c r="CQ1333" s="118"/>
      <c r="CR1333" s="118"/>
      <c r="CS1333" s="118"/>
      <c r="CT1333" s="118"/>
      <c r="CU1333" s="118"/>
      <c r="CV1333" s="118"/>
      <c r="CW1333" s="118"/>
      <c r="CX1333" s="118"/>
      <c r="CY1333" s="118"/>
      <c r="CZ1333" s="118"/>
      <c r="DA1333" s="118"/>
      <c r="DB1333" s="118"/>
      <c r="DC1333" s="118"/>
      <c r="DD1333" s="118"/>
      <c r="DE1333" s="118"/>
      <c r="DF1333" s="118"/>
      <c r="DG1333" s="118"/>
      <c r="DH1333" s="118"/>
      <c r="DI1333" s="118"/>
      <c r="DJ1333" s="118"/>
      <c r="DK1333" s="118"/>
      <c r="DL1333" s="118"/>
      <c r="DM1333" s="118"/>
      <c r="DN1333" s="118"/>
      <c r="DO1333" s="118"/>
      <c r="DP1333" s="118"/>
      <c r="DQ1333" s="118"/>
      <c r="DR1333" s="118"/>
      <c r="DS1333" s="118"/>
      <c r="DT1333" s="118"/>
      <c r="DU1333" s="118"/>
      <c r="DV1333" s="118"/>
      <c r="DW1333" s="118"/>
      <c r="DX1333" s="118"/>
      <c r="DY1333" s="118"/>
      <c r="DZ1333" s="118"/>
      <c r="EA1333" s="118"/>
      <c r="EB1333" s="118"/>
      <c r="EC1333" s="118"/>
      <c r="ED1333" s="118"/>
      <c r="EE1333" s="118"/>
      <c r="EF1333" s="118"/>
      <c r="EG1333" s="118"/>
      <c r="EH1333" s="118"/>
      <c r="EI1333" s="118"/>
      <c r="EJ1333" s="118"/>
      <c r="EK1333" s="118"/>
      <c r="EL1333" s="118"/>
      <c r="EM1333" s="118"/>
      <c r="EN1333" s="118"/>
      <c r="EO1333" s="118"/>
      <c r="EP1333" s="118"/>
      <c r="EQ1333" s="118"/>
      <c r="ER1333" s="118"/>
      <c r="ES1333" s="118"/>
      <c r="ET1333" s="118"/>
      <c r="EU1333" s="118"/>
      <c r="EV1333" s="118"/>
      <c r="EW1333" s="118"/>
      <c r="EX1333" s="118"/>
      <c r="EY1333" s="118"/>
      <c r="EZ1333" s="118"/>
      <c r="FA1333" s="118"/>
      <c r="FB1333" s="118"/>
      <c r="FC1333" s="118"/>
      <c r="FD1333" s="118"/>
      <c r="FE1333" s="118"/>
      <c r="FF1333" s="118"/>
      <c r="FG1333" s="118"/>
      <c r="FH1333" s="118"/>
      <c r="FI1333" s="118"/>
      <c r="FJ1333" s="118"/>
      <c r="FK1333" s="118"/>
      <c r="FL1333" s="118"/>
      <c r="FM1333" s="118"/>
      <c r="FN1333" s="118"/>
      <c r="FO1333" s="118"/>
      <c r="FP1333" s="118"/>
      <c r="FQ1333" s="118"/>
      <c r="FR1333" s="118"/>
      <c r="FS1333" s="118"/>
      <c r="FT1333" s="118"/>
      <c r="FU1333" s="118"/>
      <c r="FV1333" s="118"/>
      <c r="FW1333" s="118"/>
      <c r="FX1333" s="118"/>
      <c r="FY1333" s="118"/>
      <c r="FZ1333" s="118"/>
      <c r="GA1333" s="118"/>
      <c r="GB1333" s="118"/>
      <c r="GC1333" s="118"/>
      <c r="GD1333" s="118"/>
      <c r="GE1333" s="118"/>
      <c r="GF1333" s="118"/>
      <c r="GG1333" s="118"/>
      <c r="GH1333" s="118"/>
      <c r="GI1333" s="118"/>
      <c r="GJ1333" s="118"/>
      <c r="GK1333" s="118"/>
      <c r="GL1333" s="118"/>
      <c r="GM1333" s="118"/>
      <c r="GN1333" s="118"/>
      <c r="GO1333" s="118"/>
      <c r="GP1333" s="118"/>
      <c r="GQ1333" s="118"/>
      <c r="GR1333" s="118"/>
      <c r="GS1333" s="118"/>
      <c r="GT1333" s="118"/>
      <c r="GU1333" s="118"/>
      <c r="GV1333" s="118"/>
      <c r="GW1333" s="118"/>
      <c r="GX1333" s="118"/>
      <c r="GY1333" s="118"/>
      <c r="GZ1333" s="118"/>
      <c r="HA1333" s="118"/>
      <c r="HB1333" s="118"/>
      <c r="HC1333" s="118"/>
      <c r="HD1333" s="118"/>
      <c r="HE1333" s="118"/>
      <c r="HF1333" s="118"/>
      <c r="HG1333" s="118"/>
      <c r="HH1333" s="118"/>
      <c r="HI1333" s="118"/>
      <c r="HJ1333" s="118"/>
      <c r="HK1333" s="118"/>
      <c r="HL1333" s="118"/>
      <c r="HM1333" s="118"/>
      <c r="HN1333" s="118"/>
      <c r="HO1333" s="118"/>
      <c r="HP1333" s="118"/>
      <c r="HQ1333" s="118"/>
      <c r="HR1333" s="118"/>
      <c r="HS1333" s="118"/>
      <c r="HT1333" s="118"/>
      <c r="HU1333" s="118"/>
      <c r="HV1333" s="118"/>
      <c r="HW1333" s="118"/>
      <c r="HX1333" s="118"/>
      <c r="HY1333" s="118"/>
      <c r="HZ1333" s="118"/>
      <c r="IA1333" s="118"/>
      <c r="IB1333" s="118"/>
      <c r="IC1333" s="118"/>
      <c r="ID1333" s="118"/>
      <c r="IE1333" s="118"/>
      <c r="IF1333" s="118"/>
      <c r="IG1333" s="118"/>
      <c r="IH1333" s="118"/>
      <c r="II1333" s="118"/>
      <c r="IJ1333" s="118"/>
    </row>
    <row r="1334" spans="1:244" s="128" customFormat="1" ht="12.75" customHeight="1">
      <c r="A1334" s="118">
        <v>1333</v>
      </c>
      <c r="B1334" s="128">
        <v>15</v>
      </c>
      <c r="C1334" s="156">
        <v>37622</v>
      </c>
      <c r="D1334" s="157" t="s">
        <v>44</v>
      </c>
      <c r="E1334" s="8">
        <v>2003</v>
      </c>
      <c r="F1334" s="158">
        <f t="shared" si="348"/>
        <v>61</v>
      </c>
      <c r="G1334" s="158">
        <f t="shared" si="349"/>
        <v>1</v>
      </c>
      <c r="H1334" s="162">
        <v>37561</v>
      </c>
      <c r="I1334" s="163">
        <v>584888</v>
      </c>
      <c r="J1334" s="11">
        <v>5.5</v>
      </c>
      <c r="K1334" s="11">
        <v>0.3</v>
      </c>
      <c r="L1334" s="11">
        <v>0</v>
      </c>
      <c r="M1334" s="174"/>
      <c r="N1334" s="528"/>
      <c r="O1334" s="11">
        <v>0.05</v>
      </c>
      <c r="P1334" s="8"/>
      <c r="Q1334" s="11"/>
      <c r="R1334" s="11"/>
      <c r="S1334" s="155"/>
      <c r="T1334" s="161">
        <f t="shared" ref="T1334:U1340" si="350">$I1334*K1334</f>
        <v>175466.4</v>
      </c>
      <c r="U1334" s="161">
        <f t="shared" si="350"/>
        <v>0</v>
      </c>
      <c r="V1334" s="161">
        <f t="shared" ref="V1334:V1340" si="351">$I1334*O1334</f>
        <v>29244.400000000001</v>
      </c>
      <c r="W1334" s="161">
        <f t="shared" ref="W1334:W1340" si="352">V1334*0.4</f>
        <v>11697.760000000002</v>
      </c>
      <c r="X1334" s="118"/>
      <c r="Y1334" s="118"/>
      <c r="Z1334" s="118"/>
      <c r="AA1334" s="118"/>
      <c r="AB1334" s="118"/>
      <c r="AC1334" s="118"/>
      <c r="AD1334" s="118"/>
      <c r="AE1334" s="118"/>
      <c r="AF1334" s="118"/>
      <c r="AG1334" s="118"/>
      <c r="AH1334" s="118"/>
      <c r="AI1334" s="118"/>
      <c r="AJ1334" s="118"/>
      <c r="AK1334" s="118"/>
      <c r="AL1334" s="118"/>
      <c r="AM1334" s="118"/>
      <c r="AN1334" s="118"/>
      <c r="AO1334" s="118"/>
      <c r="AP1334" s="118"/>
      <c r="AQ1334" s="118"/>
      <c r="AR1334" s="118"/>
      <c r="AS1334" s="118"/>
      <c r="AT1334" s="118"/>
      <c r="AU1334" s="118"/>
      <c r="AV1334" s="118"/>
      <c r="AW1334" s="118"/>
      <c r="AX1334" s="118"/>
      <c r="AY1334" s="118"/>
      <c r="AZ1334" s="118"/>
      <c r="BA1334" s="118"/>
      <c r="BB1334" s="118"/>
      <c r="BC1334" s="118"/>
      <c r="BD1334" s="118"/>
      <c r="BE1334" s="118"/>
      <c r="BF1334" s="118"/>
      <c r="BG1334" s="118"/>
      <c r="BH1334" s="118"/>
      <c r="BI1334" s="118"/>
      <c r="BJ1334" s="118"/>
      <c r="BK1334" s="118"/>
      <c r="BL1334" s="118"/>
      <c r="BM1334" s="118"/>
      <c r="BN1334" s="118"/>
      <c r="BO1334" s="118"/>
      <c r="BP1334" s="118"/>
      <c r="BQ1334" s="118"/>
      <c r="BR1334" s="118"/>
      <c r="BS1334" s="118"/>
      <c r="BT1334" s="118"/>
      <c r="BU1334" s="118"/>
      <c r="BV1334" s="118"/>
      <c r="BW1334" s="118"/>
      <c r="BX1334" s="118"/>
      <c r="BY1334" s="118"/>
      <c r="BZ1334" s="118"/>
      <c r="CA1334" s="118"/>
      <c r="CB1334" s="118"/>
      <c r="CC1334" s="118"/>
      <c r="CD1334" s="118"/>
      <c r="CE1334" s="118"/>
      <c r="CF1334" s="118"/>
      <c r="CG1334" s="118"/>
      <c r="CH1334" s="118"/>
      <c r="CI1334" s="118"/>
      <c r="CJ1334" s="118"/>
      <c r="CK1334" s="118"/>
      <c r="CL1334" s="118"/>
      <c r="CM1334" s="118"/>
      <c r="CN1334" s="118"/>
      <c r="CO1334" s="118"/>
      <c r="CP1334" s="118"/>
      <c r="CQ1334" s="118"/>
      <c r="CR1334" s="118"/>
      <c r="CS1334" s="118"/>
      <c r="CT1334" s="118"/>
      <c r="CU1334" s="118"/>
      <c r="CV1334" s="118"/>
      <c r="CW1334" s="118"/>
      <c r="CX1334" s="118"/>
      <c r="CY1334" s="118"/>
      <c r="CZ1334" s="118"/>
      <c r="DA1334" s="118"/>
      <c r="DB1334" s="118"/>
      <c r="DC1334" s="118"/>
      <c r="DD1334" s="118"/>
      <c r="DE1334" s="118"/>
      <c r="DF1334" s="118"/>
      <c r="DG1334" s="118"/>
      <c r="DH1334" s="118"/>
      <c r="DI1334" s="118"/>
      <c r="DJ1334" s="118"/>
      <c r="DK1334" s="118"/>
      <c r="DL1334" s="118"/>
      <c r="DM1334" s="118"/>
      <c r="DN1334" s="118"/>
      <c r="DO1334" s="118"/>
      <c r="DP1334" s="118"/>
      <c r="DQ1334" s="118"/>
      <c r="DR1334" s="118"/>
      <c r="DS1334" s="118"/>
      <c r="DT1334" s="118"/>
      <c r="DU1334" s="118"/>
      <c r="DV1334" s="118"/>
      <c r="DW1334" s="118"/>
      <c r="DX1334" s="118"/>
      <c r="DY1334" s="118"/>
      <c r="DZ1334" s="118"/>
      <c r="EA1334" s="118"/>
      <c r="EB1334" s="118"/>
      <c r="EC1334" s="118"/>
      <c r="ED1334" s="118"/>
      <c r="EE1334" s="118"/>
      <c r="EF1334" s="118"/>
      <c r="EG1334" s="118"/>
      <c r="EH1334" s="118"/>
      <c r="EI1334" s="118"/>
      <c r="EJ1334" s="118"/>
      <c r="EK1334" s="118"/>
      <c r="EL1334" s="118"/>
      <c r="EM1334" s="118"/>
      <c r="EN1334" s="118"/>
      <c r="EO1334" s="118"/>
      <c r="EP1334" s="118"/>
      <c r="EQ1334" s="118"/>
      <c r="ER1334" s="118"/>
      <c r="ES1334" s="118"/>
      <c r="ET1334" s="118"/>
      <c r="EU1334" s="118"/>
      <c r="EV1334" s="118"/>
      <c r="EW1334" s="118"/>
      <c r="EX1334" s="118"/>
      <c r="EY1334" s="118"/>
      <c r="EZ1334" s="118"/>
      <c r="FA1334" s="118"/>
      <c r="FB1334" s="118"/>
      <c r="FC1334" s="118"/>
      <c r="FD1334" s="118"/>
      <c r="FE1334" s="118"/>
      <c r="FF1334" s="118"/>
      <c r="FG1334" s="118"/>
      <c r="FH1334" s="118"/>
      <c r="FI1334" s="118"/>
      <c r="FJ1334" s="118"/>
      <c r="FK1334" s="118"/>
      <c r="FL1334" s="118"/>
      <c r="FM1334" s="118"/>
      <c r="FN1334" s="118"/>
      <c r="FO1334" s="118"/>
      <c r="FP1334" s="118"/>
      <c r="FQ1334" s="118"/>
      <c r="FR1334" s="118"/>
      <c r="FS1334" s="118"/>
      <c r="FT1334" s="118"/>
      <c r="FU1334" s="118"/>
      <c r="FV1334" s="118"/>
      <c r="FW1334" s="118"/>
      <c r="FX1334" s="118"/>
      <c r="FY1334" s="118"/>
      <c r="FZ1334" s="118"/>
      <c r="GA1334" s="118"/>
      <c r="GB1334" s="118"/>
      <c r="GC1334" s="118"/>
      <c r="GD1334" s="118"/>
      <c r="GE1334" s="118"/>
      <c r="GF1334" s="118"/>
      <c r="GG1334" s="118"/>
      <c r="GH1334" s="118"/>
      <c r="GI1334" s="118"/>
      <c r="GJ1334" s="118"/>
      <c r="GK1334" s="118"/>
      <c r="GL1334" s="118"/>
      <c r="GM1334" s="118"/>
      <c r="GN1334" s="118"/>
      <c r="GO1334" s="118"/>
      <c r="GP1334" s="118"/>
      <c r="GQ1334" s="118"/>
      <c r="GR1334" s="118"/>
      <c r="GS1334" s="118"/>
      <c r="GT1334" s="118"/>
      <c r="GU1334" s="118"/>
      <c r="GV1334" s="118"/>
      <c r="GW1334" s="118"/>
      <c r="GX1334" s="118"/>
      <c r="GY1334" s="118"/>
      <c r="GZ1334" s="118"/>
      <c r="HA1334" s="118"/>
      <c r="HB1334" s="118"/>
      <c r="HC1334" s="118"/>
      <c r="HD1334" s="118"/>
      <c r="HE1334" s="118"/>
      <c r="HF1334" s="118"/>
      <c r="HG1334" s="118"/>
      <c r="HH1334" s="118"/>
      <c r="HI1334" s="118"/>
      <c r="HJ1334" s="118"/>
      <c r="HK1334" s="118"/>
      <c r="HL1334" s="118"/>
      <c r="HM1334" s="118"/>
      <c r="HN1334" s="118"/>
      <c r="HO1334" s="118"/>
      <c r="HP1334" s="118"/>
      <c r="HQ1334" s="118"/>
      <c r="HR1334" s="118"/>
      <c r="HS1334" s="118"/>
      <c r="HT1334" s="118"/>
      <c r="HU1334" s="118"/>
      <c r="HV1334" s="118"/>
      <c r="HW1334" s="118"/>
      <c r="HX1334" s="118"/>
      <c r="HY1334" s="118"/>
      <c r="HZ1334" s="118"/>
      <c r="IA1334" s="118"/>
      <c r="IB1334" s="118"/>
      <c r="IC1334" s="118"/>
      <c r="ID1334" s="118"/>
      <c r="IE1334" s="118"/>
      <c r="IF1334" s="118"/>
      <c r="IG1334" s="118"/>
      <c r="IH1334" s="118"/>
      <c r="II1334" s="118"/>
      <c r="IJ1334" s="118"/>
    </row>
    <row r="1335" spans="1:244" s="128" customFormat="1" ht="12.75" customHeight="1">
      <c r="A1335" s="118">
        <v>1334</v>
      </c>
      <c r="B1335" s="128">
        <v>15</v>
      </c>
      <c r="C1335" s="156">
        <v>37653</v>
      </c>
      <c r="D1335" s="157" t="s">
        <v>45</v>
      </c>
      <c r="E1335" s="8">
        <v>2003</v>
      </c>
      <c r="F1335" s="158">
        <f t="shared" si="348"/>
        <v>92</v>
      </c>
      <c r="G1335" s="158">
        <f t="shared" si="349"/>
        <v>1</v>
      </c>
      <c r="H1335" s="162">
        <v>37561</v>
      </c>
      <c r="I1335" s="163">
        <v>694335</v>
      </c>
      <c r="J1335" s="11">
        <v>2.5</v>
      </c>
      <c r="K1335" s="11">
        <v>1.1000000000000001</v>
      </c>
      <c r="L1335" s="11">
        <v>0</v>
      </c>
      <c r="M1335" s="174">
        <v>0</v>
      </c>
      <c r="N1335" s="528"/>
      <c r="O1335" s="11">
        <v>0</v>
      </c>
      <c r="P1335" s="8"/>
      <c r="Q1335" s="11"/>
      <c r="R1335" s="11"/>
      <c r="S1335" s="155"/>
      <c r="T1335" s="161">
        <f t="shared" si="350"/>
        <v>763768.50000000012</v>
      </c>
      <c r="U1335" s="161">
        <f t="shared" si="350"/>
        <v>0</v>
      </c>
      <c r="V1335" s="161">
        <f t="shared" si="351"/>
        <v>0</v>
      </c>
      <c r="W1335" s="161">
        <f t="shared" si="352"/>
        <v>0</v>
      </c>
      <c r="X1335" s="118"/>
      <c r="Y1335" s="118"/>
      <c r="Z1335" s="118"/>
      <c r="AA1335" s="118"/>
      <c r="AB1335" s="118"/>
      <c r="AC1335" s="118"/>
      <c r="AD1335" s="118"/>
      <c r="AE1335" s="118"/>
      <c r="AF1335" s="118"/>
      <c r="AG1335" s="118"/>
      <c r="AH1335" s="118"/>
      <c r="AI1335" s="118"/>
      <c r="AJ1335" s="118"/>
      <c r="AK1335" s="118"/>
      <c r="AL1335" s="118"/>
      <c r="AM1335" s="118"/>
      <c r="AN1335" s="118"/>
      <c r="AO1335" s="118"/>
      <c r="AP1335" s="118"/>
      <c r="AQ1335" s="118"/>
      <c r="AR1335" s="118"/>
      <c r="AS1335" s="118"/>
      <c r="AT1335" s="118"/>
      <c r="AU1335" s="118"/>
      <c r="AV1335" s="118"/>
      <c r="AW1335" s="118"/>
      <c r="AX1335" s="118"/>
      <c r="AY1335" s="118"/>
      <c r="AZ1335" s="118"/>
      <c r="BA1335" s="118"/>
      <c r="BB1335" s="118"/>
      <c r="BC1335" s="118"/>
      <c r="BD1335" s="118"/>
      <c r="BE1335" s="118"/>
      <c r="BF1335" s="118"/>
      <c r="BG1335" s="118"/>
      <c r="BH1335" s="118"/>
      <c r="BI1335" s="118"/>
      <c r="BJ1335" s="118"/>
      <c r="BK1335" s="118"/>
      <c r="BL1335" s="118"/>
      <c r="BM1335" s="118"/>
      <c r="BN1335" s="118"/>
      <c r="BO1335" s="118"/>
      <c r="BP1335" s="118"/>
      <c r="BQ1335" s="118"/>
      <c r="BR1335" s="118"/>
      <c r="BS1335" s="118"/>
      <c r="BT1335" s="118"/>
      <c r="BU1335" s="118"/>
      <c r="BV1335" s="118"/>
      <c r="BW1335" s="118"/>
      <c r="BX1335" s="118"/>
      <c r="BY1335" s="118"/>
      <c r="BZ1335" s="118"/>
      <c r="CA1335" s="118"/>
      <c r="CB1335" s="118"/>
      <c r="CC1335" s="118"/>
      <c r="CD1335" s="118"/>
      <c r="CE1335" s="118"/>
      <c r="CF1335" s="118"/>
      <c r="CG1335" s="118"/>
      <c r="CH1335" s="118"/>
      <c r="CI1335" s="118"/>
      <c r="CJ1335" s="118"/>
      <c r="CK1335" s="118"/>
      <c r="CL1335" s="118"/>
      <c r="CM1335" s="118"/>
      <c r="CN1335" s="118"/>
      <c r="CO1335" s="118"/>
      <c r="CP1335" s="118"/>
      <c r="CQ1335" s="118"/>
      <c r="CR1335" s="118"/>
      <c r="CS1335" s="118"/>
      <c r="CT1335" s="118"/>
      <c r="CU1335" s="118"/>
      <c r="CV1335" s="118"/>
      <c r="CW1335" s="118"/>
      <c r="CX1335" s="118"/>
      <c r="CY1335" s="118"/>
      <c r="CZ1335" s="118"/>
      <c r="DA1335" s="118"/>
      <c r="DB1335" s="118"/>
      <c r="DC1335" s="118"/>
      <c r="DD1335" s="118"/>
      <c r="DE1335" s="118"/>
      <c r="DF1335" s="118"/>
      <c r="DG1335" s="118"/>
      <c r="DH1335" s="118"/>
      <c r="DI1335" s="118"/>
      <c r="DJ1335" s="118"/>
      <c r="DK1335" s="118"/>
      <c r="DL1335" s="118"/>
      <c r="DM1335" s="118"/>
      <c r="DN1335" s="118"/>
      <c r="DO1335" s="118"/>
      <c r="DP1335" s="118"/>
      <c r="DQ1335" s="118"/>
      <c r="DR1335" s="118"/>
      <c r="DS1335" s="118"/>
      <c r="DT1335" s="118"/>
      <c r="DU1335" s="118"/>
      <c r="DV1335" s="118"/>
      <c r="DW1335" s="118"/>
      <c r="DX1335" s="118"/>
      <c r="DY1335" s="118"/>
      <c r="DZ1335" s="118"/>
      <c r="EA1335" s="118"/>
      <c r="EB1335" s="118"/>
      <c r="EC1335" s="118"/>
      <c r="ED1335" s="118"/>
      <c r="EE1335" s="118"/>
      <c r="EF1335" s="118"/>
      <c r="EG1335" s="118"/>
      <c r="EH1335" s="118"/>
      <c r="EI1335" s="118"/>
      <c r="EJ1335" s="118"/>
      <c r="EK1335" s="118"/>
      <c r="EL1335" s="118"/>
      <c r="EM1335" s="118"/>
      <c r="EN1335" s="118"/>
      <c r="EO1335" s="118"/>
      <c r="EP1335" s="118"/>
      <c r="EQ1335" s="118"/>
      <c r="ER1335" s="118"/>
      <c r="ES1335" s="118"/>
      <c r="ET1335" s="118"/>
      <c r="EU1335" s="118"/>
      <c r="EV1335" s="118"/>
      <c r="EW1335" s="118"/>
      <c r="EX1335" s="118"/>
      <c r="EY1335" s="118"/>
      <c r="EZ1335" s="118"/>
      <c r="FA1335" s="118"/>
      <c r="FB1335" s="118"/>
      <c r="FC1335" s="118"/>
      <c r="FD1335" s="118"/>
      <c r="FE1335" s="118"/>
      <c r="FF1335" s="118"/>
      <c r="FG1335" s="118"/>
      <c r="FH1335" s="118"/>
      <c r="FI1335" s="118"/>
      <c r="FJ1335" s="118"/>
      <c r="FK1335" s="118"/>
      <c r="FL1335" s="118"/>
      <c r="FM1335" s="118"/>
      <c r="FN1335" s="118"/>
      <c r="FO1335" s="118"/>
      <c r="FP1335" s="118"/>
      <c r="FQ1335" s="118"/>
      <c r="FR1335" s="118"/>
      <c r="FS1335" s="118"/>
      <c r="FT1335" s="118"/>
      <c r="FU1335" s="118"/>
      <c r="FV1335" s="118"/>
      <c r="FW1335" s="118"/>
      <c r="FX1335" s="118"/>
      <c r="FY1335" s="118"/>
      <c r="FZ1335" s="118"/>
      <c r="GA1335" s="118"/>
      <c r="GB1335" s="118"/>
      <c r="GC1335" s="118"/>
      <c r="GD1335" s="118"/>
      <c r="GE1335" s="118"/>
      <c r="GF1335" s="118"/>
      <c r="GG1335" s="118"/>
      <c r="GH1335" s="118"/>
      <c r="GI1335" s="118"/>
      <c r="GJ1335" s="118"/>
      <c r="GK1335" s="118"/>
      <c r="GL1335" s="118"/>
      <c r="GM1335" s="118"/>
      <c r="GN1335" s="118"/>
      <c r="GO1335" s="118"/>
      <c r="GP1335" s="118"/>
      <c r="GQ1335" s="118"/>
      <c r="GR1335" s="118"/>
      <c r="GS1335" s="118"/>
      <c r="GT1335" s="118"/>
      <c r="GU1335" s="118"/>
      <c r="GV1335" s="118"/>
      <c r="GW1335" s="118"/>
      <c r="GX1335" s="118"/>
      <c r="GY1335" s="118"/>
      <c r="GZ1335" s="118"/>
      <c r="HA1335" s="118"/>
      <c r="HB1335" s="118"/>
      <c r="HC1335" s="118"/>
      <c r="HD1335" s="118"/>
      <c r="HE1335" s="118"/>
      <c r="HF1335" s="118"/>
      <c r="HG1335" s="118"/>
      <c r="HH1335" s="118"/>
      <c r="HI1335" s="118"/>
      <c r="HJ1335" s="118"/>
      <c r="HK1335" s="118"/>
      <c r="HL1335" s="118"/>
      <c r="HM1335" s="118"/>
      <c r="HN1335" s="118"/>
      <c r="HO1335" s="118"/>
      <c r="HP1335" s="118"/>
      <c r="HQ1335" s="118"/>
      <c r="HR1335" s="118"/>
      <c r="HS1335" s="118"/>
      <c r="HT1335" s="118"/>
      <c r="HU1335" s="118"/>
      <c r="HV1335" s="118"/>
      <c r="HW1335" s="118"/>
      <c r="HX1335" s="118"/>
      <c r="HY1335" s="118"/>
      <c r="HZ1335" s="118"/>
      <c r="IA1335" s="118"/>
      <c r="IB1335" s="118"/>
      <c r="IC1335" s="118"/>
      <c r="ID1335" s="118"/>
      <c r="IE1335" s="118"/>
      <c r="IF1335" s="118"/>
      <c r="IG1335" s="118"/>
      <c r="IH1335" s="118"/>
      <c r="II1335" s="118"/>
      <c r="IJ1335" s="118"/>
    </row>
    <row r="1336" spans="1:244" s="128" customFormat="1">
      <c r="A1336" s="118">
        <v>1335</v>
      </c>
      <c r="B1336" s="128">
        <v>15</v>
      </c>
      <c r="C1336" s="156">
        <v>37681</v>
      </c>
      <c r="D1336" s="157" t="s">
        <v>46</v>
      </c>
      <c r="E1336" s="8">
        <v>2003</v>
      </c>
      <c r="F1336" s="158">
        <f t="shared" si="348"/>
        <v>120</v>
      </c>
      <c r="G1336" s="158">
        <f t="shared" si="349"/>
        <v>1</v>
      </c>
      <c r="H1336" s="162">
        <v>37561</v>
      </c>
      <c r="I1336" s="194">
        <v>689943</v>
      </c>
      <c r="J1336" s="15">
        <v>3.9</v>
      </c>
      <c r="K1336" s="15">
        <v>1</v>
      </c>
      <c r="L1336" s="15">
        <v>0</v>
      </c>
      <c r="M1336" s="174">
        <v>0</v>
      </c>
      <c r="N1336" s="528"/>
      <c r="O1336" s="15">
        <v>2.1</v>
      </c>
      <c r="P1336" s="8"/>
      <c r="Q1336" s="11">
        <v>7.7</v>
      </c>
      <c r="R1336" s="11">
        <v>33</v>
      </c>
      <c r="S1336" s="155"/>
      <c r="T1336" s="161">
        <f t="shared" si="350"/>
        <v>689943</v>
      </c>
      <c r="U1336" s="161">
        <f t="shared" si="350"/>
        <v>0</v>
      </c>
      <c r="V1336" s="161">
        <f t="shared" si="351"/>
        <v>1448880.3</v>
      </c>
      <c r="W1336" s="161">
        <f t="shared" si="352"/>
        <v>579552.12</v>
      </c>
      <c r="X1336" s="118"/>
      <c r="Y1336" s="118"/>
      <c r="Z1336" s="118"/>
      <c r="AA1336" s="118"/>
      <c r="AB1336" s="118"/>
      <c r="AC1336" s="118"/>
      <c r="AD1336" s="118"/>
      <c r="AE1336" s="118"/>
      <c r="AF1336" s="118"/>
      <c r="AG1336" s="118"/>
      <c r="AH1336" s="118"/>
      <c r="AI1336" s="118"/>
      <c r="AJ1336" s="118"/>
      <c r="AK1336" s="118"/>
      <c r="AL1336" s="118"/>
      <c r="AM1336" s="118"/>
      <c r="AN1336" s="118"/>
      <c r="AO1336" s="118"/>
      <c r="AP1336" s="118"/>
      <c r="AQ1336" s="118"/>
      <c r="AR1336" s="118"/>
      <c r="AS1336" s="118"/>
      <c r="AT1336" s="118"/>
      <c r="AU1336" s="118"/>
      <c r="AV1336" s="118"/>
      <c r="AW1336" s="118"/>
      <c r="AX1336" s="118"/>
      <c r="AY1336" s="118"/>
      <c r="AZ1336" s="118"/>
      <c r="BA1336" s="118"/>
      <c r="BB1336" s="118"/>
      <c r="BC1336" s="118"/>
      <c r="BD1336" s="118"/>
      <c r="BE1336" s="118"/>
      <c r="BF1336" s="118"/>
      <c r="BG1336" s="118"/>
      <c r="BH1336" s="118"/>
      <c r="BI1336" s="118"/>
      <c r="BJ1336" s="118"/>
      <c r="BK1336" s="118"/>
      <c r="BL1336" s="118"/>
      <c r="BM1336" s="118"/>
      <c r="BN1336" s="118"/>
      <c r="BO1336" s="118"/>
      <c r="BP1336" s="118"/>
      <c r="BQ1336" s="118"/>
      <c r="BR1336" s="118"/>
      <c r="BS1336" s="118"/>
      <c r="BT1336" s="118"/>
      <c r="BU1336" s="118"/>
      <c r="BV1336" s="118"/>
      <c r="BW1336" s="118"/>
      <c r="BX1336" s="118"/>
      <c r="BY1336" s="118"/>
      <c r="BZ1336" s="118"/>
      <c r="CA1336" s="118"/>
      <c r="CB1336" s="118"/>
      <c r="CC1336" s="118"/>
      <c r="CD1336" s="118"/>
      <c r="CE1336" s="118"/>
      <c r="CF1336" s="118"/>
      <c r="CG1336" s="118"/>
      <c r="CH1336" s="118"/>
      <c r="CI1336" s="118"/>
      <c r="CJ1336" s="118"/>
      <c r="CK1336" s="118"/>
      <c r="CL1336" s="118"/>
      <c r="CM1336" s="118"/>
      <c r="CN1336" s="118"/>
      <c r="CO1336" s="118"/>
      <c r="CP1336" s="118"/>
      <c r="CQ1336" s="118"/>
      <c r="CR1336" s="118"/>
      <c r="CS1336" s="118"/>
      <c r="CT1336" s="118"/>
      <c r="CU1336" s="118"/>
      <c r="CV1336" s="118"/>
      <c r="CW1336" s="118"/>
      <c r="CX1336" s="118"/>
      <c r="CY1336" s="118"/>
      <c r="CZ1336" s="118"/>
      <c r="DA1336" s="118"/>
      <c r="DB1336" s="118"/>
      <c r="DC1336" s="118"/>
      <c r="DD1336" s="118"/>
      <c r="DE1336" s="118"/>
      <c r="DF1336" s="118"/>
      <c r="DG1336" s="118"/>
      <c r="DH1336" s="118"/>
      <c r="DI1336" s="118"/>
      <c r="DJ1336" s="118"/>
      <c r="DK1336" s="118"/>
      <c r="DL1336" s="118"/>
      <c r="DM1336" s="118"/>
      <c r="DN1336" s="118"/>
      <c r="DO1336" s="118"/>
      <c r="DP1336" s="118"/>
      <c r="DQ1336" s="118"/>
      <c r="DR1336" s="118"/>
      <c r="DS1336" s="118"/>
      <c r="DT1336" s="118"/>
      <c r="DU1336" s="118"/>
      <c r="DV1336" s="118"/>
      <c r="DW1336" s="118"/>
      <c r="DX1336" s="118"/>
      <c r="DY1336" s="118"/>
      <c r="DZ1336" s="118"/>
      <c r="EA1336" s="118"/>
      <c r="EB1336" s="118"/>
      <c r="EC1336" s="118"/>
      <c r="ED1336" s="118"/>
      <c r="EE1336" s="118"/>
      <c r="EF1336" s="118"/>
      <c r="EG1336" s="118"/>
      <c r="EH1336" s="118"/>
      <c r="EI1336" s="118"/>
      <c r="EJ1336" s="118"/>
      <c r="EK1336" s="118"/>
      <c r="EL1336" s="118"/>
      <c r="EM1336" s="118"/>
      <c r="EN1336" s="118"/>
      <c r="EO1336" s="118"/>
      <c r="EP1336" s="118"/>
      <c r="EQ1336" s="118"/>
      <c r="ER1336" s="118"/>
      <c r="ES1336" s="118"/>
      <c r="ET1336" s="118"/>
      <c r="EU1336" s="118"/>
      <c r="EV1336" s="118"/>
      <c r="EW1336" s="118"/>
      <c r="EX1336" s="118"/>
      <c r="EY1336" s="118"/>
      <c r="EZ1336" s="118"/>
      <c r="FA1336" s="118"/>
      <c r="FB1336" s="118"/>
      <c r="FC1336" s="118"/>
      <c r="FD1336" s="118"/>
      <c r="FE1336" s="118"/>
      <c r="FF1336" s="118"/>
      <c r="FG1336" s="118"/>
      <c r="FH1336" s="118"/>
      <c r="FI1336" s="118"/>
      <c r="FJ1336" s="118"/>
      <c r="FK1336" s="118"/>
      <c r="FL1336" s="118"/>
      <c r="FM1336" s="118"/>
      <c r="FN1336" s="118"/>
      <c r="FO1336" s="118"/>
      <c r="FP1336" s="118"/>
      <c r="FQ1336" s="118"/>
      <c r="FR1336" s="118"/>
      <c r="FS1336" s="118"/>
      <c r="FT1336" s="118"/>
      <c r="FU1336" s="118"/>
      <c r="FV1336" s="118"/>
      <c r="FW1336" s="118"/>
      <c r="FX1336" s="118"/>
      <c r="FY1336" s="118"/>
      <c r="FZ1336" s="118"/>
      <c r="GA1336" s="118"/>
      <c r="GB1336" s="118"/>
      <c r="GC1336" s="118"/>
      <c r="GD1336" s="118"/>
      <c r="GE1336" s="118"/>
      <c r="GF1336" s="118"/>
      <c r="GG1336" s="118"/>
      <c r="GH1336" s="118"/>
      <c r="GI1336" s="118"/>
      <c r="GJ1336" s="118"/>
      <c r="GK1336" s="118"/>
      <c r="GL1336" s="118"/>
      <c r="GM1336" s="118"/>
      <c r="GN1336" s="118"/>
      <c r="GO1336" s="118"/>
      <c r="GP1336" s="118"/>
      <c r="GQ1336" s="118"/>
      <c r="GR1336" s="118"/>
      <c r="GS1336" s="118"/>
      <c r="GT1336" s="118"/>
      <c r="GU1336" s="118"/>
      <c r="GV1336" s="118"/>
      <c r="GW1336" s="118"/>
      <c r="GX1336" s="118"/>
      <c r="GY1336" s="118"/>
      <c r="GZ1336" s="118"/>
      <c r="HA1336" s="118"/>
      <c r="HB1336" s="118"/>
      <c r="HC1336" s="118"/>
      <c r="HD1336" s="118"/>
      <c r="HE1336" s="118"/>
      <c r="HF1336" s="118"/>
      <c r="HG1336" s="118"/>
      <c r="HH1336" s="118"/>
      <c r="HI1336" s="118"/>
      <c r="HJ1336" s="118"/>
      <c r="HK1336" s="118"/>
      <c r="HL1336" s="118"/>
      <c r="HM1336" s="118"/>
      <c r="HN1336" s="118"/>
      <c r="HO1336" s="118"/>
      <c r="HP1336" s="118"/>
      <c r="HQ1336" s="118"/>
      <c r="HR1336" s="118"/>
      <c r="HS1336" s="118"/>
      <c r="HT1336" s="118"/>
      <c r="HU1336" s="118"/>
      <c r="HV1336" s="118"/>
      <c r="HW1336" s="118"/>
      <c r="HX1336" s="118"/>
      <c r="HY1336" s="118"/>
      <c r="HZ1336" s="118"/>
      <c r="IA1336" s="118"/>
      <c r="IB1336" s="118"/>
      <c r="IC1336" s="118"/>
      <c r="ID1336" s="118"/>
      <c r="IE1336" s="118"/>
      <c r="IF1336" s="118"/>
      <c r="IG1336" s="118"/>
      <c r="IH1336" s="118"/>
      <c r="II1336" s="118"/>
      <c r="IJ1336" s="118"/>
    </row>
    <row r="1337" spans="1:244" s="128" customFormat="1" ht="12.75" customHeight="1">
      <c r="A1337" s="118">
        <v>1336</v>
      </c>
      <c r="B1337" s="128">
        <v>15</v>
      </c>
      <c r="C1337" s="156">
        <v>37712</v>
      </c>
      <c r="D1337" s="157" t="s">
        <v>47</v>
      </c>
      <c r="E1337" s="8">
        <v>2003</v>
      </c>
      <c r="F1337" s="158">
        <f t="shared" si="348"/>
        <v>151</v>
      </c>
      <c r="G1337" s="158">
        <f t="shared" si="349"/>
        <v>1</v>
      </c>
      <c r="H1337" s="162">
        <v>37561</v>
      </c>
      <c r="I1337" s="194">
        <v>676503</v>
      </c>
      <c r="J1337" s="15">
        <v>3.45</v>
      </c>
      <c r="K1337" s="15">
        <v>0.75</v>
      </c>
      <c r="L1337" s="15">
        <v>0.15</v>
      </c>
      <c r="M1337" s="174">
        <v>0</v>
      </c>
      <c r="N1337" s="528"/>
      <c r="O1337" s="15">
        <v>2.35</v>
      </c>
      <c r="P1337" s="8"/>
      <c r="Q1337" s="11">
        <v>8</v>
      </c>
      <c r="R1337" s="11">
        <v>32</v>
      </c>
      <c r="S1337" s="155"/>
      <c r="T1337" s="161">
        <f t="shared" si="350"/>
        <v>507377.25</v>
      </c>
      <c r="U1337" s="161">
        <f t="shared" si="350"/>
        <v>101475.45</v>
      </c>
      <c r="V1337" s="161">
        <f t="shared" si="351"/>
        <v>1589782.05</v>
      </c>
      <c r="W1337" s="161">
        <f t="shared" si="352"/>
        <v>635912.82000000007</v>
      </c>
      <c r="X1337" s="118"/>
      <c r="Y1337" s="118"/>
      <c r="Z1337" s="118"/>
      <c r="AA1337" s="118"/>
      <c r="AB1337" s="118"/>
      <c r="AC1337" s="118"/>
      <c r="AD1337" s="118"/>
      <c r="AE1337" s="118"/>
      <c r="AF1337" s="118"/>
      <c r="AG1337" s="118"/>
      <c r="AH1337" s="118"/>
      <c r="AI1337" s="118"/>
      <c r="AJ1337" s="118"/>
      <c r="AK1337" s="118"/>
      <c r="AL1337" s="118"/>
      <c r="AM1337" s="118"/>
      <c r="AN1337" s="118"/>
      <c r="AO1337" s="118"/>
      <c r="AP1337" s="118"/>
      <c r="AQ1337" s="118"/>
      <c r="AR1337" s="118"/>
      <c r="AS1337" s="118"/>
      <c r="AT1337" s="118"/>
      <c r="AU1337" s="118"/>
      <c r="AV1337" s="118"/>
      <c r="AW1337" s="118"/>
      <c r="AX1337" s="118"/>
      <c r="AY1337" s="118"/>
      <c r="AZ1337" s="118"/>
      <c r="BA1337" s="118"/>
      <c r="BB1337" s="118"/>
      <c r="BC1337" s="118"/>
      <c r="BD1337" s="118"/>
      <c r="BE1337" s="118"/>
      <c r="BF1337" s="118"/>
      <c r="BG1337" s="118"/>
      <c r="BH1337" s="118"/>
      <c r="BI1337" s="118"/>
      <c r="BJ1337" s="118"/>
      <c r="BK1337" s="118"/>
      <c r="BL1337" s="118"/>
      <c r="BM1337" s="118"/>
      <c r="BN1337" s="118"/>
      <c r="BO1337" s="118"/>
      <c r="BP1337" s="118"/>
      <c r="BQ1337" s="118"/>
      <c r="BR1337" s="118"/>
      <c r="BS1337" s="118"/>
      <c r="BT1337" s="118"/>
      <c r="BU1337" s="118"/>
      <c r="BV1337" s="118"/>
      <c r="BW1337" s="118"/>
      <c r="BX1337" s="118"/>
      <c r="BY1337" s="118"/>
      <c r="BZ1337" s="118"/>
      <c r="CA1337" s="118"/>
      <c r="CB1337" s="118"/>
      <c r="CC1337" s="118"/>
      <c r="CD1337" s="118"/>
      <c r="CE1337" s="118"/>
      <c r="CF1337" s="118"/>
      <c r="CG1337" s="118"/>
      <c r="CH1337" s="118"/>
      <c r="CI1337" s="118"/>
      <c r="CJ1337" s="118"/>
      <c r="CK1337" s="118"/>
      <c r="CL1337" s="118"/>
      <c r="CM1337" s="118"/>
      <c r="CN1337" s="118"/>
      <c r="CO1337" s="118"/>
      <c r="CP1337" s="118"/>
      <c r="CQ1337" s="118"/>
      <c r="CR1337" s="118"/>
      <c r="CS1337" s="118"/>
      <c r="CT1337" s="118"/>
      <c r="CU1337" s="118"/>
      <c r="CV1337" s="118"/>
      <c r="CW1337" s="118"/>
      <c r="CX1337" s="118"/>
      <c r="CY1337" s="118"/>
      <c r="CZ1337" s="118"/>
      <c r="DA1337" s="118"/>
      <c r="DB1337" s="118"/>
      <c r="DC1337" s="118"/>
      <c r="DD1337" s="118"/>
      <c r="DE1337" s="118"/>
      <c r="DF1337" s="118"/>
      <c r="DG1337" s="118"/>
      <c r="DH1337" s="118"/>
      <c r="DI1337" s="118"/>
      <c r="DJ1337" s="118"/>
      <c r="DK1337" s="118"/>
      <c r="DL1337" s="118"/>
      <c r="DM1337" s="118"/>
      <c r="DN1337" s="118"/>
      <c r="DO1337" s="118"/>
      <c r="DP1337" s="118"/>
      <c r="DQ1337" s="118"/>
      <c r="DR1337" s="118"/>
      <c r="DS1337" s="118"/>
      <c r="DT1337" s="118"/>
      <c r="DU1337" s="118"/>
      <c r="DV1337" s="118"/>
      <c r="DW1337" s="118"/>
      <c r="DX1337" s="118"/>
      <c r="DY1337" s="118"/>
      <c r="DZ1337" s="118"/>
      <c r="EA1337" s="118"/>
      <c r="EB1337" s="118"/>
      <c r="EC1337" s="118"/>
      <c r="ED1337" s="118"/>
      <c r="EE1337" s="118"/>
      <c r="EF1337" s="118"/>
      <c r="EG1337" s="118"/>
      <c r="EH1337" s="118"/>
      <c r="EI1337" s="118"/>
      <c r="EJ1337" s="118"/>
      <c r="EK1337" s="118"/>
      <c r="EL1337" s="118"/>
      <c r="EM1337" s="118"/>
      <c r="EN1337" s="118"/>
      <c r="EO1337" s="118"/>
      <c r="EP1337" s="118"/>
      <c r="EQ1337" s="118"/>
      <c r="ER1337" s="118"/>
      <c r="ES1337" s="118"/>
      <c r="ET1337" s="118"/>
      <c r="EU1337" s="118"/>
      <c r="EV1337" s="118"/>
      <c r="EW1337" s="118"/>
      <c r="EX1337" s="118"/>
      <c r="EY1337" s="118"/>
      <c r="EZ1337" s="118"/>
      <c r="FA1337" s="118"/>
      <c r="FB1337" s="118"/>
      <c r="FC1337" s="118"/>
      <c r="FD1337" s="118"/>
      <c r="FE1337" s="118"/>
      <c r="FF1337" s="118"/>
      <c r="FG1337" s="118"/>
      <c r="FH1337" s="118"/>
      <c r="FI1337" s="118"/>
      <c r="FJ1337" s="118"/>
      <c r="FK1337" s="118"/>
      <c r="FL1337" s="118"/>
      <c r="FM1337" s="118"/>
      <c r="FN1337" s="118"/>
      <c r="FO1337" s="118"/>
      <c r="FP1337" s="118"/>
      <c r="FQ1337" s="118"/>
      <c r="FR1337" s="118"/>
      <c r="FS1337" s="118"/>
      <c r="FT1337" s="118"/>
      <c r="FU1337" s="118"/>
      <c r="FV1337" s="118"/>
      <c r="FW1337" s="118"/>
      <c r="FX1337" s="118"/>
      <c r="FY1337" s="118"/>
      <c r="FZ1337" s="118"/>
      <c r="GA1337" s="118"/>
      <c r="GB1337" s="118"/>
      <c r="GC1337" s="118"/>
      <c r="GD1337" s="118"/>
      <c r="GE1337" s="118"/>
      <c r="GF1337" s="118"/>
      <c r="GG1337" s="118"/>
      <c r="GH1337" s="118"/>
      <c r="GI1337" s="118"/>
      <c r="GJ1337" s="118"/>
      <c r="GK1337" s="118"/>
      <c r="GL1337" s="118"/>
      <c r="GM1337" s="118"/>
      <c r="GN1337" s="118"/>
      <c r="GO1337" s="118"/>
      <c r="GP1337" s="118"/>
      <c r="GQ1337" s="118"/>
      <c r="GR1337" s="118"/>
      <c r="GS1337" s="118"/>
      <c r="GT1337" s="118"/>
      <c r="GU1337" s="118"/>
      <c r="GV1337" s="118"/>
      <c r="GW1337" s="118"/>
      <c r="GX1337" s="118"/>
      <c r="GY1337" s="118"/>
      <c r="GZ1337" s="118"/>
      <c r="HA1337" s="118"/>
      <c r="HB1337" s="118"/>
      <c r="HC1337" s="118"/>
      <c r="HD1337" s="118"/>
      <c r="HE1337" s="118"/>
      <c r="HF1337" s="118"/>
      <c r="HG1337" s="118"/>
      <c r="HH1337" s="118"/>
      <c r="HI1337" s="118"/>
      <c r="HJ1337" s="118"/>
      <c r="HK1337" s="118"/>
      <c r="HL1337" s="118"/>
      <c r="HM1337" s="118"/>
      <c r="HN1337" s="118"/>
      <c r="HO1337" s="118"/>
      <c r="HP1337" s="118"/>
      <c r="HQ1337" s="118"/>
      <c r="HR1337" s="118"/>
      <c r="HS1337" s="118"/>
      <c r="HT1337" s="118"/>
      <c r="HU1337" s="118"/>
      <c r="HV1337" s="118"/>
      <c r="HW1337" s="118"/>
      <c r="HX1337" s="118"/>
      <c r="HY1337" s="118"/>
      <c r="HZ1337" s="118"/>
      <c r="IA1337" s="118"/>
      <c r="IB1337" s="118"/>
      <c r="IC1337" s="118"/>
      <c r="ID1337" s="118"/>
      <c r="IE1337" s="118"/>
      <c r="IF1337" s="118"/>
      <c r="IG1337" s="118"/>
      <c r="IH1337" s="118"/>
      <c r="II1337" s="118"/>
      <c r="IJ1337" s="118"/>
    </row>
    <row r="1338" spans="1:244">
      <c r="A1338" s="118">
        <v>1337</v>
      </c>
      <c r="B1338" s="128">
        <v>15</v>
      </c>
      <c r="C1338" s="156">
        <v>37742</v>
      </c>
      <c r="D1338" s="157" t="s">
        <v>48</v>
      </c>
      <c r="E1338" s="8">
        <v>2003</v>
      </c>
      <c r="F1338" s="158">
        <f t="shared" si="348"/>
        <v>181</v>
      </c>
      <c r="G1338" s="158">
        <f t="shared" si="349"/>
        <v>1</v>
      </c>
      <c r="H1338" s="162">
        <v>37561</v>
      </c>
      <c r="I1338" s="194">
        <v>669484</v>
      </c>
      <c r="J1338" s="15">
        <v>2.9</v>
      </c>
      <c r="K1338" s="15">
        <v>0.65</v>
      </c>
      <c r="L1338" s="15">
        <v>0.1</v>
      </c>
      <c r="M1338" s="174">
        <v>0</v>
      </c>
      <c r="O1338" s="15">
        <v>2.95</v>
      </c>
      <c r="Q1338" s="11">
        <v>9.4</v>
      </c>
      <c r="R1338" s="11">
        <v>31</v>
      </c>
      <c r="T1338" s="161">
        <f t="shared" si="350"/>
        <v>435164.60000000003</v>
      </c>
      <c r="U1338" s="161">
        <f t="shared" si="350"/>
        <v>66948.400000000009</v>
      </c>
      <c r="V1338" s="161">
        <f t="shared" si="351"/>
        <v>1974977.8</v>
      </c>
      <c r="W1338" s="161">
        <f t="shared" si="352"/>
        <v>789991.12000000011</v>
      </c>
    </row>
    <row r="1339" spans="1:244">
      <c r="A1339" s="118">
        <v>1338</v>
      </c>
      <c r="B1339" s="128">
        <v>15</v>
      </c>
      <c r="C1339" s="156">
        <v>37773</v>
      </c>
      <c r="D1339" s="157" t="s">
        <v>49</v>
      </c>
      <c r="E1339" s="8">
        <v>2003</v>
      </c>
      <c r="F1339" s="158">
        <f t="shared" si="348"/>
        <v>212</v>
      </c>
      <c r="G1339" s="158">
        <f t="shared" si="349"/>
        <v>1</v>
      </c>
      <c r="H1339" s="162">
        <v>37561</v>
      </c>
      <c r="I1339" s="194">
        <v>662747</v>
      </c>
      <c r="J1339" s="15">
        <v>0.6</v>
      </c>
      <c r="K1339" s="15">
        <v>1.2</v>
      </c>
      <c r="L1339" s="15">
        <v>0.1</v>
      </c>
      <c r="M1339" s="174">
        <v>0</v>
      </c>
      <c r="O1339" s="15">
        <v>1.9</v>
      </c>
      <c r="Q1339" s="11">
        <v>10</v>
      </c>
      <c r="R1339" s="11">
        <v>28</v>
      </c>
      <c r="T1339" s="161">
        <f t="shared" si="350"/>
        <v>795296.4</v>
      </c>
      <c r="U1339" s="161">
        <f t="shared" si="350"/>
        <v>66274.7</v>
      </c>
      <c r="V1339" s="161">
        <f t="shared" si="351"/>
        <v>1259219.3</v>
      </c>
      <c r="W1339" s="161">
        <f t="shared" si="352"/>
        <v>503687.72000000003</v>
      </c>
    </row>
    <row r="1340" spans="1:244">
      <c r="A1340" s="118">
        <v>1339</v>
      </c>
      <c r="B1340" s="128">
        <v>15</v>
      </c>
      <c r="C1340" s="156">
        <v>37803</v>
      </c>
      <c r="D1340" s="157" t="s">
        <v>50</v>
      </c>
      <c r="E1340" s="8">
        <v>2003</v>
      </c>
      <c r="F1340" s="158">
        <f t="shared" si="348"/>
        <v>242</v>
      </c>
      <c r="G1340" s="158">
        <f t="shared" si="349"/>
        <v>1</v>
      </c>
      <c r="H1340" s="162">
        <v>37561</v>
      </c>
      <c r="I1340" s="194">
        <v>662747</v>
      </c>
      <c r="J1340" s="15">
        <v>0.5</v>
      </c>
      <c r="K1340" s="15">
        <v>0.6</v>
      </c>
      <c r="L1340" s="15">
        <v>0.1</v>
      </c>
      <c r="O1340" s="15">
        <v>1.4</v>
      </c>
      <c r="S1340" s="155" t="s">
        <v>311</v>
      </c>
      <c r="T1340" s="161">
        <f t="shared" si="350"/>
        <v>397648.2</v>
      </c>
      <c r="U1340" s="161">
        <f t="shared" si="350"/>
        <v>66274.7</v>
      </c>
      <c r="V1340" s="161">
        <f t="shared" si="351"/>
        <v>927845.79999999993</v>
      </c>
      <c r="W1340" s="161">
        <f t="shared" si="352"/>
        <v>371138.32</v>
      </c>
    </row>
    <row r="1341" spans="1:244">
      <c r="A1341" s="118">
        <v>1340</v>
      </c>
      <c r="B1341" s="128">
        <v>15</v>
      </c>
      <c r="C1341" s="156">
        <v>37834</v>
      </c>
      <c r="D1341" s="157" t="s">
        <v>51</v>
      </c>
      <c r="E1341" s="8">
        <v>2003</v>
      </c>
      <c r="F1341" s="158"/>
      <c r="H1341" s="162"/>
      <c r="I1341" s="194"/>
    </row>
    <row r="1342" spans="1:244">
      <c r="A1342" s="118">
        <v>1341</v>
      </c>
      <c r="B1342" s="128">
        <v>15</v>
      </c>
      <c r="C1342" s="156">
        <v>37865</v>
      </c>
      <c r="D1342" s="157" t="s">
        <v>52</v>
      </c>
      <c r="E1342" s="8">
        <v>2003</v>
      </c>
      <c r="F1342" s="158"/>
      <c r="H1342" s="162"/>
      <c r="I1342" s="194"/>
    </row>
    <row r="1343" spans="1:244">
      <c r="A1343" s="118">
        <v>1342</v>
      </c>
      <c r="B1343" s="128">
        <v>15</v>
      </c>
      <c r="C1343" s="156">
        <v>37895</v>
      </c>
      <c r="D1343" s="157" t="s">
        <v>53</v>
      </c>
      <c r="E1343" s="8">
        <v>2003</v>
      </c>
      <c r="F1343" s="158"/>
      <c r="H1343" s="162"/>
      <c r="I1343" s="194"/>
    </row>
    <row r="1344" spans="1:244">
      <c r="A1344" s="118">
        <v>1343</v>
      </c>
      <c r="B1344" s="128">
        <v>15</v>
      </c>
      <c r="C1344" s="156">
        <v>37926</v>
      </c>
      <c r="D1344" s="157" t="s">
        <v>54</v>
      </c>
      <c r="E1344" s="8">
        <v>2003</v>
      </c>
      <c r="F1344" s="158"/>
      <c r="H1344" s="162"/>
      <c r="I1344" s="194"/>
      <c r="X1344" s="128"/>
      <c r="Y1344" s="128"/>
      <c r="Z1344" s="128"/>
      <c r="AA1344" s="128"/>
      <c r="AB1344" s="128"/>
      <c r="AC1344" s="128"/>
      <c r="AD1344" s="128"/>
      <c r="AE1344" s="128"/>
      <c r="AF1344" s="128"/>
      <c r="AG1344" s="128"/>
      <c r="AH1344" s="128"/>
      <c r="AI1344" s="128"/>
      <c r="AJ1344" s="128"/>
      <c r="AK1344" s="128"/>
      <c r="AL1344" s="128"/>
      <c r="AM1344" s="128"/>
      <c r="AN1344" s="128"/>
      <c r="AO1344" s="128"/>
      <c r="AP1344" s="128"/>
      <c r="AQ1344" s="128"/>
      <c r="AR1344" s="128"/>
      <c r="AS1344" s="128"/>
      <c r="AT1344" s="128"/>
      <c r="AU1344" s="128"/>
      <c r="AV1344" s="128"/>
      <c r="AW1344" s="128"/>
      <c r="AX1344" s="128"/>
      <c r="AY1344" s="128"/>
      <c r="AZ1344" s="128"/>
      <c r="BA1344" s="128"/>
      <c r="BB1344" s="128"/>
      <c r="BC1344" s="128"/>
      <c r="BD1344" s="128"/>
      <c r="BE1344" s="128"/>
      <c r="BF1344" s="128"/>
      <c r="BG1344" s="128"/>
      <c r="BH1344" s="128"/>
      <c r="BI1344" s="128"/>
      <c r="BJ1344" s="128"/>
      <c r="BK1344" s="128"/>
      <c r="BL1344" s="128"/>
      <c r="BM1344" s="128"/>
      <c r="BN1344" s="128"/>
      <c r="BO1344" s="128"/>
      <c r="BP1344" s="128"/>
      <c r="BQ1344" s="128"/>
      <c r="BR1344" s="128"/>
      <c r="BS1344" s="128"/>
      <c r="BT1344" s="128"/>
      <c r="BU1344" s="128"/>
      <c r="BV1344" s="128"/>
      <c r="BW1344" s="128"/>
      <c r="BX1344" s="128"/>
      <c r="BY1344" s="128"/>
      <c r="BZ1344" s="128"/>
      <c r="CA1344" s="128"/>
      <c r="CB1344" s="128"/>
      <c r="CC1344" s="128"/>
      <c r="CD1344" s="128"/>
      <c r="CE1344" s="128"/>
      <c r="CF1344" s="128"/>
      <c r="CG1344" s="128"/>
      <c r="CH1344" s="128"/>
      <c r="CI1344" s="128"/>
      <c r="CJ1344" s="128"/>
      <c r="CK1344" s="128"/>
      <c r="CL1344" s="128"/>
      <c r="CM1344" s="128"/>
      <c r="CN1344" s="128"/>
      <c r="CO1344" s="128"/>
      <c r="CP1344" s="128"/>
      <c r="CQ1344" s="128"/>
      <c r="CR1344" s="128"/>
      <c r="CS1344" s="128"/>
      <c r="CT1344" s="128"/>
      <c r="CU1344" s="128"/>
      <c r="CV1344" s="128"/>
      <c r="CW1344" s="128"/>
      <c r="CX1344" s="128"/>
      <c r="CY1344" s="128"/>
      <c r="CZ1344" s="128"/>
      <c r="DA1344" s="128"/>
      <c r="DB1344" s="128"/>
      <c r="DC1344" s="128"/>
      <c r="DD1344" s="128"/>
      <c r="DE1344" s="128"/>
      <c r="DF1344" s="128"/>
      <c r="DG1344" s="128"/>
      <c r="DH1344" s="128"/>
      <c r="DI1344" s="128"/>
      <c r="DJ1344" s="128"/>
      <c r="DK1344" s="128"/>
      <c r="DL1344" s="128"/>
      <c r="DM1344" s="128"/>
      <c r="DN1344" s="128"/>
      <c r="DO1344" s="128"/>
      <c r="DP1344" s="128"/>
      <c r="DQ1344" s="128"/>
      <c r="DR1344" s="128"/>
      <c r="DS1344" s="128"/>
      <c r="DT1344" s="128"/>
      <c r="DU1344" s="128"/>
      <c r="DV1344" s="128"/>
      <c r="DW1344" s="128"/>
      <c r="DX1344" s="128"/>
      <c r="DY1344" s="128"/>
      <c r="DZ1344" s="128"/>
      <c r="EA1344" s="128"/>
      <c r="EB1344" s="128"/>
      <c r="EC1344" s="128"/>
      <c r="ED1344" s="128"/>
      <c r="EE1344" s="128"/>
      <c r="EF1344" s="128"/>
      <c r="EG1344" s="128"/>
      <c r="EH1344" s="128"/>
      <c r="EI1344" s="128"/>
      <c r="EJ1344" s="128"/>
      <c r="EK1344" s="128"/>
      <c r="EL1344" s="128"/>
      <c r="EM1344" s="128"/>
      <c r="EN1344" s="128"/>
      <c r="EO1344" s="128"/>
      <c r="EP1344" s="128"/>
      <c r="EQ1344" s="128"/>
      <c r="ER1344" s="128"/>
      <c r="ES1344" s="128"/>
      <c r="ET1344" s="128"/>
      <c r="EU1344" s="128"/>
      <c r="EV1344" s="128"/>
      <c r="EW1344" s="128"/>
      <c r="EX1344" s="128"/>
      <c r="EY1344" s="128"/>
      <c r="EZ1344" s="128"/>
      <c r="FA1344" s="128"/>
      <c r="FB1344" s="128"/>
      <c r="FC1344" s="128"/>
      <c r="FD1344" s="128"/>
      <c r="FE1344" s="128"/>
      <c r="FF1344" s="128"/>
      <c r="FG1344" s="128"/>
      <c r="FH1344" s="128"/>
      <c r="FI1344" s="128"/>
      <c r="FJ1344" s="128"/>
      <c r="FK1344" s="128"/>
      <c r="FL1344" s="128"/>
      <c r="FM1344" s="128"/>
      <c r="FN1344" s="128"/>
      <c r="FO1344" s="128"/>
      <c r="FP1344" s="128"/>
      <c r="FQ1344" s="128"/>
      <c r="FR1344" s="128"/>
      <c r="FS1344" s="128"/>
      <c r="FT1344" s="128"/>
      <c r="FU1344" s="128"/>
      <c r="FV1344" s="128"/>
      <c r="FW1344" s="128"/>
      <c r="FX1344" s="128"/>
      <c r="FY1344" s="128"/>
      <c r="FZ1344" s="128"/>
      <c r="GA1344" s="128"/>
      <c r="GB1344" s="128"/>
      <c r="GC1344" s="128"/>
      <c r="GD1344" s="128"/>
      <c r="GE1344" s="128"/>
      <c r="GF1344" s="128"/>
      <c r="GG1344" s="128"/>
      <c r="GH1344" s="128"/>
      <c r="GI1344" s="128"/>
      <c r="GJ1344" s="128"/>
      <c r="GK1344" s="128"/>
      <c r="GL1344" s="128"/>
      <c r="GM1344" s="128"/>
      <c r="GN1344" s="128"/>
      <c r="GO1344" s="128"/>
      <c r="GP1344" s="128"/>
      <c r="GQ1344" s="128"/>
      <c r="GR1344" s="128"/>
      <c r="GS1344" s="128"/>
      <c r="GT1344" s="128"/>
      <c r="GU1344" s="128"/>
      <c r="GV1344" s="128"/>
      <c r="GW1344" s="128"/>
      <c r="GX1344" s="128"/>
      <c r="GY1344" s="128"/>
      <c r="GZ1344" s="128"/>
      <c r="HA1344" s="128"/>
      <c r="HB1344" s="128"/>
      <c r="HC1344" s="128"/>
      <c r="HD1344" s="128"/>
      <c r="HE1344" s="128"/>
      <c r="HF1344" s="128"/>
      <c r="HG1344" s="128"/>
      <c r="HH1344" s="128"/>
      <c r="HI1344" s="128"/>
      <c r="HJ1344" s="128"/>
      <c r="HK1344" s="128"/>
      <c r="HL1344" s="128"/>
      <c r="HM1344" s="128"/>
      <c r="HN1344" s="128"/>
      <c r="HO1344" s="128"/>
      <c r="HP1344" s="128"/>
      <c r="HQ1344" s="128"/>
      <c r="HR1344" s="128"/>
      <c r="HS1344" s="128"/>
      <c r="HT1344" s="128"/>
      <c r="HU1344" s="128"/>
      <c r="HV1344" s="128"/>
      <c r="HW1344" s="128"/>
      <c r="HX1344" s="128"/>
      <c r="HY1344" s="128"/>
      <c r="HZ1344" s="128"/>
      <c r="IA1344" s="128"/>
      <c r="IB1344" s="128"/>
      <c r="IC1344" s="128"/>
      <c r="ID1344" s="128"/>
      <c r="IE1344" s="128"/>
      <c r="IF1344" s="128"/>
      <c r="IG1344" s="128"/>
      <c r="IH1344" s="128"/>
      <c r="II1344" s="128"/>
      <c r="IJ1344" s="128"/>
    </row>
    <row r="1345" spans="1:244">
      <c r="A1345" s="118">
        <v>1344</v>
      </c>
      <c r="B1345" s="128">
        <v>15</v>
      </c>
      <c r="C1345" s="156">
        <v>37956</v>
      </c>
      <c r="D1345" s="157" t="s">
        <v>55</v>
      </c>
      <c r="E1345" s="8">
        <v>2003</v>
      </c>
      <c r="F1345" s="158"/>
      <c r="H1345" s="162"/>
      <c r="I1345" s="194"/>
      <c r="X1345" s="128"/>
      <c r="Y1345" s="128"/>
      <c r="Z1345" s="128"/>
      <c r="AA1345" s="128"/>
      <c r="AB1345" s="128"/>
      <c r="AC1345" s="128"/>
      <c r="AD1345" s="128"/>
      <c r="AE1345" s="128"/>
      <c r="AF1345" s="128"/>
      <c r="AG1345" s="128"/>
      <c r="AH1345" s="128"/>
      <c r="AI1345" s="128"/>
      <c r="AJ1345" s="128"/>
      <c r="AK1345" s="128"/>
      <c r="AL1345" s="128"/>
      <c r="AM1345" s="128"/>
      <c r="AN1345" s="128"/>
      <c r="AO1345" s="128"/>
      <c r="AP1345" s="128"/>
      <c r="AQ1345" s="128"/>
      <c r="AR1345" s="128"/>
      <c r="AS1345" s="128"/>
      <c r="AT1345" s="128"/>
      <c r="AU1345" s="128"/>
      <c r="AV1345" s="128"/>
      <c r="AW1345" s="128"/>
      <c r="AX1345" s="128"/>
      <c r="AY1345" s="128"/>
      <c r="AZ1345" s="128"/>
      <c r="BA1345" s="128"/>
      <c r="BB1345" s="128"/>
      <c r="BC1345" s="128"/>
      <c r="BD1345" s="128"/>
      <c r="BE1345" s="128"/>
      <c r="BF1345" s="128"/>
      <c r="BG1345" s="128"/>
      <c r="BH1345" s="128"/>
      <c r="BI1345" s="128"/>
      <c r="BJ1345" s="128"/>
      <c r="BK1345" s="128"/>
      <c r="BL1345" s="128"/>
      <c r="BM1345" s="128"/>
      <c r="BN1345" s="128"/>
      <c r="BO1345" s="128"/>
      <c r="BP1345" s="128"/>
      <c r="BQ1345" s="128"/>
      <c r="BR1345" s="128"/>
      <c r="BS1345" s="128"/>
      <c r="BT1345" s="128"/>
      <c r="BU1345" s="128"/>
      <c r="BV1345" s="128"/>
      <c r="BW1345" s="128"/>
      <c r="BX1345" s="128"/>
      <c r="BY1345" s="128"/>
      <c r="BZ1345" s="128"/>
      <c r="CA1345" s="128"/>
      <c r="CB1345" s="128"/>
      <c r="CC1345" s="128"/>
      <c r="CD1345" s="128"/>
      <c r="CE1345" s="128"/>
      <c r="CF1345" s="128"/>
      <c r="CG1345" s="128"/>
      <c r="CH1345" s="128"/>
      <c r="CI1345" s="128"/>
      <c r="CJ1345" s="128"/>
      <c r="CK1345" s="128"/>
      <c r="CL1345" s="128"/>
      <c r="CM1345" s="128"/>
      <c r="CN1345" s="128"/>
      <c r="CO1345" s="128"/>
      <c r="CP1345" s="128"/>
      <c r="CQ1345" s="128"/>
      <c r="CR1345" s="128"/>
      <c r="CS1345" s="128"/>
      <c r="CT1345" s="128"/>
      <c r="CU1345" s="128"/>
      <c r="CV1345" s="128"/>
      <c r="CW1345" s="128"/>
      <c r="CX1345" s="128"/>
      <c r="CY1345" s="128"/>
      <c r="CZ1345" s="128"/>
      <c r="DA1345" s="128"/>
      <c r="DB1345" s="128"/>
      <c r="DC1345" s="128"/>
      <c r="DD1345" s="128"/>
      <c r="DE1345" s="128"/>
      <c r="DF1345" s="128"/>
      <c r="DG1345" s="128"/>
      <c r="DH1345" s="128"/>
      <c r="DI1345" s="128"/>
      <c r="DJ1345" s="128"/>
      <c r="DK1345" s="128"/>
      <c r="DL1345" s="128"/>
      <c r="DM1345" s="128"/>
      <c r="DN1345" s="128"/>
      <c r="DO1345" s="128"/>
      <c r="DP1345" s="128"/>
      <c r="DQ1345" s="128"/>
      <c r="DR1345" s="128"/>
      <c r="DS1345" s="128"/>
      <c r="DT1345" s="128"/>
      <c r="DU1345" s="128"/>
      <c r="DV1345" s="128"/>
      <c r="DW1345" s="128"/>
      <c r="DX1345" s="128"/>
      <c r="DY1345" s="128"/>
      <c r="DZ1345" s="128"/>
      <c r="EA1345" s="128"/>
      <c r="EB1345" s="128"/>
      <c r="EC1345" s="128"/>
      <c r="ED1345" s="128"/>
      <c r="EE1345" s="128"/>
      <c r="EF1345" s="128"/>
      <c r="EG1345" s="128"/>
      <c r="EH1345" s="128"/>
      <c r="EI1345" s="128"/>
      <c r="EJ1345" s="128"/>
      <c r="EK1345" s="128"/>
      <c r="EL1345" s="128"/>
      <c r="EM1345" s="128"/>
      <c r="EN1345" s="128"/>
      <c r="EO1345" s="128"/>
      <c r="EP1345" s="128"/>
      <c r="EQ1345" s="128"/>
      <c r="ER1345" s="128"/>
      <c r="ES1345" s="128"/>
      <c r="ET1345" s="128"/>
      <c r="EU1345" s="128"/>
      <c r="EV1345" s="128"/>
      <c r="EW1345" s="128"/>
      <c r="EX1345" s="128"/>
      <c r="EY1345" s="128"/>
      <c r="EZ1345" s="128"/>
      <c r="FA1345" s="128"/>
      <c r="FB1345" s="128"/>
      <c r="FC1345" s="128"/>
      <c r="FD1345" s="128"/>
      <c r="FE1345" s="128"/>
      <c r="FF1345" s="128"/>
      <c r="FG1345" s="128"/>
      <c r="FH1345" s="128"/>
      <c r="FI1345" s="128"/>
      <c r="FJ1345" s="128"/>
      <c r="FK1345" s="128"/>
      <c r="FL1345" s="128"/>
      <c r="FM1345" s="128"/>
      <c r="FN1345" s="128"/>
      <c r="FO1345" s="128"/>
      <c r="FP1345" s="128"/>
      <c r="FQ1345" s="128"/>
      <c r="FR1345" s="128"/>
      <c r="FS1345" s="128"/>
      <c r="FT1345" s="128"/>
      <c r="FU1345" s="128"/>
      <c r="FV1345" s="128"/>
      <c r="FW1345" s="128"/>
      <c r="FX1345" s="128"/>
      <c r="FY1345" s="128"/>
      <c r="FZ1345" s="128"/>
      <c r="GA1345" s="128"/>
      <c r="GB1345" s="128"/>
      <c r="GC1345" s="128"/>
      <c r="GD1345" s="128"/>
      <c r="GE1345" s="128"/>
      <c r="GF1345" s="128"/>
      <c r="GG1345" s="128"/>
      <c r="GH1345" s="128"/>
      <c r="GI1345" s="128"/>
      <c r="GJ1345" s="128"/>
      <c r="GK1345" s="128"/>
      <c r="GL1345" s="128"/>
      <c r="GM1345" s="128"/>
      <c r="GN1345" s="128"/>
      <c r="GO1345" s="128"/>
      <c r="GP1345" s="128"/>
      <c r="GQ1345" s="128"/>
      <c r="GR1345" s="128"/>
      <c r="GS1345" s="128"/>
      <c r="GT1345" s="128"/>
      <c r="GU1345" s="128"/>
      <c r="GV1345" s="128"/>
      <c r="GW1345" s="128"/>
      <c r="GX1345" s="128"/>
      <c r="GY1345" s="128"/>
      <c r="GZ1345" s="128"/>
      <c r="HA1345" s="128"/>
      <c r="HB1345" s="128"/>
      <c r="HC1345" s="128"/>
      <c r="HD1345" s="128"/>
      <c r="HE1345" s="128"/>
      <c r="HF1345" s="128"/>
      <c r="HG1345" s="128"/>
      <c r="HH1345" s="128"/>
      <c r="HI1345" s="128"/>
      <c r="HJ1345" s="128"/>
      <c r="HK1345" s="128"/>
      <c r="HL1345" s="128"/>
      <c r="HM1345" s="128"/>
      <c r="HN1345" s="128"/>
      <c r="HO1345" s="128"/>
      <c r="HP1345" s="128"/>
      <c r="HQ1345" s="128"/>
      <c r="HR1345" s="128"/>
      <c r="HS1345" s="128"/>
      <c r="HT1345" s="128"/>
      <c r="HU1345" s="128"/>
      <c r="HV1345" s="128"/>
      <c r="HW1345" s="128"/>
      <c r="HX1345" s="128"/>
      <c r="HY1345" s="128"/>
      <c r="HZ1345" s="128"/>
      <c r="IA1345" s="128"/>
      <c r="IB1345" s="128"/>
      <c r="IC1345" s="128"/>
      <c r="ID1345" s="128"/>
      <c r="IE1345" s="128"/>
      <c r="IF1345" s="128"/>
      <c r="IG1345" s="128"/>
      <c r="IH1345" s="128"/>
      <c r="II1345" s="128"/>
      <c r="IJ1345" s="128"/>
    </row>
    <row r="1346" spans="1:244">
      <c r="A1346" s="118">
        <v>1345</v>
      </c>
      <c r="B1346" s="128">
        <v>16</v>
      </c>
      <c r="C1346" s="156">
        <v>36526</v>
      </c>
      <c r="D1346" s="157" t="s">
        <v>44</v>
      </c>
      <c r="E1346" s="8">
        <v>2000</v>
      </c>
      <c r="F1346" s="158">
        <f t="shared" ref="F1346:F1351" si="353">C1346-H1346</f>
        <v>640</v>
      </c>
      <c r="G1346" s="158">
        <f>IF(F1346&lt;365,1,2)</f>
        <v>2</v>
      </c>
      <c r="H1346" s="162">
        <v>35886</v>
      </c>
      <c r="I1346" s="163">
        <v>249897</v>
      </c>
      <c r="J1346" s="11"/>
      <c r="K1346" s="11"/>
      <c r="L1346" s="11"/>
      <c r="O1346" s="11"/>
      <c r="T1346" s="11"/>
      <c r="V1346" s="11"/>
      <c r="W1346" s="11"/>
      <c r="X1346" s="128"/>
      <c r="Y1346" s="128"/>
      <c r="Z1346" s="128"/>
      <c r="AA1346" s="128"/>
      <c r="AB1346" s="128"/>
      <c r="AC1346" s="128"/>
      <c r="AD1346" s="128"/>
      <c r="AE1346" s="128"/>
      <c r="AF1346" s="128"/>
      <c r="AG1346" s="128"/>
      <c r="AH1346" s="128"/>
      <c r="AI1346" s="128"/>
      <c r="AJ1346" s="128"/>
      <c r="AK1346" s="128"/>
      <c r="AL1346" s="128"/>
      <c r="AM1346" s="128"/>
      <c r="AN1346" s="128"/>
      <c r="AO1346" s="128"/>
      <c r="AP1346" s="128"/>
      <c r="AQ1346" s="128"/>
      <c r="AR1346" s="128"/>
      <c r="AS1346" s="128"/>
      <c r="AT1346" s="128"/>
      <c r="AU1346" s="128"/>
      <c r="AV1346" s="128"/>
      <c r="AW1346" s="128"/>
      <c r="AX1346" s="128"/>
      <c r="AY1346" s="128"/>
      <c r="AZ1346" s="128"/>
      <c r="BA1346" s="128"/>
      <c r="BB1346" s="128"/>
      <c r="BC1346" s="128"/>
      <c r="BD1346" s="128"/>
      <c r="BE1346" s="128"/>
      <c r="BF1346" s="128"/>
      <c r="BG1346" s="128"/>
      <c r="BH1346" s="128"/>
      <c r="BI1346" s="128"/>
      <c r="BJ1346" s="128"/>
      <c r="BK1346" s="128"/>
      <c r="BL1346" s="128"/>
      <c r="BM1346" s="128"/>
      <c r="BN1346" s="128"/>
      <c r="BO1346" s="128"/>
      <c r="BP1346" s="128"/>
      <c r="BQ1346" s="128"/>
      <c r="BR1346" s="128"/>
      <c r="BS1346" s="128"/>
      <c r="BT1346" s="128"/>
      <c r="BU1346" s="128"/>
      <c r="BV1346" s="128"/>
      <c r="BW1346" s="128"/>
      <c r="BX1346" s="128"/>
      <c r="BY1346" s="128"/>
      <c r="BZ1346" s="128"/>
      <c r="CA1346" s="128"/>
      <c r="CB1346" s="128"/>
      <c r="CC1346" s="128"/>
      <c r="CD1346" s="128"/>
      <c r="CE1346" s="128"/>
      <c r="CF1346" s="128"/>
      <c r="CG1346" s="128"/>
      <c r="CH1346" s="128"/>
      <c r="CI1346" s="128"/>
      <c r="CJ1346" s="128"/>
      <c r="CK1346" s="128"/>
      <c r="CL1346" s="128"/>
      <c r="CM1346" s="128"/>
      <c r="CN1346" s="128"/>
      <c r="CO1346" s="128"/>
      <c r="CP1346" s="128"/>
      <c r="CQ1346" s="128"/>
      <c r="CR1346" s="128"/>
      <c r="CS1346" s="128"/>
      <c r="CT1346" s="128"/>
      <c r="CU1346" s="128"/>
      <c r="CV1346" s="128"/>
      <c r="CW1346" s="128"/>
      <c r="CX1346" s="128"/>
      <c r="CY1346" s="128"/>
      <c r="CZ1346" s="128"/>
      <c r="DA1346" s="128"/>
      <c r="DB1346" s="128"/>
      <c r="DC1346" s="128"/>
      <c r="DD1346" s="128"/>
      <c r="DE1346" s="128"/>
      <c r="DF1346" s="128"/>
      <c r="DG1346" s="128"/>
      <c r="DH1346" s="128"/>
      <c r="DI1346" s="128"/>
      <c r="DJ1346" s="128"/>
      <c r="DK1346" s="128"/>
      <c r="DL1346" s="128"/>
      <c r="DM1346" s="128"/>
      <c r="DN1346" s="128"/>
      <c r="DO1346" s="128"/>
      <c r="DP1346" s="128"/>
      <c r="DQ1346" s="128"/>
      <c r="DR1346" s="128"/>
      <c r="DS1346" s="128"/>
      <c r="DT1346" s="128"/>
      <c r="DU1346" s="128"/>
      <c r="DV1346" s="128"/>
      <c r="DW1346" s="128"/>
      <c r="DX1346" s="128"/>
      <c r="DY1346" s="128"/>
      <c r="DZ1346" s="128"/>
      <c r="EA1346" s="128"/>
      <c r="EB1346" s="128"/>
      <c r="EC1346" s="128"/>
      <c r="ED1346" s="128"/>
      <c r="EE1346" s="128"/>
      <c r="EF1346" s="128"/>
      <c r="EG1346" s="128"/>
      <c r="EH1346" s="128"/>
      <c r="EI1346" s="128"/>
      <c r="EJ1346" s="128"/>
      <c r="EK1346" s="128"/>
      <c r="EL1346" s="128"/>
      <c r="EM1346" s="128"/>
      <c r="EN1346" s="128"/>
      <c r="EO1346" s="128"/>
      <c r="EP1346" s="128"/>
      <c r="EQ1346" s="128"/>
      <c r="ER1346" s="128"/>
      <c r="ES1346" s="128"/>
      <c r="ET1346" s="128"/>
      <c r="EU1346" s="128"/>
      <c r="EV1346" s="128"/>
      <c r="EW1346" s="128"/>
      <c r="EX1346" s="128"/>
      <c r="EY1346" s="128"/>
      <c r="EZ1346" s="128"/>
      <c r="FA1346" s="128"/>
      <c r="FB1346" s="128"/>
      <c r="FC1346" s="128"/>
      <c r="FD1346" s="128"/>
      <c r="FE1346" s="128"/>
      <c r="FF1346" s="128"/>
      <c r="FG1346" s="128"/>
      <c r="FH1346" s="128"/>
      <c r="FI1346" s="128"/>
      <c r="FJ1346" s="128"/>
      <c r="FK1346" s="128"/>
      <c r="FL1346" s="128"/>
      <c r="FM1346" s="128"/>
      <c r="FN1346" s="128"/>
      <c r="FO1346" s="128"/>
      <c r="FP1346" s="128"/>
      <c r="FQ1346" s="128"/>
      <c r="FR1346" s="128"/>
      <c r="FS1346" s="128"/>
      <c r="FT1346" s="128"/>
      <c r="FU1346" s="128"/>
      <c r="FV1346" s="128"/>
      <c r="FW1346" s="128"/>
      <c r="FX1346" s="128"/>
      <c r="FY1346" s="128"/>
      <c r="FZ1346" s="128"/>
      <c r="GA1346" s="128"/>
      <c r="GB1346" s="128"/>
      <c r="GC1346" s="128"/>
      <c r="GD1346" s="128"/>
      <c r="GE1346" s="128"/>
      <c r="GF1346" s="128"/>
      <c r="GG1346" s="128"/>
      <c r="GH1346" s="128"/>
      <c r="GI1346" s="128"/>
      <c r="GJ1346" s="128"/>
      <c r="GK1346" s="128"/>
      <c r="GL1346" s="128"/>
      <c r="GM1346" s="128"/>
      <c r="GN1346" s="128"/>
      <c r="GO1346" s="128"/>
      <c r="GP1346" s="128"/>
      <c r="GQ1346" s="128"/>
      <c r="GR1346" s="128"/>
      <c r="GS1346" s="128"/>
      <c r="GT1346" s="128"/>
      <c r="GU1346" s="128"/>
      <c r="GV1346" s="128"/>
      <c r="GW1346" s="128"/>
      <c r="GX1346" s="128"/>
      <c r="GY1346" s="128"/>
      <c r="GZ1346" s="128"/>
      <c r="HA1346" s="128"/>
      <c r="HB1346" s="128"/>
      <c r="HC1346" s="128"/>
      <c r="HD1346" s="128"/>
      <c r="HE1346" s="128"/>
      <c r="HF1346" s="128"/>
      <c r="HG1346" s="128"/>
      <c r="HH1346" s="128"/>
      <c r="HI1346" s="128"/>
      <c r="HJ1346" s="128"/>
      <c r="HK1346" s="128"/>
      <c r="HL1346" s="128"/>
      <c r="HM1346" s="128"/>
      <c r="HN1346" s="128"/>
      <c r="HO1346" s="128"/>
      <c r="HP1346" s="128"/>
      <c r="HQ1346" s="128"/>
      <c r="HR1346" s="128"/>
      <c r="HS1346" s="128"/>
      <c r="HT1346" s="128"/>
      <c r="HU1346" s="128"/>
      <c r="HV1346" s="128"/>
      <c r="HW1346" s="128"/>
      <c r="HX1346" s="128"/>
      <c r="HY1346" s="128"/>
      <c r="HZ1346" s="128"/>
      <c r="IA1346" s="128"/>
      <c r="IB1346" s="128"/>
      <c r="IC1346" s="128"/>
      <c r="ID1346" s="128"/>
      <c r="IE1346" s="128"/>
      <c r="IF1346" s="128"/>
      <c r="IG1346" s="128"/>
      <c r="IH1346" s="128"/>
      <c r="II1346" s="128"/>
      <c r="IJ1346" s="128"/>
    </row>
    <row r="1347" spans="1:244">
      <c r="A1347" s="118">
        <v>1346</v>
      </c>
      <c r="B1347" s="128">
        <v>16</v>
      </c>
      <c r="C1347" s="156">
        <v>36557</v>
      </c>
      <c r="D1347" s="157" t="s">
        <v>45</v>
      </c>
      <c r="E1347" s="8">
        <v>2000</v>
      </c>
      <c r="F1347" s="158">
        <f t="shared" si="353"/>
        <v>671</v>
      </c>
      <c r="G1347" s="158">
        <f>IF(F1347&lt;365,1,2)</f>
        <v>2</v>
      </c>
      <c r="H1347" s="162">
        <v>35886</v>
      </c>
      <c r="I1347" s="163">
        <v>190664</v>
      </c>
      <c r="J1347" s="11"/>
      <c r="K1347" s="11"/>
      <c r="L1347" s="11"/>
      <c r="O1347" s="11"/>
      <c r="T1347" s="11"/>
      <c r="V1347" s="11"/>
      <c r="W1347" s="11"/>
      <c r="X1347" s="128"/>
      <c r="Y1347" s="128"/>
      <c r="Z1347" s="128"/>
      <c r="AA1347" s="128"/>
      <c r="AB1347" s="128"/>
      <c r="AC1347" s="128"/>
      <c r="AD1347" s="128"/>
      <c r="AE1347" s="128"/>
      <c r="AF1347" s="128"/>
      <c r="AG1347" s="128"/>
      <c r="AH1347" s="128"/>
      <c r="AI1347" s="128"/>
      <c r="AJ1347" s="128"/>
      <c r="AK1347" s="128"/>
      <c r="AL1347" s="128"/>
      <c r="AM1347" s="128"/>
      <c r="AN1347" s="128"/>
      <c r="AO1347" s="128"/>
      <c r="AP1347" s="128"/>
      <c r="AQ1347" s="128"/>
      <c r="AR1347" s="128"/>
      <c r="AS1347" s="128"/>
      <c r="AT1347" s="128"/>
      <c r="AU1347" s="128"/>
      <c r="AV1347" s="128"/>
      <c r="AW1347" s="128"/>
      <c r="AX1347" s="128"/>
      <c r="AY1347" s="128"/>
      <c r="AZ1347" s="128"/>
      <c r="BA1347" s="128"/>
      <c r="BB1347" s="128"/>
      <c r="BC1347" s="128"/>
      <c r="BD1347" s="128"/>
      <c r="BE1347" s="128"/>
      <c r="BF1347" s="128"/>
      <c r="BG1347" s="128"/>
      <c r="BH1347" s="128"/>
      <c r="BI1347" s="128"/>
      <c r="BJ1347" s="128"/>
      <c r="BK1347" s="128"/>
      <c r="BL1347" s="128"/>
      <c r="BM1347" s="128"/>
      <c r="BN1347" s="128"/>
      <c r="BO1347" s="128"/>
      <c r="BP1347" s="128"/>
      <c r="BQ1347" s="128"/>
      <c r="BR1347" s="128"/>
      <c r="BS1347" s="128"/>
      <c r="BT1347" s="128"/>
      <c r="BU1347" s="128"/>
      <c r="BV1347" s="128"/>
      <c r="BW1347" s="128"/>
      <c r="BX1347" s="128"/>
      <c r="BY1347" s="128"/>
      <c r="BZ1347" s="128"/>
      <c r="CA1347" s="128"/>
      <c r="CB1347" s="128"/>
      <c r="CC1347" s="128"/>
      <c r="CD1347" s="128"/>
      <c r="CE1347" s="128"/>
      <c r="CF1347" s="128"/>
      <c r="CG1347" s="128"/>
      <c r="CH1347" s="128"/>
      <c r="CI1347" s="128"/>
      <c r="CJ1347" s="128"/>
      <c r="CK1347" s="128"/>
      <c r="CL1347" s="128"/>
      <c r="CM1347" s="128"/>
      <c r="CN1347" s="128"/>
      <c r="CO1347" s="128"/>
      <c r="CP1347" s="128"/>
      <c r="CQ1347" s="128"/>
      <c r="CR1347" s="128"/>
      <c r="CS1347" s="128"/>
      <c r="CT1347" s="128"/>
      <c r="CU1347" s="128"/>
      <c r="CV1347" s="128"/>
      <c r="CW1347" s="128"/>
      <c r="CX1347" s="128"/>
      <c r="CY1347" s="128"/>
      <c r="CZ1347" s="128"/>
      <c r="DA1347" s="128"/>
      <c r="DB1347" s="128"/>
      <c r="DC1347" s="128"/>
      <c r="DD1347" s="128"/>
      <c r="DE1347" s="128"/>
      <c r="DF1347" s="128"/>
      <c r="DG1347" s="128"/>
      <c r="DH1347" s="128"/>
      <c r="DI1347" s="128"/>
      <c r="DJ1347" s="128"/>
      <c r="DK1347" s="128"/>
      <c r="DL1347" s="128"/>
      <c r="DM1347" s="128"/>
      <c r="DN1347" s="128"/>
      <c r="DO1347" s="128"/>
      <c r="DP1347" s="128"/>
      <c r="DQ1347" s="128"/>
      <c r="DR1347" s="128"/>
      <c r="DS1347" s="128"/>
      <c r="DT1347" s="128"/>
      <c r="DU1347" s="128"/>
      <c r="DV1347" s="128"/>
      <c r="DW1347" s="128"/>
      <c r="DX1347" s="128"/>
      <c r="DY1347" s="128"/>
      <c r="DZ1347" s="128"/>
      <c r="EA1347" s="128"/>
      <c r="EB1347" s="128"/>
      <c r="EC1347" s="128"/>
      <c r="ED1347" s="128"/>
      <c r="EE1347" s="128"/>
      <c r="EF1347" s="128"/>
      <c r="EG1347" s="128"/>
      <c r="EH1347" s="128"/>
      <c r="EI1347" s="128"/>
      <c r="EJ1347" s="128"/>
      <c r="EK1347" s="128"/>
      <c r="EL1347" s="128"/>
      <c r="EM1347" s="128"/>
      <c r="EN1347" s="128"/>
      <c r="EO1347" s="128"/>
      <c r="EP1347" s="128"/>
      <c r="EQ1347" s="128"/>
      <c r="ER1347" s="128"/>
      <c r="ES1347" s="128"/>
      <c r="ET1347" s="128"/>
      <c r="EU1347" s="128"/>
      <c r="EV1347" s="128"/>
      <c r="EW1347" s="128"/>
      <c r="EX1347" s="128"/>
      <c r="EY1347" s="128"/>
      <c r="EZ1347" s="128"/>
      <c r="FA1347" s="128"/>
      <c r="FB1347" s="128"/>
      <c r="FC1347" s="128"/>
      <c r="FD1347" s="128"/>
      <c r="FE1347" s="128"/>
      <c r="FF1347" s="128"/>
      <c r="FG1347" s="128"/>
      <c r="FH1347" s="128"/>
      <c r="FI1347" s="128"/>
      <c r="FJ1347" s="128"/>
      <c r="FK1347" s="128"/>
      <c r="FL1347" s="128"/>
      <c r="FM1347" s="128"/>
      <c r="FN1347" s="128"/>
      <c r="FO1347" s="128"/>
      <c r="FP1347" s="128"/>
      <c r="FQ1347" s="128"/>
      <c r="FR1347" s="128"/>
      <c r="FS1347" s="128"/>
      <c r="FT1347" s="128"/>
      <c r="FU1347" s="128"/>
      <c r="FV1347" s="128"/>
      <c r="FW1347" s="128"/>
      <c r="FX1347" s="128"/>
      <c r="FY1347" s="128"/>
      <c r="FZ1347" s="128"/>
      <c r="GA1347" s="128"/>
      <c r="GB1347" s="128"/>
      <c r="GC1347" s="128"/>
      <c r="GD1347" s="128"/>
      <c r="GE1347" s="128"/>
      <c r="GF1347" s="128"/>
      <c r="GG1347" s="128"/>
      <c r="GH1347" s="128"/>
      <c r="GI1347" s="128"/>
      <c r="GJ1347" s="128"/>
      <c r="GK1347" s="128"/>
      <c r="GL1347" s="128"/>
      <c r="GM1347" s="128"/>
      <c r="GN1347" s="128"/>
      <c r="GO1347" s="128"/>
      <c r="GP1347" s="128"/>
      <c r="GQ1347" s="128"/>
      <c r="GR1347" s="128"/>
      <c r="GS1347" s="128"/>
      <c r="GT1347" s="128"/>
      <c r="GU1347" s="128"/>
      <c r="GV1347" s="128"/>
      <c r="GW1347" s="128"/>
      <c r="GX1347" s="128"/>
      <c r="GY1347" s="128"/>
      <c r="GZ1347" s="128"/>
      <c r="HA1347" s="128"/>
      <c r="HB1347" s="128"/>
      <c r="HC1347" s="128"/>
      <c r="HD1347" s="128"/>
      <c r="HE1347" s="128"/>
      <c r="HF1347" s="128"/>
      <c r="HG1347" s="128"/>
      <c r="HH1347" s="128"/>
      <c r="HI1347" s="128"/>
      <c r="HJ1347" s="128"/>
      <c r="HK1347" s="128"/>
      <c r="HL1347" s="128"/>
      <c r="HM1347" s="128"/>
      <c r="HN1347" s="128"/>
      <c r="HO1347" s="128"/>
      <c r="HP1347" s="128"/>
      <c r="HQ1347" s="128"/>
      <c r="HR1347" s="128"/>
      <c r="HS1347" s="128"/>
      <c r="HT1347" s="128"/>
      <c r="HU1347" s="128"/>
      <c r="HV1347" s="128"/>
      <c r="HW1347" s="128"/>
      <c r="HX1347" s="128"/>
      <c r="HY1347" s="128"/>
      <c r="HZ1347" s="128"/>
      <c r="IA1347" s="128"/>
      <c r="IB1347" s="128"/>
      <c r="IC1347" s="128"/>
      <c r="ID1347" s="128"/>
      <c r="IE1347" s="128"/>
      <c r="IF1347" s="128"/>
      <c r="IG1347" s="128"/>
      <c r="IH1347" s="128"/>
      <c r="II1347" s="128"/>
      <c r="IJ1347" s="128"/>
    </row>
    <row r="1348" spans="1:244">
      <c r="A1348" s="118">
        <v>1347</v>
      </c>
      <c r="B1348" s="128">
        <v>16</v>
      </c>
      <c r="C1348" s="156">
        <v>36586</v>
      </c>
      <c r="D1348" s="157" t="s">
        <v>46</v>
      </c>
      <c r="E1348" s="8">
        <v>2000</v>
      </c>
      <c r="F1348" s="158">
        <f t="shared" si="353"/>
        <v>700</v>
      </c>
      <c r="G1348" s="158">
        <f>IF(F1348&lt;365,1,2)</f>
        <v>2</v>
      </c>
      <c r="H1348" s="162">
        <v>35886</v>
      </c>
      <c r="I1348" s="163">
        <v>128654</v>
      </c>
      <c r="J1348" s="11"/>
      <c r="K1348" s="11"/>
      <c r="L1348" s="11"/>
      <c r="O1348" s="11"/>
      <c r="T1348" s="11"/>
      <c r="V1348" s="11"/>
      <c r="W1348" s="11"/>
      <c r="X1348" s="128"/>
      <c r="Y1348" s="128"/>
      <c r="Z1348" s="128"/>
      <c r="AA1348" s="128"/>
      <c r="AB1348" s="128"/>
      <c r="AC1348" s="128"/>
      <c r="AD1348" s="128"/>
      <c r="AE1348" s="128"/>
      <c r="AF1348" s="128"/>
      <c r="AG1348" s="128"/>
      <c r="AH1348" s="128"/>
      <c r="AI1348" s="128"/>
      <c r="AJ1348" s="128"/>
      <c r="AK1348" s="128"/>
      <c r="AL1348" s="128"/>
      <c r="AM1348" s="128"/>
      <c r="AN1348" s="128"/>
      <c r="AO1348" s="128"/>
      <c r="AP1348" s="128"/>
      <c r="AQ1348" s="128"/>
      <c r="AR1348" s="128"/>
      <c r="AS1348" s="128"/>
      <c r="AT1348" s="128"/>
      <c r="AU1348" s="128"/>
      <c r="AV1348" s="128"/>
      <c r="AW1348" s="128"/>
      <c r="AX1348" s="128"/>
      <c r="AY1348" s="128"/>
      <c r="AZ1348" s="128"/>
      <c r="BA1348" s="128"/>
      <c r="BB1348" s="128"/>
      <c r="BC1348" s="128"/>
      <c r="BD1348" s="128"/>
      <c r="BE1348" s="128"/>
      <c r="BF1348" s="128"/>
      <c r="BG1348" s="128"/>
      <c r="BH1348" s="128"/>
      <c r="BI1348" s="128"/>
      <c r="BJ1348" s="128"/>
      <c r="BK1348" s="128"/>
      <c r="BL1348" s="128"/>
      <c r="BM1348" s="128"/>
      <c r="BN1348" s="128"/>
      <c r="BO1348" s="128"/>
      <c r="BP1348" s="128"/>
      <c r="BQ1348" s="128"/>
      <c r="BR1348" s="128"/>
      <c r="BS1348" s="128"/>
      <c r="BT1348" s="128"/>
      <c r="BU1348" s="128"/>
      <c r="BV1348" s="128"/>
      <c r="BW1348" s="128"/>
      <c r="BX1348" s="128"/>
      <c r="BY1348" s="128"/>
      <c r="BZ1348" s="128"/>
      <c r="CA1348" s="128"/>
      <c r="CB1348" s="128"/>
      <c r="CC1348" s="128"/>
      <c r="CD1348" s="128"/>
      <c r="CE1348" s="128"/>
      <c r="CF1348" s="128"/>
      <c r="CG1348" s="128"/>
      <c r="CH1348" s="128"/>
      <c r="CI1348" s="128"/>
      <c r="CJ1348" s="128"/>
      <c r="CK1348" s="128"/>
      <c r="CL1348" s="128"/>
      <c r="CM1348" s="128"/>
      <c r="CN1348" s="128"/>
      <c r="CO1348" s="128"/>
      <c r="CP1348" s="128"/>
      <c r="CQ1348" s="128"/>
      <c r="CR1348" s="128"/>
      <c r="CS1348" s="128"/>
      <c r="CT1348" s="128"/>
      <c r="CU1348" s="128"/>
      <c r="CV1348" s="128"/>
      <c r="CW1348" s="128"/>
      <c r="CX1348" s="128"/>
      <c r="CY1348" s="128"/>
      <c r="CZ1348" s="128"/>
      <c r="DA1348" s="128"/>
      <c r="DB1348" s="128"/>
      <c r="DC1348" s="128"/>
      <c r="DD1348" s="128"/>
      <c r="DE1348" s="128"/>
      <c r="DF1348" s="128"/>
      <c r="DG1348" s="128"/>
      <c r="DH1348" s="128"/>
      <c r="DI1348" s="128"/>
      <c r="DJ1348" s="128"/>
      <c r="DK1348" s="128"/>
      <c r="DL1348" s="128"/>
      <c r="DM1348" s="128"/>
      <c r="DN1348" s="128"/>
      <c r="DO1348" s="128"/>
      <c r="DP1348" s="128"/>
      <c r="DQ1348" s="128"/>
      <c r="DR1348" s="128"/>
      <c r="DS1348" s="128"/>
      <c r="DT1348" s="128"/>
      <c r="DU1348" s="128"/>
      <c r="DV1348" s="128"/>
      <c r="DW1348" s="128"/>
      <c r="DX1348" s="128"/>
      <c r="DY1348" s="128"/>
      <c r="DZ1348" s="128"/>
      <c r="EA1348" s="128"/>
      <c r="EB1348" s="128"/>
      <c r="EC1348" s="128"/>
      <c r="ED1348" s="128"/>
      <c r="EE1348" s="128"/>
      <c r="EF1348" s="128"/>
      <c r="EG1348" s="128"/>
      <c r="EH1348" s="128"/>
      <c r="EI1348" s="128"/>
      <c r="EJ1348" s="128"/>
      <c r="EK1348" s="128"/>
      <c r="EL1348" s="128"/>
      <c r="EM1348" s="128"/>
      <c r="EN1348" s="128"/>
      <c r="EO1348" s="128"/>
      <c r="EP1348" s="128"/>
      <c r="EQ1348" s="128"/>
      <c r="ER1348" s="128"/>
      <c r="ES1348" s="128"/>
      <c r="ET1348" s="128"/>
      <c r="EU1348" s="128"/>
      <c r="EV1348" s="128"/>
      <c r="EW1348" s="128"/>
      <c r="EX1348" s="128"/>
      <c r="EY1348" s="128"/>
      <c r="EZ1348" s="128"/>
      <c r="FA1348" s="128"/>
      <c r="FB1348" s="128"/>
      <c r="FC1348" s="128"/>
      <c r="FD1348" s="128"/>
      <c r="FE1348" s="128"/>
      <c r="FF1348" s="128"/>
      <c r="FG1348" s="128"/>
      <c r="FH1348" s="128"/>
      <c r="FI1348" s="128"/>
      <c r="FJ1348" s="128"/>
      <c r="FK1348" s="128"/>
      <c r="FL1348" s="128"/>
      <c r="FM1348" s="128"/>
      <c r="FN1348" s="128"/>
      <c r="FO1348" s="128"/>
      <c r="FP1348" s="128"/>
      <c r="FQ1348" s="128"/>
      <c r="FR1348" s="128"/>
      <c r="FS1348" s="128"/>
      <c r="FT1348" s="128"/>
      <c r="FU1348" s="128"/>
      <c r="FV1348" s="128"/>
      <c r="FW1348" s="128"/>
      <c r="FX1348" s="128"/>
      <c r="FY1348" s="128"/>
      <c r="FZ1348" s="128"/>
      <c r="GA1348" s="128"/>
      <c r="GB1348" s="128"/>
      <c r="GC1348" s="128"/>
      <c r="GD1348" s="128"/>
      <c r="GE1348" s="128"/>
      <c r="GF1348" s="128"/>
      <c r="GG1348" s="128"/>
      <c r="GH1348" s="128"/>
      <c r="GI1348" s="128"/>
      <c r="GJ1348" s="128"/>
      <c r="GK1348" s="128"/>
      <c r="GL1348" s="128"/>
      <c r="GM1348" s="128"/>
      <c r="GN1348" s="128"/>
      <c r="GO1348" s="128"/>
      <c r="GP1348" s="128"/>
      <c r="GQ1348" s="128"/>
      <c r="GR1348" s="128"/>
      <c r="GS1348" s="128"/>
      <c r="GT1348" s="128"/>
      <c r="GU1348" s="128"/>
      <c r="GV1348" s="128"/>
      <c r="GW1348" s="128"/>
      <c r="GX1348" s="128"/>
      <c r="GY1348" s="128"/>
      <c r="GZ1348" s="128"/>
      <c r="HA1348" s="128"/>
      <c r="HB1348" s="128"/>
      <c r="HC1348" s="128"/>
      <c r="HD1348" s="128"/>
      <c r="HE1348" s="128"/>
      <c r="HF1348" s="128"/>
      <c r="HG1348" s="128"/>
      <c r="HH1348" s="128"/>
      <c r="HI1348" s="128"/>
      <c r="HJ1348" s="128"/>
      <c r="HK1348" s="128"/>
      <c r="HL1348" s="128"/>
      <c r="HM1348" s="128"/>
      <c r="HN1348" s="128"/>
      <c r="HO1348" s="128"/>
      <c r="HP1348" s="128"/>
      <c r="HQ1348" s="128"/>
      <c r="HR1348" s="128"/>
      <c r="HS1348" s="128"/>
      <c r="HT1348" s="128"/>
      <c r="HU1348" s="128"/>
      <c r="HV1348" s="128"/>
      <c r="HW1348" s="128"/>
      <c r="HX1348" s="128"/>
      <c r="HY1348" s="128"/>
      <c r="HZ1348" s="128"/>
      <c r="IA1348" s="128"/>
      <c r="IB1348" s="128"/>
      <c r="IC1348" s="128"/>
      <c r="ID1348" s="128"/>
      <c r="IE1348" s="128"/>
      <c r="IF1348" s="128"/>
      <c r="IG1348" s="128"/>
      <c r="IH1348" s="128"/>
      <c r="II1348" s="128"/>
      <c r="IJ1348" s="128"/>
    </row>
    <row r="1349" spans="1:244">
      <c r="A1349" s="118">
        <v>1348</v>
      </c>
      <c r="B1349" s="260">
        <v>16</v>
      </c>
      <c r="C1349" s="156">
        <v>36617</v>
      </c>
      <c r="D1349" s="157" t="s">
        <v>47</v>
      </c>
      <c r="E1349" s="8">
        <v>2000</v>
      </c>
      <c r="F1349" s="158">
        <f t="shared" si="353"/>
        <v>731</v>
      </c>
      <c r="G1349" s="158">
        <f>IF(F1349&lt;730,2,3)</f>
        <v>3</v>
      </c>
      <c r="H1349" s="162">
        <v>35886</v>
      </c>
      <c r="I1349" s="163">
        <v>65501</v>
      </c>
      <c r="J1349" s="11"/>
      <c r="K1349" s="11"/>
      <c r="L1349" s="11"/>
      <c r="O1349" s="11"/>
      <c r="T1349" s="11"/>
      <c r="V1349" s="11"/>
      <c r="W1349" s="11"/>
      <c r="X1349" s="128"/>
      <c r="Y1349" s="128"/>
      <c r="Z1349" s="128"/>
      <c r="AA1349" s="128"/>
      <c r="AB1349" s="128"/>
      <c r="AC1349" s="128"/>
      <c r="AD1349" s="128"/>
      <c r="AE1349" s="128"/>
      <c r="AF1349" s="128"/>
      <c r="AG1349" s="128"/>
      <c r="AH1349" s="128"/>
      <c r="AI1349" s="128"/>
      <c r="AJ1349" s="128"/>
      <c r="AK1349" s="128"/>
      <c r="AL1349" s="128"/>
      <c r="AM1349" s="128"/>
      <c r="AN1349" s="128"/>
      <c r="AO1349" s="128"/>
      <c r="AP1349" s="128"/>
      <c r="AQ1349" s="128"/>
      <c r="AR1349" s="128"/>
      <c r="AS1349" s="128"/>
      <c r="AT1349" s="128"/>
      <c r="AU1349" s="128"/>
      <c r="AV1349" s="128"/>
      <c r="AW1349" s="128"/>
      <c r="AX1349" s="128"/>
      <c r="AY1349" s="128"/>
      <c r="AZ1349" s="128"/>
      <c r="BA1349" s="128"/>
      <c r="BB1349" s="128"/>
      <c r="BC1349" s="128"/>
      <c r="BD1349" s="128"/>
      <c r="BE1349" s="128"/>
      <c r="BF1349" s="128"/>
      <c r="BG1349" s="128"/>
      <c r="BH1349" s="128"/>
      <c r="BI1349" s="128"/>
      <c r="BJ1349" s="128"/>
      <c r="BK1349" s="128"/>
      <c r="BL1349" s="128"/>
      <c r="BM1349" s="128"/>
      <c r="BN1349" s="128"/>
      <c r="BO1349" s="128"/>
      <c r="BP1349" s="128"/>
      <c r="BQ1349" s="128"/>
      <c r="BR1349" s="128"/>
      <c r="BS1349" s="128"/>
      <c r="BT1349" s="128"/>
      <c r="BU1349" s="128"/>
      <c r="BV1349" s="128"/>
      <c r="BW1349" s="128"/>
      <c r="BX1349" s="128"/>
      <c r="BY1349" s="128"/>
      <c r="BZ1349" s="128"/>
      <c r="CA1349" s="128"/>
      <c r="CB1349" s="128"/>
      <c r="CC1349" s="128"/>
      <c r="CD1349" s="128"/>
      <c r="CE1349" s="128"/>
      <c r="CF1349" s="128"/>
      <c r="CG1349" s="128"/>
      <c r="CH1349" s="128"/>
      <c r="CI1349" s="128"/>
      <c r="CJ1349" s="128"/>
      <c r="CK1349" s="128"/>
      <c r="CL1349" s="128"/>
      <c r="CM1349" s="128"/>
      <c r="CN1349" s="128"/>
      <c r="CO1349" s="128"/>
      <c r="CP1349" s="128"/>
      <c r="CQ1349" s="128"/>
      <c r="CR1349" s="128"/>
      <c r="CS1349" s="128"/>
      <c r="CT1349" s="128"/>
      <c r="CU1349" s="128"/>
      <c r="CV1349" s="128"/>
      <c r="CW1349" s="128"/>
      <c r="CX1349" s="128"/>
      <c r="CY1349" s="128"/>
      <c r="CZ1349" s="128"/>
      <c r="DA1349" s="128"/>
      <c r="DB1349" s="128"/>
      <c r="DC1349" s="128"/>
      <c r="DD1349" s="128"/>
      <c r="DE1349" s="128"/>
      <c r="DF1349" s="128"/>
      <c r="DG1349" s="128"/>
      <c r="DH1349" s="128"/>
      <c r="DI1349" s="128"/>
      <c r="DJ1349" s="128"/>
      <c r="DK1349" s="128"/>
      <c r="DL1349" s="128"/>
      <c r="DM1349" s="128"/>
      <c r="DN1349" s="128"/>
      <c r="DO1349" s="128"/>
      <c r="DP1349" s="128"/>
      <c r="DQ1349" s="128"/>
      <c r="DR1349" s="128"/>
      <c r="DS1349" s="128"/>
      <c r="DT1349" s="128"/>
      <c r="DU1349" s="128"/>
      <c r="DV1349" s="128"/>
      <c r="DW1349" s="128"/>
      <c r="DX1349" s="128"/>
      <c r="DY1349" s="128"/>
      <c r="DZ1349" s="128"/>
      <c r="EA1349" s="128"/>
      <c r="EB1349" s="128"/>
      <c r="EC1349" s="128"/>
      <c r="ED1349" s="128"/>
      <c r="EE1349" s="128"/>
      <c r="EF1349" s="128"/>
      <c r="EG1349" s="128"/>
      <c r="EH1349" s="128"/>
      <c r="EI1349" s="128"/>
      <c r="EJ1349" s="128"/>
      <c r="EK1349" s="128"/>
      <c r="EL1349" s="128"/>
      <c r="EM1349" s="128"/>
      <c r="EN1349" s="128"/>
      <c r="EO1349" s="128"/>
      <c r="EP1349" s="128"/>
      <c r="EQ1349" s="128"/>
      <c r="ER1349" s="128"/>
      <c r="ES1349" s="128"/>
      <c r="ET1349" s="128"/>
      <c r="EU1349" s="128"/>
      <c r="EV1349" s="128"/>
      <c r="EW1349" s="128"/>
      <c r="EX1349" s="128"/>
      <c r="EY1349" s="128"/>
      <c r="EZ1349" s="128"/>
      <c r="FA1349" s="128"/>
      <c r="FB1349" s="128"/>
      <c r="FC1349" s="128"/>
      <c r="FD1349" s="128"/>
      <c r="FE1349" s="128"/>
      <c r="FF1349" s="128"/>
      <c r="FG1349" s="128"/>
      <c r="FH1349" s="128"/>
      <c r="FI1349" s="128"/>
      <c r="FJ1349" s="128"/>
      <c r="FK1349" s="128"/>
      <c r="FL1349" s="128"/>
      <c r="FM1349" s="128"/>
      <c r="FN1349" s="128"/>
      <c r="FO1349" s="128"/>
      <c r="FP1349" s="128"/>
      <c r="FQ1349" s="128"/>
      <c r="FR1349" s="128"/>
      <c r="FS1349" s="128"/>
      <c r="FT1349" s="128"/>
      <c r="FU1349" s="128"/>
      <c r="FV1349" s="128"/>
      <c r="FW1349" s="128"/>
      <c r="FX1349" s="128"/>
      <c r="FY1349" s="128"/>
      <c r="FZ1349" s="128"/>
      <c r="GA1349" s="128"/>
      <c r="GB1349" s="128"/>
      <c r="GC1349" s="128"/>
      <c r="GD1349" s="128"/>
      <c r="GE1349" s="128"/>
      <c r="GF1349" s="128"/>
      <c r="GG1349" s="128"/>
      <c r="GH1349" s="128"/>
      <c r="GI1349" s="128"/>
      <c r="GJ1349" s="128"/>
      <c r="GK1349" s="128"/>
      <c r="GL1349" s="128"/>
      <c r="GM1349" s="128"/>
      <c r="GN1349" s="128"/>
      <c r="GO1349" s="128"/>
      <c r="GP1349" s="128"/>
      <c r="GQ1349" s="128"/>
      <c r="GR1349" s="128"/>
      <c r="GS1349" s="128"/>
      <c r="GT1349" s="128"/>
      <c r="GU1349" s="128"/>
      <c r="GV1349" s="128"/>
      <c r="GW1349" s="128"/>
      <c r="GX1349" s="128"/>
      <c r="GY1349" s="128"/>
      <c r="GZ1349" s="128"/>
      <c r="HA1349" s="128"/>
      <c r="HB1349" s="128"/>
      <c r="HC1349" s="128"/>
      <c r="HD1349" s="128"/>
      <c r="HE1349" s="128"/>
      <c r="HF1349" s="128"/>
      <c r="HG1349" s="128"/>
      <c r="HH1349" s="128"/>
      <c r="HI1349" s="128"/>
      <c r="HJ1349" s="128"/>
      <c r="HK1349" s="128"/>
      <c r="HL1349" s="128"/>
      <c r="HM1349" s="128"/>
      <c r="HN1349" s="128"/>
      <c r="HO1349" s="128"/>
      <c r="HP1349" s="128"/>
      <c r="HQ1349" s="128"/>
      <c r="HR1349" s="128"/>
      <c r="HS1349" s="128"/>
      <c r="HT1349" s="128"/>
      <c r="HU1349" s="128"/>
      <c r="HV1349" s="128"/>
      <c r="HW1349" s="128"/>
      <c r="HX1349" s="128"/>
      <c r="HY1349" s="128"/>
      <c r="HZ1349" s="128"/>
      <c r="IA1349" s="128"/>
      <c r="IB1349" s="128"/>
      <c r="IC1349" s="128"/>
      <c r="ID1349" s="128"/>
      <c r="IE1349" s="128"/>
      <c r="IF1349" s="128"/>
      <c r="IG1349" s="128"/>
      <c r="IH1349" s="128"/>
      <c r="II1349" s="128"/>
      <c r="IJ1349" s="128"/>
    </row>
    <row r="1350" spans="1:244" ht="12.75" customHeight="1">
      <c r="A1350" s="118">
        <v>1349</v>
      </c>
      <c r="B1350" s="260">
        <v>16</v>
      </c>
      <c r="C1350" s="156">
        <v>36647</v>
      </c>
      <c r="D1350" s="157" t="s">
        <v>48</v>
      </c>
      <c r="E1350" s="8">
        <v>2000</v>
      </c>
      <c r="F1350" s="158">
        <f t="shared" si="353"/>
        <v>761</v>
      </c>
      <c r="G1350" s="158">
        <f>IF(F1350&lt;730,2,3)</f>
        <v>3</v>
      </c>
      <c r="H1350" s="162">
        <v>35886</v>
      </c>
      <c r="I1350" s="163">
        <v>52936</v>
      </c>
      <c r="J1350" s="11"/>
      <c r="K1350" s="11"/>
      <c r="L1350" s="11"/>
      <c r="O1350" s="11"/>
      <c r="T1350" s="11"/>
      <c r="V1350" s="11"/>
      <c r="W1350" s="11"/>
    </row>
    <row r="1351" spans="1:244" ht="12.75" customHeight="1">
      <c r="A1351" s="118">
        <v>1350</v>
      </c>
      <c r="B1351" s="260">
        <v>16</v>
      </c>
      <c r="C1351" s="156">
        <v>36678</v>
      </c>
      <c r="D1351" s="157" t="s">
        <v>49</v>
      </c>
      <c r="E1351" s="8">
        <v>2000</v>
      </c>
      <c r="F1351" s="158">
        <f t="shared" si="353"/>
        <v>792</v>
      </c>
      <c r="G1351" s="158">
        <f>IF(F1351&lt;730,2,3)</f>
        <v>3</v>
      </c>
      <c r="H1351" s="162">
        <v>35886</v>
      </c>
      <c r="I1351" s="163">
        <v>8500</v>
      </c>
      <c r="J1351" s="11"/>
      <c r="K1351" s="11"/>
      <c r="L1351" s="11"/>
      <c r="O1351" s="11"/>
      <c r="T1351" s="11"/>
      <c r="V1351" s="11"/>
      <c r="W1351" s="11"/>
    </row>
    <row r="1352" spans="1:244" ht="12.75" customHeight="1">
      <c r="A1352" s="118">
        <v>1351</v>
      </c>
      <c r="B1352" s="128">
        <v>16</v>
      </c>
      <c r="C1352" s="156">
        <v>36708</v>
      </c>
      <c r="D1352" s="157" t="s">
        <v>50</v>
      </c>
      <c r="E1352" s="8">
        <v>2000</v>
      </c>
      <c r="F1352" s="158"/>
      <c r="G1352" s="162"/>
      <c r="J1352" s="11"/>
      <c r="K1352" s="11"/>
      <c r="L1352" s="11"/>
      <c r="O1352" s="11"/>
      <c r="T1352" s="11"/>
      <c r="V1352" s="11"/>
      <c r="W1352" s="11"/>
    </row>
    <row r="1353" spans="1:244" ht="12.75" customHeight="1">
      <c r="A1353" s="118">
        <v>1352</v>
      </c>
      <c r="B1353" s="128">
        <v>16</v>
      </c>
      <c r="C1353" s="156">
        <v>36739</v>
      </c>
      <c r="D1353" s="157" t="s">
        <v>51</v>
      </c>
      <c r="E1353" s="8">
        <v>2000</v>
      </c>
      <c r="F1353" s="158"/>
      <c r="G1353" s="162"/>
      <c r="J1353" s="11"/>
      <c r="K1353" s="11"/>
      <c r="L1353" s="11"/>
      <c r="O1353" s="11"/>
      <c r="T1353" s="11"/>
      <c r="V1353" s="11"/>
      <c r="W1353" s="11"/>
    </row>
    <row r="1354" spans="1:244" ht="12.75" customHeight="1">
      <c r="A1354" s="118">
        <v>1353</v>
      </c>
      <c r="B1354" s="128">
        <v>16</v>
      </c>
      <c r="C1354" s="156">
        <v>36770</v>
      </c>
      <c r="D1354" s="157" t="s">
        <v>52</v>
      </c>
      <c r="E1354" s="8">
        <v>2000</v>
      </c>
      <c r="F1354" s="158"/>
      <c r="G1354" s="162"/>
      <c r="J1354" s="11"/>
      <c r="K1354" s="11"/>
      <c r="L1354" s="11"/>
      <c r="O1354" s="11"/>
      <c r="T1354" s="11"/>
      <c r="V1354" s="11"/>
      <c r="W1354" s="11"/>
    </row>
    <row r="1355" spans="1:244" ht="12.75" customHeight="1">
      <c r="A1355" s="118">
        <v>1354</v>
      </c>
      <c r="B1355" s="128">
        <v>16</v>
      </c>
      <c r="C1355" s="156">
        <v>36800</v>
      </c>
      <c r="D1355" s="157" t="s">
        <v>53</v>
      </c>
      <c r="E1355" s="8">
        <v>2000</v>
      </c>
      <c r="F1355" s="158">
        <f t="shared" ref="F1355:F1370" si="354">C1355-H1355</f>
        <v>183</v>
      </c>
      <c r="G1355" s="158">
        <f t="shared" ref="G1355:G1370" si="355">IF(F1355&lt;365,1,2)</f>
        <v>1</v>
      </c>
      <c r="H1355" s="162">
        <v>36617</v>
      </c>
      <c r="I1355" s="163">
        <v>312595</v>
      </c>
      <c r="J1355" s="11"/>
      <c r="K1355" s="11"/>
      <c r="L1355" s="11"/>
      <c r="O1355" s="11"/>
      <c r="T1355" s="11"/>
      <c r="V1355" s="11"/>
      <c r="W1355" s="11"/>
    </row>
    <row r="1356" spans="1:244" ht="12.75" customHeight="1">
      <c r="A1356" s="118">
        <v>1355</v>
      </c>
      <c r="B1356" s="128">
        <v>16</v>
      </c>
      <c r="C1356" s="156">
        <v>36831</v>
      </c>
      <c r="D1356" s="157" t="s">
        <v>54</v>
      </c>
      <c r="E1356" s="8">
        <v>2000</v>
      </c>
      <c r="F1356" s="158">
        <f t="shared" si="354"/>
        <v>214</v>
      </c>
      <c r="G1356" s="158">
        <f t="shared" si="355"/>
        <v>1</v>
      </c>
      <c r="H1356" s="162">
        <v>36617</v>
      </c>
      <c r="I1356" s="163">
        <v>312203</v>
      </c>
      <c r="J1356" s="11"/>
      <c r="K1356" s="11"/>
      <c r="L1356" s="11"/>
      <c r="O1356" s="11"/>
      <c r="T1356" s="11"/>
      <c r="V1356" s="11"/>
      <c r="W1356" s="11"/>
    </row>
    <row r="1357" spans="1:244" ht="12.75" customHeight="1">
      <c r="A1357" s="118">
        <v>1356</v>
      </c>
      <c r="B1357" s="128">
        <v>16</v>
      </c>
      <c r="C1357" s="156">
        <v>36861</v>
      </c>
      <c r="D1357" s="157" t="s">
        <v>55</v>
      </c>
      <c r="E1357" s="8">
        <v>2000</v>
      </c>
      <c r="F1357" s="158">
        <f t="shared" si="354"/>
        <v>244</v>
      </c>
      <c r="G1357" s="158">
        <f t="shared" si="355"/>
        <v>1</v>
      </c>
      <c r="H1357" s="162">
        <v>36617</v>
      </c>
      <c r="I1357" s="163">
        <v>311044</v>
      </c>
      <c r="J1357" s="11"/>
      <c r="K1357" s="11"/>
      <c r="L1357" s="11"/>
      <c r="O1357" s="11"/>
      <c r="T1357" s="11"/>
      <c r="V1357" s="11"/>
      <c r="W1357" s="11"/>
    </row>
    <row r="1358" spans="1:244" ht="12.75" customHeight="1">
      <c r="A1358" s="118">
        <v>1357</v>
      </c>
      <c r="B1358" s="128">
        <v>16</v>
      </c>
      <c r="C1358" s="156">
        <v>36892</v>
      </c>
      <c r="D1358" s="157" t="s">
        <v>44</v>
      </c>
      <c r="E1358" s="8">
        <v>2001</v>
      </c>
      <c r="F1358" s="158">
        <f t="shared" si="354"/>
        <v>275</v>
      </c>
      <c r="G1358" s="158">
        <f t="shared" si="355"/>
        <v>1</v>
      </c>
      <c r="H1358" s="162">
        <v>36617</v>
      </c>
      <c r="I1358" s="163">
        <v>310599</v>
      </c>
      <c r="J1358" s="11"/>
      <c r="K1358" s="11"/>
      <c r="L1358" s="11"/>
      <c r="O1358" s="11"/>
      <c r="Q1358" s="11">
        <v>8</v>
      </c>
      <c r="T1358" s="11"/>
      <c r="V1358" s="11"/>
      <c r="W1358" s="11"/>
    </row>
    <row r="1359" spans="1:244" ht="12.75" customHeight="1">
      <c r="A1359" s="118">
        <v>1358</v>
      </c>
      <c r="B1359" s="128">
        <v>16</v>
      </c>
      <c r="C1359" s="156">
        <v>36923</v>
      </c>
      <c r="D1359" s="157" t="s">
        <v>45</v>
      </c>
      <c r="E1359" s="8">
        <v>2001</v>
      </c>
      <c r="F1359" s="158">
        <f t="shared" si="354"/>
        <v>306</v>
      </c>
      <c r="G1359" s="158">
        <f t="shared" si="355"/>
        <v>1</v>
      </c>
      <c r="H1359" s="162">
        <v>36617</v>
      </c>
      <c r="I1359" s="163">
        <v>310006</v>
      </c>
      <c r="J1359" s="11"/>
      <c r="K1359" s="11"/>
      <c r="L1359" s="11"/>
      <c r="O1359" s="11"/>
      <c r="T1359" s="11"/>
      <c r="V1359" s="11"/>
      <c r="W1359" s="11"/>
    </row>
    <row r="1360" spans="1:244" ht="12.75" customHeight="1">
      <c r="A1360" s="118">
        <v>1359</v>
      </c>
      <c r="B1360" s="128">
        <v>16</v>
      </c>
      <c r="C1360" s="156">
        <v>36951</v>
      </c>
      <c r="D1360" s="157" t="s">
        <v>46</v>
      </c>
      <c r="E1360" s="8">
        <v>2001</v>
      </c>
      <c r="F1360" s="158">
        <f t="shared" si="354"/>
        <v>334</v>
      </c>
      <c r="G1360" s="158">
        <f t="shared" si="355"/>
        <v>1</v>
      </c>
      <c r="H1360" s="162">
        <v>36617</v>
      </c>
      <c r="I1360" s="163">
        <v>309608</v>
      </c>
      <c r="J1360" s="11"/>
      <c r="K1360" s="11"/>
      <c r="L1360" s="11"/>
      <c r="O1360" s="11"/>
      <c r="T1360" s="11"/>
      <c r="V1360" s="11"/>
      <c r="W1360" s="11"/>
    </row>
    <row r="1361" spans="1:244" ht="12.75" customHeight="1">
      <c r="A1361" s="118">
        <v>1360</v>
      </c>
      <c r="B1361" s="128">
        <v>16</v>
      </c>
      <c r="C1361" s="156">
        <v>36982</v>
      </c>
      <c r="D1361" s="157" t="s">
        <v>47</v>
      </c>
      <c r="E1361" s="8">
        <v>2001</v>
      </c>
      <c r="F1361" s="158">
        <f t="shared" si="354"/>
        <v>365</v>
      </c>
      <c r="G1361" s="158">
        <f t="shared" si="355"/>
        <v>2</v>
      </c>
      <c r="H1361" s="162">
        <v>36617</v>
      </c>
      <c r="I1361" s="163">
        <v>309057</v>
      </c>
      <c r="J1361" s="11"/>
      <c r="K1361" s="11"/>
      <c r="L1361" s="11"/>
      <c r="O1361" s="11"/>
      <c r="T1361" s="11"/>
      <c r="V1361" s="11"/>
      <c r="W1361" s="11"/>
    </row>
    <row r="1362" spans="1:244" ht="12.75" customHeight="1">
      <c r="A1362" s="118">
        <v>1361</v>
      </c>
      <c r="B1362" s="128">
        <v>16</v>
      </c>
      <c r="C1362" s="156">
        <v>37012</v>
      </c>
      <c r="D1362" s="157" t="s">
        <v>48</v>
      </c>
      <c r="E1362" s="8">
        <v>2001</v>
      </c>
      <c r="F1362" s="158">
        <f t="shared" si="354"/>
        <v>395</v>
      </c>
      <c r="G1362" s="158">
        <f t="shared" si="355"/>
        <v>2</v>
      </c>
      <c r="H1362" s="162">
        <v>36617</v>
      </c>
      <c r="I1362" s="179">
        <v>308500</v>
      </c>
      <c r="J1362" s="11"/>
      <c r="K1362" s="11"/>
      <c r="L1362" s="11"/>
      <c r="O1362" s="11"/>
      <c r="T1362" s="11"/>
      <c r="V1362" s="11"/>
      <c r="W1362" s="11"/>
    </row>
    <row r="1363" spans="1:244" ht="12.75" customHeight="1">
      <c r="A1363" s="118">
        <v>1362</v>
      </c>
      <c r="B1363" s="128">
        <v>16</v>
      </c>
      <c r="C1363" s="156">
        <v>37043</v>
      </c>
      <c r="D1363" s="157" t="s">
        <v>49</v>
      </c>
      <c r="E1363" s="8">
        <v>2001</v>
      </c>
      <c r="F1363" s="158">
        <f t="shared" si="354"/>
        <v>426</v>
      </c>
      <c r="G1363" s="158">
        <f t="shared" si="355"/>
        <v>2</v>
      </c>
      <c r="H1363" s="162">
        <v>36617</v>
      </c>
      <c r="I1363" s="179">
        <v>308000</v>
      </c>
      <c r="J1363" s="11"/>
      <c r="K1363" s="11"/>
      <c r="L1363" s="11"/>
      <c r="O1363" s="11"/>
      <c r="Q1363" s="11">
        <v>9.5</v>
      </c>
      <c r="T1363" s="11"/>
      <c r="V1363" s="11"/>
      <c r="W1363" s="11"/>
    </row>
    <row r="1364" spans="1:244" ht="12.75" customHeight="1">
      <c r="A1364" s="118">
        <v>1363</v>
      </c>
      <c r="B1364" s="128">
        <v>16</v>
      </c>
      <c r="C1364" s="156">
        <v>37073</v>
      </c>
      <c r="D1364" s="157" t="s">
        <v>50</v>
      </c>
      <c r="E1364" s="8">
        <v>2001</v>
      </c>
      <c r="F1364" s="158">
        <f t="shared" si="354"/>
        <v>456</v>
      </c>
      <c r="G1364" s="158">
        <f t="shared" si="355"/>
        <v>2</v>
      </c>
      <c r="H1364" s="162">
        <v>36617</v>
      </c>
      <c r="I1364" s="163">
        <v>307724</v>
      </c>
      <c r="J1364" s="11">
        <v>5.4</v>
      </c>
      <c r="K1364" s="11">
        <v>21.4</v>
      </c>
      <c r="L1364" s="11">
        <v>10.1</v>
      </c>
      <c r="O1364" s="11">
        <v>0</v>
      </c>
      <c r="T1364" s="161">
        <f>$I1364*K1364</f>
        <v>6585293.5999999996</v>
      </c>
      <c r="U1364" s="161">
        <f>$I1364*L1364</f>
        <v>3108012.4</v>
      </c>
      <c r="V1364" s="161">
        <f t="shared" ref="V1364:V1370" si="356">$I1364*O1364</f>
        <v>0</v>
      </c>
      <c r="W1364" s="161">
        <f t="shared" ref="W1364:W1370" si="357">V1364*0.4</f>
        <v>0</v>
      </c>
    </row>
    <row r="1365" spans="1:244" ht="12.75" customHeight="1">
      <c r="A1365" s="118">
        <v>1364</v>
      </c>
      <c r="B1365" s="128">
        <v>16</v>
      </c>
      <c r="C1365" s="156">
        <v>37104</v>
      </c>
      <c r="D1365" s="157" t="s">
        <v>51</v>
      </c>
      <c r="E1365" s="8">
        <v>2001</v>
      </c>
      <c r="F1365" s="158">
        <f t="shared" si="354"/>
        <v>487</v>
      </c>
      <c r="G1365" s="158">
        <f t="shared" si="355"/>
        <v>2</v>
      </c>
      <c r="H1365" s="162">
        <v>36617</v>
      </c>
      <c r="I1365" s="163">
        <v>288834</v>
      </c>
      <c r="J1365" s="11">
        <v>1</v>
      </c>
      <c r="K1365" s="11">
        <v>13</v>
      </c>
      <c r="L1365" s="11">
        <v>6.7</v>
      </c>
      <c r="O1365" s="11">
        <v>0</v>
      </c>
      <c r="Q1365" s="11">
        <v>10.4</v>
      </c>
      <c r="T1365" s="161">
        <f>$I1365*K1365</f>
        <v>3754842</v>
      </c>
      <c r="U1365" s="161">
        <f>$I1365*L1365</f>
        <v>1935187.8</v>
      </c>
      <c r="V1365" s="161">
        <f t="shared" si="356"/>
        <v>0</v>
      </c>
      <c r="W1365" s="161">
        <f t="shared" si="357"/>
        <v>0</v>
      </c>
    </row>
    <row r="1366" spans="1:244" ht="12.75" customHeight="1">
      <c r="A1366" s="118">
        <v>1365</v>
      </c>
      <c r="B1366" s="128">
        <v>16</v>
      </c>
      <c r="C1366" s="156">
        <v>37135</v>
      </c>
      <c r="D1366" s="157" t="s">
        <v>52</v>
      </c>
      <c r="E1366" s="8">
        <v>2001</v>
      </c>
      <c r="F1366" s="158">
        <f t="shared" si="354"/>
        <v>518</v>
      </c>
      <c r="G1366" s="158">
        <f t="shared" si="355"/>
        <v>2</v>
      </c>
      <c r="H1366" s="162">
        <v>36617</v>
      </c>
      <c r="I1366" s="163">
        <v>188389</v>
      </c>
      <c r="J1366" s="11"/>
      <c r="K1366" s="11"/>
      <c r="L1366" s="199">
        <v>7</v>
      </c>
      <c r="N1366" s="528" t="s">
        <v>795</v>
      </c>
      <c r="O1366" s="199">
        <v>0</v>
      </c>
      <c r="Q1366" s="11">
        <v>9.4</v>
      </c>
      <c r="S1366" s="155" t="s">
        <v>31</v>
      </c>
      <c r="T1366" s="11"/>
      <c r="U1366" s="161">
        <f>$I1366*L1366</f>
        <v>1318723</v>
      </c>
      <c r="V1366" s="161">
        <f t="shared" si="356"/>
        <v>0</v>
      </c>
      <c r="W1366" s="161">
        <f t="shared" si="357"/>
        <v>0</v>
      </c>
    </row>
    <row r="1367" spans="1:244" s="127" customFormat="1" ht="12.75" customHeight="1">
      <c r="A1367" s="118">
        <v>1366</v>
      </c>
      <c r="B1367" s="128">
        <v>16</v>
      </c>
      <c r="C1367" s="156">
        <v>37165</v>
      </c>
      <c r="D1367" s="157" t="s">
        <v>53</v>
      </c>
      <c r="E1367" s="8">
        <v>2001</v>
      </c>
      <c r="F1367" s="158">
        <f t="shared" si="354"/>
        <v>548</v>
      </c>
      <c r="G1367" s="158">
        <f t="shared" si="355"/>
        <v>2</v>
      </c>
      <c r="H1367" s="162">
        <v>36617</v>
      </c>
      <c r="I1367" s="163">
        <v>168129</v>
      </c>
      <c r="J1367" s="11"/>
      <c r="K1367" s="11"/>
      <c r="L1367" s="199">
        <v>8</v>
      </c>
      <c r="M1367" s="174"/>
      <c r="N1367" s="528" t="s">
        <v>795</v>
      </c>
      <c r="O1367" s="199">
        <v>0</v>
      </c>
      <c r="P1367" s="8"/>
      <c r="Q1367" s="11">
        <v>9.1</v>
      </c>
      <c r="R1367" s="11"/>
      <c r="S1367" s="155"/>
      <c r="T1367" s="11"/>
      <c r="U1367" s="161">
        <f>$I1367*L1367</f>
        <v>1345032</v>
      </c>
      <c r="V1367" s="161">
        <f t="shared" si="356"/>
        <v>0</v>
      </c>
      <c r="W1367" s="161">
        <f t="shared" si="357"/>
        <v>0</v>
      </c>
      <c r="X1367" s="118"/>
      <c r="Y1367" s="118"/>
      <c r="Z1367" s="118"/>
      <c r="AA1367" s="118"/>
      <c r="AB1367" s="118"/>
      <c r="AC1367" s="118"/>
      <c r="AD1367" s="118"/>
      <c r="AE1367" s="118"/>
      <c r="AF1367" s="118"/>
      <c r="AG1367" s="118"/>
      <c r="AH1367" s="118"/>
      <c r="AI1367" s="118"/>
      <c r="AJ1367" s="118"/>
      <c r="AK1367" s="118"/>
      <c r="AL1367" s="118"/>
      <c r="AM1367" s="118"/>
      <c r="AN1367" s="118"/>
      <c r="AO1367" s="118"/>
      <c r="AP1367" s="118"/>
      <c r="AQ1367" s="118"/>
      <c r="AR1367" s="118"/>
      <c r="AS1367" s="118"/>
      <c r="AT1367" s="118"/>
      <c r="AU1367" s="118"/>
      <c r="AV1367" s="118"/>
      <c r="AW1367" s="118"/>
      <c r="AX1367" s="118"/>
      <c r="AY1367" s="118"/>
      <c r="AZ1367" s="118"/>
      <c r="BA1367" s="118"/>
      <c r="BB1367" s="118"/>
      <c r="BC1367" s="118"/>
      <c r="BD1367" s="118"/>
      <c r="BE1367" s="118"/>
      <c r="BF1367" s="118"/>
      <c r="BG1367" s="118"/>
      <c r="BH1367" s="118"/>
      <c r="BI1367" s="118"/>
      <c r="BJ1367" s="118"/>
      <c r="BK1367" s="118"/>
      <c r="BL1367" s="118"/>
      <c r="BM1367" s="118"/>
      <c r="BN1367" s="118"/>
      <c r="BO1367" s="118"/>
      <c r="BP1367" s="118"/>
      <c r="BQ1367" s="118"/>
      <c r="BR1367" s="118"/>
      <c r="BS1367" s="118"/>
      <c r="BT1367" s="118"/>
      <c r="BU1367" s="118"/>
      <c r="BV1367" s="118"/>
      <c r="BW1367" s="118"/>
      <c r="BX1367" s="118"/>
      <c r="BY1367" s="118"/>
      <c r="BZ1367" s="118"/>
      <c r="CA1367" s="118"/>
      <c r="CB1367" s="118"/>
      <c r="CC1367" s="118"/>
      <c r="CD1367" s="118"/>
      <c r="CE1367" s="118"/>
      <c r="CF1367" s="118"/>
      <c r="CG1367" s="118"/>
      <c r="CH1367" s="118"/>
      <c r="CI1367" s="118"/>
      <c r="CJ1367" s="118"/>
      <c r="CK1367" s="118"/>
      <c r="CL1367" s="118"/>
      <c r="CM1367" s="118"/>
      <c r="CN1367" s="118"/>
      <c r="CO1367" s="118"/>
      <c r="CP1367" s="118"/>
      <c r="CQ1367" s="118"/>
      <c r="CR1367" s="118"/>
      <c r="CS1367" s="118"/>
      <c r="CT1367" s="118"/>
      <c r="CU1367" s="118"/>
      <c r="CV1367" s="118"/>
      <c r="CW1367" s="118"/>
      <c r="CX1367" s="118"/>
      <c r="CY1367" s="118"/>
      <c r="CZ1367" s="118"/>
      <c r="DA1367" s="118"/>
      <c r="DB1367" s="118"/>
      <c r="DC1367" s="118"/>
      <c r="DD1367" s="118"/>
      <c r="DE1367" s="118"/>
      <c r="DF1367" s="118"/>
      <c r="DG1367" s="118"/>
      <c r="DH1367" s="118"/>
      <c r="DI1367" s="118"/>
      <c r="DJ1367" s="118"/>
      <c r="DK1367" s="118"/>
      <c r="DL1367" s="118"/>
      <c r="DM1367" s="118"/>
      <c r="DN1367" s="118"/>
      <c r="DO1367" s="118"/>
      <c r="DP1367" s="118"/>
      <c r="DQ1367" s="118"/>
      <c r="DR1367" s="118"/>
      <c r="DS1367" s="118"/>
      <c r="DT1367" s="118"/>
      <c r="DU1367" s="118"/>
      <c r="DV1367" s="118"/>
      <c r="DW1367" s="118"/>
      <c r="DX1367" s="118"/>
      <c r="DY1367" s="118"/>
      <c r="DZ1367" s="118"/>
      <c r="EA1367" s="118"/>
      <c r="EB1367" s="118"/>
      <c r="EC1367" s="118"/>
      <c r="ED1367" s="118"/>
      <c r="EE1367" s="118"/>
      <c r="EF1367" s="118"/>
      <c r="EG1367" s="118"/>
      <c r="EH1367" s="118"/>
      <c r="EI1367" s="118"/>
      <c r="EJ1367" s="118"/>
      <c r="EK1367" s="118"/>
      <c r="EL1367" s="118"/>
      <c r="EM1367" s="118"/>
      <c r="EN1367" s="118"/>
      <c r="EO1367" s="118"/>
      <c r="EP1367" s="118"/>
      <c r="EQ1367" s="118"/>
      <c r="ER1367" s="118"/>
      <c r="ES1367" s="118"/>
      <c r="ET1367" s="118"/>
      <c r="EU1367" s="118"/>
      <c r="EV1367" s="118"/>
      <c r="EW1367" s="118"/>
      <c r="EX1367" s="118"/>
      <c r="EY1367" s="118"/>
      <c r="EZ1367" s="118"/>
      <c r="FA1367" s="118"/>
      <c r="FB1367" s="118"/>
      <c r="FC1367" s="118"/>
      <c r="FD1367" s="118"/>
      <c r="FE1367" s="118"/>
      <c r="FF1367" s="118"/>
      <c r="FG1367" s="118"/>
      <c r="FH1367" s="118"/>
      <c r="FI1367" s="118"/>
      <c r="FJ1367" s="118"/>
      <c r="FK1367" s="118"/>
      <c r="FL1367" s="118"/>
      <c r="FM1367" s="118"/>
      <c r="FN1367" s="118"/>
      <c r="FO1367" s="118"/>
      <c r="FP1367" s="118"/>
      <c r="FQ1367" s="118"/>
      <c r="FR1367" s="118"/>
      <c r="FS1367" s="118"/>
      <c r="FT1367" s="118"/>
      <c r="FU1367" s="118"/>
      <c r="FV1367" s="118"/>
      <c r="FW1367" s="118"/>
      <c r="FX1367" s="118"/>
      <c r="FY1367" s="118"/>
      <c r="FZ1367" s="118"/>
      <c r="GA1367" s="118"/>
      <c r="GB1367" s="118"/>
      <c r="GC1367" s="118"/>
      <c r="GD1367" s="118"/>
      <c r="GE1367" s="118"/>
      <c r="GF1367" s="118"/>
      <c r="GG1367" s="118"/>
      <c r="GH1367" s="118"/>
      <c r="GI1367" s="118"/>
      <c r="GJ1367" s="118"/>
      <c r="GK1367" s="118"/>
      <c r="GL1367" s="118"/>
      <c r="GM1367" s="118"/>
      <c r="GN1367" s="118"/>
      <c r="GO1367" s="118"/>
      <c r="GP1367" s="118"/>
      <c r="GQ1367" s="118"/>
      <c r="GR1367" s="118"/>
      <c r="GS1367" s="118"/>
      <c r="GT1367" s="118"/>
      <c r="GU1367" s="118"/>
      <c r="GV1367" s="118"/>
      <c r="GW1367" s="118"/>
      <c r="GX1367" s="118"/>
      <c r="GY1367" s="118"/>
      <c r="GZ1367" s="118"/>
      <c r="HA1367" s="118"/>
      <c r="HB1367" s="118"/>
      <c r="HC1367" s="118"/>
      <c r="HD1367" s="118"/>
      <c r="HE1367" s="118"/>
      <c r="HF1367" s="118"/>
      <c r="HG1367" s="118"/>
      <c r="HH1367" s="118"/>
      <c r="HI1367" s="118"/>
      <c r="HJ1367" s="118"/>
      <c r="HK1367" s="118"/>
      <c r="HL1367" s="118"/>
      <c r="HM1367" s="118"/>
      <c r="HN1367" s="118"/>
      <c r="HO1367" s="118"/>
      <c r="HP1367" s="118"/>
      <c r="HQ1367" s="118"/>
      <c r="HR1367" s="118"/>
      <c r="HS1367" s="118"/>
      <c r="HT1367" s="118"/>
      <c r="HU1367" s="118"/>
      <c r="HV1367" s="118"/>
      <c r="HW1367" s="118"/>
      <c r="HX1367" s="118"/>
      <c r="HY1367" s="118"/>
      <c r="HZ1367" s="118"/>
      <c r="IA1367" s="118"/>
      <c r="IB1367" s="118"/>
      <c r="IC1367" s="118"/>
      <c r="ID1367" s="118"/>
      <c r="IE1367" s="118"/>
      <c r="IF1367" s="118"/>
      <c r="IG1367" s="118"/>
      <c r="IH1367" s="118"/>
      <c r="II1367" s="118"/>
      <c r="IJ1367" s="118"/>
    </row>
    <row r="1368" spans="1:244" s="127" customFormat="1" ht="12.75" customHeight="1">
      <c r="A1368" s="118">
        <v>1367</v>
      </c>
      <c r="B1368" s="128">
        <v>16</v>
      </c>
      <c r="C1368" s="156">
        <v>37196</v>
      </c>
      <c r="D1368" s="157" t="s">
        <v>54</v>
      </c>
      <c r="E1368" s="8">
        <v>2001</v>
      </c>
      <c r="F1368" s="158">
        <f t="shared" si="354"/>
        <v>579</v>
      </c>
      <c r="G1368" s="158">
        <f t="shared" si="355"/>
        <v>2</v>
      </c>
      <c r="H1368" s="162">
        <v>36617</v>
      </c>
      <c r="I1368" s="163">
        <v>167858</v>
      </c>
      <c r="J1368" s="11"/>
      <c r="K1368" s="11"/>
      <c r="L1368" s="199">
        <v>9</v>
      </c>
      <c r="M1368" s="174"/>
      <c r="N1368" s="528" t="s">
        <v>795</v>
      </c>
      <c r="O1368" s="199">
        <v>0</v>
      </c>
      <c r="P1368" s="8"/>
      <c r="Q1368" s="11">
        <v>8.6</v>
      </c>
      <c r="R1368" s="11"/>
      <c r="S1368" s="155"/>
      <c r="T1368" s="11"/>
      <c r="U1368" s="161">
        <f>$I1368*L1368</f>
        <v>1510722</v>
      </c>
      <c r="V1368" s="161">
        <f t="shared" si="356"/>
        <v>0</v>
      </c>
      <c r="W1368" s="161">
        <f t="shared" si="357"/>
        <v>0</v>
      </c>
      <c r="X1368" s="118"/>
      <c r="Y1368" s="118"/>
      <c r="Z1368" s="118"/>
      <c r="AA1368" s="118"/>
      <c r="AB1368" s="118"/>
      <c r="AC1368" s="118"/>
      <c r="AD1368" s="118"/>
      <c r="AE1368" s="118"/>
      <c r="AF1368" s="118"/>
      <c r="AG1368" s="118"/>
      <c r="AH1368" s="118"/>
      <c r="AI1368" s="118"/>
      <c r="AJ1368" s="118"/>
      <c r="AK1368" s="118"/>
      <c r="AL1368" s="118"/>
      <c r="AM1368" s="118"/>
      <c r="AN1368" s="118"/>
      <c r="AO1368" s="118"/>
      <c r="AP1368" s="118"/>
      <c r="AQ1368" s="118"/>
      <c r="AR1368" s="118"/>
      <c r="AS1368" s="118"/>
      <c r="AT1368" s="118"/>
      <c r="AU1368" s="118"/>
      <c r="AV1368" s="118"/>
      <c r="AW1368" s="118"/>
      <c r="AX1368" s="118"/>
      <c r="AY1368" s="118"/>
      <c r="AZ1368" s="118"/>
      <c r="BA1368" s="118"/>
      <c r="BB1368" s="118"/>
      <c r="BC1368" s="118"/>
      <c r="BD1368" s="118"/>
      <c r="BE1368" s="118"/>
      <c r="BF1368" s="118"/>
      <c r="BG1368" s="118"/>
      <c r="BH1368" s="118"/>
      <c r="BI1368" s="118"/>
      <c r="BJ1368" s="118"/>
      <c r="BK1368" s="118"/>
      <c r="BL1368" s="118"/>
      <c r="BM1368" s="118"/>
      <c r="BN1368" s="118"/>
      <c r="BO1368" s="118"/>
      <c r="BP1368" s="118"/>
      <c r="BQ1368" s="118"/>
      <c r="BR1368" s="118"/>
      <c r="BS1368" s="118"/>
      <c r="BT1368" s="118"/>
      <c r="BU1368" s="118"/>
      <c r="BV1368" s="118"/>
      <c r="BW1368" s="118"/>
      <c r="BX1368" s="118"/>
      <c r="BY1368" s="118"/>
      <c r="BZ1368" s="118"/>
      <c r="CA1368" s="118"/>
      <c r="CB1368" s="118"/>
      <c r="CC1368" s="118"/>
      <c r="CD1368" s="118"/>
      <c r="CE1368" s="118"/>
      <c r="CF1368" s="118"/>
      <c r="CG1368" s="118"/>
      <c r="CH1368" s="118"/>
      <c r="CI1368" s="118"/>
      <c r="CJ1368" s="118"/>
      <c r="CK1368" s="118"/>
      <c r="CL1368" s="118"/>
      <c r="CM1368" s="118"/>
      <c r="CN1368" s="118"/>
      <c r="CO1368" s="118"/>
      <c r="CP1368" s="118"/>
      <c r="CQ1368" s="118"/>
      <c r="CR1368" s="118"/>
      <c r="CS1368" s="118"/>
      <c r="CT1368" s="118"/>
      <c r="CU1368" s="118"/>
      <c r="CV1368" s="118"/>
      <c r="CW1368" s="118"/>
      <c r="CX1368" s="118"/>
      <c r="CY1368" s="118"/>
      <c r="CZ1368" s="118"/>
      <c r="DA1368" s="118"/>
      <c r="DB1368" s="118"/>
      <c r="DC1368" s="118"/>
      <c r="DD1368" s="118"/>
      <c r="DE1368" s="118"/>
      <c r="DF1368" s="118"/>
      <c r="DG1368" s="118"/>
      <c r="DH1368" s="118"/>
      <c r="DI1368" s="118"/>
      <c r="DJ1368" s="118"/>
      <c r="DK1368" s="118"/>
      <c r="DL1368" s="118"/>
      <c r="DM1368" s="118"/>
      <c r="DN1368" s="118"/>
      <c r="DO1368" s="118"/>
      <c r="DP1368" s="118"/>
      <c r="DQ1368" s="118"/>
      <c r="DR1368" s="118"/>
      <c r="DS1368" s="118"/>
      <c r="DT1368" s="118"/>
      <c r="DU1368" s="118"/>
      <c r="DV1368" s="118"/>
      <c r="DW1368" s="118"/>
      <c r="DX1368" s="118"/>
      <c r="DY1368" s="118"/>
      <c r="DZ1368" s="118"/>
      <c r="EA1368" s="118"/>
      <c r="EB1368" s="118"/>
      <c r="EC1368" s="118"/>
      <c r="ED1368" s="118"/>
      <c r="EE1368" s="118"/>
      <c r="EF1368" s="118"/>
      <c r="EG1368" s="118"/>
      <c r="EH1368" s="118"/>
      <c r="EI1368" s="118"/>
      <c r="EJ1368" s="118"/>
      <c r="EK1368" s="118"/>
      <c r="EL1368" s="118"/>
      <c r="EM1368" s="118"/>
      <c r="EN1368" s="118"/>
      <c r="EO1368" s="118"/>
      <c r="EP1368" s="118"/>
      <c r="EQ1368" s="118"/>
      <c r="ER1368" s="118"/>
      <c r="ES1368" s="118"/>
      <c r="ET1368" s="118"/>
      <c r="EU1368" s="118"/>
      <c r="EV1368" s="118"/>
      <c r="EW1368" s="118"/>
      <c r="EX1368" s="118"/>
      <c r="EY1368" s="118"/>
      <c r="EZ1368" s="118"/>
      <c r="FA1368" s="118"/>
      <c r="FB1368" s="118"/>
      <c r="FC1368" s="118"/>
      <c r="FD1368" s="118"/>
      <c r="FE1368" s="118"/>
      <c r="FF1368" s="118"/>
      <c r="FG1368" s="118"/>
      <c r="FH1368" s="118"/>
      <c r="FI1368" s="118"/>
      <c r="FJ1368" s="118"/>
      <c r="FK1368" s="118"/>
      <c r="FL1368" s="118"/>
      <c r="FM1368" s="118"/>
      <c r="FN1368" s="118"/>
      <c r="FO1368" s="118"/>
      <c r="FP1368" s="118"/>
      <c r="FQ1368" s="118"/>
      <c r="FR1368" s="118"/>
      <c r="FS1368" s="118"/>
      <c r="FT1368" s="118"/>
      <c r="FU1368" s="118"/>
      <c r="FV1368" s="118"/>
      <c r="FW1368" s="118"/>
      <c r="FX1368" s="118"/>
      <c r="FY1368" s="118"/>
      <c r="FZ1368" s="118"/>
      <c r="GA1368" s="118"/>
      <c r="GB1368" s="118"/>
      <c r="GC1368" s="118"/>
      <c r="GD1368" s="118"/>
      <c r="GE1368" s="118"/>
      <c r="GF1368" s="118"/>
      <c r="GG1368" s="118"/>
      <c r="GH1368" s="118"/>
      <c r="GI1368" s="118"/>
      <c r="GJ1368" s="118"/>
      <c r="GK1368" s="118"/>
      <c r="GL1368" s="118"/>
      <c r="GM1368" s="118"/>
      <c r="GN1368" s="118"/>
      <c r="GO1368" s="118"/>
      <c r="GP1368" s="118"/>
      <c r="GQ1368" s="118"/>
      <c r="GR1368" s="118"/>
      <c r="GS1368" s="118"/>
      <c r="GT1368" s="118"/>
      <c r="GU1368" s="118"/>
      <c r="GV1368" s="118"/>
      <c r="GW1368" s="118"/>
      <c r="GX1368" s="118"/>
      <c r="GY1368" s="118"/>
      <c r="GZ1368" s="118"/>
      <c r="HA1368" s="118"/>
      <c r="HB1368" s="118"/>
      <c r="HC1368" s="118"/>
      <c r="HD1368" s="118"/>
      <c r="HE1368" s="118"/>
      <c r="HF1368" s="118"/>
      <c r="HG1368" s="118"/>
      <c r="HH1368" s="118"/>
      <c r="HI1368" s="118"/>
      <c r="HJ1368" s="118"/>
      <c r="HK1368" s="118"/>
      <c r="HL1368" s="118"/>
      <c r="HM1368" s="118"/>
      <c r="HN1368" s="118"/>
      <c r="HO1368" s="118"/>
      <c r="HP1368" s="118"/>
      <c r="HQ1368" s="118"/>
      <c r="HR1368" s="118"/>
      <c r="HS1368" s="118"/>
      <c r="HT1368" s="118"/>
      <c r="HU1368" s="118"/>
      <c r="HV1368" s="118"/>
      <c r="HW1368" s="118"/>
      <c r="HX1368" s="118"/>
      <c r="HY1368" s="118"/>
      <c r="HZ1368" s="118"/>
      <c r="IA1368" s="118"/>
      <c r="IB1368" s="118"/>
      <c r="IC1368" s="118"/>
      <c r="ID1368" s="118"/>
      <c r="IE1368" s="118"/>
      <c r="IF1368" s="118"/>
      <c r="IG1368" s="118"/>
      <c r="IH1368" s="118"/>
      <c r="II1368" s="118"/>
      <c r="IJ1368" s="118"/>
    </row>
    <row r="1369" spans="1:244" s="127" customFormat="1" ht="12.75" customHeight="1">
      <c r="A1369" s="118">
        <v>1368</v>
      </c>
      <c r="B1369" s="128">
        <v>16</v>
      </c>
      <c r="C1369" s="156">
        <v>37226</v>
      </c>
      <c r="D1369" s="157" t="s">
        <v>55</v>
      </c>
      <c r="E1369" s="8">
        <v>2001</v>
      </c>
      <c r="F1369" s="158">
        <f t="shared" si="354"/>
        <v>609</v>
      </c>
      <c r="G1369" s="158">
        <f t="shared" si="355"/>
        <v>2</v>
      </c>
      <c r="H1369" s="162">
        <v>36617</v>
      </c>
      <c r="I1369" s="163">
        <v>167666</v>
      </c>
      <c r="J1369" s="11"/>
      <c r="K1369" s="11"/>
      <c r="L1369" s="199">
        <v>10</v>
      </c>
      <c r="M1369" s="174"/>
      <c r="N1369" s="528" t="s">
        <v>795</v>
      </c>
      <c r="O1369" s="199">
        <v>0</v>
      </c>
      <c r="P1369" s="8"/>
      <c r="Q1369" s="11">
        <v>7.2</v>
      </c>
      <c r="R1369" s="11"/>
      <c r="S1369" s="155"/>
      <c r="T1369" s="11"/>
      <c r="U1369" s="161">
        <f>$I1369*L1369</f>
        <v>1676660</v>
      </c>
      <c r="V1369" s="161">
        <f t="shared" si="356"/>
        <v>0</v>
      </c>
      <c r="W1369" s="161">
        <f t="shared" si="357"/>
        <v>0</v>
      </c>
      <c r="X1369" s="118"/>
      <c r="Y1369" s="118"/>
      <c r="Z1369" s="118"/>
      <c r="AA1369" s="118"/>
      <c r="AB1369" s="118"/>
      <c r="AC1369" s="118"/>
      <c r="AD1369" s="118"/>
      <c r="AE1369" s="118"/>
      <c r="AF1369" s="118"/>
      <c r="AG1369" s="118"/>
      <c r="AH1369" s="118"/>
      <c r="AI1369" s="118"/>
      <c r="AJ1369" s="118"/>
      <c r="AK1369" s="118"/>
      <c r="AL1369" s="118"/>
      <c r="AM1369" s="118"/>
      <c r="AN1369" s="118"/>
      <c r="AO1369" s="118"/>
      <c r="AP1369" s="118"/>
      <c r="AQ1369" s="118"/>
      <c r="AR1369" s="118"/>
      <c r="AS1369" s="118"/>
      <c r="AT1369" s="118"/>
      <c r="AU1369" s="118"/>
      <c r="AV1369" s="118"/>
      <c r="AW1369" s="118"/>
      <c r="AX1369" s="118"/>
      <c r="AY1369" s="118"/>
      <c r="AZ1369" s="118"/>
      <c r="BA1369" s="118"/>
      <c r="BB1369" s="118"/>
      <c r="BC1369" s="118"/>
      <c r="BD1369" s="118"/>
      <c r="BE1369" s="118"/>
      <c r="BF1369" s="118"/>
      <c r="BG1369" s="118"/>
      <c r="BH1369" s="118"/>
      <c r="BI1369" s="118"/>
      <c r="BJ1369" s="118"/>
      <c r="BK1369" s="118"/>
      <c r="BL1369" s="118"/>
      <c r="BM1369" s="118"/>
      <c r="BN1369" s="118"/>
      <c r="BO1369" s="118"/>
      <c r="BP1369" s="118"/>
      <c r="BQ1369" s="118"/>
      <c r="BR1369" s="118"/>
      <c r="BS1369" s="118"/>
      <c r="BT1369" s="118"/>
      <c r="BU1369" s="118"/>
      <c r="BV1369" s="118"/>
      <c r="BW1369" s="118"/>
      <c r="BX1369" s="118"/>
      <c r="BY1369" s="118"/>
      <c r="BZ1369" s="118"/>
      <c r="CA1369" s="118"/>
      <c r="CB1369" s="118"/>
      <c r="CC1369" s="118"/>
      <c r="CD1369" s="118"/>
      <c r="CE1369" s="118"/>
      <c r="CF1369" s="118"/>
      <c r="CG1369" s="118"/>
      <c r="CH1369" s="118"/>
      <c r="CI1369" s="118"/>
      <c r="CJ1369" s="118"/>
      <c r="CK1369" s="118"/>
      <c r="CL1369" s="118"/>
      <c r="CM1369" s="118"/>
      <c r="CN1369" s="118"/>
      <c r="CO1369" s="118"/>
      <c r="CP1369" s="118"/>
      <c r="CQ1369" s="118"/>
      <c r="CR1369" s="118"/>
      <c r="CS1369" s="118"/>
      <c r="CT1369" s="118"/>
      <c r="CU1369" s="118"/>
      <c r="CV1369" s="118"/>
      <c r="CW1369" s="118"/>
      <c r="CX1369" s="118"/>
      <c r="CY1369" s="118"/>
      <c r="CZ1369" s="118"/>
      <c r="DA1369" s="118"/>
      <c r="DB1369" s="118"/>
      <c r="DC1369" s="118"/>
      <c r="DD1369" s="118"/>
      <c r="DE1369" s="118"/>
      <c r="DF1369" s="118"/>
      <c r="DG1369" s="118"/>
      <c r="DH1369" s="118"/>
      <c r="DI1369" s="118"/>
      <c r="DJ1369" s="118"/>
      <c r="DK1369" s="118"/>
      <c r="DL1369" s="118"/>
      <c r="DM1369" s="118"/>
      <c r="DN1369" s="118"/>
      <c r="DO1369" s="118"/>
      <c r="DP1369" s="118"/>
      <c r="DQ1369" s="118"/>
      <c r="DR1369" s="118"/>
      <c r="DS1369" s="118"/>
      <c r="DT1369" s="118"/>
      <c r="DU1369" s="118"/>
      <c r="DV1369" s="118"/>
      <c r="DW1369" s="118"/>
      <c r="DX1369" s="118"/>
      <c r="DY1369" s="118"/>
      <c r="DZ1369" s="118"/>
      <c r="EA1369" s="118"/>
      <c r="EB1369" s="118"/>
      <c r="EC1369" s="118"/>
      <c r="ED1369" s="118"/>
      <c r="EE1369" s="118"/>
      <c r="EF1369" s="118"/>
      <c r="EG1369" s="118"/>
      <c r="EH1369" s="118"/>
      <c r="EI1369" s="118"/>
      <c r="EJ1369" s="118"/>
      <c r="EK1369" s="118"/>
      <c r="EL1369" s="118"/>
      <c r="EM1369" s="118"/>
      <c r="EN1369" s="118"/>
      <c r="EO1369" s="118"/>
      <c r="EP1369" s="118"/>
      <c r="EQ1369" s="118"/>
      <c r="ER1369" s="118"/>
      <c r="ES1369" s="118"/>
      <c r="ET1369" s="118"/>
      <c r="EU1369" s="118"/>
      <c r="EV1369" s="118"/>
      <c r="EW1369" s="118"/>
      <c r="EX1369" s="118"/>
      <c r="EY1369" s="118"/>
      <c r="EZ1369" s="118"/>
      <c r="FA1369" s="118"/>
      <c r="FB1369" s="118"/>
      <c r="FC1369" s="118"/>
      <c r="FD1369" s="118"/>
      <c r="FE1369" s="118"/>
      <c r="FF1369" s="118"/>
      <c r="FG1369" s="118"/>
      <c r="FH1369" s="118"/>
      <c r="FI1369" s="118"/>
      <c r="FJ1369" s="118"/>
      <c r="FK1369" s="118"/>
      <c r="FL1369" s="118"/>
      <c r="FM1369" s="118"/>
      <c r="FN1369" s="118"/>
      <c r="FO1369" s="118"/>
      <c r="FP1369" s="118"/>
      <c r="FQ1369" s="118"/>
      <c r="FR1369" s="118"/>
      <c r="FS1369" s="118"/>
      <c r="FT1369" s="118"/>
      <c r="FU1369" s="118"/>
      <c r="FV1369" s="118"/>
      <c r="FW1369" s="118"/>
      <c r="FX1369" s="118"/>
      <c r="FY1369" s="118"/>
      <c r="FZ1369" s="118"/>
      <c r="GA1369" s="118"/>
      <c r="GB1369" s="118"/>
      <c r="GC1369" s="118"/>
      <c r="GD1369" s="118"/>
      <c r="GE1369" s="118"/>
      <c r="GF1369" s="118"/>
      <c r="GG1369" s="118"/>
      <c r="GH1369" s="118"/>
      <c r="GI1369" s="118"/>
      <c r="GJ1369" s="118"/>
      <c r="GK1369" s="118"/>
      <c r="GL1369" s="118"/>
      <c r="GM1369" s="118"/>
      <c r="GN1369" s="118"/>
      <c r="GO1369" s="118"/>
      <c r="GP1369" s="118"/>
      <c r="GQ1369" s="118"/>
      <c r="GR1369" s="118"/>
      <c r="GS1369" s="118"/>
      <c r="GT1369" s="118"/>
      <c r="GU1369" s="118"/>
      <c r="GV1369" s="118"/>
      <c r="GW1369" s="118"/>
      <c r="GX1369" s="118"/>
      <c r="GY1369" s="118"/>
      <c r="GZ1369" s="118"/>
      <c r="HA1369" s="118"/>
      <c r="HB1369" s="118"/>
      <c r="HC1369" s="118"/>
      <c r="HD1369" s="118"/>
      <c r="HE1369" s="118"/>
      <c r="HF1369" s="118"/>
      <c r="HG1369" s="118"/>
      <c r="HH1369" s="118"/>
      <c r="HI1369" s="118"/>
      <c r="HJ1369" s="118"/>
      <c r="HK1369" s="118"/>
      <c r="HL1369" s="118"/>
      <c r="HM1369" s="118"/>
      <c r="HN1369" s="118"/>
      <c r="HO1369" s="118"/>
      <c r="HP1369" s="118"/>
      <c r="HQ1369" s="118"/>
      <c r="HR1369" s="118"/>
      <c r="HS1369" s="118"/>
      <c r="HT1369" s="118"/>
      <c r="HU1369" s="118"/>
      <c r="HV1369" s="118"/>
      <c r="HW1369" s="118"/>
      <c r="HX1369" s="118"/>
      <c r="HY1369" s="118"/>
      <c r="HZ1369" s="118"/>
      <c r="IA1369" s="118"/>
      <c r="IB1369" s="118"/>
      <c r="IC1369" s="118"/>
      <c r="ID1369" s="118"/>
      <c r="IE1369" s="118"/>
      <c r="IF1369" s="118"/>
      <c r="IG1369" s="118"/>
      <c r="IH1369" s="118"/>
      <c r="II1369" s="118"/>
      <c r="IJ1369" s="118"/>
    </row>
    <row r="1370" spans="1:244" s="127" customFormat="1" ht="12.75" customHeight="1">
      <c r="A1370" s="118">
        <v>1369</v>
      </c>
      <c r="B1370" s="128">
        <v>16</v>
      </c>
      <c r="C1370" s="156">
        <v>37257</v>
      </c>
      <c r="D1370" s="157" t="s">
        <v>44</v>
      </c>
      <c r="E1370" s="8">
        <v>2002</v>
      </c>
      <c r="F1370" s="158">
        <f t="shared" si="354"/>
        <v>640</v>
      </c>
      <c r="G1370" s="158">
        <f t="shared" si="355"/>
        <v>2</v>
      </c>
      <c r="H1370" s="162">
        <v>36617</v>
      </c>
      <c r="I1370" s="163">
        <v>106982</v>
      </c>
      <c r="J1370" s="11"/>
      <c r="K1370" s="11"/>
      <c r="L1370" s="199">
        <v>11</v>
      </c>
      <c r="M1370" s="174"/>
      <c r="N1370" s="528" t="s">
        <v>795</v>
      </c>
      <c r="O1370" s="199">
        <v>0</v>
      </c>
      <c r="P1370" s="8"/>
      <c r="Q1370" s="11"/>
      <c r="R1370" s="11"/>
      <c r="S1370" s="155"/>
      <c r="T1370" s="11"/>
      <c r="U1370" s="161">
        <f>$I1370*L1370</f>
        <v>1176802</v>
      </c>
      <c r="V1370" s="171">
        <f t="shared" si="356"/>
        <v>0</v>
      </c>
      <c r="W1370" s="171">
        <f t="shared" si="357"/>
        <v>0</v>
      </c>
      <c r="X1370" s="118"/>
      <c r="Y1370" s="118"/>
      <c r="Z1370" s="118"/>
      <c r="AA1370" s="118"/>
      <c r="AB1370" s="118"/>
      <c r="AC1370" s="118"/>
      <c r="AD1370" s="118"/>
      <c r="AE1370" s="118"/>
      <c r="AF1370" s="118"/>
      <c r="AG1370" s="118"/>
      <c r="AH1370" s="118"/>
      <c r="AI1370" s="118"/>
      <c r="AJ1370" s="118"/>
      <c r="AK1370" s="118"/>
      <c r="AL1370" s="118"/>
      <c r="AM1370" s="118"/>
      <c r="AN1370" s="118"/>
      <c r="AO1370" s="118"/>
      <c r="AP1370" s="118"/>
      <c r="AQ1370" s="118"/>
      <c r="AR1370" s="118"/>
      <c r="AS1370" s="118"/>
      <c r="AT1370" s="118"/>
      <c r="AU1370" s="118"/>
      <c r="AV1370" s="118"/>
      <c r="AW1370" s="118"/>
      <c r="AX1370" s="118"/>
      <c r="AY1370" s="118"/>
      <c r="AZ1370" s="118"/>
      <c r="BA1370" s="118"/>
      <c r="BB1370" s="118"/>
      <c r="BC1370" s="118"/>
      <c r="BD1370" s="118"/>
      <c r="BE1370" s="118"/>
      <c r="BF1370" s="118"/>
      <c r="BG1370" s="118"/>
      <c r="BH1370" s="118"/>
      <c r="BI1370" s="118"/>
      <c r="BJ1370" s="118"/>
      <c r="BK1370" s="118"/>
      <c r="BL1370" s="118"/>
      <c r="BM1370" s="118"/>
      <c r="BN1370" s="118"/>
      <c r="BO1370" s="118"/>
      <c r="BP1370" s="118"/>
      <c r="BQ1370" s="118"/>
      <c r="BR1370" s="118"/>
      <c r="BS1370" s="118"/>
      <c r="BT1370" s="118"/>
      <c r="BU1370" s="118"/>
      <c r="BV1370" s="118"/>
      <c r="BW1370" s="118"/>
      <c r="BX1370" s="118"/>
      <c r="BY1370" s="118"/>
      <c r="BZ1370" s="118"/>
      <c r="CA1370" s="118"/>
      <c r="CB1370" s="118"/>
      <c r="CC1370" s="118"/>
      <c r="CD1370" s="118"/>
      <c r="CE1370" s="118"/>
      <c r="CF1370" s="118"/>
      <c r="CG1370" s="118"/>
      <c r="CH1370" s="118"/>
      <c r="CI1370" s="118"/>
      <c r="CJ1370" s="118"/>
      <c r="CK1370" s="118"/>
      <c r="CL1370" s="118"/>
      <c r="CM1370" s="118"/>
      <c r="CN1370" s="118"/>
      <c r="CO1370" s="118"/>
      <c r="CP1370" s="118"/>
      <c r="CQ1370" s="118"/>
      <c r="CR1370" s="118"/>
      <c r="CS1370" s="118"/>
      <c r="CT1370" s="118"/>
      <c r="CU1370" s="118"/>
      <c r="CV1370" s="118"/>
      <c r="CW1370" s="118"/>
      <c r="CX1370" s="118"/>
      <c r="CY1370" s="118"/>
      <c r="CZ1370" s="118"/>
      <c r="DA1370" s="118"/>
      <c r="DB1370" s="118"/>
      <c r="DC1370" s="118"/>
      <c r="DD1370" s="118"/>
      <c r="DE1370" s="118"/>
      <c r="DF1370" s="118"/>
      <c r="DG1370" s="118"/>
      <c r="DH1370" s="118"/>
      <c r="DI1370" s="118"/>
      <c r="DJ1370" s="118"/>
      <c r="DK1370" s="118"/>
      <c r="DL1370" s="118"/>
      <c r="DM1370" s="118"/>
      <c r="DN1370" s="118"/>
      <c r="DO1370" s="118"/>
      <c r="DP1370" s="118"/>
      <c r="DQ1370" s="118"/>
      <c r="DR1370" s="118"/>
      <c r="DS1370" s="118"/>
      <c r="DT1370" s="118"/>
      <c r="DU1370" s="118"/>
      <c r="DV1370" s="118"/>
      <c r="DW1370" s="118"/>
      <c r="DX1370" s="118"/>
      <c r="DY1370" s="118"/>
      <c r="DZ1370" s="118"/>
      <c r="EA1370" s="118"/>
      <c r="EB1370" s="118"/>
      <c r="EC1370" s="118"/>
      <c r="ED1370" s="118"/>
      <c r="EE1370" s="118"/>
      <c r="EF1370" s="118"/>
      <c r="EG1370" s="118"/>
      <c r="EH1370" s="118"/>
      <c r="EI1370" s="118"/>
      <c r="EJ1370" s="118"/>
      <c r="EK1370" s="118"/>
      <c r="EL1370" s="118"/>
      <c r="EM1370" s="118"/>
      <c r="EN1370" s="118"/>
      <c r="EO1370" s="118"/>
      <c r="EP1370" s="118"/>
      <c r="EQ1370" s="118"/>
      <c r="ER1370" s="118"/>
      <c r="ES1370" s="118"/>
      <c r="ET1370" s="118"/>
      <c r="EU1370" s="118"/>
      <c r="EV1370" s="118"/>
      <c r="EW1370" s="118"/>
      <c r="EX1370" s="118"/>
      <c r="EY1370" s="118"/>
      <c r="EZ1370" s="118"/>
      <c r="FA1370" s="118"/>
      <c r="FB1370" s="118"/>
      <c r="FC1370" s="118"/>
      <c r="FD1370" s="118"/>
      <c r="FE1370" s="118"/>
      <c r="FF1370" s="118"/>
      <c r="FG1370" s="118"/>
      <c r="FH1370" s="118"/>
      <c r="FI1370" s="118"/>
      <c r="FJ1370" s="118"/>
      <c r="FK1370" s="118"/>
      <c r="FL1370" s="118"/>
      <c r="FM1370" s="118"/>
      <c r="FN1370" s="118"/>
      <c r="FO1370" s="118"/>
      <c r="FP1370" s="118"/>
      <c r="FQ1370" s="118"/>
      <c r="FR1370" s="118"/>
      <c r="FS1370" s="118"/>
      <c r="FT1370" s="118"/>
      <c r="FU1370" s="118"/>
      <c r="FV1370" s="118"/>
      <c r="FW1370" s="118"/>
      <c r="FX1370" s="118"/>
      <c r="FY1370" s="118"/>
      <c r="FZ1370" s="118"/>
      <c r="GA1370" s="118"/>
      <c r="GB1370" s="118"/>
      <c r="GC1370" s="118"/>
      <c r="GD1370" s="118"/>
      <c r="GE1370" s="118"/>
      <c r="GF1370" s="118"/>
      <c r="GG1370" s="118"/>
      <c r="GH1370" s="118"/>
      <c r="GI1370" s="118"/>
      <c r="GJ1370" s="118"/>
      <c r="GK1370" s="118"/>
      <c r="GL1370" s="118"/>
      <c r="GM1370" s="118"/>
      <c r="GN1370" s="118"/>
      <c r="GO1370" s="118"/>
      <c r="GP1370" s="118"/>
      <c r="GQ1370" s="118"/>
      <c r="GR1370" s="118"/>
      <c r="GS1370" s="118"/>
      <c r="GT1370" s="118"/>
      <c r="GU1370" s="118"/>
      <c r="GV1370" s="118"/>
      <c r="GW1370" s="118"/>
      <c r="GX1370" s="118"/>
      <c r="GY1370" s="118"/>
      <c r="GZ1370" s="118"/>
      <c r="HA1370" s="118"/>
      <c r="HB1370" s="118"/>
      <c r="HC1370" s="118"/>
      <c r="HD1370" s="118"/>
      <c r="HE1370" s="118"/>
      <c r="HF1370" s="118"/>
      <c r="HG1370" s="118"/>
      <c r="HH1370" s="118"/>
      <c r="HI1370" s="118"/>
      <c r="HJ1370" s="118"/>
      <c r="HK1370" s="118"/>
      <c r="HL1370" s="118"/>
      <c r="HM1370" s="118"/>
      <c r="HN1370" s="118"/>
      <c r="HO1370" s="118"/>
      <c r="HP1370" s="118"/>
      <c r="HQ1370" s="118"/>
      <c r="HR1370" s="118"/>
      <c r="HS1370" s="118"/>
      <c r="HT1370" s="118"/>
      <c r="HU1370" s="118"/>
      <c r="HV1370" s="118"/>
      <c r="HW1370" s="118"/>
      <c r="HX1370" s="118"/>
      <c r="HY1370" s="118"/>
      <c r="HZ1370" s="118"/>
      <c r="IA1370" s="118"/>
      <c r="IB1370" s="118"/>
      <c r="IC1370" s="118"/>
      <c r="ID1370" s="118"/>
      <c r="IE1370" s="118"/>
      <c r="IF1370" s="118"/>
      <c r="IG1370" s="118"/>
      <c r="IH1370" s="118"/>
      <c r="II1370" s="118"/>
      <c r="IJ1370" s="118"/>
    </row>
    <row r="1371" spans="1:244" s="127" customFormat="1" ht="12.75" customHeight="1">
      <c r="A1371" s="118">
        <v>1370</v>
      </c>
      <c r="B1371" s="128">
        <v>16</v>
      </c>
      <c r="C1371" s="156">
        <v>37288</v>
      </c>
      <c r="D1371" s="157" t="s">
        <v>45</v>
      </c>
      <c r="E1371" s="8">
        <v>2002</v>
      </c>
      <c r="F1371" s="158"/>
      <c r="G1371" s="162"/>
      <c r="H1371" s="11"/>
      <c r="I1371" s="163"/>
      <c r="J1371" s="11"/>
      <c r="K1371" s="11"/>
      <c r="L1371" s="11"/>
      <c r="M1371" s="174"/>
      <c r="N1371" s="528"/>
      <c r="O1371" s="11"/>
      <c r="P1371" s="8"/>
      <c r="Q1371" s="11">
        <v>8.4</v>
      </c>
      <c r="R1371" s="11"/>
      <c r="S1371" s="155"/>
      <c r="T1371" s="11"/>
      <c r="U1371" s="161"/>
      <c r="V1371" s="11"/>
      <c r="W1371" s="11"/>
      <c r="X1371" s="118"/>
      <c r="Y1371" s="118"/>
      <c r="Z1371" s="118"/>
      <c r="AA1371" s="118"/>
      <c r="AB1371" s="118"/>
      <c r="AC1371" s="118"/>
      <c r="AD1371" s="118"/>
      <c r="AE1371" s="118"/>
      <c r="AF1371" s="118"/>
      <c r="AG1371" s="118"/>
      <c r="AH1371" s="118"/>
      <c r="AI1371" s="118"/>
      <c r="AJ1371" s="118"/>
      <c r="AK1371" s="118"/>
      <c r="AL1371" s="118"/>
      <c r="AM1371" s="118"/>
      <c r="AN1371" s="118"/>
      <c r="AO1371" s="118"/>
      <c r="AP1371" s="118"/>
      <c r="AQ1371" s="118"/>
      <c r="AR1371" s="118"/>
      <c r="AS1371" s="118"/>
      <c r="AT1371" s="118"/>
      <c r="AU1371" s="118"/>
      <c r="AV1371" s="118"/>
      <c r="AW1371" s="118"/>
      <c r="AX1371" s="118"/>
      <c r="AY1371" s="118"/>
      <c r="AZ1371" s="118"/>
      <c r="BA1371" s="118"/>
      <c r="BB1371" s="118"/>
      <c r="BC1371" s="118"/>
      <c r="BD1371" s="118"/>
      <c r="BE1371" s="118"/>
      <c r="BF1371" s="118"/>
      <c r="BG1371" s="118"/>
      <c r="BH1371" s="118"/>
      <c r="BI1371" s="118"/>
      <c r="BJ1371" s="118"/>
      <c r="BK1371" s="118"/>
      <c r="BL1371" s="118"/>
      <c r="BM1371" s="118"/>
      <c r="BN1371" s="118"/>
      <c r="BO1371" s="118"/>
      <c r="BP1371" s="118"/>
      <c r="BQ1371" s="118"/>
      <c r="BR1371" s="118"/>
      <c r="BS1371" s="118"/>
      <c r="BT1371" s="118"/>
      <c r="BU1371" s="118"/>
      <c r="BV1371" s="118"/>
      <c r="BW1371" s="118"/>
      <c r="BX1371" s="118"/>
      <c r="BY1371" s="118"/>
      <c r="BZ1371" s="118"/>
      <c r="CA1371" s="118"/>
      <c r="CB1371" s="118"/>
      <c r="CC1371" s="118"/>
      <c r="CD1371" s="118"/>
      <c r="CE1371" s="118"/>
      <c r="CF1371" s="118"/>
      <c r="CG1371" s="118"/>
      <c r="CH1371" s="118"/>
      <c r="CI1371" s="118"/>
      <c r="CJ1371" s="118"/>
      <c r="CK1371" s="118"/>
      <c r="CL1371" s="118"/>
      <c r="CM1371" s="118"/>
      <c r="CN1371" s="118"/>
      <c r="CO1371" s="118"/>
      <c r="CP1371" s="118"/>
      <c r="CQ1371" s="118"/>
      <c r="CR1371" s="118"/>
      <c r="CS1371" s="118"/>
      <c r="CT1371" s="118"/>
      <c r="CU1371" s="118"/>
      <c r="CV1371" s="118"/>
      <c r="CW1371" s="118"/>
      <c r="CX1371" s="118"/>
      <c r="CY1371" s="118"/>
      <c r="CZ1371" s="118"/>
      <c r="DA1371" s="118"/>
      <c r="DB1371" s="118"/>
      <c r="DC1371" s="118"/>
      <c r="DD1371" s="118"/>
      <c r="DE1371" s="118"/>
      <c r="DF1371" s="118"/>
      <c r="DG1371" s="118"/>
      <c r="DH1371" s="118"/>
      <c r="DI1371" s="118"/>
      <c r="DJ1371" s="118"/>
      <c r="DK1371" s="118"/>
      <c r="DL1371" s="118"/>
      <c r="DM1371" s="118"/>
      <c r="DN1371" s="118"/>
      <c r="DO1371" s="118"/>
      <c r="DP1371" s="118"/>
      <c r="DQ1371" s="118"/>
      <c r="DR1371" s="118"/>
      <c r="DS1371" s="118"/>
      <c r="DT1371" s="118"/>
      <c r="DU1371" s="118"/>
      <c r="DV1371" s="118"/>
      <c r="DW1371" s="118"/>
      <c r="DX1371" s="118"/>
      <c r="DY1371" s="118"/>
      <c r="DZ1371" s="118"/>
      <c r="EA1371" s="118"/>
      <c r="EB1371" s="118"/>
      <c r="EC1371" s="118"/>
      <c r="ED1371" s="118"/>
      <c r="EE1371" s="118"/>
      <c r="EF1371" s="118"/>
      <c r="EG1371" s="118"/>
      <c r="EH1371" s="118"/>
      <c r="EI1371" s="118"/>
      <c r="EJ1371" s="118"/>
      <c r="EK1371" s="118"/>
      <c r="EL1371" s="118"/>
      <c r="EM1371" s="118"/>
      <c r="EN1371" s="118"/>
      <c r="EO1371" s="118"/>
      <c r="EP1371" s="118"/>
      <c r="EQ1371" s="118"/>
      <c r="ER1371" s="118"/>
      <c r="ES1371" s="118"/>
      <c r="ET1371" s="118"/>
      <c r="EU1371" s="118"/>
      <c r="EV1371" s="118"/>
      <c r="EW1371" s="118"/>
      <c r="EX1371" s="118"/>
      <c r="EY1371" s="118"/>
      <c r="EZ1371" s="118"/>
      <c r="FA1371" s="118"/>
      <c r="FB1371" s="118"/>
      <c r="FC1371" s="118"/>
      <c r="FD1371" s="118"/>
      <c r="FE1371" s="118"/>
      <c r="FF1371" s="118"/>
      <c r="FG1371" s="118"/>
      <c r="FH1371" s="118"/>
      <c r="FI1371" s="118"/>
      <c r="FJ1371" s="118"/>
      <c r="FK1371" s="118"/>
      <c r="FL1371" s="118"/>
      <c r="FM1371" s="118"/>
      <c r="FN1371" s="118"/>
      <c r="FO1371" s="118"/>
      <c r="FP1371" s="118"/>
      <c r="FQ1371" s="118"/>
      <c r="FR1371" s="118"/>
      <c r="FS1371" s="118"/>
      <c r="FT1371" s="118"/>
      <c r="FU1371" s="118"/>
      <c r="FV1371" s="118"/>
      <c r="FW1371" s="118"/>
      <c r="FX1371" s="118"/>
      <c r="FY1371" s="118"/>
      <c r="FZ1371" s="118"/>
      <c r="GA1371" s="118"/>
      <c r="GB1371" s="118"/>
      <c r="GC1371" s="118"/>
      <c r="GD1371" s="118"/>
      <c r="GE1371" s="118"/>
      <c r="GF1371" s="118"/>
      <c r="GG1371" s="118"/>
      <c r="GH1371" s="118"/>
      <c r="GI1371" s="118"/>
      <c r="GJ1371" s="118"/>
      <c r="GK1371" s="118"/>
      <c r="GL1371" s="118"/>
      <c r="GM1371" s="118"/>
      <c r="GN1371" s="118"/>
      <c r="GO1371" s="118"/>
      <c r="GP1371" s="118"/>
      <c r="GQ1371" s="118"/>
      <c r="GR1371" s="118"/>
      <c r="GS1371" s="118"/>
      <c r="GT1371" s="118"/>
      <c r="GU1371" s="118"/>
      <c r="GV1371" s="118"/>
      <c r="GW1371" s="118"/>
      <c r="GX1371" s="118"/>
      <c r="GY1371" s="118"/>
      <c r="GZ1371" s="118"/>
      <c r="HA1371" s="118"/>
      <c r="HB1371" s="118"/>
      <c r="HC1371" s="118"/>
      <c r="HD1371" s="118"/>
      <c r="HE1371" s="118"/>
      <c r="HF1371" s="118"/>
      <c r="HG1371" s="118"/>
      <c r="HH1371" s="118"/>
      <c r="HI1371" s="118"/>
      <c r="HJ1371" s="118"/>
      <c r="HK1371" s="118"/>
      <c r="HL1371" s="118"/>
      <c r="HM1371" s="118"/>
      <c r="HN1371" s="118"/>
      <c r="HO1371" s="118"/>
      <c r="HP1371" s="118"/>
      <c r="HQ1371" s="118"/>
      <c r="HR1371" s="118"/>
      <c r="HS1371" s="118"/>
      <c r="HT1371" s="118"/>
      <c r="HU1371" s="118"/>
      <c r="HV1371" s="118"/>
      <c r="HW1371" s="118"/>
      <c r="HX1371" s="118"/>
      <c r="HY1371" s="118"/>
      <c r="HZ1371" s="118"/>
      <c r="IA1371" s="118"/>
      <c r="IB1371" s="118"/>
      <c r="IC1371" s="118"/>
      <c r="ID1371" s="118"/>
      <c r="IE1371" s="118"/>
      <c r="IF1371" s="118"/>
      <c r="IG1371" s="118"/>
      <c r="IH1371" s="118"/>
      <c r="II1371" s="118"/>
      <c r="IJ1371" s="118"/>
    </row>
    <row r="1372" spans="1:244" s="127" customFormat="1" ht="12.75" customHeight="1">
      <c r="A1372" s="118">
        <v>1371</v>
      </c>
      <c r="B1372" s="128">
        <v>16</v>
      </c>
      <c r="C1372" s="156">
        <v>37316</v>
      </c>
      <c r="D1372" s="157" t="s">
        <v>46</v>
      </c>
      <c r="E1372" s="8">
        <v>2002</v>
      </c>
      <c r="F1372" s="158"/>
      <c r="G1372" s="162"/>
      <c r="H1372" s="11"/>
      <c r="I1372" s="163"/>
      <c r="J1372" s="11"/>
      <c r="K1372" s="11"/>
      <c r="L1372" s="11"/>
      <c r="M1372" s="174"/>
      <c r="N1372" s="528"/>
      <c r="O1372" s="11"/>
      <c r="P1372" s="8"/>
      <c r="Q1372" s="11"/>
      <c r="R1372" s="11"/>
      <c r="S1372" s="155"/>
      <c r="T1372" s="11"/>
      <c r="U1372" s="161"/>
      <c r="V1372" s="11"/>
      <c r="W1372" s="11"/>
      <c r="X1372" s="118"/>
      <c r="Y1372" s="118"/>
      <c r="Z1372" s="118"/>
      <c r="AA1372" s="118"/>
      <c r="AB1372" s="118"/>
      <c r="AC1372" s="118"/>
      <c r="AD1372" s="118"/>
      <c r="AE1372" s="118"/>
      <c r="AF1372" s="118"/>
      <c r="AG1372" s="118"/>
      <c r="AH1372" s="118"/>
      <c r="AI1372" s="118"/>
      <c r="AJ1372" s="118"/>
      <c r="AK1372" s="118"/>
      <c r="AL1372" s="118"/>
      <c r="AM1372" s="118"/>
      <c r="AN1372" s="118"/>
      <c r="AO1372" s="118"/>
      <c r="AP1372" s="118"/>
      <c r="AQ1372" s="118"/>
      <c r="AR1372" s="118"/>
      <c r="AS1372" s="118"/>
      <c r="AT1372" s="118"/>
      <c r="AU1372" s="118"/>
      <c r="AV1372" s="118"/>
      <c r="AW1372" s="118"/>
      <c r="AX1372" s="118"/>
      <c r="AY1372" s="118"/>
      <c r="AZ1372" s="118"/>
      <c r="BA1372" s="118"/>
      <c r="BB1372" s="118"/>
      <c r="BC1372" s="118"/>
      <c r="BD1372" s="118"/>
      <c r="BE1372" s="118"/>
      <c r="BF1372" s="118"/>
      <c r="BG1372" s="118"/>
      <c r="BH1372" s="118"/>
      <c r="BI1372" s="118"/>
      <c r="BJ1372" s="118"/>
      <c r="BK1372" s="118"/>
      <c r="BL1372" s="118"/>
      <c r="BM1372" s="118"/>
      <c r="BN1372" s="118"/>
      <c r="BO1372" s="118"/>
      <c r="BP1372" s="118"/>
      <c r="BQ1372" s="118"/>
      <c r="BR1372" s="118"/>
      <c r="BS1372" s="118"/>
      <c r="BT1372" s="118"/>
      <c r="BU1372" s="118"/>
      <c r="BV1372" s="118"/>
      <c r="BW1372" s="118"/>
      <c r="BX1372" s="118"/>
      <c r="BY1372" s="118"/>
      <c r="BZ1372" s="118"/>
      <c r="CA1372" s="118"/>
      <c r="CB1372" s="118"/>
      <c r="CC1372" s="118"/>
      <c r="CD1372" s="118"/>
      <c r="CE1372" s="118"/>
      <c r="CF1372" s="118"/>
      <c r="CG1372" s="118"/>
      <c r="CH1372" s="118"/>
      <c r="CI1372" s="118"/>
      <c r="CJ1372" s="118"/>
      <c r="CK1372" s="118"/>
      <c r="CL1372" s="118"/>
      <c r="CM1372" s="118"/>
      <c r="CN1372" s="118"/>
      <c r="CO1372" s="118"/>
      <c r="CP1372" s="118"/>
      <c r="CQ1372" s="118"/>
      <c r="CR1372" s="118"/>
      <c r="CS1372" s="118"/>
      <c r="CT1372" s="118"/>
      <c r="CU1372" s="118"/>
      <c r="CV1372" s="118"/>
      <c r="CW1372" s="118"/>
      <c r="CX1372" s="118"/>
      <c r="CY1372" s="118"/>
      <c r="CZ1372" s="118"/>
      <c r="DA1372" s="118"/>
      <c r="DB1372" s="118"/>
      <c r="DC1372" s="118"/>
      <c r="DD1372" s="118"/>
      <c r="DE1372" s="118"/>
      <c r="DF1372" s="118"/>
      <c r="DG1372" s="118"/>
      <c r="DH1372" s="118"/>
      <c r="DI1372" s="118"/>
      <c r="DJ1372" s="118"/>
      <c r="DK1372" s="118"/>
      <c r="DL1372" s="118"/>
      <c r="DM1372" s="118"/>
      <c r="DN1372" s="118"/>
      <c r="DO1372" s="118"/>
      <c r="DP1372" s="118"/>
      <c r="DQ1372" s="118"/>
      <c r="DR1372" s="118"/>
      <c r="DS1372" s="118"/>
      <c r="DT1372" s="118"/>
      <c r="DU1372" s="118"/>
      <c r="DV1372" s="118"/>
      <c r="DW1372" s="118"/>
      <c r="DX1372" s="118"/>
      <c r="DY1372" s="118"/>
      <c r="DZ1372" s="118"/>
      <c r="EA1372" s="118"/>
      <c r="EB1372" s="118"/>
      <c r="EC1372" s="118"/>
      <c r="ED1372" s="118"/>
      <c r="EE1372" s="118"/>
      <c r="EF1372" s="118"/>
      <c r="EG1372" s="118"/>
      <c r="EH1372" s="118"/>
      <c r="EI1372" s="118"/>
      <c r="EJ1372" s="118"/>
      <c r="EK1372" s="118"/>
      <c r="EL1372" s="118"/>
      <c r="EM1372" s="118"/>
      <c r="EN1372" s="118"/>
      <c r="EO1372" s="118"/>
      <c r="EP1372" s="118"/>
      <c r="EQ1372" s="118"/>
      <c r="ER1372" s="118"/>
      <c r="ES1372" s="118"/>
      <c r="ET1372" s="118"/>
      <c r="EU1372" s="118"/>
      <c r="EV1372" s="118"/>
      <c r="EW1372" s="118"/>
      <c r="EX1372" s="118"/>
      <c r="EY1372" s="118"/>
      <c r="EZ1372" s="118"/>
      <c r="FA1372" s="118"/>
      <c r="FB1372" s="118"/>
      <c r="FC1372" s="118"/>
      <c r="FD1372" s="118"/>
      <c r="FE1372" s="118"/>
      <c r="FF1372" s="118"/>
      <c r="FG1372" s="118"/>
      <c r="FH1372" s="118"/>
      <c r="FI1372" s="118"/>
      <c r="FJ1372" s="118"/>
      <c r="FK1372" s="118"/>
      <c r="FL1372" s="118"/>
      <c r="FM1372" s="118"/>
      <c r="FN1372" s="118"/>
      <c r="FO1372" s="118"/>
      <c r="FP1372" s="118"/>
      <c r="FQ1372" s="118"/>
      <c r="FR1372" s="118"/>
      <c r="FS1372" s="118"/>
      <c r="FT1372" s="118"/>
      <c r="FU1372" s="118"/>
      <c r="FV1372" s="118"/>
      <c r="FW1372" s="118"/>
      <c r="FX1372" s="118"/>
      <c r="FY1372" s="118"/>
      <c r="FZ1372" s="118"/>
      <c r="GA1372" s="118"/>
      <c r="GB1372" s="118"/>
      <c r="GC1372" s="118"/>
      <c r="GD1372" s="118"/>
      <c r="GE1372" s="118"/>
      <c r="GF1372" s="118"/>
      <c r="GG1372" s="118"/>
      <c r="GH1372" s="118"/>
      <c r="GI1372" s="118"/>
      <c r="GJ1372" s="118"/>
      <c r="GK1372" s="118"/>
      <c r="GL1372" s="118"/>
      <c r="GM1372" s="118"/>
      <c r="GN1372" s="118"/>
      <c r="GO1372" s="118"/>
      <c r="GP1372" s="118"/>
      <c r="GQ1372" s="118"/>
      <c r="GR1372" s="118"/>
      <c r="GS1372" s="118"/>
      <c r="GT1372" s="118"/>
      <c r="GU1372" s="118"/>
      <c r="GV1372" s="118"/>
      <c r="GW1372" s="118"/>
      <c r="GX1372" s="118"/>
      <c r="GY1372" s="118"/>
      <c r="GZ1372" s="118"/>
      <c r="HA1372" s="118"/>
      <c r="HB1372" s="118"/>
      <c r="HC1372" s="118"/>
      <c r="HD1372" s="118"/>
      <c r="HE1372" s="118"/>
      <c r="HF1372" s="118"/>
      <c r="HG1372" s="118"/>
      <c r="HH1372" s="118"/>
      <c r="HI1372" s="118"/>
      <c r="HJ1372" s="118"/>
      <c r="HK1372" s="118"/>
      <c r="HL1372" s="118"/>
      <c r="HM1372" s="118"/>
      <c r="HN1372" s="118"/>
      <c r="HO1372" s="118"/>
      <c r="HP1372" s="118"/>
      <c r="HQ1372" s="118"/>
      <c r="HR1372" s="118"/>
      <c r="HS1372" s="118"/>
      <c r="HT1372" s="118"/>
      <c r="HU1372" s="118"/>
      <c r="HV1372" s="118"/>
      <c r="HW1372" s="118"/>
      <c r="HX1372" s="118"/>
      <c r="HY1372" s="118"/>
      <c r="HZ1372" s="118"/>
      <c r="IA1372" s="118"/>
      <c r="IB1372" s="118"/>
      <c r="IC1372" s="118"/>
      <c r="ID1372" s="118"/>
      <c r="IE1372" s="118"/>
      <c r="IF1372" s="118"/>
      <c r="IG1372" s="118"/>
      <c r="IH1372" s="118"/>
      <c r="II1372" s="118"/>
      <c r="IJ1372" s="118"/>
    </row>
    <row r="1373" spans="1:244" s="127" customFormat="1" ht="12.75" customHeight="1">
      <c r="A1373" s="118">
        <v>1372</v>
      </c>
      <c r="B1373" s="128">
        <v>16</v>
      </c>
      <c r="C1373" s="156">
        <v>37347</v>
      </c>
      <c r="D1373" s="157" t="s">
        <v>47</v>
      </c>
      <c r="E1373" s="8">
        <v>2002</v>
      </c>
      <c r="F1373" s="158"/>
      <c r="G1373" s="162"/>
      <c r="H1373" s="11"/>
      <c r="I1373" s="163"/>
      <c r="J1373" s="11"/>
      <c r="K1373" s="11"/>
      <c r="L1373" s="11"/>
      <c r="M1373" s="174"/>
      <c r="N1373" s="528"/>
      <c r="O1373" s="11"/>
      <c r="P1373" s="8"/>
      <c r="Q1373" s="11"/>
      <c r="R1373" s="11"/>
      <c r="S1373" s="155"/>
      <c r="T1373" s="11"/>
      <c r="U1373" s="161"/>
      <c r="V1373" s="11"/>
      <c r="W1373" s="11"/>
      <c r="X1373" s="118"/>
      <c r="Y1373" s="118"/>
      <c r="Z1373" s="118"/>
      <c r="AA1373" s="118"/>
      <c r="AB1373" s="118"/>
      <c r="AC1373" s="118"/>
      <c r="AD1373" s="118"/>
      <c r="AE1373" s="118"/>
      <c r="AF1373" s="118"/>
      <c r="AG1373" s="118"/>
      <c r="AH1373" s="118"/>
      <c r="AI1373" s="118"/>
      <c r="AJ1373" s="118"/>
      <c r="AK1373" s="118"/>
      <c r="AL1373" s="118"/>
      <c r="AM1373" s="118"/>
      <c r="AN1373" s="118"/>
      <c r="AO1373" s="118"/>
      <c r="AP1373" s="118"/>
      <c r="AQ1373" s="118"/>
      <c r="AR1373" s="118"/>
      <c r="AS1373" s="118"/>
      <c r="AT1373" s="118"/>
      <c r="AU1373" s="118"/>
      <c r="AV1373" s="118"/>
      <c r="AW1373" s="118"/>
      <c r="AX1373" s="118"/>
      <c r="AY1373" s="118"/>
      <c r="AZ1373" s="118"/>
      <c r="BA1373" s="118"/>
      <c r="BB1373" s="118"/>
      <c r="BC1373" s="118"/>
      <c r="BD1373" s="118"/>
      <c r="BE1373" s="118"/>
      <c r="BF1373" s="118"/>
      <c r="BG1373" s="118"/>
      <c r="BH1373" s="118"/>
      <c r="BI1373" s="118"/>
      <c r="BJ1373" s="118"/>
      <c r="BK1373" s="118"/>
      <c r="BL1373" s="118"/>
      <c r="BM1373" s="118"/>
      <c r="BN1373" s="118"/>
      <c r="BO1373" s="118"/>
      <c r="BP1373" s="118"/>
      <c r="BQ1373" s="118"/>
      <c r="BR1373" s="118"/>
      <c r="BS1373" s="118"/>
      <c r="BT1373" s="118"/>
      <c r="BU1373" s="118"/>
      <c r="BV1373" s="118"/>
      <c r="BW1373" s="118"/>
      <c r="BX1373" s="118"/>
      <c r="BY1373" s="118"/>
      <c r="BZ1373" s="118"/>
      <c r="CA1373" s="118"/>
      <c r="CB1373" s="118"/>
      <c r="CC1373" s="118"/>
      <c r="CD1373" s="118"/>
      <c r="CE1373" s="118"/>
      <c r="CF1373" s="118"/>
      <c r="CG1373" s="118"/>
      <c r="CH1373" s="118"/>
      <c r="CI1373" s="118"/>
      <c r="CJ1373" s="118"/>
      <c r="CK1373" s="118"/>
      <c r="CL1373" s="118"/>
      <c r="CM1373" s="118"/>
      <c r="CN1373" s="118"/>
      <c r="CO1373" s="118"/>
      <c r="CP1373" s="118"/>
      <c r="CQ1373" s="118"/>
      <c r="CR1373" s="118"/>
      <c r="CS1373" s="118"/>
      <c r="CT1373" s="118"/>
      <c r="CU1373" s="118"/>
      <c r="CV1373" s="118"/>
      <c r="CW1373" s="118"/>
      <c r="CX1373" s="118"/>
      <c r="CY1373" s="118"/>
      <c r="CZ1373" s="118"/>
      <c r="DA1373" s="118"/>
      <c r="DB1373" s="118"/>
      <c r="DC1373" s="118"/>
      <c r="DD1373" s="118"/>
      <c r="DE1373" s="118"/>
      <c r="DF1373" s="118"/>
      <c r="DG1373" s="118"/>
      <c r="DH1373" s="118"/>
      <c r="DI1373" s="118"/>
      <c r="DJ1373" s="118"/>
      <c r="DK1373" s="118"/>
      <c r="DL1373" s="118"/>
      <c r="DM1373" s="118"/>
      <c r="DN1373" s="118"/>
      <c r="DO1373" s="118"/>
      <c r="DP1373" s="118"/>
      <c r="DQ1373" s="118"/>
      <c r="DR1373" s="118"/>
      <c r="DS1373" s="118"/>
      <c r="DT1373" s="118"/>
      <c r="DU1373" s="118"/>
      <c r="DV1373" s="118"/>
      <c r="DW1373" s="118"/>
      <c r="DX1373" s="118"/>
      <c r="DY1373" s="118"/>
      <c r="DZ1373" s="118"/>
      <c r="EA1373" s="118"/>
      <c r="EB1373" s="118"/>
      <c r="EC1373" s="118"/>
      <c r="ED1373" s="118"/>
      <c r="EE1373" s="118"/>
      <c r="EF1373" s="118"/>
      <c r="EG1373" s="118"/>
      <c r="EH1373" s="118"/>
      <c r="EI1373" s="118"/>
      <c r="EJ1373" s="118"/>
      <c r="EK1373" s="118"/>
      <c r="EL1373" s="118"/>
      <c r="EM1373" s="118"/>
      <c r="EN1373" s="118"/>
      <c r="EO1373" s="118"/>
      <c r="EP1373" s="118"/>
      <c r="EQ1373" s="118"/>
      <c r="ER1373" s="118"/>
      <c r="ES1373" s="118"/>
      <c r="ET1373" s="118"/>
      <c r="EU1373" s="118"/>
      <c r="EV1373" s="118"/>
      <c r="EW1373" s="118"/>
      <c r="EX1373" s="118"/>
      <c r="EY1373" s="118"/>
      <c r="EZ1373" s="118"/>
      <c r="FA1373" s="118"/>
      <c r="FB1373" s="118"/>
      <c r="FC1373" s="118"/>
      <c r="FD1373" s="118"/>
      <c r="FE1373" s="118"/>
      <c r="FF1373" s="118"/>
      <c r="FG1373" s="118"/>
      <c r="FH1373" s="118"/>
      <c r="FI1373" s="118"/>
      <c r="FJ1373" s="118"/>
      <c r="FK1373" s="118"/>
      <c r="FL1373" s="118"/>
      <c r="FM1373" s="118"/>
      <c r="FN1373" s="118"/>
      <c r="FO1373" s="118"/>
      <c r="FP1373" s="118"/>
      <c r="FQ1373" s="118"/>
      <c r="FR1373" s="118"/>
      <c r="FS1373" s="118"/>
      <c r="FT1373" s="118"/>
      <c r="FU1373" s="118"/>
      <c r="FV1373" s="118"/>
      <c r="FW1373" s="118"/>
      <c r="FX1373" s="118"/>
      <c r="FY1373" s="118"/>
      <c r="FZ1373" s="118"/>
      <c r="GA1373" s="118"/>
      <c r="GB1373" s="118"/>
      <c r="GC1373" s="118"/>
      <c r="GD1373" s="118"/>
      <c r="GE1373" s="118"/>
      <c r="GF1373" s="118"/>
      <c r="GG1373" s="118"/>
      <c r="GH1373" s="118"/>
      <c r="GI1373" s="118"/>
      <c r="GJ1373" s="118"/>
      <c r="GK1373" s="118"/>
      <c r="GL1373" s="118"/>
      <c r="GM1373" s="118"/>
      <c r="GN1373" s="118"/>
      <c r="GO1373" s="118"/>
      <c r="GP1373" s="118"/>
      <c r="GQ1373" s="118"/>
      <c r="GR1373" s="118"/>
      <c r="GS1373" s="118"/>
      <c r="GT1373" s="118"/>
      <c r="GU1373" s="118"/>
      <c r="GV1373" s="118"/>
      <c r="GW1373" s="118"/>
      <c r="GX1373" s="118"/>
      <c r="GY1373" s="118"/>
      <c r="GZ1373" s="118"/>
      <c r="HA1373" s="118"/>
      <c r="HB1373" s="118"/>
      <c r="HC1373" s="118"/>
      <c r="HD1373" s="118"/>
      <c r="HE1373" s="118"/>
      <c r="HF1373" s="118"/>
      <c r="HG1373" s="118"/>
      <c r="HH1373" s="118"/>
      <c r="HI1373" s="118"/>
      <c r="HJ1373" s="118"/>
      <c r="HK1373" s="118"/>
      <c r="HL1373" s="118"/>
      <c r="HM1373" s="118"/>
      <c r="HN1373" s="118"/>
      <c r="HO1373" s="118"/>
      <c r="HP1373" s="118"/>
      <c r="HQ1373" s="118"/>
      <c r="HR1373" s="118"/>
      <c r="HS1373" s="118"/>
      <c r="HT1373" s="118"/>
      <c r="HU1373" s="118"/>
      <c r="HV1373" s="118"/>
      <c r="HW1373" s="118"/>
      <c r="HX1373" s="118"/>
      <c r="HY1373" s="118"/>
      <c r="HZ1373" s="118"/>
      <c r="IA1373" s="118"/>
      <c r="IB1373" s="118"/>
      <c r="IC1373" s="118"/>
      <c r="ID1373" s="118"/>
      <c r="IE1373" s="118"/>
      <c r="IF1373" s="118"/>
      <c r="IG1373" s="118"/>
      <c r="IH1373" s="118"/>
      <c r="II1373" s="118"/>
      <c r="IJ1373" s="118"/>
    </row>
    <row r="1374" spans="1:244" s="127" customFormat="1" ht="12.75" customHeight="1">
      <c r="A1374" s="118">
        <v>1373</v>
      </c>
      <c r="B1374" s="128">
        <v>16</v>
      </c>
      <c r="C1374" s="156">
        <v>37377</v>
      </c>
      <c r="D1374" s="157" t="s">
        <v>48</v>
      </c>
      <c r="E1374" s="8">
        <v>2002</v>
      </c>
      <c r="F1374" s="158"/>
      <c r="G1374" s="162"/>
      <c r="H1374" s="11"/>
      <c r="I1374" s="163"/>
      <c r="J1374" s="11"/>
      <c r="K1374" s="11"/>
      <c r="L1374" s="11"/>
      <c r="M1374" s="174"/>
      <c r="N1374" s="528"/>
      <c r="O1374" s="11"/>
      <c r="P1374" s="8"/>
      <c r="Q1374" s="11"/>
      <c r="R1374" s="11"/>
      <c r="S1374" s="155"/>
      <c r="T1374" s="11"/>
      <c r="U1374" s="161"/>
      <c r="V1374" s="11"/>
      <c r="W1374" s="11"/>
      <c r="X1374" s="118"/>
      <c r="Y1374" s="118"/>
      <c r="Z1374" s="118"/>
      <c r="AA1374" s="118"/>
      <c r="AB1374" s="118"/>
      <c r="AC1374" s="118"/>
      <c r="AD1374" s="118"/>
      <c r="AE1374" s="118"/>
      <c r="AF1374" s="118"/>
      <c r="AG1374" s="118"/>
      <c r="AH1374" s="118"/>
      <c r="AI1374" s="118"/>
      <c r="AJ1374" s="118"/>
      <c r="AK1374" s="118"/>
      <c r="AL1374" s="118"/>
      <c r="AM1374" s="118"/>
      <c r="AN1374" s="118"/>
      <c r="AO1374" s="118"/>
      <c r="AP1374" s="118"/>
      <c r="AQ1374" s="118"/>
      <c r="AR1374" s="118"/>
      <c r="AS1374" s="118"/>
      <c r="AT1374" s="118"/>
      <c r="AU1374" s="118"/>
      <c r="AV1374" s="118"/>
      <c r="AW1374" s="118"/>
      <c r="AX1374" s="118"/>
      <c r="AY1374" s="118"/>
      <c r="AZ1374" s="118"/>
      <c r="BA1374" s="118"/>
      <c r="BB1374" s="118"/>
      <c r="BC1374" s="118"/>
      <c r="BD1374" s="118"/>
      <c r="BE1374" s="118"/>
      <c r="BF1374" s="118"/>
      <c r="BG1374" s="118"/>
      <c r="BH1374" s="118"/>
      <c r="BI1374" s="118"/>
      <c r="BJ1374" s="118"/>
      <c r="BK1374" s="118"/>
      <c r="BL1374" s="118"/>
      <c r="BM1374" s="118"/>
      <c r="BN1374" s="118"/>
      <c r="BO1374" s="118"/>
      <c r="BP1374" s="118"/>
      <c r="BQ1374" s="118"/>
      <c r="BR1374" s="118"/>
      <c r="BS1374" s="118"/>
      <c r="BT1374" s="118"/>
      <c r="BU1374" s="118"/>
      <c r="BV1374" s="118"/>
      <c r="BW1374" s="118"/>
      <c r="BX1374" s="118"/>
      <c r="BY1374" s="118"/>
      <c r="BZ1374" s="118"/>
      <c r="CA1374" s="118"/>
      <c r="CB1374" s="118"/>
      <c r="CC1374" s="118"/>
      <c r="CD1374" s="118"/>
      <c r="CE1374" s="118"/>
      <c r="CF1374" s="118"/>
      <c r="CG1374" s="118"/>
      <c r="CH1374" s="118"/>
      <c r="CI1374" s="118"/>
      <c r="CJ1374" s="118"/>
      <c r="CK1374" s="118"/>
      <c r="CL1374" s="118"/>
      <c r="CM1374" s="118"/>
      <c r="CN1374" s="118"/>
      <c r="CO1374" s="118"/>
      <c r="CP1374" s="118"/>
      <c r="CQ1374" s="118"/>
      <c r="CR1374" s="118"/>
      <c r="CS1374" s="118"/>
      <c r="CT1374" s="118"/>
      <c r="CU1374" s="118"/>
      <c r="CV1374" s="118"/>
      <c r="CW1374" s="118"/>
      <c r="CX1374" s="118"/>
      <c r="CY1374" s="118"/>
      <c r="CZ1374" s="118"/>
      <c r="DA1374" s="118"/>
      <c r="DB1374" s="118"/>
      <c r="DC1374" s="118"/>
      <c r="DD1374" s="118"/>
      <c r="DE1374" s="118"/>
      <c r="DF1374" s="118"/>
      <c r="DG1374" s="118"/>
      <c r="DH1374" s="118"/>
      <c r="DI1374" s="118"/>
      <c r="DJ1374" s="118"/>
      <c r="DK1374" s="118"/>
      <c r="DL1374" s="118"/>
      <c r="DM1374" s="118"/>
      <c r="DN1374" s="118"/>
      <c r="DO1374" s="118"/>
      <c r="DP1374" s="118"/>
      <c r="DQ1374" s="118"/>
      <c r="DR1374" s="118"/>
      <c r="DS1374" s="118"/>
      <c r="DT1374" s="118"/>
      <c r="DU1374" s="118"/>
      <c r="DV1374" s="118"/>
      <c r="DW1374" s="118"/>
      <c r="DX1374" s="118"/>
      <c r="DY1374" s="118"/>
      <c r="DZ1374" s="118"/>
      <c r="EA1374" s="118"/>
      <c r="EB1374" s="118"/>
      <c r="EC1374" s="118"/>
      <c r="ED1374" s="118"/>
      <c r="EE1374" s="118"/>
      <c r="EF1374" s="118"/>
      <c r="EG1374" s="118"/>
      <c r="EH1374" s="118"/>
      <c r="EI1374" s="118"/>
      <c r="EJ1374" s="118"/>
      <c r="EK1374" s="118"/>
      <c r="EL1374" s="118"/>
      <c r="EM1374" s="118"/>
      <c r="EN1374" s="118"/>
      <c r="EO1374" s="118"/>
      <c r="EP1374" s="118"/>
      <c r="EQ1374" s="118"/>
      <c r="ER1374" s="118"/>
      <c r="ES1374" s="118"/>
      <c r="ET1374" s="118"/>
      <c r="EU1374" s="118"/>
      <c r="EV1374" s="118"/>
      <c r="EW1374" s="118"/>
      <c r="EX1374" s="118"/>
      <c r="EY1374" s="118"/>
      <c r="EZ1374" s="118"/>
      <c r="FA1374" s="118"/>
      <c r="FB1374" s="118"/>
      <c r="FC1374" s="118"/>
      <c r="FD1374" s="118"/>
      <c r="FE1374" s="118"/>
      <c r="FF1374" s="118"/>
      <c r="FG1374" s="118"/>
      <c r="FH1374" s="118"/>
      <c r="FI1374" s="118"/>
      <c r="FJ1374" s="118"/>
      <c r="FK1374" s="118"/>
      <c r="FL1374" s="118"/>
      <c r="FM1374" s="118"/>
      <c r="FN1374" s="118"/>
      <c r="FO1374" s="118"/>
      <c r="FP1374" s="118"/>
      <c r="FQ1374" s="118"/>
      <c r="FR1374" s="118"/>
      <c r="FS1374" s="118"/>
      <c r="FT1374" s="118"/>
      <c r="FU1374" s="118"/>
      <c r="FV1374" s="118"/>
      <c r="FW1374" s="118"/>
      <c r="FX1374" s="118"/>
      <c r="FY1374" s="118"/>
      <c r="FZ1374" s="118"/>
      <c r="GA1374" s="118"/>
      <c r="GB1374" s="118"/>
      <c r="GC1374" s="118"/>
      <c r="GD1374" s="118"/>
      <c r="GE1374" s="118"/>
      <c r="GF1374" s="118"/>
      <c r="GG1374" s="118"/>
      <c r="GH1374" s="118"/>
      <c r="GI1374" s="118"/>
      <c r="GJ1374" s="118"/>
      <c r="GK1374" s="118"/>
      <c r="GL1374" s="118"/>
      <c r="GM1374" s="118"/>
      <c r="GN1374" s="118"/>
      <c r="GO1374" s="118"/>
      <c r="GP1374" s="118"/>
      <c r="GQ1374" s="118"/>
      <c r="GR1374" s="118"/>
      <c r="GS1374" s="118"/>
      <c r="GT1374" s="118"/>
      <c r="GU1374" s="118"/>
      <c r="GV1374" s="118"/>
      <c r="GW1374" s="118"/>
      <c r="GX1374" s="118"/>
      <c r="GY1374" s="118"/>
      <c r="GZ1374" s="118"/>
      <c r="HA1374" s="118"/>
      <c r="HB1374" s="118"/>
      <c r="HC1374" s="118"/>
      <c r="HD1374" s="118"/>
      <c r="HE1374" s="118"/>
      <c r="HF1374" s="118"/>
      <c r="HG1374" s="118"/>
      <c r="HH1374" s="118"/>
      <c r="HI1374" s="118"/>
      <c r="HJ1374" s="118"/>
      <c r="HK1374" s="118"/>
      <c r="HL1374" s="118"/>
      <c r="HM1374" s="118"/>
      <c r="HN1374" s="118"/>
      <c r="HO1374" s="118"/>
      <c r="HP1374" s="118"/>
      <c r="HQ1374" s="118"/>
      <c r="HR1374" s="118"/>
      <c r="HS1374" s="118"/>
      <c r="HT1374" s="118"/>
      <c r="HU1374" s="118"/>
      <c r="HV1374" s="118"/>
      <c r="HW1374" s="118"/>
      <c r="HX1374" s="118"/>
      <c r="HY1374" s="118"/>
      <c r="HZ1374" s="118"/>
      <c r="IA1374" s="118"/>
      <c r="IB1374" s="118"/>
      <c r="IC1374" s="118"/>
      <c r="ID1374" s="118"/>
      <c r="IE1374" s="118"/>
      <c r="IF1374" s="118"/>
      <c r="IG1374" s="118"/>
      <c r="IH1374" s="118"/>
      <c r="II1374" s="118"/>
      <c r="IJ1374" s="118"/>
    </row>
    <row r="1375" spans="1:244" s="127" customFormat="1" ht="12.75" customHeight="1">
      <c r="A1375" s="118">
        <v>1374</v>
      </c>
      <c r="B1375" s="128">
        <v>16</v>
      </c>
      <c r="C1375" s="156">
        <v>37408</v>
      </c>
      <c r="D1375" s="157" t="s">
        <v>49</v>
      </c>
      <c r="E1375" s="8">
        <v>2002</v>
      </c>
      <c r="F1375" s="158"/>
      <c r="G1375" s="162"/>
      <c r="H1375" s="11"/>
      <c r="I1375" s="163"/>
      <c r="J1375" s="11"/>
      <c r="K1375" s="11"/>
      <c r="L1375" s="11"/>
      <c r="M1375" s="174"/>
      <c r="N1375" s="528"/>
      <c r="O1375" s="11"/>
      <c r="P1375" s="8"/>
      <c r="Q1375" s="11"/>
      <c r="R1375" s="11"/>
      <c r="S1375" s="155"/>
      <c r="T1375" s="11"/>
      <c r="U1375" s="161"/>
      <c r="V1375" s="11"/>
      <c r="W1375" s="11"/>
      <c r="X1375" s="118"/>
      <c r="Y1375" s="118"/>
      <c r="Z1375" s="118"/>
      <c r="AA1375" s="118"/>
      <c r="AB1375" s="118"/>
      <c r="AC1375" s="118"/>
      <c r="AD1375" s="118"/>
      <c r="AE1375" s="118"/>
      <c r="AF1375" s="118"/>
      <c r="AG1375" s="118"/>
      <c r="AH1375" s="118"/>
      <c r="AI1375" s="118"/>
      <c r="AJ1375" s="118"/>
      <c r="AK1375" s="118"/>
      <c r="AL1375" s="118"/>
      <c r="AM1375" s="118"/>
      <c r="AN1375" s="118"/>
      <c r="AO1375" s="118"/>
      <c r="AP1375" s="118"/>
      <c r="AQ1375" s="118"/>
      <c r="AR1375" s="118"/>
      <c r="AS1375" s="118"/>
      <c r="AT1375" s="118"/>
      <c r="AU1375" s="118"/>
      <c r="AV1375" s="118"/>
      <c r="AW1375" s="118"/>
      <c r="AX1375" s="118"/>
      <c r="AY1375" s="118"/>
      <c r="AZ1375" s="118"/>
      <c r="BA1375" s="118"/>
      <c r="BB1375" s="118"/>
      <c r="BC1375" s="118"/>
      <c r="BD1375" s="118"/>
      <c r="BE1375" s="118"/>
      <c r="BF1375" s="118"/>
      <c r="BG1375" s="118"/>
      <c r="BH1375" s="118"/>
      <c r="BI1375" s="118"/>
      <c r="BJ1375" s="118"/>
      <c r="BK1375" s="118"/>
      <c r="BL1375" s="118"/>
      <c r="BM1375" s="118"/>
      <c r="BN1375" s="118"/>
      <c r="BO1375" s="118"/>
      <c r="BP1375" s="118"/>
      <c r="BQ1375" s="118"/>
      <c r="BR1375" s="118"/>
      <c r="BS1375" s="118"/>
      <c r="BT1375" s="118"/>
      <c r="BU1375" s="118"/>
      <c r="BV1375" s="118"/>
      <c r="BW1375" s="118"/>
      <c r="BX1375" s="118"/>
      <c r="BY1375" s="118"/>
      <c r="BZ1375" s="118"/>
      <c r="CA1375" s="118"/>
      <c r="CB1375" s="118"/>
      <c r="CC1375" s="118"/>
      <c r="CD1375" s="118"/>
      <c r="CE1375" s="118"/>
      <c r="CF1375" s="118"/>
      <c r="CG1375" s="118"/>
      <c r="CH1375" s="118"/>
      <c r="CI1375" s="118"/>
      <c r="CJ1375" s="118"/>
      <c r="CK1375" s="118"/>
      <c r="CL1375" s="118"/>
      <c r="CM1375" s="118"/>
      <c r="CN1375" s="118"/>
      <c r="CO1375" s="118"/>
      <c r="CP1375" s="118"/>
      <c r="CQ1375" s="118"/>
      <c r="CR1375" s="118"/>
      <c r="CS1375" s="118"/>
      <c r="CT1375" s="118"/>
      <c r="CU1375" s="118"/>
      <c r="CV1375" s="118"/>
      <c r="CW1375" s="118"/>
      <c r="CX1375" s="118"/>
      <c r="CY1375" s="118"/>
      <c r="CZ1375" s="118"/>
      <c r="DA1375" s="118"/>
      <c r="DB1375" s="118"/>
      <c r="DC1375" s="118"/>
      <c r="DD1375" s="118"/>
      <c r="DE1375" s="118"/>
      <c r="DF1375" s="118"/>
      <c r="DG1375" s="118"/>
      <c r="DH1375" s="118"/>
      <c r="DI1375" s="118"/>
      <c r="DJ1375" s="118"/>
      <c r="DK1375" s="118"/>
      <c r="DL1375" s="118"/>
      <c r="DM1375" s="118"/>
      <c r="DN1375" s="118"/>
      <c r="DO1375" s="118"/>
      <c r="DP1375" s="118"/>
      <c r="DQ1375" s="118"/>
      <c r="DR1375" s="118"/>
      <c r="DS1375" s="118"/>
      <c r="DT1375" s="118"/>
      <c r="DU1375" s="118"/>
      <c r="DV1375" s="118"/>
      <c r="DW1375" s="118"/>
      <c r="DX1375" s="118"/>
      <c r="DY1375" s="118"/>
      <c r="DZ1375" s="118"/>
      <c r="EA1375" s="118"/>
      <c r="EB1375" s="118"/>
      <c r="EC1375" s="118"/>
      <c r="ED1375" s="118"/>
      <c r="EE1375" s="118"/>
      <c r="EF1375" s="118"/>
      <c r="EG1375" s="118"/>
      <c r="EH1375" s="118"/>
      <c r="EI1375" s="118"/>
      <c r="EJ1375" s="118"/>
      <c r="EK1375" s="118"/>
      <c r="EL1375" s="118"/>
      <c r="EM1375" s="118"/>
      <c r="EN1375" s="118"/>
      <c r="EO1375" s="118"/>
      <c r="EP1375" s="118"/>
      <c r="EQ1375" s="118"/>
      <c r="ER1375" s="118"/>
      <c r="ES1375" s="118"/>
      <c r="ET1375" s="118"/>
      <c r="EU1375" s="118"/>
      <c r="EV1375" s="118"/>
      <c r="EW1375" s="118"/>
      <c r="EX1375" s="118"/>
      <c r="EY1375" s="118"/>
      <c r="EZ1375" s="118"/>
      <c r="FA1375" s="118"/>
      <c r="FB1375" s="118"/>
      <c r="FC1375" s="118"/>
      <c r="FD1375" s="118"/>
      <c r="FE1375" s="118"/>
      <c r="FF1375" s="118"/>
      <c r="FG1375" s="118"/>
      <c r="FH1375" s="118"/>
      <c r="FI1375" s="118"/>
      <c r="FJ1375" s="118"/>
      <c r="FK1375" s="118"/>
      <c r="FL1375" s="118"/>
      <c r="FM1375" s="118"/>
      <c r="FN1375" s="118"/>
      <c r="FO1375" s="118"/>
      <c r="FP1375" s="118"/>
      <c r="FQ1375" s="118"/>
      <c r="FR1375" s="118"/>
      <c r="FS1375" s="118"/>
      <c r="FT1375" s="118"/>
      <c r="FU1375" s="118"/>
      <c r="FV1375" s="118"/>
      <c r="FW1375" s="118"/>
      <c r="FX1375" s="118"/>
      <c r="FY1375" s="118"/>
      <c r="FZ1375" s="118"/>
      <c r="GA1375" s="118"/>
      <c r="GB1375" s="118"/>
      <c r="GC1375" s="118"/>
      <c r="GD1375" s="118"/>
      <c r="GE1375" s="118"/>
      <c r="GF1375" s="118"/>
      <c r="GG1375" s="118"/>
      <c r="GH1375" s="118"/>
      <c r="GI1375" s="118"/>
      <c r="GJ1375" s="118"/>
      <c r="GK1375" s="118"/>
      <c r="GL1375" s="118"/>
      <c r="GM1375" s="118"/>
      <c r="GN1375" s="118"/>
      <c r="GO1375" s="118"/>
      <c r="GP1375" s="118"/>
      <c r="GQ1375" s="118"/>
      <c r="GR1375" s="118"/>
      <c r="GS1375" s="118"/>
      <c r="GT1375" s="118"/>
      <c r="GU1375" s="118"/>
      <c r="GV1375" s="118"/>
      <c r="GW1375" s="118"/>
      <c r="GX1375" s="118"/>
      <c r="GY1375" s="118"/>
      <c r="GZ1375" s="118"/>
      <c r="HA1375" s="118"/>
      <c r="HB1375" s="118"/>
      <c r="HC1375" s="118"/>
      <c r="HD1375" s="118"/>
      <c r="HE1375" s="118"/>
      <c r="HF1375" s="118"/>
      <c r="HG1375" s="118"/>
      <c r="HH1375" s="118"/>
      <c r="HI1375" s="118"/>
      <c r="HJ1375" s="118"/>
      <c r="HK1375" s="118"/>
      <c r="HL1375" s="118"/>
      <c r="HM1375" s="118"/>
      <c r="HN1375" s="118"/>
      <c r="HO1375" s="118"/>
      <c r="HP1375" s="118"/>
      <c r="HQ1375" s="118"/>
      <c r="HR1375" s="118"/>
      <c r="HS1375" s="118"/>
      <c r="HT1375" s="118"/>
      <c r="HU1375" s="118"/>
      <c r="HV1375" s="118"/>
      <c r="HW1375" s="118"/>
      <c r="HX1375" s="118"/>
      <c r="HY1375" s="118"/>
      <c r="HZ1375" s="118"/>
      <c r="IA1375" s="118"/>
      <c r="IB1375" s="118"/>
      <c r="IC1375" s="118"/>
      <c r="ID1375" s="118"/>
      <c r="IE1375" s="118"/>
      <c r="IF1375" s="118"/>
      <c r="IG1375" s="118"/>
      <c r="IH1375" s="118"/>
      <c r="II1375" s="118"/>
      <c r="IJ1375" s="118"/>
    </row>
    <row r="1376" spans="1:244" s="127" customFormat="1" ht="12.75" customHeight="1">
      <c r="A1376" s="118">
        <v>1375</v>
      </c>
      <c r="B1376" s="128">
        <v>16</v>
      </c>
      <c r="C1376" s="156">
        <v>37438</v>
      </c>
      <c r="D1376" s="157" t="s">
        <v>50</v>
      </c>
      <c r="E1376" s="8">
        <v>2002</v>
      </c>
      <c r="F1376" s="158"/>
      <c r="G1376" s="162"/>
      <c r="H1376" s="11"/>
      <c r="I1376" s="163"/>
      <c r="J1376" s="11"/>
      <c r="K1376" s="11"/>
      <c r="L1376" s="11"/>
      <c r="M1376" s="174"/>
      <c r="N1376" s="528"/>
      <c r="O1376" s="11"/>
      <c r="P1376" s="8"/>
      <c r="Q1376" s="11"/>
      <c r="R1376" s="11"/>
      <c r="S1376" s="155"/>
      <c r="T1376" s="11"/>
      <c r="U1376" s="161"/>
      <c r="V1376" s="11"/>
      <c r="W1376" s="11"/>
      <c r="X1376" s="118"/>
      <c r="Y1376" s="118"/>
      <c r="Z1376" s="118"/>
      <c r="AA1376" s="118"/>
      <c r="AB1376" s="118"/>
      <c r="AC1376" s="118"/>
      <c r="AD1376" s="118"/>
      <c r="AE1376" s="118"/>
      <c r="AF1376" s="118"/>
      <c r="AG1376" s="118"/>
      <c r="AH1376" s="118"/>
      <c r="AI1376" s="118"/>
      <c r="AJ1376" s="118"/>
      <c r="AK1376" s="118"/>
      <c r="AL1376" s="118"/>
      <c r="AM1376" s="118"/>
      <c r="AN1376" s="118"/>
      <c r="AO1376" s="118"/>
      <c r="AP1376" s="118"/>
      <c r="AQ1376" s="118"/>
      <c r="AR1376" s="118"/>
      <c r="AS1376" s="118"/>
      <c r="AT1376" s="118"/>
      <c r="AU1376" s="118"/>
      <c r="AV1376" s="118"/>
      <c r="AW1376" s="118"/>
      <c r="AX1376" s="118"/>
      <c r="AY1376" s="118"/>
      <c r="AZ1376" s="118"/>
      <c r="BA1376" s="118"/>
      <c r="BB1376" s="118"/>
      <c r="BC1376" s="118"/>
      <c r="BD1376" s="118"/>
      <c r="BE1376" s="118"/>
      <c r="BF1376" s="118"/>
      <c r="BG1376" s="118"/>
      <c r="BH1376" s="118"/>
      <c r="BI1376" s="118"/>
      <c r="BJ1376" s="118"/>
      <c r="BK1376" s="118"/>
      <c r="BL1376" s="118"/>
      <c r="BM1376" s="118"/>
      <c r="BN1376" s="118"/>
      <c r="BO1376" s="118"/>
      <c r="BP1376" s="118"/>
      <c r="BQ1376" s="118"/>
      <c r="BR1376" s="118"/>
      <c r="BS1376" s="118"/>
      <c r="BT1376" s="118"/>
      <c r="BU1376" s="118"/>
      <c r="BV1376" s="118"/>
      <c r="BW1376" s="118"/>
      <c r="BX1376" s="118"/>
      <c r="BY1376" s="118"/>
      <c r="BZ1376" s="118"/>
      <c r="CA1376" s="118"/>
      <c r="CB1376" s="118"/>
      <c r="CC1376" s="118"/>
      <c r="CD1376" s="118"/>
      <c r="CE1376" s="118"/>
      <c r="CF1376" s="118"/>
      <c r="CG1376" s="118"/>
      <c r="CH1376" s="118"/>
      <c r="CI1376" s="118"/>
      <c r="CJ1376" s="118"/>
      <c r="CK1376" s="118"/>
      <c r="CL1376" s="118"/>
      <c r="CM1376" s="118"/>
      <c r="CN1376" s="118"/>
      <c r="CO1376" s="118"/>
      <c r="CP1376" s="118"/>
      <c r="CQ1376" s="118"/>
      <c r="CR1376" s="118"/>
      <c r="CS1376" s="118"/>
      <c r="CT1376" s="118"/>
      <c r="CU1376" s="118"/>
      <c r="CV1376" s="118"/>
      <c r="CW1376" s="118"/>
      <c r="CX1376" s="118"/>
      <c r="CY1376" s="118"/>
      <c r="CZ1376" s="118"/>
      <c r="DA1376" s="118"/>
      <c r="DB1376" s="118"/>
      <c r="DC1376" s="118"/>
      <c r="DD1376" s="118"/>
      <c r="DE1376" s="118"/>
      <c r="DF1376" s="118"/>
      <c r="DG1376" s="118"/>
      <c r="DH1376" s="118"/>
      <c r="DI1376" s="118"/>
      <c r="DJ1376" s="118"/>
      <c r="DK1376" s="118"/>
      <c r="DL1376" s="118"/>
      <c r="DM1376" s="118"/>
      <c r="DN1376" s="118"/>
      <c r="DO1376" s="118"/>
      <c r="DP1376" s="118"/>
      <c r="DQ1376" s="118"/>
      <c r="DR1376" s="118"/>
      <c r="DS1376" s="118"/>
      <c r="DT1376" s="118"/>
      <c r="DU1376" s="118"/>
      <c r="DV1376" s="118"/>
      <c r="DW1376" s="118"/>
      <c r="DX1376" s="118"/>
      <c r="DY1376" s="118"/>
      <c r="DZ1376" s="118"/>
      <c r="EA1376" s="118"/>
      <c r="EB1376" s="118"/>
      <c r="EC1376" s="118"/>
      <c r="ED1376" s="118"/>
      <c r="EE1376" s="118"/>
      <c r="EF1376" s="118"/>
      <c r="EG1376" s="118"/>
      <c r="EH1376" s="118"/>
      <c r="EI1376" s="118"/>
      <c r="EJ1376" s="118"/>
      <c r="EK1376" s="118"/>
      <c r="EL1376" s="118"/>
      <c r="EM1376" s="118"/>
      <c r="EN1376" s="118"/>
      <c r="EO1376" s="118"/>
      <c r="EP1376" s="118"/>
      <c r="EQ1376" s="118"/>
      <c r="ER1376" s="118"/>
      <c r="ES1376" s="118"/>
      <c r="ET1376" s="118"/>
      <c r="EU1376" s="118"/>
      <c r="EV1376" s="118"/>
      <c r="EW1376" s="118"/>
      <c r="EX1376" s="118"/>
      <c r="EY1376" s="118"/>
      <c r="EZ1376" s="118"/>
      <c r="FA1376" s="118"/>
      <c r="FB1376" s="118"/>
      <c r="FC1376" s="118"/>
      <c r="FD1376" s="118"/>
      <c r="FE1376" s="118"/>
      <c r="FF1376" s="118"/>
      <c r="FG1376" s="118"/>
      <c r="FH1376" s="118"/>
      <c r="FI1376" s="118"/>
      <c r="FJ1376" s="118"/>
      <c r="FK1376" s="118"/>
      <c r="FL1376" s="118"/>
      <c r="FM1376" s="118"/>
      <c r="FN1376" s="118"/>
      <c r="FO1376" s="118"/>
      <c r="FP1376" s="118"/>
      <c r="FQ1376" s="118"/>
      <c r="FR1376" s="118"/>
      <c r="FS1376" s="118"/>
      <c r="FT1376" s="118"/>
      <c r="FU1376" s="118"/>
      <c r="FV1376" s="118"/>
      <c r="FW1376" s="118"/>
      <c r="FX1376" s="118"/>
      <c r="FY1376" s="118"/>
      <c r="FZ1376" s="118"/>
      <c r="GA1376" s="118"/>
      <c r="GB1376" s="118"/>
      <c r="GC1376" s="118"/>
      <c r="GD1376" s="118"/>
      <c r="GE1376" s="118"/>
      <c r="GF1376" s="118"/>
      <c r="GG1376" s="118"/>
      <c r="GH1376" s="118"/>
      <c r="GI1376" s="118"/>
      <c r="GJ1376" s="118"/>
      <c r="GK1376" s="118"/>
      <c r="GL1376" s="118"/>
      <c r="GM1376" s="118"/>
      <c r="GN1376" s="118"/>
      <c r="GO1376" s="118"/>
      <c r="GP1376" s="118"/>
      <c r="GQ1376" s="118"/>
      <c r="GR1376" s="118"/>
      <c r="GS1376" s="118"/>
      <c r="GT1376" s="118"/>
      <c r="GU1376" s="118"/>
      <c r="GV1376" s="118"/>
      <c r="GW1376" s="118"/>
      <c r="GX1376" s="118"/>
      <c r="GY1376" s="118"/>
      <c r="GZ1376" s="118"/>
      <c r="HA1376" s="118"/>
      <c r="HB1376" s="118"/>
      <c r="HC1376" s="118"/>
      <c r="HD1376" s="118"/>
      <c r="HE1376" s="118"/>
      <c r="HF1376" s="118"/>
      <c r="HG1376" s="118"/>
      <c r="HH1376" s="118"/>
      <c r="HI1376" s="118"/>
      <c r="HJ1376" s="118"/>
      <c r="HK1376" s="118"/>
      <c r="HL1376" s="118"/>
      <c r="HM1376" s="118"/>
      <c r="HN1376" s="118"/>
      <c r="HO1376" s="118"/>
      <c r="HP1376" s="118"/>
      <c r="HQ1376" s="118"/>
      <c r="HR1376" s="118"/>
      <c r="HS1376" s="118"/>
      <c r="HT1376" s="118"/>
      <c r="HU1376" s="118"/>
      <c r="HV1376" s="118"/>
      <c r="HW1376" s="118"/>
      <c r="HX1376" s="118"/>
      <c r="HY1376" s="118"/>
      <c r="HZ1376" s="118"/>
      <c r="IA1376" s="118"/>
      <c r="IB1376" s="118"/>
      <c r="IC1376" s="118"/>
      <c r="ID1376" s="118"/>
      <c r="IE1376" s="118"/>
      <c r="IF1376" s="118"/>
      <c r="IG1376" s="118"/>
      <c r="IH1376" s="118"/>
      <c r="II1376" s="118"/>
      <c r="IJ1376" s="118"/>
    </row>
    <row r="1377" spans="1:244" s="127" customFormat="1" ht="12.75" customHeight="1">
      <c r="A1377" s="118">
        <v>1376</v>
      </c>
      <c r="B1377" s="128">
        <v>16</v>
      </c>
      <c r="C1377" s="156">
        <v>37469</v>
      </c>
      <c r="D1377" s="157" t="s">
        <v>51</v>
      </c>
      <c r="E1377" s="8">
        <v>2002</v>
      </c>
      <c r="F1377" s="158"/>
      <c r="G1377" s="162"/>
      <c r="H1377" s="11"/>
      <c r="I1377" s="163"/>
      <c r="J1377" s="11"/>
      <c r="K1377" s="11"/>
      <c r="L1377" s="11"/>
      <c r="M1377" s="174"/>
      <c r="N1377" s="528"/>
      <c r="O1377" s="11"/>
      <c r="P1377" s="8"/>
      <c r="Q1377" s="11"/>
      <c r="R1377" s="11"/>
      <c r="S1377" s="155"/>
      <c r="T1377" s="11"/>
      <c r="U1377" s="161"/>
      <c r="V1377" s="11"/>
      <c r="W1377" s="11"/>
      <c r="X1377" s="118"/>
      <c r="Y1377" s="118"/>
      <c r="Z1377" s="118"/>
      <c r="AA1377" s="118"/>
      <c r="AB1377" s="118"/>
      <c r="AC1377" s="118"/>
      <c r="AD1377" s="118"/>
      <c r="AE1377" s="118"/>
      <c r="AF1377" s="118"/>
      <c r="AG1377" s="118"/>
      <c r="AH1377" s="118"/>
      <c r="AI1377" s="118"/>
      <c r="AJ1377" s="118"/>
      <c r="AK1377" s="118"/>
      <c r="AL1377" s="118"/>
      <c r="AM1377" s="118"/>
      <c r="AN1377" s="118"/>
      <c r="AO1377" s="118"/>
      <c r="AP1377" s="118"/>
      <c r="AQ1377" s="118"/>
      <c r="AR1377" s="118"/>
      <c r="AS1377" s="118"/>
      <c r="AT1377" s="118"/>
      <c r="AU1377" s="118"/>
      <c r="AV1377" s="118"/>
      <c r="AW1377" s="118"/>
      <c r="AX1377" s="118"/>
      <c r="AY1377" s="118"/>
      <c r="AZ1377" s="118"/>
      <c r="BA1377" s="118"/>
      <c r="BB1377" s="118"/>
      <c r="BC1377" s="118"/>
      <c r="BD1377" s="118"/>
      <c r="BE1377" s="118"/>
      <c r="BF1377" s="118"/>
      <c r="BG1377" s="118"/>
      <c r="BH1377" s="118"/>
      <c r="BI1377" s="118"/>
      <c r="BJ1377" s="118"/>
      <c r="BK1377" s="118"/>
      <c r="BL1377" s="118"/>
      <c r="BM1377" s="118"/>
      <c r="BN1377" s="118"/>
      <c r="BO1377" s="118"/>
      <c r="BP1377" s="118"/>
      <c r="BQ1377" s="118"/>
      <c r="BR1377" s="118"/>
      <c r="BS1377" s="118"/>
      <c r="BT1377" s="118"/>
      <c r="BU1377" s="118"/>
      <c r="BV1377" s="118"/>
      <c r="BW1377" s="118"/>
      <c r="BX1377" s="118"/>
      <c r="BY1377" s="118"/>
      <c r="BZ1377" s="118"/>
      <c r="CA1377" s="118"/>
      <c r="CB1377" s="118"/>
      <c r="CC1377" s="118"/>
      <c r="CD1377" s="118"/>
      <c r="CE1377" s="118"/>
      <c r="CF1377" s="118"/>
      <c r="CG1377" s="118"/>
      <c r="CH1377" s="118"/>
      <c r="CI1377" s="118"/>
      <c r="CJ1377" s="118"/>
      <c r="CK1377" s="118"/>
      <c r="CL1377" s="118"/>
      <c r="CM1377" s="118"/>
      <c r="CN1377" s="118"/>
      <c r="CO1377" s="118"/>
      <c r="CP1377" s="118"/>
      <c r="CQ1377" s="118"/>
      <c r="CR1377" s="118"/>
      <c r="CS1377" s="118"/>
      <c r="CT1377" s="118"/>
      <c r="CU1377" s="118"/>
      <c r="CV1377" s="118"/>
      <c r="CW1377" s="118"/>
      <c r="CX1377" s="118"/>
      <c r="CY1377" s="118"/>
      <c r="CZ1377" s="118"/>
      <c r="DA1377" s="118"/>
      <c r="DB1377" s="118"/>
      <c r="DC1377" s="118"/>
      <c r="DD1377" s="118"/>
      <c r="DE1377" s="118"/>
      <c r="DF1377" s="118"/>
      <c r="DG1377" s="118"/>
      <c r="DH1377" s="118"/>
      <c r="DI1377" s="118"/>
      <c r="DJ1377" s="118"/>
      <c r="DK1377" s="118"/>
      <c r="DL1377" s="118"/>
      <c r="DM1377" s="118"/>
      <c r="DN1377" s="118"/>
      <c r="DO1377" s="118"/>
      <c r="DP1377" s="118"/>
      <c r="DQ1377" s="118"/>
      <c r="DR1377" s="118"/>
      <c r="DS1377" s="118"/>
      <c r="DT1377" s="118"/>
      <c r="DU1377" s="118"/>
      <c r="DV1377" s="118"/>
      <c r="DW1377" s="118"/>
      <c r="DX1377" s="118"/>
      <c r="DY1377" s="118"/>
      <c r="DZ1377" s="118"/>
      <c r="EA1377" s="118"/>
      <c r="EB1377" s="118"/>
      <c r="EC1377" s="118"/>
      <c r="ED1377" s="118"/>
      <c r="EE1377" s="118"/>
      <c r="EF1377" s="118"/>
      <c r="EG1377" s="118"/>
      <c r="EH1377" s="118"/>
      <c r="EI1377" s="118"/>
      <c r="EJ1377" s="118"/>
      <c r="EK1377" s="118"/>
      <c r="EL1377" s="118"/>
      <c r="EM1377" s="118"/>
      <c r="EN1377" s="118"/>
      <c r="EO1377" s="118"/>
      <c r="EP1377" s="118"/>
      <c r="EQ1377" s="118"/>
      <c r="ER1377" s="118"/>
      <c r="ES1377" s="118"/>
      <c r="ET1377" s="118"/>
      <c r="EU1377" s="118"/>
      <c r="EV1377" s="118"/>
      <c r="EW1377" s="118"/>
      <c r="EX1377" s="118"/>
      <c r="EY1377" s="118"/>
      <c r="EZ1377" s="118"/>
      <c r="FA1377" s="118"/>
      <c r="FB1377" s="118"/>
      <c r="FC1377" s="118"/>
      <c r="FD1377" s="118"/>
      <c r="FE1377" s="118"/>
      <c r="FF1377" s="118"/>
      <c r="FG1377" s="118"/>
      <c r="FH1377" s="118"/>
      <c r="FI1377" s="118"/>
      <c r="FJ1377" s="118"/>
      <c r="FK1377" s="118"/>
      <c r="FL1377" s="118"/>
      <c r="FM1377" s="118"/>
      <c r="FN1377" s="118"/>
      <c r="FO1377" s="118"/>
      <c r="FP1377" s="118"/>
      <c r="FQ1377" s="118"/>
      <c r="FR1377" s="118"/>
      <c r="FS1377" s="118"/>
      <c r="FT1377" s="118"/>
      <c r="FU1377" s="118"/>
      <c r="FV1377" s="118"/>
      <c r="FW1377" s="118"/>
      <c r="FX1377" s="118"/>
      <c r="FY1377" s="118"/>
      <c r="FZ1377" s="118"/>
      <c r="GA1377" s="118"/>
      <c r="GB1377" s="118"/>
      <c r="GC1377" s="118"/>
      <c r="GD1377" s="118"/>
      <c r="GE1377" s="118"/>
      <c r="GF1377" s="118"/>
      <c r="GG1377" s="118"/>
      <c r="GH1377" s="118"/>
      <c r="GI1377" s="118"/>
      <c r="GJ1377" s="118"/>
      <c r="GK1377" s="118"/>
      <c r="GL1377" s="118"/>
      <c r="GM1377" s="118"/>
      <c r="GN1377" s="118"/>
      <c r="GO1377" s="118"/>
      <c r="GP1377" s="118"/>
      <c r="GQ1377" s="118"/>
      <c r="GR1377" s="118"/>
      <c r="GS1377" s="118"/>
      <c r="GT1377" s="118"/>
      <c r="GU1377" s="118"/>
      <c r="GV1377" s="118"/>
      <c r="GW1377" s="118"/>
      <c r="GX1377" s="118"/>
      <c r="GY1377" s="118"/>
      <c r="GZ1377" s="118"/>
      <c r="HA1377" s="118"/>
      <c r="HB1377" s="118"/>
      <c r="HC1377" s="118"/>
      <c r="HD1377" s="118"/>
      <c r="HE1377" s="118"/>
      <c r="HF1377" s="118"/>
      <c r="HG1377" s="118"/>
      <c r="HH1377" s="118"/>
      <c r="HI1377" s="118"/>
      <c r="HJ1377" s="118"/>
      <c r="HK1377" s="118"/>
      <c r="HL1377" s="118"/>
      <c r="HM1377" s="118"/>
      <c r="HN1377" s="118"/>
      <c r="HO1377" s="118"/>
      <c r="HP1377" s="118"/>
      <c r="HQ1377" s="118"/>
      <c r="HR1377" s="118"/>
      <c r="HS1377" s="118"/>
      <c r="HT1377" s="118"/>
      <c r="HU1377" s="118"/>
      <c r="HV1377" s="118"/>
      <c r="HW1377" s="118"/>
      <c r="HX1377" s="118"/>
      <c r="HY1377" s="118"/>
      <c r="HZ1377" s="118"/>
      <c r="IA1377" s="118"/>
      <c r="IB1377" s="118"/>
      <c r="IC1377" s="118"/>
      <c r="ID1377" s="118"/>
      <c r="IE1377" s="118"/>
      <c r="IF1377" s="118"/>
      <c r="IG1377" s="118"/>
      <c r="IH1377" s="118"/>
      <c r="II1377" s="118"/>
      <c r="IJ1377" s="118"/>
    </row>
    <row r="1378" spans="1:244" s="127" customFormat="1" ht="12.75" customHeight="1">
      <c r="A1378" s="118">
        <v>1377</v>
      </c>
      <c r="B1378" s="128">
        <v>16</v>
      </c>
      <c r="C1378" s="156">
        <v>37500</v>
      </c>
      <c r="D1378" s="157" t="s">
        <v>52</v>
      </c>
      <c r="E1378" s="8">
        <v>2002</v>
      </c>
      <c r="F1378" s="158"/>
      <c r="G1378" s="162"/>
      <c r="H1378" s="11"/>
      <c r="I1378" s="163"/>
      <c r="J1378" s="11"/>
      <c r="K1378" s="11"/>
      <c r="L1378" s="11"/>
      <c r="M1378" s="174"/>
      <c r="N1378" s="528"/>
      <c r="O1378" s="11"/>
      <c r="P1378" s="8"/>
      <c r="Q1378" s="11"/>
      <c r="R1378" s="11"/>
      <c r="S1378" s="155"/>
      <c r="T1378" s="11"/>
      <c r="U1378" s="161"/>
      <c r="V1378" s="11"/>
      <c r="W1378" s="11"/>
      <c r="X1378" s="118"/>
      <c r="Y1378" s="118"/>
      <c r="Z1378" s="118"/>
      <c r="AA1378" s="118"/>
      <c r="AB1378" s="118"/>
      <c r="AC1378" s="118"/>
      <c r="AD1378" s="118"/>
      <c r="AE1378" s="118"/>
      <c r="AF1378" s="118"/>
      <c r="AG1378" s="118"/>
      <c r="AH1378" s="118"/>
      <c r="AI1378" s="118"/>
      <c r="AJ1378" s="118"/>
      <c r="AK1378" s="118"/>
      <c r="AL1378" s="118"/>
      <c r="AM1378" s="118"/>
      <c r="AN1378" s="118"/>
      <c r="AO1378" s="118"/>
      <c r="AP1378" s="118"/>
      <c r="AQ1378" s="118"/>
      <c r="AR1378" s="118"/>
      <c r="AS1378" s="118"/>
      <c r="AT1378" s="118"/>
      <c r="AU1378" s="118"/>
      <c r="AV1378" s="118"/>
      <c r="AW1378" s="118"/>
      <c r="AX1378" s="118"/>
      <c r="AY1378" s="118"/>
      <c r="AZ1378" s="118"/>
      <c r="BA1378" s="118"/>
      <c r="BB1378" s="118"/>
      <c r="BC1378" s="118"/>
      <c r="BD1378" s="118"/>
      <c r="BE1378" s="118"/>
      <c r="BF1378" s="118"/>
      <c r="BG1378" s="118"/>
      <c r="BH1378" s="118"/>
      <c r="BI1378" s="118"/>
      <c r="BJ1378" s="118"/>
      <c r="BK1378" s="118"/>
      <c r="BL1378" s="118"/>
      <c r="BM1378" s="118"/>
      <c r="BN1378" s="118"/>
      <c r="BO1378" s="118"/>
      <c r="BP1378" s="118"/>
      <c r="BQ1378" s="118"/>
      <c r="BR1378" s="118"/>
      <c r="BS1378" s="118"/>
      <c r="BT1378" s="118"/>
      <c r="BU1378" s="118"/>
      <c r="BV1378" s="118"/>
      <c r="BW1378" s="118"/>
      <c r="BX1378" s="118"/>
      <c r="BY1378" s="118"/>
      <c r="BZ1378" s="118"/>
      <c r="CA1378" s="118"/>
      <c r="CB1378" s="118"/>
      <c r="CC1378" s="118"/>
      <c r="CD1378" s="118"/>
      <c r="CE1378" s="118"/>
      <c r="CF1378" s="118"/>
      <c r="CG1378" s="118"/>
      <c r="CH1378" s="118"/>
      <c r="CI1378" s="118"/>
      <c r="CJ1378" s="118"/>
      <c r="CK1378" s="118"/>
      <c r="CL1378" s="118"/>
      <c r="CM1378" s="118"/>
      <c r="CN1378" s="118"/>
      <c r="CO1378" s="118"/>
      <c r="CP1378" s="118"/>
      <c r="CQ1378" s="118"/>
      <c r="CR1378" s="118"/>
      <c r="CS1378" s="118"/>
      <c r="CT1378" s="118"/>
      <c r="CU1378" s="118"/>
      <c r="CV1378" s="118"/>
      <c r="CW1378" s="118"/>
      <c r="CX1378" s="118"/>
      <c r="CY1378" s="118"/>
      <c r="CZ1378" s="118"/>
      <c r="DA1378" s="118"/>
      <c r="DB1378" s="118"/>
      <c r="DC1378" s="118"/>
      <c r="DD1378" s="118"/>
      <c r="DE1378" s="118"/>
      <c r="DF1378" s="118"/>
      <c r="DG1378" s="118"/>
      <c r="DH1378" s="118"/>
      <c r="DI1378" s="118"/>
      <c r="DJ1378" s="118"/>
      <c r="DK1378" s="118"/>
      <c r="DL1378" s="118"/>
      <c r="DM1378" s="118"/>
      <c r="DN1378" s="118"/>
      <c r="DO1378" s="118"/>
      <c r="DP1378" s="118"/>
      <c r="DQ1378" s="118"/>
      <c r="DR1378" s="118"/>
      <c r="DS1378" s="118"/>
      <c r="DT1378" s="118"/>
      <c r="DU1378" s="118"/>
      <c r="DV1378" s="118"/>
      <c r="DW1378" s="118"/>
      <c r="DX1378" s="118"/>
      <c r="DY1378" s="118"/>
      <c r="DZ1378" s="118"/>
      <c r="EA1378" s="118"/>
      <c r="EB1378" s="118"/>
      <c r="EC1378" s="118"/>
      <c r="ED1378" s="118"/>
      <c r="EE1378" s="118"/>
      <c r="EF1378" s="118"/>
      <c r="EG1378" s="118"/>
      <c r="EH1378" s="118"/>
      <c r="EI1378" s="118"/>
      <c r="EJ1378" s="118"/>
      <c r="EK1378" s="118"/>
      <c r="EL1378" s="118"/>
      <c r="EM1378" s="118"/>
      <c r="EN1378" s="118"/>
      <c r="EO1378" s="118"/>
      <c r="EP1378" s="118"/>
      <c r="EQ1378" s="118"/>
      <c r="ER1378" s="118"/>
      <c r="ES1378" s="118"/>
      <c r="ET1378" s="118"/>
      <c r="EU1378" s="118"/>
      <c r="EV1378" s="118"/>
      <c r="EW1378" s="118"/>
      <c r="EX1378" s="118"/>
      <c r="EY1378" s="118"/>
      <c r="EZ1378" s="118"/>
      <c r="FA1378" s="118"/>
      <c r="FB1378" s="118"/>
      <c r="FC1378" s="118"/>
      <c r="FD1378" s="118"/>
      <c r="FE1378" s="118"/>
      <c r="FF1378" s="118"/>
      <c r="FG1378" s="118"/>
      <c r="FH1378" s="118"/>
      <c r="FI1378" s="118"/>
      <c r="FJ1378" s="118"/>
      <c r="FK1378" s="118"/>
      <c r="FL1378" s="118"/>
      <c r="FM1378" s="118"/>
      <c r="FN1378" s="118"/>
      <c r="FO1378" s="118"/>
      <c r="FP1378" s="118"/>
      <c r="FQ1378" s="118"/>
      <c r="FR1378" s="118"/>
      <c r="FS1378" s="118"/>
      <c r="FT1378" s="118"/>
      <c r="FU1378" s="118"/>
      <c r="FV1378" s="118"/>
      <c r="FW1378" s="118"/>
      <c r="FX1378" s="118"/>
      <c r="FY1378" s="118"/>
      <c r="FZ1378" s="118"/>
      <c r="GA1378" s="118"/>
      <c r="GB1378" s="118"/>
      <c r="GC1378" s="118"/>
      <c r="GD1378" s="118"/>
      <c r="GE1378" s="118"/>
      <c r="GF1378" s="118"/>
      <c r="GG1378" s="118"/>
      <c r="GH1378" s="118"/>
      <c r="GI1378" s="118"/>
      <c r="GJ1378" s="118"/>
      <c r="GK1378" s="118"/>
      <c r="GL1378" s="118"/>
      <c r="GM1378" s="118"/>
      <c r="GN1378" s="118"/>
      <c r="GO1378" s="118"/>
      <c r="GP1378" s="118"/>
      <c r="GQ1378" s="118"/>
      <c r="GR1378" s="118"/>
      <c r="GS1378" s="118"/>
      <c r="GT1378" s="118"/>
      <c r="GU1378" s="118"/>
      <c r="GV1378" s="118"/>
      <c r="GW1378" s="118"/>
      <c r="GX1378" s="118"/>
      <c r="GY1378" s="118"/>
      <c r="GZ1378" s="118"/>
      <c r="HA1378" s="118"/>
      <c r="HB1378" s="118"/>
      <c r="HC1378" s="118"/>
      <c r="HD1378" s="118"/>
      <c r="HE1378" s="118"/>
      <c r="HF1378" s="118"/>
      <c r="HG1378" s="118"/>
      <c r="HH1378" s="118"/>
      <c r="HI1378" s="118"/>
      <c r="HJ1378" s="118"/>
      <c r="HK1378" s="118"/>
      <c r="HL1378" s="118"/>
      <c r="HM1378" s="118"/>
      <c r="HN1378" s="118"/>
      <c r="HO1378" s="118"/>
      <c r="HP1378" s="118"/>
      <c r="HQ1378" s="118"/>
      <c r="HR1378" s="118"/>
      <c r="HS1378" s="118"/>
      <c r="HT1378" s="118"/>
      <c r="HU1378" s="118"/>
      <c r="HV1378" s="118"/>
      <c r="HW1378" s="118"/>
      <c r="HX1378" s="118"/>
      <c r="HY1378" s="118"/>
      <c r="HZ1378" s="118"/>
      <c r="IA1378" s="118"/>
      <c r="IB1378" s="118"/>
      <c r="IC1378" s="118"/>
      <c r="ID1378" s="118"/>
      <c r="IE1378" s="118"/>
      <c r="IF1378" s="118"/>
      <c r="IG1378" s="118"/>
      <c r="IH1378" s="118"/>
      <c r="II1378" s="118"/>
      <c r="IJ1378" s="118"/>
    </row>
    <row r="1379" spans="1:244" s="127" customFormat="1" ht="12.75" customHeight="1">
      <c r="A1379" s="118">
        <v>1378</v>
      </c>
      <c r="B1379" s="128">
        <v>16</v>
      </c>
      <c r="C1379" s="156">
        <v>37530</v>
      </c>
      <c r="D1379" s="157" t="s">
        <v>53</v>
      </c>
      <c r="E1379" s="8">
        <v>2002</v>
      </c>
      <c r="F1379" s="158"/>
      <c r="G1379" s="162"/>
      <c r="H1379" s="11"/>
      <c r="I1379" s="163"/>
      <c r="J1379" s="11"/>
      <c r="K1379" s="11"/>
      <c r="L1379" s="11"/>
      <c r="M1379" s="174"/>
      <c r="N1379" s="528"/>
      <c r="O1379" s="11"/>
      <c r="P1379" s="8"/>
      <c r="Q1379" s="11"/>
      <c r="R1379" s="11"/>
      <c r="S1379" s="155"/>
      <c r="T1379" s="11"/>
      <c r="U1379" s="161"/>
      <c r="V1379" s="11"/>
      <c r="W1379" s="11"/>
    </row>
    <row r="1380" spans="1:244" s="127" customFormat="1" ht="12.75" customHeight="1">
      <c r="A1380" s="118">
        <v>1379</v>
      </c>
      <c r="B1380" s="128">
        <v>16</v>
      </c>
      <c r="C1380" s="156">
        <v>37561</v>
      </c>
      <c r="D1380" s="157" t="s">
        <v>54</v>
      </c>
      <c r="E1380" s="8">
        <v>2002</v>
      </c>
      <c r="F1380" s="158"/>
      <c r="G1380" s="162"/>
      <c r="H1380" s="11"/>
      <c r="I1380" s="163"/>
      <c r="J1380" s="11"/>
      <c r="K1380" s="11"/>
      <c r="L1380" s="11"/>
      <c r="M1380" s="174"/>
      <c r="N1380" s="528"/>
      <c r="O1380" s="11"/>
      <c r="P1380" s="8"/>
      <c r="Q1380" s="11"/>
      <c r="R1380" s="11"/>
      <c r="S1380" s="155"/>
      <c r="T1380" s="11"/>
      <c r="U1380" s="161"/>
      <c r="V1380" s="11"/>
      <c r="W1380" s="11"/>
    </row>
    <row r="1381" spans="1:244" s="127" customFormat="1" ht="12.75" customHeight="1">
      <c r="A1381" s="118">
        <v>1380</v>
      </c>
      <c r="B1381" s="128">
        <v>16</v>
      </c>
      <c r="C1381" s="156">
        <v>37591</v>
      </c>
      <c r="D1381" s="157" t="s">
        <v>55</v>
      </c>
      <c r="E1381" s="8">
        <v>2002</v>
      </c>
      <c r="F1381" s="158"/>
      <c r="G1381" s="162"/>
      <c r="H1381" s="11"/>
      <c r="I1381" s="163"/>
      <c r="J1381" s="11"/>
      <c r="K1381" s="11"/>
      <c r="L1381" s="11"/>
      <c r="M1381" s="174"/>
      <c r="N1381" s="528"/>
      <c r="O1381" s="11"/>
      <c r="P1381" s="8"/>
      <c r="Q1381" s="11"/>
      <c r="R1381" s="11"/>
      <c r="S1381" s="155"/>
      <c r="T1381" s="11"/>
      <c r="U1381" s="161"/>
      <c r="V1381" s="11"/>
      <c r="W1381" s="11"/>
    </row>
    <row r="1382" spans="1:244" s="127" customFormat="1" ht="12.75" customHeight="1">
      <c r="A1382" s="118">
        <v>1381</v>
      </c>
      <c r="B1382" s="11">
        <v>17</v>
      </c>
      <c r="C1382" s="156">
        <v>36526</v>
      </c>
      <c r="D1382" s="157" t="s">
        <v>44</v>
      </c>
      <c r="E1382" s="8">
        <v>2000</v>
      </c>
      <c r="F1382" s="158">
        <f t="shared" ref="F1382:F1397" si="358">C1382-H1382</f>
        <v>275</v>
      </c>
      <c r="G1382" s="158">
        <f>IF(F1383&lt;365,1,2)</f>
        <v>1</v>
      </c>
      <c r="H1382" s="162">
        <v>36251</v>
      </c>
      <c r="I1382" s="163">
        <v>362872</v>
      </c>
      <c r="J1382" s="11"/>
      <c r="K1382" s="11"/>
      <c r="L1382" s="11"/>
      <c r="M1382" s="174"/>
      <c r="N1382" s="528"/>
      <c r="O1382" s="11"/>
      <c r="P1382" s="8"/>
      <c r="Q1382" s="11"/>
      <c r="R1382" s="11"/>
      <c r="S1382" s="155"/>
      <c r="T1382" s="11"/>
      <c r="U1382" s="161"/>
      <c r="V1382" s="11"/>
      <c r="W1382" s="11"/>
    </row>
    <row r="1383" spans="1:244" s="127" customFormat="1" ht="12.75" customHeight="1">
      <c r="A1383" s="118">
        <v>1382</v>
      </c>
      <c r="B1383" s="11">
        <v>17</v>
      </c>
      <c r="C1383" s="156">
        <v>36557</v>
      </c>
      <c r="D1383" s="157" t="s">
        <v>45</v>
      </c>
      <c r="E1383" s="8">
        <v>2000</v>
      </c>
      <c r="F1383" s="158">
        <f t="shared" si="358"/>
        <v>306</v>
      </c>
      <c r="G1383" s="158">
        <f>IF(F1384&lt;365,1,2)</f>
        <v>1</v>
      </c>
      <c r="H1383" s="162">
        <v>36251</v>
      </c>
      <c r="I1383" s="163">
        <v>362547</v>
      </c>
      <c r="J1383" s="11"/>
      <c r="K1383" s="11"/>
      <c r="L1383" s="11"/>
      <c r="M1383" s="174"/>
      <c r="N1383" s="528"/>
      <c r="O1383" s="11"/>
      <c r="P1383" s="8"/>
      <c r="Q1383" s="11"/>
      <c r="R1383" s="11"/>
      <c r="S1383" s="155"/>
      <c r="T1383" s="11"/>
      <c r="U1383" s="161"/>
      <c r="V1383" s="11"/>
      <c r="W1383" s="11"/>
    </row>
    <row r="1384" spans="1:244" ht="12.75" customHeight="1">
      <c r="A1384" s="118">
        <v>1383</v>
      </c>
      <c r="B1384" s="11">
        <v>17</v>
      </c>
      <c r="C1384" s="156">
        <v>36586</v>
      </c>
      <c r="D1384" s="157" t="s">
        <v>46</v>
      </c>
      <c r="E1384" s="8">
        <v>2000</v>
      </c>
      <c r="F1384" s="158">
        <f t="shared" si="358"/>
        <v>335</v>
      </c>
      <c r="G1384" s="158">
        <v>1</v>
      </c>
      <c r="H1384" s="162">
        <v>36251</v>
      </c>
      <c r="I1384" s="163">
        <v>362102</v>
      </c>
      <c r="J1384" s="11"/>
      <c r="K1384" s="11"/>
      <c r="L1384" s="11"/>
      <c r="O1384" s="11"/>
      <c r="T1384" s="11"/>
      <c r="V1384" s="11"/>
      <c r="W1384" s="11"/>
      <c r="X1384" s="127"/>
      <c r="Y1384" s="127"/>
      <c r="Z1384" s="127"/>
      <c r="AA1384" s="127"/>
      <c r="AB1384" s="127"/>
      <c r="AC1384" s="127"/>
      <c r="AD1384" s="127"/>
      <c r="AE1384" s="127"/>
      <c r="AF1384" s="127"/>
      <c r="AG1384" s="127"/>
      <c r="AH1384" s="127"/>
      <c r="AI1384" s="127"/>
      <c r="AJ1384" s="127"/>
      <c r="AK1384" s="127"/>
      <c r="AL1384" s="127"/>
      <c r="AM1384" s="127"/>
      <c r="AN1384" s="127"/>
      <c r="AO1384" s="127"/>
      <c r="AP1384" s="127"/>
      <c r="AQ1384" s="127"/>
      <c r="AR1384" s="127"/>
      <c r="AS1384" s="127"/>
      <c r="AT1384" s="127"/>
      <c r="AU1384" s="127"/>
      <c r="AV1384" s="127"/>
      <c r="AW1384" s="127"/>
      <c r="AX1384" s="127"/>
      <c r="AY1384" s="127"/>
      <c r="AZ1384" s="127"/>
      <c r="BA1384" s="127"/>
      <c r="BB1384" s="127"/>
      <c r="BC1384" s="127"/>
      <c r="BD1384" s="127"/>
      <c r="BE1384" s="127"/>
      <c r="BF1384" s="127"/>
      <c r="BG1384" s="127"/>
      <c r="BH1384" s="127"/>
      <c r="BI1384" s="127"/>
      <c r="BJ1384" s="127"/>
      <c r="BK1384" s="127"/>
      <c r="BL1384" s="127"/>
      <c r="BM1384" s="127"/>
      <c r="BN1384" s="127"/>
      <c r="BO1384" s="127"/>
      <c r="BP1384" s="127"/>
      <c r="BQ1384" s="127"/>
      <c r="BR1384" s="127"/>
      <c r="BS1384" s="127"/>
      <c r="BT1384" s="127"/>
      <c r="BU1384" s="127"/>
      <c r="BV1384" s="127"/>
      <c r="BW1384" s="127"/>
      <c r="BX1384" s="127"/>
      <c r="BY1384" s="127"/>
      <c r="BZ1384" s="127"/>
      <c r="CA1384" s="127"/>
      <c r="CB1384" s="127"/>
      <c r="CC1384" s="127"/>
      <c r="CD1384" s="127"/>
      <c r="CE1384" s="127"/>
      <c r="CF1384" s="127"/>
      <c r="CG1384" s="127"/>
      <c r="CH1384" s="127"/>
      <c r="CI1384" s="127"/>
      <c r="CJ1384" s="127"/>
      <c r="CK1384" s="127"/>
      <c r="CL1384" s="127"/>
      <c r="CM1384" s="127"/>
      <c r="CN1384" s="127"/>
      <c r="CO1384" s="127"/>
      <c r="CP1384" s="127"/>
      <c r="CQ1384" s="127"/>
      <c r="CR1384" s="127"/>
      <c r="CS1384" s="127"/>
      <c r="CT1384" s="127"/>
      <c r="CU1384" s="127"/>
      <c r="CV1384" s="127"/>
      <c r="CW1384" s="127"/>
      <c r="CX1384" s="127"/>
      <c r="CY1384" s="127"/>
      <c r="CZ1384" s="127"/>
      <c r="DA1384" s="127"/>
      <c r="DB1384" s="127"/>
      <c r="DC1384" s="127"/>
      <c r="DD1384" s="127"/>
      <c r="DE1384" s="127"/>
      <c r="DF1384" s="127"/>
      <c r="DG1384" s="127"/>
      <c r="DH1384" s="127"/>
      <c r="DI1384" s="127"/>
      <c r="DJ1384" s="127"/>
      <c r="DK1384" s="127"/>
      <c r="DL1384" s="127"/>
      <c r="DM1384" s="127"/>
      <c r="DN1384" s="127"/>
      <c r="DO1384" s="127"/>
      <c r="DP1384" s="127"/>
      <c r="DQ1384" s="127"/>
      <c r="DR1384" s="127"/>
      <c r="DS1384" s="127"/>
      <c r="DT1384" s="127"/>
      <c r="DU1384" s="127"/>
      <c r="DV1384" s="127"/>
      <c r="DW1384" s="127"/>
      <c r="DX1384" s="127"/>
      <c r="DY1384" s="127"/>
      <c r="DZ1384" s="127"/>
      <c r="EA1384" s="127"/>
      <c r="EB1384" s="127"/>
      <c r="EC1384" s="127"/>
      <c r="ED1384" s="127"/>
      <c r="EE1384" s="127"/>
      <c r="EF1384" s="127"/>
      <c r="EG1384" s="127"/>
      <c r="EH1384" s="127"/>
      <c r="EI1384" s="127"/>
      <c r="EJ1384" s="127"/>
      <c r="EK1384" s="127"/>
      <c r="EL1384" s="127"/>
      <c r="EM1384" s="127"/>
      <c r="EN1384" s="127"/>
      <c r="EO1384" s="127"/>
      <c r="EP1384" s="127"/>
      <c r="EQ1384" s="127"/>
      <c r="ER1384" s="127"/>
      <c r="ES1384" s="127"/>
      <c r="ET1384" s="127"/>
      <c r="EU1384" s="127"/>
      <c r="EV1384" s="127"/>
      <c r="EW1384" s="127"/>
      <c r="EX1384" s="127"/>
      <c r="EY1384" s="127"/>
      <c r="EZ1384" s="127"/>
      <c r="FA1384" s="127"/>
      <c r="FB1384" s="127"/>
      <c r="FC1384" s="127"/>
      <c r="FD1384" s="127"/>
      <c r="FE1384" s="127"/>
      <c r="FF1384" s="127"/>
      <c r="FG1384" s="127"/>
      <c r="FH1384" s="127"/>
      <c r="FI1384" s="127"/>
      <c r="FJ1384" s="127"/>
      <c r="FK1384" s="127"/>
      <c r="FL1384" s="127"/>
      <c r="FM1384" s="127"/>
      <c r="FN1384" s="127"/>
      <c r="FO1384" s="127"/>
      <c r="FP1384" s="127"/>
      <c r="FQ1384" s="127"/>
      <c r="FR1384" s="127"/>
      <c r="FS1384" s="127"/>
      <c r="FT1384" s="127"/>
      <c r="FU1384" s="127"/>
      <c r="FV1384" s="127"/>
      <c r="FW1384" s="127"/>
      <c r="FX1384" s="127"/>
      <c r="FY1384" s="127"/>
      <c r="FZ1384" s="127"/>
      <c r="GA1384" s="127"/>
      <c r="GB1384" s="127"/>
      <c r="GC1384" s="127"/>
      <c r="GD1384" s="127"/>
      <c r="GE1384" s="127"/>
      <c r="GF1384" s="127"/>
      <c r="GG1384" s="127"/>
      <c r="GH1384" s="127"/>
      <c r="GI1384" s="127"/>
      <c r="GJ1384" s="127"/>
      <c r="GK1384" s="127"/>
      <c r="GL1384" s="127"/>
      <c r="GM1384" s="127"/>
      <c r="GN1384" s="127"/>
      <c r="GO1384" s="127"/>
      <c r="GP1384" s="127"/>
      <c r="GQ1384" s="127"/>
      <c r="GR1384" s="127"/>
      <c r="GS1384" s="127"/>
      <c r="GT1384" s="127"/>
      <c r="GU1384" s="127"/>
      <c r="GV1384" s="127"/>
      <c r="GW1384" s="127"/>
      <c r="GX1384" s="127"/>
      <c r="GY1384" s="127"/>
      <c r="GZ1384" s="127"/>
      <c r="HA1384" s="127"/>
      <c r="HB1384" s="127"/>
      <c r="HC1384" s="127"/>
      <c r="HD1384" s="127"/>
      <c r="HE1384" s="127"/>
      <c r="HF1384" s="127"/>
      <c r="HG1384" s="127"/>
      <c r="HH1384" s="127"/>
      <c r="HI1384" s="127"/>
      <c r="HJ1384" s="127"/>
      <c r="HK1384" s="127"/>
      <c r="HL1384" s="127"/>
      <c r="HM1384" s="127"/>
      <c r="HN1384" s="127"/>
      <c r="HO1384" s="127"/>
      <c r="HP1384" s="127"/>
      <c r="HQ1384" s="127"/>
      <c r="HR1384" s="127"/>
      <c r="HS1384" s="127"/>
      <c r="HT1384" s="127"/>
      <c r="HU1384" s="127"/>
      <c r="HV1384" s="127"/>
      <c r="HW1384" s="127"/>
      <c r="HX1384" s="127"/>
      <c r="HY1384" s="127"/>
      <c r="HZ1384" s="127"/>
      <c r="IA1384" s="127"/>
      <c r="IB1384" s="127"/>
      <c r="IC1384" s="127"/>
      <c r="ID1384" s="127"/>
      <c r="IE1384" s="127"/>
      <c r="IF1384" s="127"/>
      <c r="IG1384" s="127"/>
      <c r="IH1384" s="127"/>
      <c r="II1384" s="127"/>
      <c r="IJ1384" s="127"/>
    </row>
    <row r="1385" spans="1:244" ht="12.75" customHeight="1">
      <c r="A1385" s="118">
        <v>1384</v>
      </c>
      <c r="B1385" s="11">
        <v>17</v>
      </c>
      <c r="C1385" s="156">
        <v>36617</v>
      </c>
      <c r="D1385" s="157" t="s">
        <v>47</v>
      </c>
      <c r="E1385" s="8">
        <v>2000</v>
      </c>
      <c r="F1385" s="158">
        <f t="shared" si="358"/>
        <v>366</v>
      </c>
      <c r="G1385" s="158">
        <f t="shared" ref="G1385:G1396" si="359">IF(F1386&lt;365,1,2)</f>
        <v>2</v>
      </c>
      <c r="H1385" s="162">
        <v>36251</v>
      </c>
      <c r="I1385" s="163">
        <v>361569</v>
      </c>
      <c r="J1385" s="11"/>
      <c r="K1385" s="11"/>
      <c r="L1385" s="11"/>
      <c r="O1385" s="11"/>
      <c r="T1385" s="11"/>
      <c r="V1385" s="11"/>
      <c r="W1385" s="11"/>
      <c r="X1385" s="127"/>
      <c r="Y1385" s="127"/>
      <c r="Z1385" s="127"/>
      <c r="AA1385" s="127"/>
      <c r="AB1385" s="127"/>
      <c r="AC1385" s="127"/>
      <c r="AD1385" s="127"/>
      <c r="AE1385" s="127"/>
      <c r="AF1385" s="127"/>
      <c r="AG1385" s="127"/>
      <c r="AH1385" s="127"/>
      <c r="AI1385" s="127"/>
      <c r="AJ1385" s="127"/>
      <c r="AK1385" s="127"/>
      <c r="AL1385" s="127"/>
      <c r="AM1385" s="127"/>
      <c r="AN1385" s="127"/>
      <c r="AO1385" s="127"/>
      <c r="AP1385" s="127"/>
      <c r="AQ1385" s="127"/>
      <c r="AR1385" s="127"/>
      <c r="AS1385" s="127"/>
      <c r="AT1385" s="127"/>
      <c r="AU1385" s="127"/>
      <c r="AV1385" s="127"/>
      <c r="AW1385" s="127"/>
      <c r="AX1385" s="127"/>
      <c r="AY1385" s="127"/>
      <c r="AZ1385" s="127"/>
      <c r="BA1385" s="127"/>
      <c r="BB1385" s="127"/>
      <c r="BC1385" s="127"/>
      <c r="BD1385" s="127"/>
      <c r="BE1385" s="127"/>
      <c r="BF1385" s="127"/>
      <c r="BG1385" s="127"/>
      <c r="BH1385" s="127"/>
      <c r="BI1385" s="127"/>
      <c r="BJ1385" s="127"/>
      <c r="BK1385" s="127"/>
      <c r="BL1385" s="127"/>
      <c r="BM1385" s="127"/>
      <c r="BN1385" s="127"/>
      <c r="BO1385" s="127"/>
      <c r="BP1385" s="127"/>
      <c r="BQ1385" s="127"/>
      <c r="BR1385" s="127"/>
      <c r="BS1385" s="127"/>
      <c r="BT1385" s="127"/>
      <c r="BU1385" s="127"/>
      <c r="BV1385" s="127"/>
      <c r="BW1385" s="127"/>
      <c r="BX1385" s="127"/>
      <c r="BY1385" s="127"/>
      <c r="BZ1385" s="127"/>
      <c r="CA1385" s="127"/>
      <c r="CB1385" s="127"/>
      <c r="CC1385" s="127"/>
      <c r="CD1385" s="127"/>
      <c r="CE1385" s="127"/>
      <c r="CF1385" s="127"/>
      <c r="CG1385" s="127"/>
      <c r="CH1385" s="127"/>
      <c r="CI1385" s="127"/>
      <c r="CJ1385" s="127"/>
      <c r="CK1385" s="127"/>
      <c r="CL1385" s="127"/>
      <c r="CM1385" s="127"/>
      <c r="CN1385" s="127"/>
      <c r="CO1385" s="127"/>
      <c r="CP1385" s="127"/>
      <c r="CQ1385" s="127"/>
      <c r="CR1385" s="127"/>
      <c r="CS1385" s="127"/>
      <c r="CT1385" s="127"/>
      <c r="CU1385" s="127"/>
      <c r="CV1385" s="127"/>
      <c r="CW1385" s="127"/>
      <c r="CX1385" s="127"/>
      <c r="CY1385" s="127"/>
      <c r="CZ1385" s="127"/>
      <c r="DA1385" s="127"/>
      <c r="DB1385" s="127"/>
      <c r="DC1385" s="127"/>
      <c r="DD1385" s="127"/>
      <c r="DE1385" s="127"/>
      <c r="DF1385" s="127"/>
      <c r="DG1385" s="127"/>
      <c r="DH1385" s="127"/>
      <c r="DI1385" s="127"/>
      <c r="DJ1385" s="127"/>
      <c r="DK1385" s="127"/>
      <c r="DL1385" s="127"/>
      <c r="DM1385" s="127"/>
      <c r="DN1385" s="127"/>
      <c r="DO1385" s="127"/>
      <c r="DP1385" s="127"/>
      <c r="DQ1385" s="127"/>
      <c r="DR1385" s="127"/>
      <c r="DS1385" s="127"/>
      <c r="DT1385" s="127"/>
      <c r="DU1385" s="127"/>
      <c r="DV1385" s="127"/>
      <c r="DW1385" s="127"/>
      <c r="DX1385" s="127"/>
      <c r="DY1385" s="127"/>
      <c r="DZ1385" s="127"/>
      <c r="EA1385" s="127"/>
      <c r="EB1385" s="127"/>
      <c r="EC1385" s="127"/>
      <c r="ED1385" s="127"/>
      <c r="EE1385" s="127"/>
      <c r="EF1385" s="127"/>
      <c r="EG1385" s="127"/>
      <c r="EH1385" s="127"/>
      <c r="EI1385" s="127"/>
      <c r="EJ1385" s="127"/>
      <c r="EK1385" s="127"/>
      <c r="EL1385" s="127"/>
      <c r="EM1385" s="127"/>
      <c r="EN1385" s="127"/>
      <c r="EO1385" s="127"/>
      <c r="EP1385" s="127"/>
      <c r="EQ1385" s="127"/>
      <c r="ER1385" s="127"/>
      <c r="ES1385" s="127"/>
      <c r="ET1385" s="127"/>
      <c r="EU1385" s="127"/>
      <c r="EV1385" s="127"/>
      <c r="EW1385" s="127"/>
      <c r="EX1385" s="127"/>
      <c r="EY1385" s="127"/>
      <c r="EZ1385" s="127"/>
      <c r="FA1385" s="127"/>
      <c r="FB1385" s="127"/>
      <c r="FC1385" s="127"/>
      <c r="FD1385" s="127"/>
      <c r="FE1385" s="127"/>
      <c r="FF1385" s="127"/>
      <c r="FG1385" s="127"/>
      <c r="FH1385" s="127"/>
      <c r="FI1385" s="127"/>
      <c r="FJ1385" s="127"/>
      <c r="FK1385" s="127"/>
      <c r="FL1385" s="127"/>
      <c r="FM1385" s="127"/>
      <c r="FN1385" s="127"/>
      <c r="FO1385" s="127"/>
      <c r="FP1385" s="127"/>
      <c r="FQ1385" s="127"/>
      <c r="FR1385" s="127"/>
      <c r="FS1385" s="127"/>
      <c r="FT1385" s="127"/>
      <c r="FU1385" s="127"/>
      <c r="FV1385" s="127"/>
      <c r="FW1385" s="127"/>
      <c r="FX1385" s="127"/>
      <c r="FY1385" s="127"/>
      <c r="FZ1385" s="127"/>
      <c r="GA1385" s="127"/>
      <c r="GB1385" s="127"/>
      <c r="GC1385" s="127"/>
      <c r="GD1385" s="127"/>
      <c r="GE1385" s="127"/>
      <c r="GF1385" s="127"/>
      <c r="GG1385" s="127"/>
      <c r="GH1385" s="127"/>
      <c r="GI1385" s="127"/>
      <c r="GJ1385" s="127"/>
      <c r="GK1385" s="127"/>
      <c r="GL1385" s="127"/>
      <c r="GM1385" s="127"/>
      <c r="GN1385" s="127"/>
      <c r="GO1385" s="127"/>
      <c r="GP1385" s="127"/>
      <c r="GQ1385" s="127"/>
      <c r="GR1385" s="127"/>
      <c r="GS1385" s="127"/>
      <c r="GT1385" s="127"/>
      <c r="GU1385" s="127"/>
      <c r="GV1385" s="127"/>
      <c r="GW1385" s="127"/>
      <c r="GX1385" s="127"/>
      <c r="GY1385" s="127"/>
      <c r="GZ1385" s="127"/>
      <c r="HA1385" s="127"/>
      <c r="HB1385" s="127"/>
      <c r="HC1385" s="127"/>
      <c r="HD1385" s="127"/>
      <c r="HE1385" s="127"/>
      <c r="HF1385" s="127"/>
      <c r="HG1385" s="127"/>
      <c r="HH1385" s="127"/>
      <c r="HI1385" s="127"/>
      <c r="HJ1385" s="127"/>
      <c r="HK1385" s="127"/>
      <c r="HL1385" s="127"/>
      <c r="HM1385" s="127"/>
      <c r="HN1385" s="127"/>
      <c r="HO1385" s="127"/>
      <c r="HP1385" s="127"/>
      <c r="HQ1385" s="127"/>
      <c r="HR1385" s="127"/>
      <c r="HS1385" s="127"/>
      <c r="HT1385" s="127"/>
      <c r="HU1385" s="127"/>
      <c r="HV1385" s="127"/>
      <c r="HW1385" s="127"/>
      <c r="HX1385" s="127"/>
      <c r="HY1385" s="127"/>
      <c r="HZ1385" s="127"/>
      <c r="IA1385" s="127"/>
      <c r="IB1385" s="127"/>
      <c r="IC1385" s="127"/>
      <c r="ID1385" s="127"/>
      <c r="IE1385" s="127"/>
      <c r="IF1385" s="127"/>
      <c r="IG1385" s="127"/>
      <c r="IH1385" s="127"/>
      <c r="II1385" s="127"/>
      <c r="IJ1385" s="127"/>
    </row>
    <row r="1386" spans="1:244" ht="12.75" customHeight="1">
      <c r="A1386" s="118">
        <v>1385</v>
      </c>
      <c r="B1386" s="11">
        <v>17</v>
      </c>
      <c r="C1386" s="156">
        <v>36647</v>
      </c>
      <c r="D1386" s="157" t="s">
        <v>48</v>
      </c>
      <c r="E1386" s="8">
        <v>2000</v>
      </c>
      <c r="F1386" s="158">
        <f t="shared" si="358"/>
        <v>396</v>
      </c>
      <c r="G1386" s="158">
        <f t="shared" si="359"/>
        <v>2</v>
      </c>
      <c r="H1386" s="162">
        <v>36251</v>
      </c>
      <c r="I1386" s="163">
        <v>361267</v>
      </c>
      <c r="J1386" s="11"/>
      <c r="K1386" s="11"/>
      <c r="L1386" s="11"/>
      <c r="O1386" s="11"/>
      <c r="T1386" s="11"/>
      <c r="V1386" s="11"/>
      <c r="W1386" s="11"/>
      <c r="X1386" s="127"/>
      <c r="Y1386" s="127"/>
      <c r="Z1386" s="127"/>
      <c r="AA1386" s="127"/>
      <c r="AB1386" s="127"/>
      <c r="AC1386" s="127"/>
      <c r="AD1386" s="127"/>
      <c r="AE1386" s="127"/>
      <c r="AF1386" s="127"/>
      <c r="AG1386" s="127"/>
      <c r="AH1386" s="127"/>
      <c r="AI1386" s="127"/>
      <c r="AJ1386" s="127"/>
      <c r="AK1386" s="127"/>
      <c r="AL1386" s="127"/>
      <c r="AM1386" s="127"/>
      <c r="AN1386" s="127"/>
      <c r="AO1386" s="127"/>
      <c r="AP1386" s="127"/>
      <c r="AQ1386" s="127"/>
      <c r="AR1386" s="127"/>
      <c r="AS1386" s="127"/>
      <c r="AT1386" s="127"/>
      <c r="AU1386" s="127"/>
      <c r="AV1386" s="127"/>
      <c r="AW1386" s="127"/>
      <c r="AX1386" s="127"/>
      <c r="AY1386" s="127"/>
      <c r="AZ1386" s="127"/>
      <c r="BA1386" s="127"/>
      <c r="BB1386" s="127"/>
      <c r="BC1386" s="127"/>
      <c r="BD1386" s="127"/>
      <c r="BE1386" s="127"/>
      <c r="BF1386" s="127"/>
      <c r="BG1386" s="127"/>
      <c r="BH1386" s="127"/>
      <c r="BI1386" s="127"/>
      <c r="BJ1386" s="127"/>
      <c r="BK1386" s="127"/>
      <c r="BL1386" s="127"/>
      <c r="BM1386" s="127"/>
      <c r="BN1386" s="127"/>
      <c r="BO1386" s="127"/>
      <c r="BP1386" s="127"/>
      <c r="BQ1386" s="127"/>
      <c r="BR1386" s="127"/>
      <c r="BS1386" s="127"/>
      <c r="BT1386" s="127"/>
      <c r="BU1386" s="127"/>
      <c r="BV1386" s="127"/>
      <c r="BW1386" s="127"/>
      <c r="BX1386" s="127"/>
      <c r="BY1386" s="127"/>
      <c r="BZ1386" s="127"/>
      <c r="CA1386" s="127"/>
      <c r="CB1386" s="127"/>
      <c r="CC1386" s="127"/>
      <c r="CD1386" s="127"/>
      <c r="CE1386" s="127"/>
      <c r="CF1386" s="127"/>
      <c r="CG1386" s="127"/>
      <c r="CH1386" s="127"/>
      <c r="CI1386" s="127"/>
      <c r="CJ1386" s="127"/>
      <c r="CK1386" s="127"/>
      <c r="CL1386" s="127"/>
      <c r="CM1386" s="127"/>
      <c r="CN1386" s="127"/>
      <c r="CO1386" s="127"/>
      <c r="CP1386" s="127"/>
      <c r="CQ1386" s="127"/>
      <c r="CR1386" s="127"/>
      <c r="CS1386" s="127"/>
      <c r="CT1386" s="127"/>
      <c r="CU1386" s="127"/>
      <c r="CV1386" s="127"/>
      <c r="CW1386" s="127"/>
      <c r="CX1386" s="127"/>
      <c r="CY1386" s="127"/>
      <c r="CZ1386" s="127"/>
      <c r="DA1386" s="127"/>
      <c r="DB1386" s="127"/>
      <c r="DC1386" s="127"/>
      <c r="DD1386" s="127"/>
      <c r="DE1386" s="127"/>
      <c r="DF1386" s="127"/>
      <c r="DG1386" s="127"/>
      <c r="DH1386" s="127"/>
      <c r="DI1386" s="127"/>
      <c r="DJ1386" s="127"/>
      <c r="DK1386" s="127"/>
      <c r="DL1386" s="127"/>
      <c r="DM1386" s="127"/>
      <c r="DN1386" s="127"/>
      <c r="DO1386" s="127"/>
      <c r="DP1386" s="127"/>
      <c r="DQ1386" s="127"/>
      <c r="DR1386" s="127"/>
      <c r="DS1386" s="127"/>
      <c r="DT1386" s="127"/>
      <c r="DU1386" s="127"/>
      <c r="DV1386" s="127"/>
      <c r="DW1386" s="127"/>
      <c r="DX1386" s="127"/>
      <c r="DY1386" s="127"/>
      <c r="DZ1386" s="127"/>
      <c r="EA1386" s="127"/>
      <c r="EB1386" s="127"/>
      <c r="EC1386" s="127"/>
      <c r="ED1386" s="127"/>
      <c r="EE1386" s="127"/>
      <c r="EF1386" s="127"/>
      <c r="EG1386" s="127"/>
      <c r="EH1386" s="127"/>
      <c r="EI1386" s="127"/>
      <c r="EJ1386" s="127"/>
      <c r="EK1386" s="127"/>
      <c r="EL1386" s="127"/>
      <c r="EM1386" s="127"/>
      <c r="EN1386" s="127"/>
      <c r="EO1386" s="127"/>
      <c r="EP1386" s="127"/>
      <c r="EQ1386" s="127"/>
      <c r="ER1386" s="127"/>
      <c r="ES1386" s="127"/>
      <c r="ET1386" s="127"/>
      <c r="EU1386" s="127"/>
      <c r="EV1386" s="127"/>
      <c r="EW1386" s="127"/>
      <c r="EX1386" s="127"/>
      <c r="EY1386" s="127"/>
      <c r="EZ1386" s="127"/>
      <c r="FA1386" s="127"/>
      <c r="FB1386" s="127"/>
      <c r="FC1386" s="127"/>
      <c r="FD1386" s="127"/>
      <c r="FE1386" s="127"/>
      <c r="FF1386" s="127"/>
      <c r="FG1386" s="127"/>
      <c r="FH1386" s="127"/>
      <c r="FI1386" s="127"/>
      <c r="FJ1386" s="127"/>
      <c r="FK1386" s="127"/>
      <c r="FL1386" s="127"/>
      <c r="FM1386" s="127"/>
      <c r="FN1386" s="127"/>
      <c r="FO1386" s="127"/>
      <c r="FP1386" s="127"/>
      <c r="FQ1386" s="127"/>
      <c r="FR1386" s="127"/>
      <c r="FS1386" s="127"/>
      <c r="FT1386" s="127"/>
      <c r="FU1386" s="127"/>
      <c r="FV1386" s="127"/>
      <c r="FW1386" s="127"/>
      <c r="FX1386" s="127"/>
      <c r="FY1386" s="127"/>
      <c r="FZ1386" s="127"/>
      <c r="GA1386" s="127"/>
      <c r="GB1386" s="127"/>
      <c r="GC1386" s="127"/>
      <c r="GD1386" s="127"/>
      <c r="GE1386" s="127"/>
      <c r="GF1386" s="127"/>
      <c r="GG1386" s="127"/>
      <c r="GH1386" s="127"/>
      <c r="GI1386" s="127"/>
      <c r="GJ1386" s="127"/>
      <c r="GK1386" s="127"/>
      <c r="GL1386" s="127"/>
      <c r="GM1386" s="127"/>
      <c r="GN1386" s="127"/>
      <c r="GO1386" s="127"/>
      <c r="GP1386" s="127"/>
      <c r="GQ1386" s="127"/>
      <c r="GR1386" s="127"/>
      <c r="GS1386" s="127"/>
      <c r="GT1386" s="127"/>
      <c r="GU1386" s="127"/>
      <c r="GV1386" s="127"/>
      <c r="GW1386" s="127"/>
      <c r="GX1386" s="127"/>
      <c r="GY1386" s="127"/>
      <c r="GZ1386" s="127"/>
      <c r="HA1386" s="127"/>
      <c r="HB1386" s="127"/>
      <c r="HC1386" s="127"/>
      <c r="HD1386" s="127"/>
      <c r="HE1386" s="127"/>
      <c r="HF1386" s="127"/>
      <c r="HG1386" s="127"/>
      <c r="HH1386" s="127"/>
      <c r="HI1386" s="127"/>
      <c r="HJ1386" s="127"/>
      <c r="HK1386" s="127"/>
      <c r="HL1386" s="127"/>
      <c r="HM1386" s="127"/>
      <c r="HN1386" s="127"/>
      <c r="HO1386" s="127"/>
      <c r="HP1386" s="127"/>
      <c r="HQ1386" s="127"/>
      <c r="HR1386" s="127"/>
      <c r="HS1386" s="127"/>
      <c r="HT1386" s="127"/>
      <c r="HU1386" s="127"/>
      <c r="HV1386" s="127"/>
      <c r="HW1386" s="127"/>
      <c r="HX1386" s="127"/>
      <c r="HY1386" s="127"/>
      <c r="HZ1386" s="127"/>
      <c r="IA1386" s="127"/>
      <c r="IB1386" s="127"/>
      <c r="IC1386" s="127"/>
      <c r="ID1386" s="127"/>
      <c r="IE1386" s="127"/>
      <c r="IF1386" s="127"/>
      <c r="IG1386" s="127"/>
      <c r="IH1386" s="127"/>
      <c r="II1386" s="127"/>
      <c r="IJ1386" s="127"/>
    </row>
    <row r="1387" spans="1:244" ht="12.75" customHeight="1">
      <c r="A1387" s="118">
        <v>1386</v>
      </c>
      <c r="B1387" s="11">
        <v>17</v>
      </c>
      <c r="C1387" s="156">
        <v>36678</v>
      </c>
      <c r="D1387" s="157" t="s">
        <v>49</v>
      </c>
      <c r="E1387" s="8">
        <v>2000</v>
      </c>
      <c r="F1387" s="158">
        <f t="shared" si="358"/>
        <v>427</v>
      </c>
      <c r="G1387" s="158">
        <f t="shared" si="359"/>
        <v>2</v>
      </c>
      <c r="H1387" s="162">
        <v>36251</v>
      </c>
      <c r="I1387" s="163">
        <v>356443</v>
      </c>
      <c r="J1387" s="11"/>
      <c r="K1387" s="11"/>
      <c r="L1387" s="11"/>
      <c r="O1387" s="11"/>
      <c r="T1387" s="11"/>
      <c r="V1387" s="11"/>
      <c r="W1387" s="11"/>
      <c r="X1387" s="127"/>
      <c r="Y1387" s="127"/>
      <c r="Z1387" s="127"/>
      <c r="AA1387" s="127"/>
      <c r="AB1387" s="127"/>
      <c r="AC1387" s="127"/>
      <c r="AD1387" s="127"/>
      <c r="AE1387" s="127"/>
      <c r="AF1387" s="127"/>
      <c r="AG1387" s="127"/>
      <c r="AH1387" s="127"/>
      <c r="AI1387" s="127"/>
      <c r="AJ1387" s="127"/>
      <c r="AK1387" s="127"/>
      <c r="AL1387" s="127"/>
      <c r="AM1387" s="127"/>
      <c r="AN1387" s="127"/>
      <c r="AO1387" s="127"/>
      <c r="AP1387" s="127"/>
      <c r="AQ1387" s="127"/>
      <c r="AR1387" s="127"/>
      <c r="AS1387" s="127"/>
      <c r="AT1387" s="127"/>
      <c r="AU1387" s="127"/>
      <c r="AV1387" s="127"/>
      <c r="AW1387" s="127"/>
      <c r="AX1387" s="127"/>
      <c r="AY1387" s="127"/>
      <c r="AZ1387" s="127"/>
      <c r="BA1387" s="127"/>
      <c r="BB1387" s="127"/>
      <c r="BC1387" s="127"/>
      <c r="BD1387" s="127"/>
      <c r="BE1387" s="127"/>
      <c r="BF1387" s="127"/>
      <c r="BG1387" s="127"/>
      <c r="BH1387" s="127"/>
      <c r="BI1387" s="127"/>
      <c r="BJ1387" s="127"/>
      <c r="BK1387" s="127"/>
      <c r="BL1387" s="127"/>
      <c r="BM1387" s="127"/>
      <c r="BN1387" s="127"/>
      <c r="BO1387" s="127"/>
      <c r="BP1387" s="127"/>
      <c r="BQ1387" s="127"/>
      <c r="BR1387" s="127"/>
      <c r="BS1387" s="127"/>
      <c r="BT1387" s="127"/>
      <c r="BU1387" s="127"/>
      <c r="BV1387" s="127"/>
      <c r="BW1387" s="127"/>
      <c r="BX1387" s="127"/>
      <c r="BY1387" s="127"/>
      <c r="BZ1387" s="127"/>
      <c r="CA1387" s="127"/>
      <c r="CB1387" s="127"/>
      <c r="CC1387" s="127"/>
      <c r="CD1387" s="127"/>
      <c r="CE1387" s="127"/>
      <c r="CF1387" s="127"/>
      <c r="CG1387" s="127"/>
      <c r="CH1387" s="127"/>
      <c r="CI1387" s="127"/>
      <c r="CJ1387" s="127"/>
      <c r="CK1387" s="127"/>
      <c r="CL1387" s="127"/>
      <c r="CM1387" s="127"/>
      <c r="CN1387" s="127"/>
      <c r="CO1387" s="127"/>
      <c r="CP1387" s="127"/>
      <c r="CQ1387" s="127"/>
      <c r="CR1387" s="127"/>
      <c r="CS1387" s="127"/>
      <c r="CT1387" s="127"/>
      <c r="CU1387" s="127"/>
      <c r="CV1387" s="127"/>
      <c r="CW1387" s="127"/>
      <c r="CX1387" s="127"/>
      <c r="CY1387" s="127"/>
      <c r="CZ1387" s="127"/>
      <c r="DA1387" s="127"/>
      <c r="DB1387" s="127"/>
      <c r="DC1387" s="127"/>
      <c r="DD1387" s="127"/>
      <c r="DE1387" s="127"/>
      <c r="DF1387" s="127"/>
      <c r="DG1387" s="127"/>
      <c r="DH1387" s="127"/>
      <c r="DI1387" s="127"/>
      <c r="DJ1387" s="127"/>
      <c r="DK1387" s="127"/>
      <c r="DL1387" s="127"/>
      <c r="DM1387" s="127"/>
      <c r="DN1387" s="127"/>
      <c r="DO1387" s="127"/>
      <c r="DP1387" s="127"/>
      <c r="DQ1387" s="127"/>
      <c r="DR1387" s="127"/>
      <c r="DS1387" s="127"/>
      <c r="DT1387" s="127"/>
      <c r="DU1387" s="127"/>
      <c r="DV1387" s="127"/>
      <c r="DW1387" s="127"/>
      <c r="DX1387" s="127"/>
      <c r="DY1387" s="127"/>
      <c r="DZ1387" s="127"/>
      <c r="EA1387" s="127"/>
      <c r="EB1387" s="127"/>
      <c r="EC1387" s="127"/>
      <c r="ED1387" s="127"/>
      <c r="EE1387" s="127"/>
      <c r="EF1387" s="127"/>
      <c r="EG1387" s="127"/>
      <c r="EH1387" s="127"/>
      <c r="EI1387" s="127"/>
      <c r="EJ1387" s="127"/>
      <c r="EK1387" s="127"/>
      <c r="EL1387" s="127"/>
      <c r="EM1387" s="127"/>
      <c r="EN1387" s="127"/>
      <c r="EO1387" s="127"/>
      <c r="EP1387" s="127"/>
      <c r="EQ1387" s="127"/>
      <c r="ER1387" s="127"/>
      <c r="ES1387" s="127"/>
      <c r="ET1387" s="127"/>
      <c r="EU1387" s="127"/>
      <c r="EV1387" s="127"/>
      <c r="EW1387" s="127"/>
      <c r="EX1387" s="127"/>
      <c r="EY1387" s="127"/>
      <c r="EZ1387" s="127"/>
      <c r="FA1387" s="127"/>
      <c r="FB1387" s="127"/>
      <c r="FC1387" s="127"/>
      <c r="FD1387" s="127"/>
      <c r="FE1387" s="127"/>
      <c r="FF1387" s="127"/>
      <c r="FG1387" s="127"/>
      <c r="FH1387" s="127"/>
      <c r="FI1387" s="127"/>
      <c r="FJ1387" s="127"/>
      <c r="FK1387" s="127"/>
      <c r="FL1387" s="127"/>
      <c r="FM1387" s="127"/>
      <c r="FN1387" s="127"/>
      <c r="FO1387" s="127"/>
      <c r="FP1387" s="127"/>
      <c r="FQ1387" s="127"/>
      <c r="FR1387" s="127"/>
      <c r="FS1387" s="127"/>
      <c r="FT1387" s="127"/>
      <c r="FU1387" s="127"/>
      <c r="FV1387" s="127"/>
      <c r="FW1387" s="127"/>
      <c r="FX1387" s="127"/>
      <c r="FY1387" s="127"/>
      <c r="FZ1387" s="127"/>
      <c r="GA1387" s="127"/>
      <c r="GB1387" s="127"/>
      <c r="GC1387" s="127"/>
      <c r="GD1387" s="127"/>
      <c r="GE1387" s="127"/>
      <c r="GF1387" s="127"/>
      <c r="GG1387" s="127"/>
      <c r="GH1387" s="127"/>
      <c r="GI1387" s="127"/>
      <c r="GJ1387" s="127"/>
      <c r="GK1387" s="127"/>
      <c r="GL1387" s="127"/>
      <c r="GM1387" s="127"/>
      <c r="GN1387" s="127"/>
      <c r="GO1387" s="127"/>
      <c r="GP1387" s="127"/>
      <c r="GQ1387" s="127"/>
      <c r="GR1387" s="127"/>
      <c r="GS1387" s="127"/>
      <c r="GT1387" s="127"/>
      <c r="GU1387" s="127"/>
      <c r="GV1387" s="127"/>
      <c r="GW1387" s="127"/>
      <c r="GX1387" s="127"/>
      <c r="GY1387" s="127"/>
      <c r="GZ1387" s="127"/>
      <c r="HA1387" s="127"/>
      <c r="HB1387" s="127"/>
      <c r="HC1387" s="127"/>
      <c r="HD1387" s="127"/>
      <c r="HE1387" s="127"/>
      <c r="HF1387" s="127"/>
      <c r="HG1387" s="127"/>
      <c r="HH1387" s="127"/>
      <c r="HI1387" s="127"/>
      <c r="HJ1387" s="127"/>
      <c r="HK1387" s="127"/>
      <c r="HL1387" s="127"/>
      <c r="HM1387" s="127"/>
      <c r="HN1387" s="127"/>
      <c r="HO1387" s="127"/>
      <c r="HP1387" s="127"/>
      <c r="HQ1387" s="127"/>
      <c r="HR1387" s="127"/>
      <c r="HS1387" s="127"/>
      <c r="HT1387" s="127"/>
      <c r="HU1387" s="127"/>
      <c r="HV1387" s="127"/>
      <c r="HW1387" s="127"/>
      <c r="HX1387" s="127"/>
      <c r="HY1387" s="127"/>
      <c r="HZ1387" s="127"/>
      <c r="IA1387" s="127"/>
      <c r="IB1387" s="127"/>
      <c r="IC1387" s="127"/>
      <c r="ID1387" s="127"/>
      <c r="IE1387" s="127"/>
      <c r="IF1387" s="127"/>
      <c r="IG1387" s="127"/>
      <c r="IH1387" s="127"/>
      <c r="II1387" s="127"/>
      <c r="IJ1387" s="127"/>
    </row>
    <row r="1388" spans="1:244" ht="12.75" customHeight="1">
      <c r="A1388" s="118">
        <v>1387</v>
      </c>
      <c r="B1388" s="11">
        <v>17</v>
      </c>
      <c r="C1388" s="156">
        <v>36708</v>
      </c>
      <c r="D1388" s="157" t="s">
        <v>50</v>
      </c>
      <c r="E1388" s="8">
        <v>2000</v>
      </c>
      <c r="F1388" s="158">
        <f t="shared" si="358"/>
        <v>457</v>
      </c>
      <c r="G1388" s="158">
        <f t="shared" si="359"/>
        <v>2</v>
      </c>
      <c r="H1388" s="162">
        <v>36251</v>
      </c>
      <c r="I1388" s="163">
        <v>356106</v>
      </c>
      <c r="J1388" s="11"/>
      <c r="K1388" s="11"/>
      <c r="L1388" s="11"/>
      <c r="O1388" s="11"/>
      <c r="T1388" s="11"/>
      <c r="V1388" s="11"/>
      <c r="W1388" s="11"/>
      <c r="X1388" s="127"/>
      <c r="Y1388" s="127"/>
      <c r="Z1388" s="127"/>
      <c r="AA1388" s="127"/>
      <c r="AB1388" s="127"/>
      <c r="AC1388" s="127"/>
      <c r="AD1388" s="127"/>
      <c r="AE1388" s="127"/>
      <c r="AF1388" s="127"/>
      <c r="AG1388" s="127"/>
      <c r="AH1388" s="127"/>
      <c r="AI1388" s="127"/>
      <c r="AJ1388" s="127"/>
      <c r="AK1388" s="127"/>
      <c r="AL1388" s="127"/>
      <c r="AM1388" s="127"/>
      <c r="AN1388" s="127"/>
      <c r="AO1388" s="127"/>
      <c r="AP1388" s="127"/>
      <c r="AQ1388" s="127"/>
      <c r="AR1388" s="127"/>
      <c r="AS1388" s="127"/>
      <c r="AT1388" s="127"/>
      <c r="AU1388" s="127"/>
      <c r="AV1388" s="127"/>
      <c r="AW1388" s="127"/>
      <c r="AX1388" s="127"/>
      <c r="AY1388" s="127"/>
      <c r="AZ1388" s="127"/>
      <c r="BA1388" s="127"/>
      <c r="BB1388" s="127"/>
      <c r="BC1388" s="127"/>
      <c r="BD1388" s="127"/>
      <c r="BE1388" s="127"/>
      <c r="BF1388" s="127"/>
      <c r="BG1388" s="127"/>
      <c r="BH1388" s="127"/>
      <c r="BI1388" s="127"/>
      <c r="BJ1388" s="127"/>
      <c r="BK1388" s="127"/>
      <c r="BL1388" s="127"/>
      <c r="BM1388" s="127"/>
      <c r="BN1388" s="127"/>
      <c r="BO1388" s="127"/>
      <c r="BP1388" s="127"/>
      <c r="BQ1388" s="127"/>
      <c r="BR1388" s="127"/>
      <c r="BS1388" s="127"/>
      <c r="BT1388" s="127"/>
      <c r="BU1388" s="127"/>
      <c r="BV1388" s="127"/>
      <c r="BW1388" s="127"/>
      <c r="BX1388" s="127"/>
      <c r="BY1388" s="127"/>
      <c r="BZ1388" s="127"/>
      <c r="CA1388" s="127"/>
      <c r="CB1388" s="127"/>
      <c r="CC1388" s="127"/>
      <c r="CD1388" s="127"/>
      <c r="CE1388" s="127"/>
      <c r="CF1388" s="127"/>
      <c r="CG1388" s="127"/>
      <c r="CH1388" s="127"/>
      <c r="CI1388" s="127"/>
      <c r="CJ1388" s="127"/>
      <c r="CK1388" s="127"/>
      <c r="CL1388" s="127"/>
      <c r="CM1388" s="127"/>
      <c r="CN1388" s="127"/>
      <c r="CO1388" s="127"/>
      <c r="CP1388" s="127"/>
      <c r="CQ1388" s="127"/>
      <c r="CR1388" s="127"/>
      <c r="CS1388" s="127"/>
      <c r="CT1388" s="127"/>
      <c r="CU1388" s="127"/>
      <c r="CV1388" s="127"/>
      <c r="CW1388" s="127"/>
      <c r="CX1388" s="127"/>
      <c r="CY1388" s="127"/>
      <c r="CZ1388" s="127"/>
      <c r="DA1388" s="127"/>
      <c r="DB1388" s="127"/>
      <c r="DC1388" s="127"/>
      <c r="DD1388" s="127"/>
      <c r="DE1388" s="127"/>
      <c r="DF1388" s="127"/>
      <c r="DG1388" s="127"/>
      <c r="DH1388" s="127"/>
      <c r="DI1388" s="127"/>
      <c r="DJ1388" s="127"/>
      <c r="DK1388" s="127"/>
      <c r="DL1388" s="127"/>
      <c r="DM1388" s="127"/>
      <c r="DN1388" s="127"/>
      <c r="DO1388" s="127"/>
      <c r="DP1388" s="127"/>
      <c r="DQ1388" s="127"/>
      <c r="DR1388" s="127"/>
      <c r="DS1388" s="127"/>
      <c r="DT1388" s="127"/>
      <c r="DU1388" s="127"/>
      <c r="DV1388" s="127"/>
      <c r="DW1388" s="127"/>
      <c r="DX1388" s="127"/>
      <c r="DY1388" s="127"/>
      <c r="DZ1388" s="127"/>
      <c r="EA1388" s="127"/>
      <c r="EB1388" s="127"/>
      <c r="EC1388" s="127"/>
      <c r="ED1388" s="127"/>
      <c r="EE1388" s="127"/>
      <c r="EF1388" s="127"/>
      <c r="EG1388" s="127"/>
      <c r="EH1388" s="127"/>
      <c r="EI1388" s="127"/>
      <c r="EJ1388" s="127"/>
      <c r="EK1388" s="127"/>
      <c r="EL1388" s="127"/>
      <c r="EM1388" s="127"/>
      <c r="EN1388" s="127"/>
      <c r="EO1388" s="127"/>
      <c r="EP1388" s="127"/>
      <c r="EQ1388" s="127"/>
      <c r="ER1388" s="127"/>
      <c r="ES1388" s="127"/>
      <c r="ET1388" s="127"/>
      <c r="EU1388" s="127"/>
      <c r="EV1388" s="127"/>
      <c r="EW1388" s="127"/>
      <c r="EX1388" s="127"/>
      <c r="EY1388" s="127"/>
      <c r="EZ1388" s="127"/>
      <c r="FA1388" s="127"/>
      <c r="FB1388" s="127"/>
      <c r="FC1388" s="127"/>
      <c r="FD1388" s="127"/>
      <c r="FE1388" s="127"/>
      <c r="FF1388" s="127"/>
      <c r="FG1388" s="127"/>
      <c r="FH1388" s="127"/>
      <c r="FI1388" s="127"/>
      <c r="FJ1388" s="127"/>
      <c r="FK1388" s="127"/>
      <c r="FL1388" s="127"/>
      <c r="FM1388" s="127"/>
      <c r="FN1388" s="127"/>
      <c r="FO1388" s="127"/>
      <c r="FP1388" s="127"/>
      <c r="FQ1388" s="127"/>
      <c r="FR1388" s="127"/>
      <c r="FS1388" s="127"/>
      <c r="FT1388" s="127"/>
      <c r="FU1388" s="127"/>
      <c r="FV1388" s="127"/>
      <c r="FW1388" s="127"/>
      <c r="FX1388" s="127"/>
      <c r="FY1388" s="127"/>
      <c r="FZ1388" s="127"/>
      <c r="GA1388" s="127"/>
      <c r="GB1388" s="127"/>
      <c r="GC1388" s="127"/>
      <c r="GD1388" s="127"/>
      <c r="GE1388" s="127"/>
      <c r="GF1388" s="127"/>
      <c r="GG1388" s="127"/>
      <c r="GH1388" s="127"/>
      <c r="GI1388" s="127"/>
      <c r="GJ1388" s="127"/>
      <c r="GK1388" s="127"/>
      <c r="GL1388" s="127"/>
      <c r="GM1388" s="127"/>
      <c r="GN1388" s="127"/>
      <c r="GO1388" s="127"/>
      <c r="GP1388" s="127"/>
      <c r="GQ1388" s="127"/>
      <c r="GR1388" s="127"/>
      <c r="GS1388" s="127"/>
      <c r="GT1388" s="127"/>
      <c r="GU1388" s="127"/>
      <c r="GV1388" s="127"/>
      <c r="GW1388" s="127"/>
      <c r="GX1388" s="127"/>
      <c r="GY1388" s="127"/>
      <c r="GZ1388" s="127"/>
      <c r="HA1388" s="127"/>
      <c r="HB1388" s="127"/>
      <c r="HC1388" s="127"/>
      <c r="HD1388" s="127"/>
      <c r="HE1388" s="127"/>
      <c r="HF1388" s="127"/>
      <c r="HG1388" s="127"/>
      <c r="HH1388" s="127"/>
      <c r="HI1388" s="127"/>
      <c r="HJ1388" s="127"/>
      <c r="HK1388" s="127"/>
      <c r="HL1388" s="127"/>
      <c r="HM1388" s="127"/>
      <c r="HN1388" s="127"/>
      <c r="HO1388" s="127"/>
      <c r="HP1388" s="127"/>
      <c r="HQ1388" s="127"/>
      <c r="HR1388" s="127"/>
      <c r="HS1388" s="127"/>
      <c r="HT1388" s="127"/>
      <c r="HU1388" s="127"/>
      <c r="HV1388" s="127"/>
      <c r="HW1388" s="127"/>
      <c r="HX1388" s="127"/>
      <c r="HY1388" s="127"/>
      <c r="HZ1388" s="127"/>
      <c r="IA1388" s="127"/>
      <c r="IB1388" s="127"/>
      <c r="IC1388" s="127"/>
      <c r="ID1388" s="127"/>
      <c r="IE1388" s="127"/>
      <c r="IF1388" s="127"/>
      <c r="IG1388" s="127"/>
      <c r="IH1388" s="127"/>
      <c r="II1388" s="127"/>
      <c r="IJ1388" s="127"/>
    </row>
    <row r="1389" spans="1:244" ht="12.75" customHeight="1">
      <c r="A1389" s="118">
        <v>1388</v>
      </c>
      <c r="B1389" s="11">
        <v>17</v>
      </c>
      <c r="C1389" s="156">
        <v>36739</v>
      </c>
      <c r="D1389" s="157" t="s">
        <v>51</v>
      </c>
      <c r="E1389" s="8">
        <v>2000</v>
      </c>
      <c r="F1389" s="158">
        <f t="shared" si="358"/>
        <v>488</v>
      </c>
      <c r="G1389" s="158">
        <f t="shared" si="359"/>
        <v>2</v>
      </c>
      <c r="H1389" s="162">
        <v>36251</v>
      </c>
      <c r="I1389" s="163">
        <v>355853</v>
      </c>
      <c r="J1389" s="11"/>
      <c r="K1389" s="11"/>
      <c r="L1389" s="11"/>
      <c r="O1389" s="11"/>
      <c r="T1389" s="11"/>
      <c r="V1389" s="11"/>
      <c r="W1389" s="11"/>
      <c r="X1389" s="127"/>
      <c r="Y1389" s="127"/>
      <c r="Z1389" s="127"/>
      <c r="AA1389" s="127"/>
      <c r="AB1389" s="127"/>
      <c r="AC1389" s="127"/>
      <c r="AD1389" s="127"/>
      <c r="AE1389" s="127"/>
      <c r="AF1389" s="127"/>
      <c r="AG1389" s="127"/>
      <c r="AH1389" s="127"/>
      <c r="AI1389" s="127"/>
      <c r="AJ1389" s="127"/>
      <c r="AK1389" s="127"/>
      <c r="AL1389" s="127"/>
      <c r="AM1389" s="127"/>
      <c r="AN1389" s="127"/>
      <c r="AO1389" s="127"/>
      <c r="AP1389" s="127"/>
      <c r="AQ1389" s="127"/>
      <c r="AR1389" s="127"/>
      <c r="AS1389" s="127"/>
      <c r="AT1389" s="127"/>
      <c r="AU1389" s="127"/>
      <c r="AV1389" s="127"/>
      <c r="AW1389" s="127"/>
      <c r="AX1389" s="127"/>
      <c r="AY1389" s="127"/>
      <c r="AZ1389" s="127"/>
      <c r="BA1389" s="127"/>
      <c r="BB1389" s="127"/>
      <c r="BC1389" s="127"/>
      <c r="BD1389" s="127"/>
      <c r="BE1389" s="127"/>
      <c r="BF1389" s="127"/>
      <c r="BG1389" s="127"/>
      <c r="BH1389" s="127"/>
      <c r="BI1389" s="127"/>
      <c r="BJ1389" s="127"/>
      <c r="BK1389" s="127"/>
      <c r="BL1389" s="127"/>
      <c r="BM1389" s="127"/>
      <c r="BN1389" s="127"/>
      <c r="BO1389" s="127"/>
      <c r="BP1389" s="127"/>
      <c r="BQ1389" s="127"/>
      <c r="BR1389" s="127"/>
      <c r="BS1389" s="127"/>
      <c r="BT1389" s="127"/>
      <c r="BU1389" s="127"/>
      <c r="BV1389" s="127"/>
      <c r="BW1389" s="127"/>
      <c r="BX1389" s="127"/>
      <c r="BY1389" s="127"/>
      <c r="BZ1389" s="127"/>
      <c r="CA1389" s="127"/>
      <c r="CB1389" s="127"/>
      <c r="CC1389" s="127"/>
      <c r="CD1389" s="127"/>
      <c r="CE1389" s="127"/>
      <c r="CF1389" s="127"/>
      <c r="CG1389" s="127"/>
      <c r="CH1389" s="127"/>
      <c r="CI1389" s="127"/>
      <c r="CJ1389" s="127"/>
      <c r="CK1389" s="127"/>
      <c r="CL1389" s="127"/>
      <c r="CM1389" s="127"/>
      <c r="CN1389" s="127"/>
      <c r="CO1389" s="127"/>
      <c r="CP1389" s="127"/>
      <c r="CQ1389" s="127"/>
      <c r="CR1389" s="127"/>
      <c r="CS1389" s="127"/>
      <c r="CT1389" s="127"/>
      <c r="CU1389" s="127"/>
      <c r="CV1389" s="127"/>
      <c r="CW1389" s="127"/>
      <c r="CX1389" s="127"/>
      <c r="CY1389" s="127"/>
      <c r="CZ1389" s="127"/>
      <c r="DA1389" s="127"/>
      <c r="DB1389" s="127"/>
      <c r="DC1389" s="127"/>
      <c r="DD1389" s="127"/>
      <c r="DE1389" s="127"/>
      <c r="DF1389" s="127"/>
      <c r="DG1389" s="127"/>
      <c r="DH1389" s="127"/>
      <c r="DI1389" s="127"/>
      <c r="DJ1389" s="127"/>
      <c r="DK1389" s="127"/>
      <c r="DL1389" s="127"/>
      <c r="DM1389" s="127"/>
      <c r="DN1389" s="127"/>
      <c r="DO1389" s="127"/>
      <c r="DP1389" s="127"/>
      <c r="DQ1389" s="127"/>
      <c r="DR1389" s="127"/>
      <c r="DS1389" s="127"/>
      <c r="DT1389" s="127"/>
      <c r="DU1389" s="127"/>
      <c r="DV1389" s="127"/>
      <c r="DW1389" s="127"/>
      <c r="DX1389" s="127"/>
      <c r="DY1389" s="127"/>
      <c r="DZ1389" s="127"/>
      <c r="EA1389" s="127"/>
      <c r="EB1389" s="127"/>
      <c r="EC1389" s="127"/>
      <c r="ED1389" s="127"/>
      <c r="EE1389" s="127"/>
      <c r="EF1389" s="127"/>
      <c r="EG1389" s="127"/>
      <c r="EH1389" s="127"/>
      <c r="EI1389" s="127"/>
      <c r="EJ1389" s="127"/>
      <c r="EK1389" s="127"/>
      <c r="EL1389" s="127"/>
      <c r="EM1389" s="127"/>
      <c r="EN1389" s="127"/>
      <c r="EO1389" s="127"/>
      <c r="EP1389" s="127"/>
      <c r="EQ1389" s="127"/>
      <c r="ER1389" s="127"/>
      <c r="ES1389" s="127"/>
      <c r="ET1389" s="127"/>
      <c r="EU1389" s="127"/>
      <c r="EV1389" s="127"/>
      <c r="EW1389" s="127"/>
      <c r="EX1389" s="127"/>
      <c r="EY1389" s="127"/>
      <c r="EZ1389" s="127"/>
      <c r="FA1389" s="127"/>
      <c r="FB1389" s="127"/>
      <c r="FC1389" s="127"/>
      <c r="FD1389" s="127"/>
      <c r="FE1389" s="127"/>
      <c r="FF1389" s="127"/>
      <c r="FG1389" s="127"/>
      <c r="FH1389" s="127"/>
      <c r="FI1389" s="127"/>
      <c r="FJ1389" s="127"/>
      <c r="FK1389" s="127"/>
      <c r="FL1389" s="127"/>
      <c r="FM1389" s="127"/>
      <c r="FN1389" s="127"/>
      <c r="FO1389" s="127"/>
      <c r="FP1389" s="127"/>
      <c r="FQ1389" s="127"/>
      <c r="FR1389" s="127"/>
      <c r="FS1389" s="127"/>
      <c r="FT1389" s="127"/>
      <c r="FU1389" s="127"/>
      <c r="FV1389" s="127"/>
      <c r="FW1389" s="127"/>
      <c r="FX1389" s="127"/>
      <c r="FY1389" s="127"/>
      <c r="FZ1389" s="127"/>
      <c r="GA1389" s="127"/>
      <c r="GB1389" s="127"/>
      <c r="GC1389" s="127"/>
      <c r="GD1389" s="127"/>
      <c r="GE1389" s="127"/>
      <c r="GF1389" s="127"/>
      <c r="GG1389" s="127"/>
      <c r="GH1389" s="127"/>
      <c r="GI1389" s="127"/>
      <c r="GJ1389" s="127"/>
      <c r="GK1389" s="127"/>
      <c r="GL1389" s="127"/>
      <c r="GM1389" s="127"/>
      <c r="GN1389" s="127"/>
      <c r="GO1389" s="127"/>
      <c r="GP1389" s="127"/>
      <c r="GQ1389" s="127"/>
      <c r="GR1389" s="127"/>
      <c r="GS1389" s="127"/>
      <c r="GT1389" s="127"/>
      <c r="GU1389" s="127"/>
      <c r="GV1389" s="127"/>
      <c r="GW1389" s="127"/>
      <c r="GX1389" s="127"/>
      <c r="GY1389" s="127"/>
      <c r="GZ1389" s="127"/>
      <c r="HA1389" s="127"/>
      <c r="HB1389" s="127"/>
      <c r="HC1389" s="127"/>
      <c r="HD1389" s="127"/>
      <c r="HE1389" s="127"/>
      <c r="HF1389" s="127"/>
      <c r="HG1389" s="127"/>
      <c r="HH1389" s="127"/>
      <c r="HI1389" s="127"/>
      <c r="HJ1389" s="127"/>
      <c r="HK1389" s="127"/>
      <c r="HL1389" s="127"/>
      <c r="HM1389" s="127"/>
      <c r="HN1389" s="127"/>
      <c r="HO1389" s="127"/>
      <c r="HP1389" s="127"/>
      <c r="HQ1389" s="127"/>
      <c r="HR1389" s="127"/>
      <c r="HS1389" s="127"/>
      <c r="HT1389" s="127"/>
      <c r="HU1389" s="127"/>
      <c r="HV1389" s="127"/>
      <c r="HW1389" s="127"/>
      <c r="HX1389" s="127"/>
      <c r="HY1389" s="127"/>
      <c r="HZ1389" s="127"/>
      <c r="IA1389" s="127"/>
      <c r="IB1389" s="127"/>
      <c r="IC1389" s="127"/>
      <c r="ID1389" s="127"/>
      <c r="IE1389" s="127"/>
      <c r="IF1389" s="127"/>
      <c r="IG1389" s="127"/>
      <c r="IH1389" s="127"/>
      <c r="II1389" s="127"/>
      <c r="IJ1389" s="127"/>
    </row>
    <row r="1390" spans="1:244" ht="12.75" customHeight="1">
      <c r="A1390" s="118">
        <v>1389</v>
      </c>
      <c r="B1390" s="11">
        <v>17</v>
      </c>
      <c r="C1390" s="156">
        <v>36770</v>
      </c>
      <c r="D1390" s="157" t="s">
        <v>52</v>
      </c>
      <c r="E1390" s="8">
        <v>2000</v>
      </c>
      <c r="F1390" s="158">
        <f t="shared" si="358"/>
        <v>519</v>
      </c>
      <c r="G1390" s="158">
        <f t="shared" si="359"/>
        <v>2</v>
      </c>
      <c r="H1390" s="162">
        <v>36251</v>
      </c>
      <c r="I1390" s="163">
        <v>355540</v>
      </c>
      <c r="X1390" s="127"/>
      <c r="Y1390" s="127"/>
      <c r="Z1390" s="127"/>
      <c r="AA1390" s="127"/>
      <c r="AB1390" s="127"/>
      <c r="AC1390" s="127"/>
      <c r="AD1390" s="127"/>
      <c r="AE1390" s="127"/>
      <c r="AF1390" s="127"/>
      <c r="AG1390" s="127"/>
      <c r="AH1390" s="127"/>
      <c r="AI1390" s="127"/>
      <c r="AJ1390" s="127"/>
      <c r="AK1390" s="127"/>
      <c r="AL1390" s="127"/>
      <c r="AM1390" s="127"/>
      <c r="AN1390" s="127"/>
      <c r="AO1390" s="127"/>
      <c r="AP1390" s="127"/>
      <c r="AQ1390" s="127"/>
      <c r="AR1390" s="127"/>
      <c r="AS1390" s="127"/>
      <c r="AT1390" s="127"/>
      <c r="AU1390" s="127"/>
      <c r="AV1390" s="127"/>
      <c r="AW1390" s="127"/>
      <c r="AX1390" s="127"/>
      <c r="AY1390" s="127"/>
      <c r="AZ1390" s="127"/>
      <c r="BA1390" s="127"/>
      <c r="BB1390" s="127"/>
      <c r="BC1390" s="127"/>
      <c r="BD1390" s="127"/>
      <c r="BE1390" s="127"/>
      <c r="BF1390" s="127"/>
      <c r="BG1390" s="127"/>
      <c r="BH1390" s="127"/>
      <c r="BI1390" s="127"/>
      <c r="BJ1390" s="127"/>
      <c r="BK1390" s="127"/>
      <c r="BL1390" s="127"/>
      <c r="BM1390" s="127"/>
      <c r="BN1390" s="127"/>
      <c r="BO1390" s="127"/>
      <c r="BP1390" s="127"/>
      <c r="BQ1390" s="127"/>
      <c r="BR1390" s="127"/>
      <c r="BS1390" s="127"/>
      <c r="BT1390" s="127"/>
      <c r="BU1390" s="127"/>
      <c r="BV1390" s="127"/>
      <c r="BW1390" s="127"/>
      <c r="BX1390" s="127"/>
      <c r="BY1390" s="127"/>
      <c r="BZ1390" s="127"/>
      <c r="CA1390" s="127"/>
      <c r="CB1390" s="127"/>
      <c r="CC1390" s="127"/>
      <c r="CD1390" s="127"/>
      <c r="CE1390" s="127"/>
      <c r="CF1390" s="127"/>
      <c r="CG1390" s="127"/>
      <c r="CH1390" s="127"/>
      <c r="CI1390" s="127"/>
      <c r="CJ1390" s="127"/>
      <c r="CK1390" s="127"/>
      <c r="CL1390" s="127"/>
      <c r="CM1390" s="127"/>
      <c r="CN1390" s="127"/>
      <c r="CO1390" s="127"/>
      <c r="CP1390" s="127"/>
      <c r="CQ1390" s="127"/>
      <c r="CR1390" s="127"/>
      <c r="CS1390" s="127"/>
      <c r="CT1390" s="127"/>
      <c r="CU1390" s="127"/>
      <c r="CV1390" s="127"/>
      <c r="CW1390" s="127"/>
      <c r="CX1390" s="127"/>
      <c r="CY1390" s="127"/>
      <c r="CZ1390" s="127"/>
      <c r="DA1390" s="127"/>
      <c r="DB1390" s="127"/>
      <c r="DC1390" s="127"/>
      <c r="DD1390" s="127"/>
      <c r="DE1390" s="127"/>
      <c r="DF1390" s="127"/>
      <c r="DG1390" s="127"/>
      <c r="DH1390" s="127"/>
      <c r="DI1390" s="127"/>
      <c r="DJ1390" s="127"/>
      <c r="DK1390" s="127"/>
      <c r="DL1390" s="127"/>
      <c r="DM1390" s="127"/>
      <c r="DN1390" s="127"/>
      <c r="DO1390" s="127"/>
      <c r="DP1390" s="127"/>
      <c r="DQ1390" s="127"/>
      <c r="DR1390" s="127"/>
      <c r="DS1390" s="127"/>
      <c r="DT1390" s="127"/>
      <c r="DU1390" s="127"/>
      <c r="DV1390" s="127"/>
      <c r="DW1390" s="127"/>
      <c r="DX1390" s="127"/>
      <c r="DY1390" s="127"/>
      <c r="DZ1390" s="127"/>
      <c r="EA1390" s="127"/>
      <c r="EB1390" s="127"/>
      <c r="EC1390" s="127"/>
      <c r="ED1390" s="127"/>
      <c r="EE1390" s="127"/>
      <c r="EF1390" s="127"/>
      <c r="EG1390" s="127"/>
      <c r="EH1390" s="127"/>
      <c r="EI1390" s="127"/>
      <c r="EJ1390" s="127"/>
      <c r="EK1390" s="127"/>
      <c r="EL1390" s="127"/>
      <c r="EM1390" s="127"/>
      <c r="EN1390" s="127"/>
      <c r="EO1390" s="127"/>
      <c r="EP1390" s="127"/>
      <c r="EQ1390" s="127"/>
      <c r="ER1390" s="127"/>
      <c r="ES1390" s="127"/>
      <c r="ET1390" s="127"/>
      <c r="EU1390" s="127"/>
      <c r="EV1390" s="127"/>
      <c r="EW1390" s="127"/>
      <c r="EX1390" s="127"/>
      <c r="EY1390" s="127"/>
      <c r="EZ1390" s="127"/>
      <c r="FA1390" s="127"/>
      <c r="FB1390" s="127"/>
      <c r="FC1390" s="127"/>
      <c r="FD1390" s="127"/>
      <c r="FE1390" s="127"/>
      <c r="FF1390" s="127"/>
      <c r="FG1390" s="127"/>
      <c r="FH1390" s="127"/>
      <c r="FI1390" s="127"/>
      <c r="FJ1390" s="127"/>
      <c r="FK1390" s="127"/>
      <c r="FL1390" s="127"/>
      <c r="FM1390" s="127"/>
      <c r="FN1390" s="127"/>
      <c r="FO1390" s="127"/>
      <c r="FP1390" s="127"/>
      <c r="FQ1390" s="127"/>
      <c r="FR1390" s="127"/>
      <c r="FS1390" s="127"/>
      <c r="FT1390" s="127"/>
      <c r="FU1390" s="127"/>
      <c r="FV1390" s="127"/>
      <c r="FW1390" s="127"/>
      <c r="FX1390" s="127"/>
      <c r="FY1390" s="127"/>
      <c r="FZ1390" s="127"/>
      <c r="GA1390" s="127"/>
      <c r="GB1390" s="127"/>
      <c r="GC1390" s="127"/>
      <c r="GD1390" s="127"/>
      <c r="GE1390" s="127"/>
      <c r="GF1390" s="127"/>
      <c r="GG1390" s="127"/>
      <c r="GH1390" s="127"/>
      <c r="GI1390" s="127"/>
      <c r="GJ1390" s="127"/>
      <c r="GK1390" s="127"/>
      <c r="GL1390" s="127"/>
      <c r="GM1390" s="127"/>
      <c r="GN1390" s="127"/>
      <c r="GO1390" s="127"/>
      <c r="GP1390" s="127"/>
      <c r="GQ1390" s="127"/>
      <c r="GR1390" s="127"/>
      <c r="GS1390" s="127"/>
      <c r="GT1390" s="127"/>
      <c r="GU1390" s="127"/>
      <c r="GV1390" s="127"/>
      <c r="GW1390" s="127"/>
      <c r="GX1390" s="127"/>
      <c r="GY1390" s="127"/>
      <c r="GZ1390" s="127"/>
      <c r="HA1390" s="127"/>
      <c r="HB1390" s="127"/>
      <c r="HC1390" s="127"/>
      <c r="HD1390" s="127"/>
      <c r="HE1390" s="127"/>
      <c r="HF1390" s="127"/>
      <c r="HG1390" s="127"/>
      <c r="HH1390" s="127"/>
      <c r="HI1390" s="127"/>
      <c r="HJ1390" s="127"/>
      <c r="HK1390" s="127"/>
      <c r="HL1390" s="127"/>
      <c r="HM1390" s="127"/>
      <c r="HN1390" s="127"/>
      <c r="HO1390" s="127"/>
      <c r="HP1390" s="127"/>
      <c r="HQ1390" s="127"/>
      <c r="HR1390" s="127"/>
      <c r="HS1390" s="127"/>
      <c r="HT1390" s="127"/>
      <c r="HU1390" s="127"/>
      <c r="HV1390" s="127"/>
      <c r="HW1390" s="127"/>
      <c r="HX1390" s="127"/>
      <c r="HY1390" s="127"/>
      <c r="HZ1390" s="127"/>
      <c r="IA1390" s="127"/>
      <c r="IB1390" s="127"/>
      <c r="IC1390" s="127"/>
      <c r="ID1390" s="127"/>
      <c r="IE1390" s="127"/>
      <c r="IF1390" s="127"/>
      <c r="IG1390" s="127"/>
      <c r="IH1390" s="127"/>
      <c r="II1390" s="127"/>
      <c r="IJ1390" s="127"/>
    </row>
    <row r="1391" spans="1:244" ht="12.75" customHeight="1">
      <c r="A1391" s="118">
        <v>1390</v>
      </c>
      <c r="B1391" s="11">
        <v>17</v>
      </c>
      <c r="C1391" s="156">
        <v>36800</v>
      </c>
      <c r="D1391" s="157" t="s">
        <v>53</v>
      </c>
      <c r="E1391" s="8">
        <v>2000</v>
      </c>
      <c r="F1391" s="158">
        <f t="shared" si="358"/>
        <v>549</v>
      </c>
      <c r="G1391" s="158">
        <f t="shared" si="359"/>
        <v>2</v>
      </c>
      <c r="H1391" s="162">
        <v>36251</v>
      </c>
      <c r="I1391" s="163">
        <v>354938</v>
      </c>
      <c r="X1391" s="127"/>
      <c r="Y1391" s="127"/>
      <c r="Z1391" s="127"/>
      <c r="AA1391" s="127"/>
      <c r="AB1391" s="127"/>
      <c r="AC1391" s="127"/>
      <c r="AD1391" s="127"/>
      <c r="AE1391" s="127"/>
      <c r="AF1391" s="127"/>
      <c r="AG1391" s="127"/>
      <c r="AH1391" s="127"/>
      <c r="AI1391" s="127"/>
      <c r="AJ1391" s="127"/>
      <c r="AK1391" s="127"/>
      <c r="AL1391" s="127"/>
      <c r="AM1391" s="127"/>
      <c r="AN1391" s="127"/>
      <c r="AO1391" s="127"/>
      <c r="AP1391" s="127"/>
      <c r="AQ1391" s="127"/>
      <c r="AR1391" s="127"/>
      <c r="AS1391" s="127"/>
      <c r="AT1391" s="127"/>
      <c r="AU1391" s="127"/>
      <c r="AV1391" s="127"/>
      <c r="AW1391" s="127"/>
      <c r="AX1391" s="127"/>
      <c r="AY1391" s="127"/>
      <c r="AZ1391" s="127"/>
      <c r="BA1391" s="127"/>
      <c r="BB1391" s="127"/>
      <c r="BC1391" s="127"/>
      <c r="BD1391" s="127"/>
      <c r="BE1391" s="127"/>
      <c r="BF1391" s="127"/>
      <c r="BG1391" s="127"/>
      <c r="BH1391" s="127"/>
      <c r="BI1391" s="127"/>
      <c r="BJ1391" s="127"/>
      <c r="BK1391" s="127"/>
      <c r="BL1391" s="127"/>
      <c r="BM1391" s="127"/>
      <c r="BN1391" s="127"/>
      <c r="BO1391" s="127"/>
      <c r="BP1391" s="127"/>
      <c r="BQ1391" s="127"/>
      <c r="BR1391" s="127"/>
      <c r="BS1391" s="127"/>
      <c r="BT1391" s="127"/>
      <c r="BU1391" s="127"/>
      <c r="BV1391" s="127"/>
      <c r="BW1391" s="127"/>
      <c r="BX1391" s="127"/>
      <c r="BY1391" s="127"/>
      <c r="BZ1391" s="127"/>
      <c r="CA1391" s="127"/>
      <c r="CB1391" s="127"/>
      <c r="CC1391" s="127"/>
      <c r="CD1391" s="127"/>
      <c r="CE1391" s="127"/>
      <c r="CF1391" s="127"/>
      <c r="CG1391" s="127"/>
      <c r="CH1391" s="127"/>
      <c r="CI1391" s="127"/>
      <c r="CJ1391" s="127"/>
      <c r="CK1391" s="127"/>
      <c r="CL1391" s="127"/>
      <c r="CM1391" s="127"/>
      <c r="CN1391" s="127"/>
      <c r="CO1391" s="127"/>
      <c r="CP1391" s="127"/>
      <c r="CQ1391" s="127"/>
      <c r="CR1391" s="127"/>
      <c r="CS1391" s="127"/>
      <c r="CT1391" s="127"/>
      <c r="CU1391" s="127"/>
      <c r="CV1391" s="127"/>
      <c r="CW1391" s="127"/>
      <c r="CX1391" s="127"/>
      <c r="CY1391" s="127"/>
      <c r="CZ1391" s="127"/>
      <c r="DA1391" s="127"/>
      <c r="DB1391" s="127"/>
      <c r="DC1391" s="127"/>
      <c r="DD1391" s="127"/>
      <c r="DE1391" s="127"/>
      <c r="DF1391" s="127"/>
      <c r="DG1391" s="127"/>
      <c r="DH1391" s="127"/>
      <c r="DI1391" s="127"/>
      <c r="DJ1391" s="127"/>
      <c r="DK1391" s="127"/>
      <c r="DL1391" s="127"/>
      <c r="DM1391" s="127"/>
      <c r="DN1391" s="127"/>
      <c r="DO1391" s="127"/>
      <c r="DP1391" s="127"/>
      <c r="DQ1391" s="127"/>
      <c r="DR1391" s="127"/>
      <c r="DS1391" s="127"/>
      <c r="DT1391" s="127"/>
      <c r="DU1391" s="127"/>
      <c r="DV1391" s="127"/>
      <c r="DW1391" s="127"/>
      <c r="DX1391" s="127"/>
      <c r="DY1391" s="127"/>
      <c r="DZ1391" s="127"/>
      <c r="EA1391" s="127"/>
      <c r="EB1391" s="127"/>
      <c r="EC1391" s="127"/>
      <c r="ED1391" s="127"/>
      <c r="EE1391" s="127"/>
      <c r="EF1391" s="127"/>
      <c r="EG1391" s="127"/>
      <c r="EH1391" s="127"/>
      <c r="EI1391" s="127"/>
      <c r="EJ1391" s="127"/>
      <c r="EK1391" s="127"/>
      <c r="EL1391" s="127"/>
      <c r="EM1391" s="127"/>
      <c r="EN1391" s="127"/>
      <c r="EO1391" s="127"/>
      <c r="EP1391" s="127"/>
      <c r="EQ1391" s="127"/>
      <c r="ER1391" s="127"/>
      <c r="ES1391" s="127"/>
      <c r="ET1391" s="127"/>
      <c r="EU1391" s="127"/>
      <c r="EV1391" s="127"/>
      <c r="EW1391" s="127"/>
      <c r="EX1391" s="127"/>
      <c r="EY1391" s="127"/>
      <c r="EZ1391" s="127"/>
      <c r="FA1391" s="127"/>
      <c r="FB1391" s="127"/>
      <c r="FC1391" s="127"/>
      <c r="FD1391" s="127"/>
      <c r="FE1391" s="127"/>
      <c r="FF1391" s="127"/>
      <c r="FG1391" s="127"/>
      <c r="FH1391" s="127"/>
      <c r="FI1391" s="127"/>
      <c r="FJ1391" s="127"/>
      <c r="FK1391" s="127"/>
      <c r="FL1391" s="127"/>
      <c r="FM1391" s="127"/>
      <c r="FN1391" s="127"/>
      <c r="FO1391" s="127"/>
      <c r="FP1391" s="127"/>
      <c r="FQ1391" s="127"/>
      <c r="FR1391" s="127"/>
      <c r="FS1391" s="127"/>
      <c r="FT1391" s="127"/>
      <c r="FU1391" s="127"/>
      <c r="FV1391" s="127"/>
      <c r="FW1391" s="127"/>
      <c r="FX1391" s="127"/>
      <c r="FY1391" s="127"/>
      <c r="FZ1391" s="127"/>
      <c r="GA1391" s="127"/>
      <c r="GB1391" s="127"/>
      <c r="GC1391" s="127"/>
      <c r="GD1391" s="127"/>
      <c r="GE1391" s="127"/>
      <c r="GF1391" s="127"/>
      <c r="GG1391" s="127"/>
      <c r="GH1391" s="127"/>
      <c r="GI1391" s="127"/>
      <c r="GJ1391" s="127"/>
      <c r="GK1391" s="127"/>
      <c r="GL1391" s="127"/>
      <c r="GM1391" s="127"/>
      <c r="GN1391" s="127"/>
      <c r="GO1391" s="127"/>
      <c r="GP1391" s="127"/>
      <c r="GQ1391" s="127"/>
      <c r="GR1391" s="127"/>
      <c r="GS1391" s="127"/>
      <c r="GT1391" s="127"/>
      <c r="GU1391" s="127"/>
      <c r="GV1391" s="127"/>
      <c r="GW1391" s="127"/>
      <c r="GX1391" s="127"/>
      <c r="GY1391" s="127"/>
      <c r="GZ1391" s="127"/>
      <c r="HA1391" s="127"/>
      <c r="HB1391" s="127"/>
      <c r="HC1391" s="127"/>
      <c r="HD1391" s="127"/>
      <c r="HE1391" s="127"/>
      <c r="HF1391" s="127"/>
      <c r="HG1391" s="127"/>
      <c r="HH1391" s="127"/>
      <c r="HI1391" s="127"/>
      <c r="HJ1391" s="127"/>
      <c r="HK1391" s="127"/>
      <c r="HL1391" s="127"/>
      <c r="HM1391" s="127"/>
      <c r="HN1391" s="127"/>
      <c r="HO1391" s="127"/>
      <c r="HP1391" s="127"/>
      <c r="HQ1391" s="127"/>
      <c r="HR1391" s="127"/>
      <c r="HS1391" s="127"/>
      <c r="HT1391" s="127"/>
      <c r="HU1391" s="127"/>
      <c r="HV1391" s="127"/>
      <c r="HW1391" s="127"/>
      <c r="HX1391" s="127"/>
      <c r="HY1391" s="127"/>
      <c r="HZ1391" s="127"/>
      <c r="IA1391" s="127"/>
      <c r="IB1391" s="127"/>
      <c r="IC1391" s="127"/>
      <c r="ID1391" s="127"/>
      <c r="IE1391" s="127"/>
      <c r="IF1391" s="127"/>
      <c r="IG1391" s="127"/>
      <c r="IH1391" s="127"/>
      <c r="II1391" s="127"/>
      <c r="IJ1391" s="127"/>
    </row>
    <row r="1392" spans="1:244" ht="12.75" customHeight="1">
      <c r="A1392" s="118">
        <v>1391</v>
      </c>
      <c r="B1392" s="11">
        <v>17</v>
      </c>
      <c r="C1392" s="156">
        <v>36831</v>
      </c>
      <c r="D1392" s="157" t="s">
        <v>54</v>
      </c>
      <c r="E1392" s="8">
        <v>2000</v>
      </c>
      <c r="F1392" s="158">
        <f t="shared" si="358"/>
        <v>580</v>
      </c>
      <c r="G1392" s="158">
        <f t="shared" si="359"/>
        <v>2</v>
      </c>
      <c r="H1392" s="162">
        <v>36251</v>
      </c>
      <c r="I1392" s="163">
        <v>354637</v>
      </c>
      <c r="X1392" s="127"/>
      <c r="Y1392" s="127"/>
      <c r="Z1392" s="127"/>
      <c r="AA1392" s="127"/>
      <c r="AB1392" s="127"/>
      <c r="AC1392" s="127"/>
      <c r="AD1392" s="127"/>
      <c r="AE1392" s="127"/>
      <c r="AF1392" s="127"/>
      <c r="AG1392" s="127"/>
      <c r="AH1392" s="127"/>
      <c r="AI1392" s="127"/>
      <c r="AJ1392" s="127"/>
      <c r="AK1392" s="127"/>
      <c r="AL1392" s="127"/>
      <c r="AM1392" s="127"/>
      <c r="AN1392" s="127"/>
      <c r="AO1392" s="127"/>
      <c r="AP1392" s="127"/>
      <c r="AQ1392" s="127"/>
      <c r="AR1392" s="127"/>
      <c r="AS1392" s="127"/>
      <c r="AT1392" s="127"/>
      <c r="AU1392" s="127"/>
      <c r="AV1392" s="127"/>
      <c r="AW1392" s="127"/>
      <c r="AX1392" s="127"/>
      <c r="AY1392" s="127"/>
      <c r="AZ1392" s="127"/>
      <c r="BA1392" s="127"/>
      <c r="BB1392" s="127"/>
      <c r="BC1392" s="127"/>
      <c r="BD1392" s="127"/>
      <c r="BE1392" s="127"/>
      <c r="BF1392" s="127"/>
      <c r="BG1392" s="127"/>
      <c r="BH1392" s="127"/>
      <c r="BI1392" s="127"/>
      <c r="BJ1392" s="127"/>
      <c r="BK1392" s="127"/>
      <c r="BL1392" s="127"/>
      <c r="BM1392" s="127"/>
      <c r="BN1392" s="127"/>
      <c r="BO1392" s="127"/>
      <c r="BP1392" s="127"/>
      <c r="BQ1392" s="127"/>
      <c r="BR1392" s="127"/>
      <c r="BS1392" s="127"/>
      <c r="BT1392" s="127"/>
      <c r="BU1392" s="127"/>
      <c r="BV1392" s="127"/>
      <c r="BW1392" s="127"/>
      <c r="BX1392" s="127"/>
      <c r="BY1392" s="127"/>
      <c r="BZ1392" s="127"/>
      <c r="CA1392" s="127"/>
      <c r="CB1392" s="127"/>
      <c r="CC1392" s="127"/>
      <c r="CD1392" s="127"/>
      <c r="CE1392" s="127"/>
      <c r="CF1392" s="127"/>
      <c r="CG1392" s="127"/>
      <c r="CH1392" s="127"/>
      <c r="CI1392" s="127"/>
      <c r="CJ1392" s="127"/>
      <c r="CK1392" s="127"/>
      <c r="CL1392" s="127"/>
      <c r="CM1392" s="127"/>
      <c r="CN1392" s="127"/>
      <c r="CO1392" s="127"/>
      <c r="CP1392" s="127"/>
      <c r="CQ1392" s="127"/>
      <c r="CR1392" s="127"/>
      <c r="CS1392" s="127"/>
      <c r="CT1392" s="127"/>
      <c r="CU1392" s="127"/>
      <c r="CV1392" s="127"/>
      <c r="CW1392" s="127"/>
      <c r="CX1392" s="127"/>
      <c r="CY1392" s="127"/>
      <c r="CZ1392" s="127"/>
      <c r="DA1392" s="127"/>
      <c r="DB1392" s="127"/>
      <c r="DC1392" s="127"/>
      <c r="DD1392" s="127"/>
      <c r="DE1392" s="127"/>
      <c r="DF1392" s="127"/>
      <c r="DG1392" s="127"/>
      <c r="DH1392" s="127"/>
      <c r="DI1392" s="127"/>
      <c r="DJ1392" s="127"/>
      <c r="DK1392" s="127"/>
      <c r="DL1392" s="127"/>
      <c r="DM1392" s="127"/>
      <c r="DN1392" s="127"/>
      <c r="DO1392" s="127"/>
      <c r="DP1392" s="127"/>
      <c r="DQ1392" s="127"/>
      <c r="DR1392" s="127"/>
      <c r="DS1392" s="127"/>
      <c r="DT1392" s="127"/>
      <c r="DU1392" s="127"/>
      <c r="DV1392" s="127"/>
      <c r="DW1392" s="127"/>
      <c r="DX1392" s="127"/>
      <c r="DY1392" s="127"/>
      <c r="DZ1392" s="127"/>
      <c r="EA1392" s="127"/>
      <c r="EB1392" s="127"/>
      <c r="EC1392" s="127"/>
      <c r="ED1392" s="127"/>
      <c r="EE1392" s="127"/>
      <c r="EF1392" s="127"/>
      <c r="EG1392" s="127"/>
      <c r="EH1392" s="127"/>
      <c r="EI1392" s="127"/>
      <c r="EJ1392" s="127"/>
      <c r="EK1392" s="127"/>
      <c r="EL1392" s="127"/>
      <c r="EM1392" s="127"/>
      <c r="EN1392" s="127"/>
      <c r="EO1392" s="127"/>
      <c r="EP1392" s="127"/>
      <c r="EQ1392" s="127"/>
      <c r="ER1392" s="127"/>
      <c r="ES1392" s="127"/>
      <c r="ET1392" s="127"/>
      <c r="EU1392" s="127"/>
      <c r="EV1392" s="127"/>
      <c r="EW1392" s="127"/>
      <c r="EX1392" s="127"/>
      <c r="EY1392" s="127"/>
      <c r="EZ1392" s="127"/>
      <c r="FA1392" s="127"/>
      <c r="FB1392" s="127"/>
      <c r="FC1392" s="127"/>
      <c r="FD1392" s="127"/>
      <c r="FE1392" s="127"/>
      <c r="FF1392" s="127"/>
      <c r="FG1392" s="127"/>
      <c r="FH1392" s="127"/>
      <c r="FI1392" s="127"/>
      <c r="FJ1392" s="127"/>
      <c r="FK1392" s="127"/>
      <c r="FL1392" s="127"/>
      <c r="FM1392" s="127"/>
      <c r="FN1392" s="127"/>
      <c r="FO1392" s="127"/>
      <c r="FP1392" s="127"/>
      <c r="FQ1392" s="127"/>
      <c r="FR1392" s="127"/>
      <c r="FS1392" s="127"/>
      <c r="FT1392" s="127"/>
      <c r="FU1392" s="127"/>
      <c r="FV1392" s="127"/>
      <c r="FW1392" s="127"/>
      <c r="FX1392" s="127"/>
      <c r="FY1392" s="127"/>
      <c r="FZ1392" s="127"/>
      <c r="GA1392" s="127"/>
      <c r="GB1392" s="127"/>
      <c r="GC1392" s="127"/>
      <c r="GD1392" s="127"/>
      <c r="GE1392" s="127"/>
      <c r="GF1392" s="127"/>
      <c r="GG1392" s="127"/>
      <c r="GH1392" s="127"/>
      <c r="GI1392" s="127"/>
      <c r="GJ1392" s="127"/>
      <c r="GK1392" s="127"/>
      <c r="GL1392" s="127"/>
      <c r="GM1392" s="127"/>
      <c r="GN1392" s="127"/>
      <c r="GO1392" s="127"/>
      <c r="GP1392" s="127"/>
      <c r="GQ1392" s="127"/>
      <c r="GR1392" s="127"/>
      <c r="GS1392" s="127"/>
      <c r="GT1392" s="127"/>
      <c r="GU1392" s="127"/>
      <c r="GV1392" s="127"/>
      <c r="GW1392" s="127"/>
      <c r="GX1392" s="127"/>
      <c r="GY1392" s="127"/>
      <c r="GZ1392" s="127"/>
      <c r="HA1392" s="127"/>
      <c r="HB1392" s="127"/>
      <c r="HC1392" s="127"/>
      <c r="HD1392" s="127"/>
      <c r="HE1392" s="127"/>
      <c r="HF1392" s="127"/>
      <c r="HG1392" s="127"/>
      <c r="HH1392" s="127"/>
      <c r="HI1392" s="127"/>
      <c r="HJ1392" s="127"/>
      <c r="HK1392" s="127"/>
      <c r="HL1392" s="127"/>
      <c r="HM1392" s="127"/>
      <c r="HN1392" s="127"/>
      <c r="HO1392" s="127"/>
      <c r="HP1392" s="127"/>
      <c r="HQ1392" s="127"/>
      <c r="HR1392" s="127"/>
      <c r="HS1392" s="127"/>
      <c r="HT1392" s="127"/>
      <c r="HU1392" s="127"/>
      <c r="HV1392" s="127"/>
      <c r="HW1392" s="127"/>
      <c r="HX1392" s="127"/>
      <c r="HY1392" s="127"/>
      <c r="HZ1392" s="127"/>
      <c r="IA1392" s="127"/>
      <c r="IB1392" s="127"/>
      <c r="IC1392" s="127"/>
      <c r="ID1392" s="127"/>
      <c r="IE1392" s="127"/>
      <c r="IF1392" s="127"/>
      <c r="IG1392" s="127"/>
      <c r="IH1392" s="127"/>
      <c r="II1392" s="127"/>
      <c r="IJ1392" s="127"/>
    </row>
    <row r="1393" spans="1:244" ht="12.75" customHeight="1">
      <c r="A1393" s="118">
        <v>1392</v>
      </c>
      <c r="B1393" s="260">
        <v>17</v>
      </c>
      <c r="C1393" s="156">
        <v>36861</v>
      </c>
      <c r="D1393" s="157" t="s">
        <v>55</v>
      </c>
      <c r="E1393" s="8">
        <v>2000</v>
      </c>
      <c r="F1393" s="158">
        <f t="shared" si="358"/>
        <v>610</v>
      </c>
      <c r="G1393" s="158">
        <f t="shared" si="359"/>
        <v>2</v>
      </c>
      <c r="H1393" s="162">
        <v>36251</v>
      </c>
      <c r="I1393" s="163">
        <v>247556</v>
      </c>
      <c r="S1393" s="155" t="s">
        <v>29</v>
      </c>
      <c r="X1393" s="127"/>
      <c r="Y1393" s="127"/>
      <c r="Z1393" s="127"/>
      <c r="AA1393" s="127"/>
      <c r="AB1393" s="127"/>
      <c r="AC1393" s="127"/>
      <c r="AD1393" s="127"/>
      <c r="AE1393" s="127"/>
      <c r="AF1393" s="127"/>
      <c r="AG1393" s="127"/>
      <c r="AH1393" s="127"/>
      <c r="AI1393" s="127"/>
      <c r="AJ1393" s="127"/>
      <c r="AK1393" s="127"/>
      <c r="AL1393" s="127"/>
      <c r="AM1393" s="127"/>
      <c r="AN1393" s="127"/>
      <c r="AO1393" s="127"/>
      <c r="AP1393" s="127"/>
      <c r="AQ1393" s="127"/>
      <c r="AR1393" s="127"/>
      <c r="AS1393" s="127"/>
      <c r="AT1393" s="127"/>
      <c r="AU1393" s="127"/>
      <c r="AV1393" s="127"/>
      <c r="AW1393" s="127"/>
      <c r="AX1393" s="127"/>
      <c r="AY1393" s="127"/>
      <c r="AZ1393" s="127"/>
      <c r="BA1393" s="127"/>
      <c r="BB1393" s="127"/>
      <c r="BC1393" s="127"/>
      <c r="BD1393" s="127"/>
      <c r="BE1393" s="127"/>
      <c r="BF1393" s="127"/>
      <c r="BG1393" s="127"/>
      <c r="BH1393" s="127"/>
      <c r="BI1393" s="127"/>
      <c r="BJ1393" s="127"/>
      <c r="BK1393" s="127"/>
      <c r="BL1393" s="127"/>
      <c r="BM1393" s="127"/>
      <c r="BN1393" s="127"/>
      <c r="BO1393" s="127"/>
      <c r="BP1393" s="127"/>
      <c r="BQ1393" s="127"/>
      <c r="BR1393" s="127"/>
      <c r="BS1393" s="127"/>
      <c r="BT1393" s="127"/>
      <c r="BU1393" s="127"/>
      <c r="BV1393" s="127"/>
      <c r="BW1393" s="127"/>
      <c r="BX1393" s="127"/>
      <c r="BY1393" s="127"/>
      <c r="BZ1393" s="127"/>
      <c r="CA1393" s="127"/>
      <c r="CB1393" s="127"/>
      <c r="CC1393" s="127"/>
      <c r="CD1393" s="127"/>
      <c r="CE1393" s="127"/>
      <c r="CF1393" s="127"/>
      <c r="CG1393" s="127"/>
      <c r="CH1393" s="127"/>
      <c r="CI1393" s="127"/>
      <c r="CJ1393" s="127"/>
      <c r="CK1393" s="127"/>
      <c r="CL1393" s="127"/>
      <c r="CM1393" s="127"/>
      <c r="CN1393" s="127"/>
      <c r="CO1393" s="127"/>
      <c r="CP1393" s="127"/>
      <c r="CQ1393" s="127"/>
      <c r="CR1393" s="127"/>
      <c r="CS1393" s="127"/>
      <c r="CT1393" s="127"/>
      <c r="CU1393" s="127"/>
      <c r="CV1393" s="127"/>
      <c r="CW1393" s="127"/>
      <c r="CX1393" s="127"/>
      <c r="CY1393" s="127"/>
      <c r="CZ1393" s="127"/>
      <c r="DA1393" s="127"/>
      <c r="DB1393" s="127"/>
      <c r="DC1393" s="127"/>
      <c r="DD1393" s="127"/>
      <c r="DE1393" s="127"/>
      <c r="DF1393" s="127"/>
      <c r="DG1393" s="127"/>
      <c r="DH1393" s="127"/>
      <c r="DI1393" s="127"/>
      <c r="DJ1393" s="127"/>
      <c r="DK1393" s="127"/>
      <c r="DL1393" s="127"/>
      <c r="DM1393" s="127"/>
      <c r="DN1393" s="127"/>
      <c r="DO1393" s="127"/>
      <c r="DP1393" s="127"/>
      <c r="DQ1393" s="127"/>
      <c r="DR1393" s="127"/>
      <c r="DS1393" s="127"/>
      <c r="DT1393" s="127"/>
      <c r="DU1393" s="127"/>
      <c r="DV1393" s="127"/>
      <c r="DW1393" s="127"/>
      <c r="DX1393" s="127"/>
      <c r="DY1393" s="127"/>
      <c r="DZ1393" s="127"/>
      <c r="EA1393" s="127"/>
      <c r="EB1393" s="127"/>
      <c r="EC1393" s="127"/>
      <c r="ED1393" s="127"/>
      <c r="EE1393" s="127"/>
      <c r="EF1393" s="127"/>
      <c r="EG1393" s="127"/>
      <c r="EH1393" s="127"/>
      <c r="EI1393" s="127"/>
      <c r="EJ1393" s="127"/>
      <c r="EK1393" s="127"/>
      <c r="EL1393" s="127"/>
      <c r="EM1393" s="127"/>
      <c r="EN1393" s="127"/>
      <c r="EO1393" s="127"/>
      <c r="EP1393" s="127"/>
      <c r="EQ1393" s="127"/>
      <c r="ER1393" s="127"/>
      <c r="ES1393" s="127"/>
      <c r="ET1393" s="127"/>
      <c r="EU1393" s="127"/>
      <c r="EV1393" s="127"/>
      <c r="EW1393" s="127"/>
      <c r="EX1393" s="127"/>
      <c r="EY1393" s="127"/>
      <c r="EZ1393" s="127"/>
      <c r="FA1393" s="127"/>
      <c r="FB1393" s="127"/>
      <c r="FC1393" s="127"/>
      <c r="FD1393" s="127"/>
      <c r="FE1393" s="127"/>
      <c r="FF1393" s="127"/>
      <c r="FG1393" s="127"/>
      <c r="FH1393" s="127"/>
      <c r="FI1393" s="127"/>
      <c r="FJ1393" s="127"/>
      <c r="FK1393" s="127"/>
      <c r="FL1393" s="127"/>
      <c r="FM1393" s="127"/>
      <c r="FN1393" s="127"/>
      <c r="FO1393" s="127"/>
      <c r="FP1393" s="127"/>
      <c r="FQ1393" s="127"/>
      <c r="FR1393" s="127"/>
      <c r="FS1393" s="127"/>
      <c r="FT1393" s="127"/>
      <c r="FU1393" s="127"/>
      <c r="FV1393" s="127"/>
      <c r="FW1393" s="127"/>
      <c r="FX1393" s="127"/>
      <c r="FY1393" s="127"/>
      <c r="FZ1393" s="127"/>
      <c r="GA1393" s="127"/>
      <c r="GB1393" s="127"/>
      <c r="GC1393" s="127"/>
      <c r="GD1393" s="127"/>
      <c r="GE1393" s="127"/>
      <c r="GF1393" s="127"/>
      <c r="GG1393" s="127"/>
      <c r="GH1393" s="127"/>
      <c r="GI1393" s="127"/>
      <c r="GJ1393" s="127"/>
      <c r="GK1393" s="127"/>
      <c r="GL1393" s="127"/>
      <c r="GM1393" s="127"/>
      <c r="GN1393" s="127"/>
      <c r="GO1393" s="127"/>
      <c r="GP1393" s="127"/>
      <c r="GQ1393" s="127"/>
      <c r="GR1393" s="127"/>
      <c r="GS1393" s="127"/>
      <c r="GT1393" s="127"/>
      <c r="GU1393" s="127"/>
      <c r="GV1393" s="127"/>
      <c r="GW1393" s="127"/>
      <c r="GX1393" s="127"/>
      <c r="GY1393" s="127"/>
      <c r="GZ1393" s="127"/>
      <c r="HA1393" s="127"/>
      <c r="HB1393" s="127"/>
      <c r="HC1393" s="127"/>
      <c r="HD1393" s="127"/>
      <c r="HE1393" s="127"/>
      <c r="HF1393" s="127"/>
      <c r="HG1393" s="127"/>
      <c r="HH1393" s="127"/>
      <c r="HI1393" s="127"/>
      <c r="HJ1393" s="127"/>
      <c r="HK1393" s="127"/>
      <c r="HL1393" s="127"/>
      <c r="HM1393" s="127"/>
      <c r="HN1393" s="127"/>
      <c r="HO1393" s="127"/>
      <c r="HP1393" s="127"/>
      <c r="HQ1393" s="127"/>
      <c r="HR1393" s="127"/>
      <c r="HS1393" s="127"/>
      <c r="HT1393" s="127"/>
      <c r="HU1393" s="127"/>
      <c r="HV1393" s="127"/>
      <c r="HW1393" s="127"/>
      <c r="HX1393" s="127"/>
      <c r="HY1393" s="127"/>
      <c r="HZ1393" s="127"/>
      <c r="IA1393" s="127"/>
      <c r="IB1393" s="127"/>
      <c r="IC1393" s="127"/>
      <c r="ID1393" s="127"/>
      <c r="IE1393" s="127"/>
      <c r="IF1393" s="127"/>
      <c r="IG1393" s="127"/>
      <c r="IH1393" s="127"/>
      <c r="II1393" s="127"/>
      <c r="IJ1393" s="127"/>
    </row>
    <row r="1394" spans="1:244" ht="12.75" customHeight="1">
      <c r="A1394" s="118">
        <v>1393</v>
      </c>
      <c r="B1394" s="260">
        <v>17</v>
      </c>
      <c r="C1394" s="156">
        <v>36892</v>
      </c>
      <c r="D1394" s="157" t="s">
        <v>44</v>
      </c>
      <c r="E1394" s="8">
        <v>2001</v>
      </c>
      <c r="F1394" s="158">
        <f t="shared" si="358"/>
        <v>641</v>
      </c>
      <c r="G1394" s="158">
        <f t="shared" si="359"/>
        <v>2</v>
      </c>
      <c r="H1394" s="162">
        <v>36251</v>
      </c>
      <c r="I1394" s="163">
        <v>193664</v>
      </c>
      <c r="X1394" s="127"/>
      <c r="Y1394" s="127"/>
      <c r="Z1394" s="127"/>
      <c r="AA1394" s="127"/>
      <c r="AB1394" s="127"/>
      <c r="AC1394" s="127"/>
      <c r="AD1394" s="127"/>
      <c r="AE1394" s="127"/>
      <c r="AF1394" s="127"/>
      <c r="AG1394" s="127"/>
      <c r="AH1394" s="127"/>
      <c r="AI1394" s="127"/>
      <c r="AJ1394" s="127"/>
      <c r="AK1394" s="127"/>
      <c r="AL1394" s="127"/>
      <c r="AM1394" s="127"/>
      <c r="AN1394" s="127"/>
      <c r="AO1394" s="127"/>
      <c r="AP1394" s="127"/>
      <c r="AQ1394" s="127"/>
      <c r="AR1394" s="127"/>
      <c r="AS1394" s="127"/>
      <c r="AT1394" s="127"/>
      <c r="AU1394" s="127"/>
      <c r="AV1394" s="127"/>
      <c r="AW1394" s="127"/>
      <c r="AX1394" s="127"/>
      <c r="AY1394" s="127"/>
      <c r="AZ1394" s="127"/>
      <c r="BA1394" s="127"/>
      <c r="BB1394" s="127"/>
      <c r="BC1394" s="127"/>
      <c r="BD1394" s="127"/>
      <c r="BE1394" s="127"/>
      <c r="BF1394" s="127"/>
      <c r="BG1394" s="127"/>
      <c r="BH1394" s="127"/>
      <c r="BI1394" s="127"/>
      <c r="BJ1394" s="127"/>
      <c r="BK1394" s="127"/>
      <c r="BL1394" s="127"/>
      <c r="BM1394" s="127"/>
      <c r="BN1394" s="127"/>
      <c r="BO1394" s="127"/>
      <c r="BP1394" s="127"/>
      <c r="BQ1394" s="127"/>
      <c r="BR1394" s="127"/>
      <c r="BS1394" s="127"/>
      <c r="BT1394" s="127"/>
      <c r="BU1394" s="127"/>
      <c r="BV1394" s="127"/>
      <c r="BW1394" s="127"/>
      <c r="BX1394" s="127"/>
      <c r="BY1394" s="127"/>
      <c r="BZ1394" s="127"/>
      <c r="CA1394" s="127"/>
      <c r="CB1394" s="127"/>
      <c r="CC1394" s="127"/>
      <c r="CD1394" s="127"/>
      <c r="CE1394" s="127"/>
      <c r="CF1394" s="127"/>
      <c r="CG1394" s="127"/>
      <c r="CH1394" s="127"/>
      <c r="CI1394" s="127"/>
      <c r="CJ1394" s="127"/>
      <c r="CK1394" s="127"/>
      <c r="CL1394" s="127"/>
      <c r="CM1394" s="127"/>
      <c r="CN1394" s="127"/>
      <c r="CO1394" s="127"/>
      <c r="CP1394" s="127"/>
      <c r="CQ1394" s="127"/>
      <c r="CR1394" s="127"/>
      <c r="CS1394" s="127"/>
      <c r="CT1394" s="127"/>
      <c r="CU1394" s="127"/>
      <c r="CV1394" s="127"/>
      <c r="CW1394" s="127"/>
      <c r="CX1394" s="127"/>
      <c r="CY1394" s="127"/>
      <c r="CZ1394" s="127"/>
      <c r="DA1394" s="127"/>
      <c r="DB1394" s="127"/>
      <c r="DC1394" s="127"/>
      <c r="DD1394" s="127"/>
      <c r="DE1394" s="127"/>
      <c r="DF1394" s="127"/>
      <c r="DG1394" s="127"/>
      <c r="DH1394" s="127"/>
      <c r="DI1394" s="127"/>
      <c r="DJ1394" s="127"/>
      <c r="DK1394" s="127"/>
      <c r="DL1394" s="127"/>
      <c r="DM1394" s="127"/>
      <c r="DN1394" s="127"/>
      <c r="DO1394" s="127"/>
      <c r="DP1394" s="127"/>
      <c r="DQ1394" s="127"/>
      <c r="DR1394" s="127"/>
      <c r="DS1394" s="127"/>
      <c r="DT1394" s="127"/>
      <c r="DU1394" s="127"/>
      <c r="DV1394" s="127"/>
      <c r="DW1394" s="127"/>
      <c r="DX1394" s="127"/>
      <c r="DY1394" s="127"/>
      <c r="DZ1394" s="127"/>
      <c r="EA1394" s="127"/>
      <c r="EB1394" s="127"/>
      <c r="EC1394" s="127"/>
      <c r="ED1394" s="127"/>
      <c r="EE1394" s="127"/>
      <c r="EF1394" s="127"/>
      <c r="EG1394" s="127"/>
      <c r="EH1394" s="127"/>
      <c r="EI1394" s="127"/>
      <c r="EJ1394" s="127"/>
      <c r="EK1394" s="127"/>
      <c r="EL1394" s="127"/>
      <c r="EM1394" s="127"/>
      <c r="EN1394" s="127"/>
      <c r="EO1394" s="127"/>
      <c r="EP1394" s="127"/>
      <c r="EQ1394" s="127"/>
      <c r="ER1394" s="127"/>
      <c r="ES1394" s="127"/>
      <c r="ET1394" s="127"/>
      <c r="EU1394" s="127"/>
      <c r="EV1394" s="127"/>
      <c r="EW1394" s="127"/>
      <c r="EX1394" s="127"/>
      <c r="EY1394" s="127"/>
      <c r="EZ1394" s="127"/>
      <c r="FA1394" s="127"/>
      <c r="FB1394" s="127"/>
      <c r="FC1394" s="127"/>
      <c r="FD1394" s="127"/>
      <c r="FE1394" s="127"/>
      <c r="FF1394" s="127"/>
      <c r="FG1394" s="127"/>
      <c r="FH1394" s="127"/>
      <c r="FI1394" s="127"/>
      <c r="FJ1394" s="127"/>
      <c r="FK1394" s="127"/>
      <c r="FL1394" s="127"/>
      <c r="FM1394" s="127"/>
      <c r="FN1394" s="127"/>
      <c r="FO1394" s="127"/>
      <c r="FP1394" s="127"/>
      <c r="FQ1394" s="127"/>
      <c r="FR1394" s="127"/>
      <c r="FS1394" s="127"/>
      <c r="FT1394" s="127"/>
      <c r="FU1394" s="127"/>
      <c r="FV1394" s="127"/>
      <c r="FW1394" s="127"/>
      <c r="FX1394" s="127"/>
      <c r="FY1394" s="127"/>
      <c r="FZ1394" s="127"/>
      <c r="GA1394" s="127"/>
      <c r="GB1394" s="127"/>
      <c r="GC1394" s="127"/>
      <c r="GD1394" s="127"/>
      <c r="GE1394" s="127"/>
      <c r="GF1394" s="127"/>
      <c r="GG1394" s="127"/>
      <c r="GH1394" s="127"/>
      <c r="GI1394" s="127"/>
      <c r="GJ1394" s="127"/>
      <c r="GK1394" s="127"/>
      <c r="GL1394" s="127"/>
      <c r="GM1394" s="127"/>
      <c r="GN1394" s="127"/>
      <c r="GO1394" s="127"/>
      <c r="GP1394" s="127"/>
      <c r="GQ1394" s="127"/>
      <c r="GR1394" s="127"/>
      <c r="GS1394" s="127"/>
      <c r="GT1394" s="127"/>
      <c r="GU1394" s="127"/>
      <c r="GV1394" s="127"/>
      <c r="GW1394" s="127"/>
      <c r="GX1394" s="127"/>
      <c r="GY1394" s="127"/>
      <c r="GZ1394" s="127"/>
      <c r="HA1394" s="127"/>
      <c r="HB1394" s="127"/>
      <c r="HC1394" s="127"/>
      <c r="HD1394" s="127"/>
      <c r="HE1394" s="127"/>
      <c r="HF1394" s="127"/>
      <c r="HG1394" s="127"/>
      <c r="HH1394" s="127"/>
      <c r="HI1394" s="127"/>
      <c r="HJ1394" s="127"/>
      <c r="HK1394" s="127"/>
      <c r="HL1394" s="127"/>
      <c r="HM1394" s="127"/>
      <c r="HN1394" s="127"/>
      <c r="HO1394" s="127"/>
      <c r="HP1394" s="127"/>
      <c r="HQ1394" s="127"/>
      <c r="HR1394" s="127"/>
      <c r="HS1394" s="127"/>
      <c r="HT1394" s="127"/>
      <c r="HU1394" s="127"/>
      <c r="HV1394" s="127"/>
      <c r="HW1394" s="127"/>
      <c r="HX1394" s="127"/>
      <c r="HY1394" s="127"/>
      <c r="HZ1394" s="127"/>
      <c r="IA1394" s="127"/>
      <c r="IB1394" s="127"/>
      <c r="IC1394" s="127"/>
      <c r="ID1394" s="127"/>
      <c r="IE1394" s="127"/>
      <c r="IF1394" s="127"/>
      <c r="IG1394" s="127"/>
      <c r="IH1394" s="127"/>
      <c r="II1394" s="127"/>
      <c r="IJ1394" s="127"/>
    </row>
    <row r="1395" spans="1:244" ht="12.75" customHeight="1">
      <c r="A1395" s="118">
        <v>1394</v>
      </c>
      <c r="B1395" s="260">
        <v>17</v>
      </c>
      <c r="C1395" s="156">
        <v>36923</v>
      </c>
      <c r="D1395" s="157" t="s">
        <v>45</v>
      </c>
      <c r="E1395" s="8">
        <v>2001</v>
      </c>
      <c r="F1395" s="158">
        <f t="shared" si="358"/>
        <v>672</v>
      </c>
      <c r="G1395" s="158">
        <f t="shared" si="359"/>
        <v>2</v>
      </c>
      <c r="H1395" s="162">
        <v>36251</v>
      </c>
      <c r="I1395" s="163">
        <v>140808</v>
      </c>
      <c r="X1395" s="127"/>
      <c r="Y1395" s="127"/>
      <c r="Z1395" s="127"/>
      <c r="AA1395" s="127"/>
      <c r="AB1395" s="127"/>
      <c r="AC1395" s="127"/>
      <c r="AD1395" s="127"/>
      <c r="AE1395" s="127"/>
      <c r="AF1395" s="127"/>
      <c r="AG1395" s="127"/>
      <c r="AH1395" s="127"/>
      <c r="AI1395" s="127"/>
      <c r="AJ1395" s="127"/>
      <c r="AK1395" s="127"/>
      <c r="AL1395" s="127"/>
      <c r="AM1395" s="127"/>
      <c r="AN1395" s="127"/>
      <c r="AO1395" s="127"/>
      <c r="AP1395" s="127"/>
      <c r="AQ1395" s="127"/>
      <c r="AR1395" s="127"/>
      <c r="AS1395" s="127"/>
      <c r="AT1395" s="127"/>
      <c r="AU1395" s="127"/>
      <c r="AV1395" s="127"/>
      <c r="AW1395" s="127"/>
      <c r="AX1395" s="127"/>
      <c r="AY1395" s="127"/>
      <c r="AZ1395" s="127"/>
      <c r="BA1395" s="127"/>
      <c r="BB1395" s="127"/>
      <c r="BC1395" s="127"/>
      <c r="BD1395" s="127"/>
      <c r="BE1395" s="127"/>
      <c r="BF1395" s="127"/>
      <c r="BG1395" s="127"/>
      <c r="BH1395" s="127"/>
      <c r="BI1395" s="127"/>
      <c r="BJ1395" s="127"/>
      <c r="BK1395" s="127"/>
      <c r="BL1395" s="127"/>
      <c r="BM1395" s="127"/>
      <c r="BN1395" s="127"/>
      <c r="BO1395" s="127"/>
      <c r="BP1395" s="127"/>
      <c r="BQ1395" s="127"/>
      <c r="BR1395" s="127"/>
      <c r="BS1395" s="127"/>
      <c r="BT1395" s="127"/>
      <c r="BU1395" s="127"/>
      <c r="BV1395" s="127"/>
      <c r="BW1395" s="127"/>
      <c r="BX1395" s="127"/>
      <c r="BY1395" s="127"/>
      <c r="BZ1395" s="127"/>
      <c r="CA1395" s="127"/>
      <c r="CB1395" s="127"/>
      <c r="CC1395" s="127"/>
      <c r="CD1395" s="127"/>
      <c r="CE1395" s="127"/>
      <c r="CF1395" s="127"/>
      <c r="CG1395" s="127"/>
      <c r="CH1395" s="127"/>
      <c r="CI1395" s="127"/>
      <c r="CJ1395" s="127"/>
      <c r="CK1395" s="127"/>
      <c r="CL1395" s="127"/>
      <c r="CM1395" s="127"/>
      <c r="CN1395" s="127"/>
      <c r="CO1395" s="127"/>
      <c r="CP1395" s="127"/>
      <c r="CQ1395" s="127"/>
      <c r="CR1395" s="127"/>
      <c r="CS1395" s="127"/>
      <c r="CT1395" s="127"/>
      <c r="CU1395" s="127"/>
      <c r="CV1395" s="127"/>
      <c r="CW1395" s="127"/>
      <c r="CX1395" s="127"/>
      <c r="CY1395" s="127"/>
      <c r="CZ1395" s="127"/>
      <c r="DA1395" s="127"/>
      <c r="DB1395" s="127"/>
      <c r="DC1395" s="127"/>
      <c r="DD1395" s="127"/>
      <c r="DE1395" s="127"/>
      <c r="DF1395" s="127"/>
      <c r="DG1395" s="127"/>
      <c r="DH1395" s="127"/>
      <c r="DI1395" s="127"/>
      <c r="DJ1395" s="127"/>
      <c r="DK1395" s="127"/>
      <c r="DL1395" s="127"/>
      <c r="DM1395" s="127"/>
      <c r="DN1395" s="127"/>
      <c r="DO1395" s="127"/>
      <c r="DP1395" s="127"/>
      <c r="DQ1395" s="127"/>
      <c r="DR1395" s="127"/>
      <c r="DS1395" s="127"/>
      <c r="DT1395" s="127"/>
      <c r="DU1395" s="127"/>
      <c r="DV1395" s="127"/>
      <c r="DW1395" s="127"/>
      <c r="DX1395" s="127"/>
      <c r="DY1395" s="127"/>
      <c r="DZ1395" s="127"/>
      <c r="EA1395" s="127"/>
      <c r="EB1395" s="127"/>
      <c r="EC1395" s="127"/>
      <c r="ED1395" s="127"/>
      <c r="EE1395" s="127"/>
      <c r="EF1395" s="127"/>
      <c r="EG1395" s="127"/>
      <c r="EH1395" s="127"/>
      <c r="EI1395" s="127"/>
      <c r="EJ1395" s="127"/>
      <c r="EK1395" s="127"/>
      <c r="EL1395" s="127"/>
      <c r="EM1395" s="127"/>
      <c r="EN1395" s="127"/>
      <c r="EO1395" s="127"/>
      <c r="EP1395" s="127"/>
      <c r="EQ1395" s="127"/>
      <c r="ER1395" s="127"/>
      <c r="ES1395" s="127"/>
      <c r="ET1395" s="127"/>
      <c r="EU1395" s="127"/>
      <c r="EV1395" s="127"/>
      <c r="EW1395" s="127"/>
      <c r="EX1395" s="127"/>
      <c r="EY1395" s="127"/>
      <c r="EZ1395" s="127"/>
      <c r="FA1395" s="127"/>
      <c r="FB1395" s="127"/>
      <c r="FC1395" s="127"/>
      <c r="FD1395" s="127"/>
      <c r="FE1395" s="127"/>
      <c r="FF1395" s="127"/>
      <c r="FG1395" s="127"/>
      <c r="FH1395" s="127"/>
      <c r="FI1395" s="127"/>
      <c r="FJ1395" s="127"/>
      <c r="FK1395" s="127"/>
      <c r="FL1395" s="127"/>
      <c r="FM1395" s="127"/>
      <c r="FN1395" s="127"/>
      <c r="FO1395" s="127"/>
      <c r="FP1395" s="127"/>
      <c r="FQ1395" s="127"/>
      <c r="FR1395" s="127"/>
      <c r="FS1395" s="127"/>
      <c r="FT1395" s="127"/>
      <c r="FU1395" s="127"/>
      <c r="FV1395" s="127"/>
      <c r="FW1395" s="127"/>
      <c r="FX1395" s="127"/>
      <c r="FY1395" s="127"/>
      <c r="FZ1395" s="127"/>
      <c r="GA1395" s="127"/>
      <c r="GB1395" s="127"/>
      <c r="GC1395" s="127"/>
      <c r="GD1395" s="127"/>
      <c r="GE1395" s="127"/>
      <c r="GF1395" s="127"/>
      <c r="GG1395" s="127"/>
      <c r="GH1395" s="127"/>
      <c r="GI1395" s="127"/>
      <c r="GJ1395" s="127"/>
      <c r="GK1395" s="127"/>
      <c r="GL1395" s="127"/>
      <c r="GM1395" s="127"/>
      <c r="GN1395" s="127"/>
      <c r="GO1395" s="127"/>
      <c r="GP1395" s="127"/>
      <c r="GQ1395" s="127"/>
      <c r="GR1395" s="127"/>
      <c r="GS1395" s="127"/>
      <c r="GT1395" s="127"/>
      <c r="GU1395" s="127"/>
      <c r="GV1395" s="127"/>
      <c r="GW1395" s="127"/>
      <c r="GX1395" s="127"/>
      <c r="GY1395" s="127"/>
      <c r="GZ1395" s="127"/>
      <c r="HA1395" s="127"/>
      <c r="HB1395" s="127"/>
      <c r="HC1395" s="127"/>
      <c r="HD1395" s="127"/>
      <c r="HE1395" s="127"/>
      <c r="HF1395" s="127"/>
      <c r="HG1395" s="127"/>
      <c r="HH1395" s="127"/>
      <c r="HI1395" s="127"/>
      <c r="HJ1395" s="127"/>
      <c r="HK1395" s="127"/>
      <c r="HL1395" s="127"/>
      <c r="HM1395" s="127"/>
      <c r="HN1395" s="127"/>
      <c r="HO1395" s="127"/>
      <c r="HP1395" s="127"/>
      <c r="HQ1395" s="127"/>
      <c r="HR1395" s="127"/>
      <c r="HS1395" s="127"/>
      <c r="HT1395" s="127"/>
      <c r="HU1395" s="127"/>
      <c r="HV1395" s="127"/>
      <c r="HW1395" s="127"/>
      <c r="HX1395" s="127"/>
      <c r="HY1395" s="127"/>
      <c r="HZ1395" s="127"/>
      <c r="IA1395" s="127"/>
      <c r="IB1395" s="127"/>
      <c r="IC1395" s="127"/>
      <c r="ID1395" s="127"/>
      <c r="IE1395" s="127"/>
      <c r="IF1395" s="127"/>
      <c r="IG1395" s="127"/>
      <c r="IH1395" s="127"/>
      <c r="II1395" s="127"/>
      <c r="IJ1395" s="127"/>
    </row>
    <row r="1396" spans="1:244" ht="12.75" customHeight="1">
      <c r="A1396" s="118">
        <v>1395</v>
      </c>
      <c r="B1396" s="260">
        <v>17</v>
      </c>
      <c r="C1396" s="156">
        <v>36951</v>
      </c>
      <c r="D1396" s="157" t="s">
        <v>46</v>
      </c>
      <c r="E1396" s="8">
        <v>2001</v>
      </c>
      <c r="F1396" s="158">
        <f t="shared" si="358"/>
        <v>700</v>
      </c>
      <c r="G1396" s="158">
        <f t="shared" si="359"/>
        <v>2</v>
      </c>
      <c r="H1396" s="162">
        <v>36251</v>
      </c>
      <c r="I1396" s="163">
        <v>101538</v>
      </c>
    </row>
    <row r="1397" spans="1:244" ht="12.75" customHeight="1">
      <c r="A1397" s="118">
        <v>1396</v>
      </c>
      <c r="B1397" s="260">
        <v>17</v>
      </c>
      <c r="C1397" s="156">
        <v>36982</v>
      </c>
      <c r="D1397" s="157" t="s">
        <v>47</v>
      </c>
      <c r="E1397" s="8">
        <v>2001</v>
      </c>
      <c r="F1397" s="158">
        <f t="shared" si="358"/>
        <v>731</v>
      </c>
      <c r="G1397" s="158">
        <v>2</v>
      </c>
      <c r="H1397" s="162">
        <v>36251</v>
      </c>
      <c r="I1397" s="163">
        <v>63772</v>
      </c>
      <c r="J1397" s="11"/>
      <c r="K1397" s="11"/>
      <c r="L1397" s="11"/>
      <c r="O1397" s="11"/>
      <c r="T1397" s="11"/>
      <c r="V1397" s="11"/>
      <c r="W1397" s="11"/>
    </row>
    <row r="1398" spans="1:244" ht="12.75" customHeight="1">
      <c r="A1398" s="118">
        <v>1397</v>
      </c>
      <c r="B1398" s="11">
        <v>17</v>
      </c>
      <c r="C1398" s="156">
        <v>37012</v>
      </c>
      <c r="D1398" s="157" t="s">
        <v>48</v>
      </c>
      <c r="E1398" s="8">
        <v>2001</v>
      </c>
      <c r="F1398" s="158"/>
      <c r="G1398" s="162"/>
    </row>
    <row r="1399" spans="1:244" ht="12.75" customHeight="1">
      <c r="A1399" s="118">
        <v>1398</v>
      </c>
      <c r="B1399" s="11">
        <v>17</v>
      </c>
      <c r="C1399" s="156">
        <v>37043</v>
      </c>
      <c r="D1399" s="157" t="s">
        <v>49</v>
      </c>
      <c r="E1399" s="8">
        <v>2001</v>
      </c>
      <c r="F1399" s="158"/>
      <c r="G1399" s="162"/>
      <c r="J1399" s="11"/>
      <c r="K1399" s="11"/>
      <c r="L1399" s="11"/>
      <c r="O1399" s="11"/>
      <c r="T1399" s="11"/>
      <c r="V1399" s="11"/>
      <c r="W1399" s="11"/>
    </row>
    <row r="1400" spans="1:244" ht="12.75" customHeight="1">
      <c r="A1400" s="118">
        <v>1399</v>
      </c>
      <c r="B1400" s="11">
        <v>17</v>
      </c>
      <c r="C1400" s="156">
        <v>37073</v>
      </c>
      <c r="D1400" s="157" t="s">
        <v>50</v>
      </c>
      <c r="E1400" s="8">
        <v>2001</v>
      </c>
      <c r="F1400" s="158"/>
      <c r="G1400" s="162"/>
    </row>
    <row r="1401" spans="1:244" ht="12.75" customHeight="1">
      <c r="A1401" s="118">
        <v>1400</v>
      </c>
      <c r="B1401" s="11">
        <v>17</v>
      </c>
      <c r="C1401" s="156">
        <v>37104</v>
      </c>
      <c r="D1401" s="157" t="s">
        <v>51</v>
      </c>
      <c r="E1401" s="8">
        <v>2001</v>
      </c>
      <c r="F1401" s="158"/>
      <c r="G1401" s="162"/>
      <c r="J1401" s="11"/>
      <c r="K1401" s="11"/>
      <c r="L1401" s="11"/>
      <c r="O1401" s="11"/>
      <c r="T1401" s="11"/>
      <c r="V1401" s="11"/>
      <c r="W1401" s="11"/>
    </row>
    <row r="1402" spans="1:244" ht="12.75" customHeight="1">
      <c r="A1402" s="118">
        <v>1401</v>
      </c>
      <c r="B1402" s="11">
        <v>17</v>
      </c>
      <c r="C1402" s="156">
        <v>37135</v>
      </c>
      <c r="D1402" s="157" t="s">
        <v>52</v>
      </c>
      <c r="E1402" s="8">
        <v>2001</v>
      </c>
      <c r="F1402" s="158"/>
      <c r="G1402" s="162"/>
      <c r="J1402" s="11"/>
      <c r="K1402" s="11"/>
      <c r="L1402" s="11"/>
      <c r="O1402" s="11"/>
      <c r="T1402" s="11"/>
      <c r="V1402" s="11"/>
      <c r="W1402" s="11"/>
    </row>
    <row r="1403" spans="1:244" ht="12.75" customHeight="1">
      <c r="A1403" s="118">
        <v>1402</v>
      </c>
      <c r="B1403" s="11">
        <v>17</v>
      </c>
      <c r="C1403" s="156">
        <v>37165</v>
      </c>
      <c r="D1403" s="157" t="s">
        <v>53</v>
      </c>
      <c r="E1403" s="8">
        <v>2001</v>
      </c>
      <c r="F1403" s="158"/>
      <c r="G1403" s="162"/>
      <c r="J1403" s="11"/>
      <c r="K1403" s="11"/>
      <c r="L1403" s="11"/>
      <c r="O1403" s="11"/>
      <c r="T1403" s="11"/>
      <c r="V1403" s="11"/>
      <c r="W1403" s="11"/>
    </row>
    <row r="1404" spans="1:244" ht="12.75" customHeight="1">
      <c r="A1404" s="118">
        <v>1403</v>
      </c>
      <c r="B1404" s="11">
        <v>17</v>
      </c>
      <c r="C1404" s="156">
        <v>37196</v>
      </c>
      <c r="D1404" s="157" t="s">
        <v>54</v>
      </c>
      <c r="E1404" s="8">
        <v>2001</v>
      </c>
      <c r="F1404" s="158"/>
      <c r="G1404" s="162"/>
      <c r="J1404" s="11"/>
      <c r="K1404" s="11"/>
      <c r="L1404" s="11"/>
      <c r="O1404" s="11"/>
      <c r="T1404" s="11"/>
      <c r="V1404" s="11"/>
      <c r="W1404" s="11"/>
    </row>
    <row r="1405" spans="1:244" ht="12.75" customHeight="1">
      <c r="A1405" s="118">
        <v>1404</v>
      </c>
      <c r="B1405" s="11">
        <v>17</v>
      </c>
      <c r="C1405" s="156">
        <v>37226</v>
      </c>
      <c r="D1405" s="157" t="s">
        <v>55</v>
      </c>
      <c r="E1405" s="8">
        <v>2001</v>
      </c>
      <c r="F1405" s="158">
        <f t="shared" ref="F1405:F1424" si="360">C1405-H1405</f>
        <v>0</v>
      </c>
      <c r="G1405" s="158">
        <f t="shared" ref="G1405:G1424" si="361">IF(F1405&lt;365,1,2)</f>
        <v>1</v>
      </c>
      <c r="H1405" s="162">
        <v>37226</v>
      </c>
      <c r="I1405" s="163">
        <v>172633</v>
      </c>
      <c r="J1405" s="11"/>
      <c r="K1405" s="11"/>
      <c r="L1405" s="11"/>
      <c r="O1405" s="11"/>
      <c r="Q1405" s="11">
        <v>7.4</v>
      </c>
      <c r="S1405" s="155" t="s">
        <v>11</v>
      </c>
      <c r="T1405" s="11"/>
      <c r="V1405" s="11"/>
      <c r="W1405" s="11"/>
    </row>
    <row r="1406" spans="1:244" ht="12.75" customHeight="1">
      <c r="A1406" s="118">
        <v>1405</v>
      </c>
      <c r="B1406" s="11">
        <v>17</v>
      </c>
      <c r="C1406" s="156">
        <v>37257</v>
      </c>
      <c r="D1406" s="157" t="s">
        <v>44</v>
      </c>
      <c r="E1406" s="8">
        <v>2002</v>
      </c>
      <c r="F1406" s="158">
        <f t="shared" si="360"/>
        <v>31</v>
      </c>
      <c r="G1406" s="158">
        <f t="shared" si="361"/>
        <v>1</v>
      </c>
      <c r="H1406" s="162">
        <v>37226</v>
      </c>
      <c r="I1406" s="163">
        <v>200000</v>
      </c>
      <c r="J1406" s="11"/>
      <c r="K1406" s="11"/>
      <c r="L1406" s="11"/>
      <c r="O1406" s="11"/>
      <c r="S1406" s="155" t="s">
        <v>11</v>
      </c>
      <c r="T1406" s="11"/>
      <c r="V1406" s="11"/>
      <c r="W1406" s="11"/>
    </row>
    <row r="1407" spans="1:244" ht="12.75" customHeight="1">
      <c r="A1407" s="118">
        <v>1406</v>
      </c>
      <c r="B1407" s="11">
        <v>17</v>
      </c>
      <c r="C1407" s="156">
        <v>37288</v>
      </c>
      <c r="D1407" s="157" t="s">
        <v>45</v>
      </c>
      <c r="E1407" s="8">
        <v>2002</v>
      </c>
      <c r="F1407" s="158">
        <f t="shared" si="360"/>
        <v>62</v>
      </c>
      <c r="G1407" s="158">
        <f t="shared" si="361"/>
        <v>1</v>
      </c>
      <c r="H1407" s="162">
        <v>37226</v>
      </c>
      <c r="I1407" s="163">
        <v>269613</v>
      </c>
      <c r="J1407" s="11"/>
      <c r="K1407" s="11"/>
      <c r="L1407" s="11"/>
      <c r="O1407" s="11"/>
      <c r="Q1407" s="11">
        <v>7</v>
      </c>
      <c r="T1407" s="11"/>
      <c r="V1407" s="11"/>
      <c r="W1407" s="11"/>
    </row>
    <row r="1408" spans="1:244" ht="12.75" customHeight="1">
      <c r="A1408" s="118">
        <v>1407</v>
      </c>
      <c r="B1408" s="11">
        <v>17</v>
      </c>
      <c r="C1408" s="156">
        <v>37316</v>
      </c>
      <c r="D1408" s="157" t="s">
        <v>46</v>
      </c>
      <c r="E1408" s="8">
        <v>2002</v>
      </c>
      <c r="F1408" s="158">
        <f t="shared" si="360"/>
        <v>90</v>
      </c>
      <c r="G1408" s="158">
        <f t="shared" si="361"/>
        <v>1</v>
      </c>
      <c r="H1408" s="162">
        <v>37226</v>
      </c>
      <c r="I1408" s="163">
        <v>242001</v>
      </c>
      <c r="J1408" s="166"/>
      <c r="K1408" s="11"/>
      <c r="L1408" s="11"/>
      <c r="O1408" s="11"/>
      <c r="Q1408" s="11">
        <v>7</v>
      </c>
      <c r="T1408" s="11"/>
      <c r="V1408" s="11"/>
      <c r="W1408" s="11"/>
    </row>
    <row r="1409" spans="1:23" ht="12.75" customHeight="1">
      <c r="A1409" s="118">
        <v>1408</v>
      </c>
      <c r="B1409" s="11">
        <v>17</v>
      </c>
      <c r="C1409" s="156">
        <v>37347</v>
      </c>
      <c r="D1409" s="157" t="s">
        <v>47</v>
      </c>
      <c r="E1409" s="8">
        <v>2002</v>
      </c>
      <c r="F1409" s="158">
        <f t="shared" si="360"/>
        <v>121</v>
      </c>
      <c r="G1409" s="158">
        <f t="shared" si="361"/>
        <v>1</v>
      </c>
      <c r="H1409" s="162">
        <v>37226</v>
      </c>
      <c r="I1409" s="163">
        <v>232492</v>
      </c>
      <c r="J1409" s="166"/>
      <c r="K1409" s="11"/>
      <c r="L1409" s="11"/>
      <c r="O1409" s="11"/>
      <c r="Q1409" s="11">
        <v>7.6</v>
      </c>
      <c r="T1409" s="11"/>
      <c r="V1409" s="11"/>
      <c r="W1409" s="11"/>
    </row>
    <row r="1410" spans="1:23" ht="12.75" customHeight="1">
      <c r="A1410" s="118">
        <v>1409</v>
      </c>
      <c r="B1410" s="11">
        <v>17</v>
      </c>
      <c r="C1410" s="156">
        <v>37377</v>
      </c>
      <c r="D1410" s="157" t="s">
        <v>48</v>
      </c>
      <c r="E1410" s="8">
        <v>2002</v>
      </c>
      <c r="F1410" s="158">
        <f t="shared" si="360"/>
        <v>151</v>
      </c>
      <c r="G1410" s="158">
        <f t="shared" si="361"/>
        <v>1</v>
      </c>
      <c r="H1410" s="162">
        <v>37226</v>
      </c>
      <c r="I1410" s="163">
        <v>222067</v>
      </c>
      <c r="J1410" s="166"/>
      <c r="K1410" s="11"/>
      <c r="L1410" s="11"/>
      <c r="O1410" s="11"/>
      <c r="Q1410" s="11">
        <v>8.3000000000000007</v>
      </c>
      <c r="T1410" s="11"/>
      <c r="V1410" s="11"/>
      <c r="W1410" s="11"/>
    </row>
    <row r="1411" spans="1:23" ht="12.75" customHeight="1">
      <c r="A1411" s="118">
        <v>1410</v>
      </c>
      <c r="B1411" s="11">
        <v>17</v>
      </c>
      <c r="C1411" s="156">
        <v>37408</v>
      </c>
      <c r="D1411" s="157" t="s">
        <v>49</v>
      </c>
      <c r="E1411" s="8">
        <v>2002</v>
      </c>
      <c r="F1411" s="158">
        <f t="shared" si="360"/>
        <v>182</v>
      </c>
      <c r="G1411" s="158">
        <f t="shared" si="361"/>
        <v>1</v>
      </c>
      <c r="H1411" s="162">
        <v>37226</v>
      </c>
      <c r="I1411" s="163">
        <v>218423</v>
      </c>
      <c r="J1411" s="166"/>
      <c r="K1411" s="11"/>
      <c r="L1411" s="11"/>
      <c r="O1411" s="11"/>
      <c r="Q1411" s="11">
        <v>8.9</v>
      </c>
      <c r="T1411" s="11"/>
      <c r="V1411" s="11"/>
      <c r="W1411" s="11"/>
    </row>
    <row r="1412" spans="1:23" ht="12.75" customHeight="1">
      <c r="A1412" s="118">
        <v>1411</v>
      </c>
      <c r="B1412" s="11">
        <v>17</v>
      </c>
      <c r="C1412" s="156">
        <v>37438</v>
      </c>
      <c r="D1412" s="157" t="s">
        <v>50</v>
      </c>
      <c r="E1412" s="8">
        <v>2002</v>
      </c>
      <c r="F1412" s="158">
        <f t="shared" si="360"/>
        <v>212</v>
      </c>
      <c r="G1412" s="158">
        <f t="shared" si="361"/>
        <v>1</v>
      </c>
      <c r="H1412" s="162">
        <v>37226</v>
      </c>
      <c r="I1412" s="163">
        <v>217150</v>
      </c>
      <c r="J1412" s="8">
        <v>2.8</v>
      </c>
      <c r="K1412" s="11">
        <v>4.9000000000000004</v>
      </c>
      <c r="L1412" s="11">
        <v>0.4</v>
      </c>
      <c r="O1412" s="11">
        <v>0</v>
      </c>
      <c r="Q1412" s="11">
        <v>9.4</v>
      </c>
      <c r="T1412" s="161">
        <f>$I1412*K1412</f>
        <v>1064035</v>
      </c>
      <c r="U1412" s="161">
        <f>$I1412*L1412</f>
        <v>86860</v>
      </c>
      <c r="V1412" s="161">
        <f t="shared" ref="V1412:V1424" si="362">$I1412*O1412</f>
        <v>0</v>
      </c>
      <c r="W1412" s="161">
        <f t="shared" ref="W1412:W1424" si="363">V1412*0.4</f>
        <v>0</v>
      </c>
    </row>
    <row r="1413" spans="1:23" ht="12.75" customHeight="1">
      <c r="A1413" s="118">
        <v>1412</v>
      </c>
      <c r="B1413" s="11">
        <v>17</v>
      </c>
      <c r="C1413" s="156">
        <v>37469</v>
      </c>
      <c r="D1413" s="157" t="s">
        <v>51</v>
      </c>
      <c r="E1413" s="8">
        <v>2002</v>
      </c>
      <c r="F1413" s="158">
        <f t="shared" si="360"/>
        <v>243</v>
      </c>
      <c r="G1413" s="158">
        <f t="shared" si="361"/>
        <v>1</v>
      </c>
      <c r="H1413" s="162">
        <v>37226</v>
      </c>
      <c r="I1413" s="163">
        <v>216706</v>
      </c>
      <c r="J1413" s="11">
        <v>4</v>
      </c>
      <c r="K1413" s="11">
        <v>7.08</v>
      </c>
      <c r="L1413" s="11">
        <v>0.9</v>
      </c>
      <c r="O1413" s="11">
        <v>0</v>
      </c>
      <c r="Q1413" s="11">
        <v>9.4</v>
      </c>
      <c r="T1413" s="161">
        <f>$I1413*K1413</f>
        <v>1534278.48</v>
      </c>
      <c r="U1413" s="161">
        <f>$I1413*L1413</f>
        <v>195035.4</v>
      </c>
      <c r="V1413" s="161">
        <f t="shared" si="362"/>
        <v>0</v>
      </c>
      <c r="W1413" s="161">
        <f t="shared" si="363"/>
        <v>0</v>
      </c>
    </row>
    <row r="1414" spans="1:23" ht="12.75" customHeight="1">
      <c r="A1414" s="118">
        <v>1413</v>
      </c>
      <c r="B1414" s="11">
        <v>17</v>
      </c>
      <c r="C1414" s="156">
        <v>37500</v>
      </c>
      <c r="D1414" s="157" t="s">
        <v>52</v>
      </c>
      <c r="E1414" s="8">
        <v>2002</v>
      </c>
      <c r="F1414" s="158">
        <f t="shared" si="360"/>
        <v>274</v>
      </c>
      <c r="G1414" s="158">
        <f t="shared" si="361"/>
        <v>1</v>
      </c>
      <c r="H1414" s="162">
        <v>37226</v>
      </c>
      <c r="I1414" s="179">
        <v>216500</v>
      </c>
      <c r="J1414" s="11"/>
      <c r="K1414" s="11"/>
      <c r="L1414" s="146">
        <v>1.4</v>
      </c>
      <c r="N1414" s="528">
        <v>2</v>
      </c>
      <c r="O1414" s="146">
        <v>0</v>
      </c>
      <c r="T1414" s="11"/>
      <c r="U1414" s="161">
        <f t="shared" ref="U1414:U1424" si="364">$I1414*L1414</f>
        <v>303100</v>
      </c>
      <c r="V1414" s="161">
        <f t="shared" si="362"/>
        <v>0</v>
      </c>
      <c r="W1414" s="161">
        <f t="shared" si="363"/>
        <v>0</v>
      </c>
    </row>
    <row r="1415" spans="1:23" ht="12.75" customHeight="1">
      <c r="A1415" s="118">
        <v>1414</v>
      </c>
      <c r="B1415" s="11">
        <v>17</v>
      </c>
      <c r="C1415" s="156">
        <v>37530</v>
      </c>
      <c r="D1415" s="157" t="s">
        <v>53</v>
      </c>
      <c r="E1415" s="8">
        <v>2002</v>
      </c>
      <c r="F1415" s="158">
        <f t="shared" si="360"/>
        <v>304</v>
      </c>
      <c r="G1415" s="158">
        <f t="shared" si="361"/>
        <v>1</v>
      </c>
      <c r="H1415" s="162">
        <v>37226</v>
      </c>
      <c r="I1415" s="163">
        <v>216195</v>
      </c>
      <c r="J1415" s="11"/>
      <c r="K1415" s="11"/>
      <c r="L1415" s="146">
        <v>2</v>
      </c>
      <c r="N1415" s="528">
        <v>2</v>
      </c>
      <c r="O1415" s="146">
        <v>0</v>
      </c>
      <c r="T1415" s="11"/>
      <c r="U1415" s="161">
        <f t="shared" si="364"/>
        <v>432390</v>
      </c>
      <c r="V1415" s="161">
        <f t="shared" si="362"/>
        <v>0</v>
      </c>
      <c r="W1415" s="161">
        <f t="shared" si="363"/>
        <v>0</v>
      </c>
    </row>
    <row r="1416" spans="1:23" ht="12.75" customHeight="1">
      <c r="A1416" s="118">
        <v>1415</v>
      </c>
      <c r="B1416" s="11">
        <v>17</v>
      </c>
      <c r="C1416" s="156">
        <v>37561</v>
      </c>
      <c r="D1416" s="157" t="s">
        <v>54</v>
      </c>
      <c r="E1416" s="8">
        <v>2002</v>
      </c>
      <c r="F1416" s="158">
        <f t="shared" si="360"/>
        <v>335</v>
      </c>
      <c r="G1416" s="158">
        <f t="shared" si="361"/>
        <v>1</v>
      </c>
      <c r="H1416" s="162">
        <v>37226</v>
      </c>
      <c r="I1416" s="163">
        <v>215998</v>
      </c>
      <c r="J1416" s="11">
        <v>1.05</v>
      </c>
      <c r="K1416" s="11">
        <v>7.35</v>
      </c>
      <c r="L1416" s="11">
        <v>2.4500000000000002</v>
      </c>
      <c r="O1416" s="11">
        <v>0</v>
      </c>
      <c r="Q1416" s="11">
        <v>8</v>
      </c>
      <c r="T1416" s="161">
        <f t="shared" ref="T1416:T1423" si="365">$I1416*K1416</f>
        <v>1587585.2999999998</v>
      </c>
      <c r="U1416" s="161">
        <f t="shared" si="364"/>
        <v>529195.10000000009</v>
      </c>
      <c r="V1416" s="161">
        <f t="shared" si="362"/>
        <v>0</v>
      </c>
      <c r="W1416" s="161">
        <f t="shared" si="363"/>
        <v>0</v>
      </c>
    </row>
    <row r="1417" spans="1:23" ht="12.75" customHeight="1">
      <c r="A1417" s="118">
        <v>1416</v>
      </c>
      <c r="B1417" s="11">
        <v>17</v>
      </c>
      <c r="C1417" s="156">
        <v>37591</v>
      </c>
      <c r="D1417" s="157" t="s">
        <v>55</v>
      </c>
      <c r="E1417" s="8">
        <v>2002</v>
      </c>
      <c r="F1417" s="158">
        <f t="shared" si="360"/>
        <v>365</v>
      </c>
      <c r="G1417" s="158">
        <f t="shared" si="361"/>
        <v>2</v>
      </c>
      <c r="H1417" s="162">
        <v>37226</v>
      </c>
      <c r="I1417" s="163">
        <v>215848</v>
      </c>
      <c r="J1417" s="173"/>
      <c r="K1417" s="165">
        <f>(K1416+K1418)/2</f>
        <v>8.3249999999999993</v>
      </c>
      <c r="L1417" s="165">
        <f>(L1416+L1418)/2</f>
        <v>3.2250000000000001</v>
      </c>
      <c r="N1417" s="528">
        <v>1</v>
      </c>
      <c r="O1417" s="165">
        <f>(O1416+O1418)/2</f>
        <v>0.05</v>
      </c>
      <c r="Q1417" s="11">
        <v>7.8</v>
      </c>
      <c r="T1417" s="161">
        <f t="shared" si="365"/>
        <v>1796934.5999999999</v>
      </c>
      <c r="U1417" s="161">
        <f t="shared" si="364"/>
        <v>696109.8</v>
      </c>
      <c r="V1417" s="161">
        <f t="shared" si="362"/>
        <v>10792.400000000001</v>
      </c>
      <c r="W1417" s="161">
        <f t="shared" si="363"/>
        <v>4316.9600000000009</v>
      </c>
    </row>
    <row r="1418" spans="1:23" ht="12.75" customHeight="1">
      <c r="A1418" s="118">
        <v>1417</v>
      </c>
      <c r="B1418" s="11">
        <v>17</v>
      </c>
      <c r="C1418" s="156">
        <v>37622</v>
      </c>
      <c r="D1418" s="157" t="s">
        <v>44</v>
      </c>
      <c r="E1418" s="8">
        <v>2003</v>
      </c>
      <c r="F1418" s="158">
        <f t="shared" si="360"/>
        <v>396</v>
      </c>
      <c r="G1418" s="158">
        <f t="shared" si="361"/>
        <v>2</v>
      </c>
      <c r="H1418" s="162">
        <v>37226</v>
      </c>
      <c r="I1418" s="163">
        <v>215709</v>
      </c>
      <c r="J1418" s="11">
        <v>7</v>
      </c>
      <c r="K1418" s="11">
        <v>9.3000000000000007</v>
      </c>
      <c r="L1418" s="11">
        <v>4</v>
      </c>
      <c r="O1418" s="11">
        <v>0.1</v>
      </c>
      <c r="P1418" s="170">
        <v>1</v>
      </c>
      <c r="Q1418" s="11">
        <v>7.3</v>
      </c>
      <c r="T1418" s="161">
        <f t="shared" si="365"/>
        <v>2006093.7000000002</v>
      </c>
      <c r="U1418" s="161">
        <f t="shared" si="364"/>
        <v>862836</v>
      </c>
      <c r="V1418" s="161">
        <f t="shared" si="362"/>
        <v>21570.9</v>
      </c>
      <c r="W1418" s="161">
        <f t="shared" si="363"/>
        <v>8628.36</v>
      </c>
    </row>
    <row r="1419" spans="1:23" ht="12.75" customHeight="1">
      <c r="A1419" s="118">
        <v>1418</v>
      </c>
      <c r="B1419" s="11">
        <v>17</v>
      </c>
      <c r="C1419" s="156">
        <v>37653</v>
      </c>
      <c r="D1419" s="157" t="s">
        <v>45</v>
      </c>
      <c r="E1419" s="8">
        <v>2003</v>
      </c>
      <c r="F1419" s="158">
        <f t="shared" si="360"/>
        <v>427</v>
      </c>
      <c r="G1419" s="158">
        <f t="shared" si="361"/>
        <v>2</v>
      </c>
      <c r="H1419" s="162">
        <v>37226</v>
      </c>
      <c r="I1419" s="163">
        <v>215591</v>
      </c>
      <c r="J1419" s="11">
        <v>6.9</v>
      </c>
      <c r="K1419" s="11">
        <v>6</v>
      </c>
      <c r="L1419" s="11">
        <v>3.2</v>
      </c>
      <c r="M1419" s="174">
        <v>0</v>
      </c>
      <c r="O1419" s="11">
        <v>0</v>
      </c>
      <c r="Q1419" s="11">
        <v>7.5</v>
      </c>
      <c r="T1419" s="161">
        <f t="shared" si="365"/>
        <v>1293546</v>
      </c>
      <c r="U1419" s="161">
        <f t="shared" si="364"/>
        <v>689891.20000000007</v>
      </c>
      <c r="V1419" s="161">
        <f t="shared" si="362"/>
        <v>0</v>
      </c>
      <c r="W1419" s="161">
        <f t="shared" si="363"/>
        <v>0</v>
      </c>
    </row>
    <row r="1420" spans="1:23" ht="12.75" customHeight="1">
      <c r="A1420" s="118">
        <v>1419</v>
      </c>
      <c r="B1420" s="11">
        <v>17</v>
      </c>
      <c r="C1420" s="156">
        <v>37681</v>
      </c>
      <c r="D1420" s="157" t="s">
        <v>46</v>
      </c>
      <c r="E1420" s="8">
        <v>2003</v>
      </c>
      <c r="F1420" s="158">
        <f t="shared" si="360"/>
        <v>455</v>
      </c>
      <c r="G1420" s="158">
        <f t="shared" si="361"/>
        <v>2</v>
      </c>
      <c r="H1420" s="162">
        <v>37226</v>
      </c>
      <c r="I1420" s="194">
        <v>215473</v>
      </c>
      <c r="J1420" s="15">
        <v>0.05</v>
      </c>
      <c r="K1420" s="15">
        <v>0.25</v>
      </c>
      <c r="L1420" s="15">
        <v>0.1</v>
      </c>
      <c r="M1420" s="174">
        <v>0</v>
      </c>
      <c r="O1420" s="15">
        <v>0</v>
      </c>
      <c r="Q1420" s="11">
        <v>7.6</v>
      </c>
      <c r="R1420" s="11">
        <v>33.5</v>
      </c>
      <c r="T1420" s="161">
        <f t="shared" si="365"/>
        <v>53868.25</v>
      </c>
      <c r="U1420" s="161">
        <f t="shared" si="364"/>
        <v>21547.300000000003</v>
      </c>
      <c r="V1420" s="161">
        <f t="shared" si="362"/>
        <v>0</v>
      </c>
      <c r="W1420" s="161">
        <f t="shared" si="363"/>
        <v>0</v>
      </c>
    </row>
    <row r="1421" spans="1:23" ht="12.75" customHeight="1">
      <c r="A1421" s="118">
        <v>1420</v>
      </c>
      <c r="B1421" s="11">
        <v>17</v>
      </c>
      <c r="C1421" s="156">
        <v>37712</v>
      </c>
      <c r="D1421" s="157" t="s">
        <v>47</v>
      </c>
      <c r="E1421" s="8">
        <v>2003</v>
      </c>
      <c r="F1421" s="158">
        <f t="shared" si="360"/>
        <v>486</v>
      </c>
      <c r="G1421" s="158">
        <f t="shared" si="361"/>
        <v>2</v>
      </c>
      <c r="H1421" s="162">
        <v>37226</v>
      </c>
      <c r="I1421" s="194">
        <v>215348</v>
      </c>
      <c r="J1421" s="15">
        <v>0</v>
      </c>
      <c r="K1421" s="15">
        <v>7.0000000000000007E-2</v>
      </c>
      <c r="L1421" s="15">
        <v>0</v>
      </c>
      <c r="M1421" s="174">
        <v>0</v>
      </c>
      <c r="O1421" s="15">
        <v>0.03</v>
      </c>
      <c r="Q1421" s="11">
        <v>8</v>
      </c>
      <c r="R1421" s="11">
        <v>32.700000000000003</v>
      </c>
      <c r="T1421" s="161">
        <f t="shared" si="365"/>
        <v>15074.36</v>
      </c>
      <c r="U1421" s="161">
        <f t="shared" si="364"/>
        <v>0</v>
      </c>
      <c r="V1421" s="161">
        <f t="shared" si="362"/>
        <v>6460.44</v>
      </c>
      <c r="W1421" s="161">
        <f t="shared" si="363"/>
        <v>2584.1759999999999</v>
      </c>
    </row>
    <row r="1422" spans="1:23" ht="12.75" customHeight="1">
      <c r="A1422" s="118">
        <v>1421</v>
      </c>
      <c r="B1422" s="11">
        <v>17</v>
      </c>
      <c r="C1422" s="156">
        <v>37742</v>
      </c>
      <c r="D1422" s="157" t="s">
        <v>48</v>
      </c>
      <c r="E1422" s="8">
        <v>2003</v>
      </c>
      <c r="F1422" s="158">
        <f t="shared" si="360"/>
        <v>516</v>
      </c>
      <c r="G1422" s="158">
        <f t="shared" si="361"/>
        <v>2</v>
      </c>
      <c r="H1422" s="162">
        <v>37226</v>
      </c>
      <c r="I1422" s="194">
        <v>214749</v>
      </c>
      <c r="J1422" s="15">
        <v>0.2</v>
      </c>
      <c r="K1422" s="15">
        <v>0.05</v>
      </c>
      <c r="L1422" s="15">
        <v>0</v>
      </c>
      <c r="M1422" s="174">
        <v>0</v>
      </c>
      <c r="O1422" s="15">
        <v>0.1</v>
      </c>
      <c r="Q1422" s="11">
        <v>9.1</v>
      </c>
      <c r="R1422" s="11">
        <v>32.5</v>
      </c>
      <c r="T1422" s="161">
        <f t="shared" si="365"/>
        <v>10737.45</v>
      </c>
      <c r="U1422" s="161">
        <f t="shared" si="364"/>
        <v>0</v>
      </c>
      <c r="V1422" s="161">
        <f t="shared" si="362"/>
        <v>21474.9</v>
      </c>
      <c r="W1422" s="161">
        <f t="shared" si="363"/>
        <v>8589.9600000000009</v>
      </c>
    </row>
    <row r="1423" spans="1:23" ht="12.75" customHeight="1">
      <c r="A1423" s="118">
        <v>1422</v>
      </c>
      <c r="B1423" s="11">
        <v>17</v>
      </c>
      <c r="C1423" s="156">
        <v>37773</v>
      </c>
      <c r="D1423" s="157" t="s">
        <v>49</v>
      </c>
      <c r="E1423" s="8">
        <v>2003</v>
      </c>
      <c r="F1423" s="158">
        <f t="shared" si="360"/>
        <v>547</v>
      </c>
      <c r="G1423" s="158">
        <f t="shared" si="361"/>
        <v>2</v>
      </c>
      <c r="H1423" s="162">
        <v>37226</v>
      </c>
      <c r="I1423" s="194">
        <v>214399</v>
      </c>
      <c r="J1423" s="15">
        <v>0.1</v>
      </c>
      <c r="K1423" s="15">
        <v>0.1</v>
      </c>
      <c r="L1423" s="15">
        <v>0</v>
      </c>
      <c r="O1423" s="15">
        <v>0.5</v>
      </c>
      <c r="Q1423" s="11">
        <v>9.6999999999999993</v>
      </c>
      <c r="R1423" s="11">
        <v>33</v>
      </c>
      <c r="S1423" s="155" t="s">
        <v>372</v>
      </c>
      <c r="T1423" s="161">
        <f t="shared" si="365"/>
        <v>21439.9</v>
      </c>
      <c r="U1423" s="161">
        <f t="shared" si="364"/>
        <v>0</v>
      </c>
      <c r="V1423" s="161">
        <f t="shared" si="362"/>
        <v>107199.5</v>
      </c>
      <c r="W1423" s="161">
        <f t="shared" si="363"/>
        <v>42879.8</v>
      </c>
    </row>
    <row r="1424" spans="1:23" ht="12.75" customHeight="1">
      <c r="A1424" s="118">
        <v>1423</v>
      </c>
      <c r="B1424" s="11">
        <v>17</v>
      </c>
      <c r="C1424" s="156">
        <v>37803</v>
      </c>
      <c r="D1424" s="157" t="s">
        <v>50</v>
      </c>
      <c r="E1424" s="8">
        <v>2003</v>
      </c>
      <c r="F1424" s="158">
        <f t="shared" si="360"/>
        <v>577</v>
      </c>
      <c r="G1424" s="158">
        <f t="shared" si="361"/>
        <v>2</v>
      </c>
      <c r="H1424" s="162">
        <v>37226</v>
      </c>
      <c r="I1424" s="194">
        <v>111231</v>
      </c>
      <c r="L1424" s="165">
        <v>1</v>
      </c>
      <c r="N1424" s="528" t="s">
        <v>795</v>
      </c>
      <c r="O1424" s="165">
        <v>1</v>
      </c>
      <c r="U1424" s="161">
        <f t="shared" si="364"/>
        <v>111231</v>
      </c>
      <c r="V1424" s="161">
        <f t="shared" si="362"/>
        <v>111231</v>
      </c>
      <c r="W1424" s="161">
        <f t="shared" si="363"/>
        <v>44492.4</v>
      </c>
    </row>
    <row r="1425" spans="1:19" ht="12.75" customHeight="1">
      <c r="A1425" s="118">
        <v>1424</v>
      </c>
      <c r="B1425" s="11">
        <v>17</v>
      </c>
      <c r="C1425" s="156">
        <v>37834</v>
      </c>
      <c r="D1425" s="157" t="s">
        <v>51</v>
      </c>
      <c r="E1425" s="8">
        <v>2003</v>
      </c>
      <c r="F1425" s="158"/>
      <c r="G1425" s="158"/>
      <c r="H1425" s="162"/>
      <c r="I1425" s="194"/>
      <c r="S1425" s="155" t="s">
        <v>13</v>
      </c>
    </row>
    <row r="1426" spans="1:19" ht="12.75" customHeight="1">
      <c r="A1426" s="118">
        <v>1425</v>
      </c>
      <c r="B1426" s="11">
        <v>17</v>
      </c>
      <c r="C1426" s="156">
        <v>37865</v>
      </c>
      <c r="D1426" s="157" t="s">
        <v>52</v>
      </c>
      <c r="E1426" s="8">
        <v>2003</v>
      </c>
      <c r="F1426" s="158"/>
      <c r="H1426" s="162"/>
      <c r="I1426" s="194"/>
    </row>
    <row r="1427" spans="1:19" ht="12.75" customHeight="1">
      <c r="A1427" s="118">
        <v>1426</v>
      </c>
      <c r="B1427" s="11">
        <v>17</v>
      </c>
      <c r="C1427" s="156">
        <v>37895</v>
      </c>
      <c r="D1427" s="157" t="s">
        <v>53</v>
      </c>
      <c r="E1427" s="8">
        <v>2003</v>
      </c>
      <c r="F1427" s="158"/>
      <c r="H1427" s="162"/>
      <c r="I1427" s="194"/>
    </row>
    <row r="1428" spans="1:19" ht="12.75" customHeight="1">
      <c r="A1428" s="118">
        <v>1427</v>
      </c>
      <c r="B1428" s="11">
        <v>17</v>
      </c>
      <c r="C1428" s="156">
        <v>37926</v>
      </c>
      <c r="D1428" s="157" t="s">
        <v>54</v>
      </c>
      <c r="E1428" s="8">
        <v>2003</v>
      </c>
      <c r="F1428" s="158"/>
      <c r="H1428" s="162"/>
      <c r="I1428" s="194"/>
    </row>
    <row r="1429" spans="1:19" ht="12.75" customHeight="1">
      <c r="A1429" s="118">
        <v>1428</v>
      </c>
      <c r="B1429" s="11">
        <v>17</v>
      </c>
      <c r="C1429" s="156">
        <v>37956</v>
      </c>
      <c r="D1429" s="157" t="s">
        <v>55</v>
      </c>
      <c r="E1429" s="8">
        <v>2003</v>
      </c>
      <c r="F1429" s="158"/>
      <c r="H1429" s="162"/>
      <c r="I1429" s="194"/>
    </row>
    <row r="1430" spans="1:19" ht="12.75" customHeight="1">
      <c r="A1430" s="118">
        <v>1429</v>
      </c>
      <c r="B1430" s="11">
        <v>17</v>
      </c>
      <c r="C1430" s="156">
        <v>37987</v>
      </c>
      <c r="D1430" s="157" t="s">
        <v>44</v>
      </c>
      <c r="E1430" s="8">
        <v>2004</v>
      </c>
      <c r="F1430" s="158"/>
      <c r="H1430" s="162"/>
      <c r="I1430" s="194"/>
    </row>
    <row r="1431" spans="1:19" ht="12.75" customHeight="1">
      <c r="A1431" s="118">
        <v>1430</v>
      </c>
      <c r="B1431" s="11">
        <v>17</v>
      </c>
      <c r="C1431" s="156">
        <v>38018</v>
      </c>
      <c r="D1431" s="157" t="s">
        <v>45</v>
      </c>
      <c r="E1431" s="8">
        <v>2004</v>
      </c>
      <c r="F1431" s="158"/>
      <c r="H1431" s="162"/>
      <c r="I1431" s="194"/>
    </row>
    <row r="1432" spans="1:19" ht="12.75" customHeight="1">
      <c r="A1432" s="118">
        <v>1431</v>
      </c>
      <c r="B1432" s="11">
        <v>17</v>
      </c>
      <c r="C1432" s="156">
        <v>38047</v>
      </c>
      <c r="D1432" s="157" t="s">
        <v>46</v>
      </c>
      <c r="E1432" s="8">
        <v>2004</v>
      </c>
      <c r="F1432" s="158"/>
      <c r="H1432" s="162"/>
      <c r="I1432" s="194"/>
    </row>
    <row r="1433" spans="1:19" ht="12.75" customHeight="1">
      <c r="A1433" s="118">
        <v>1432</v>
      </c>
      <c r="B1433" s="11">
        <v>17</v>
      </c>
      <c r="C1433" s="156">
        <v>38078</v>
      </c>
      <c r="D1433" s="157" t="s">
        <v>47</v>
      </c>
      <c r="E1433" s="8">
        <v>2004</v>
      </c>
      <c r="F1433" s="158"/>
      <c r="H1433" s="162"/>
      <c r="I1433" s="194"/>
    </row>
    <row r="1434" spans="1:19" ht="12.75" customHeight="1">
      <c r="A1434" s="118">
        <v>1433</v>
      </c>
      <c r="B1434" s="11">
        <v>17</v>
      </c>
      <c r="C1434" s="156">
        <v>38108</v>
      </c>
      <c r="D1434" s="157" t="s">
        <v>48</v>
      </c>
      <c r="E1434" s="8">
        <v>2004</v>
      </c>
      <c r="F1434" s="158"/>
      <c r="H1434" s="162"/>
      <c r="I1434" s="194"/>
    </row>
    <row r="1435" spans="1:19" ht="12.75" customHeight="1">
      <c r="A1435" s="118">
        <v>1434</v>
      </c>
      <c r="B1435" s="11">
        <v>17</v>
      </c>
      <c r="C1435" s="156">
        <v>38139</v>
      </c>
      <c r="D1435" s="157" t="s">
        <v>49</v>
      </c>
      <c r="E1435" s="8">
        <v>2004</v>
      </c>
      <c r="F1435" s="158"/>
      <c r="H1435" s="162"/>
      <c r="I1435" s="194"/>
    </row>
    <row r="1436" spans="1:19" ht="12.75" customHeight="1">
      <c r="A1436" s="118">
        <v>1435</v>
      </c>
      <c r="B1436" s="11">
        <v>17</v>
      </c>
      <c r="C1436" s="156">
        <v>38169</v>
      </c>
      <c r="D1436" s="157" t="s">
        <v>50</v>
      </c>
      <c r="E1436" s="8">
        <v>2004</v>
      </c>
      <c r="F1436" s="158"/>
      <c r="H1436" s="162"/>
      <c r="I1436" s="194"/>
    </row>
    <row r="1437" spans="1:19" ht="12.75" customHeight="1">
      <c r="A1437" s="118">
        <v>1436</v>
      </c>
      <c r="B1437" s="11">
        <v>17</v>
      </c>
      <c r="C1437" s="156">
        <v>38200</v>
      </c>
      <c r="D1437" s="157" t="s">
        <v>51</v>
      </c>
      <c r="E1437" s="8">
        <v>2004</v>
      </c>
      <c r="F1437" s="158"/>
      <c r="H1437" s="162"/>
      <c r="I1437" s="194"/>
    </row>
    <row r="1438" spans="1:19" ht="12.75" customHeight="1">
      <c r="A1438" s="118">
        <v>1437</v>
      </c>
      <c r="B1438" s="11">
        <v>17</v>
      </c>
      <c r="C1438" s="156">
        <v>38231</v>
      </c>
      <c r="D1438" s="157" t="s">
        <v>52</v>
      </c>
      <c r="E1438" s="8">
        <v>2004</v>
      </c>
      <c r="F1438" s="158"/>
      <c r="H1438" s="162"/>
      <c r="I1438" s="194"/>
    </row>
    <row r="1439" spans="1:19" ht="12.75" customHeight="1">
      <c r="A1439" s="118">
        <v>1438</v>
      </c>
      <c r="B1439" s="11">
        <v>17</v>
      </c>
      <c r="C1439" s="156">
        <v>38261</v>
      </c>
      <c r="D1439" s="157" t="s">
        <v>53</v>
      </c>
      <c r="E1439" s="8">
        <v>2004</v>
      </c>
      <c r="F1439" s="158"/>
      <c r="H1439" s="162"/>
      <c r="I1439" s="194"/>
    </row>
    <row r="1440" spans="1:19" ht="12.75" customHeight="1">
      <c r="A1440" s="118">
        <v>1439</v>
      </c>
      <c r="B1440" s="11">
        <v>17</v>
      </c>
      <c r="C1440" s="156">
        <v>38292</v>
      </c>
      <c r="D1440" s="157" t="s">
        <v>54</v>
      </c>
      <c r="E1440" s="8">
        <v>2004</v>
      </c>
      <c r="F1440" s="158"/>
      <c r="H1440" s="162"/>
      <c r="I1440" s="194"/>
    </row>
    <row r="1441" spans="1:23" ht="12.75" customHeight="1">
      <c r="A1441" s="118">
        <v>1440</v>
      </c>
      <c r="B1441" s="11">
        <v>17</v>
      </c>
      <c r="C1441" s="156">
        <v>38322</v>
      </c>
      <c r="D1441" s="157" t="s">
        <v>55</v>
      </c>
      <c r="E1441" s="8">
        <v>2004</v>
      </c>
      <c r="F1441" s="158">
        <f t="shared" ref="F1441:F1450" si="366">C1441-H1441</f>
        <v>0</v>
      </c>
      <c r="G1441" s="158">
        <f t="shared" ref="G1441:G1450" si="367">IF(F1441&lt;365,1,2)</f>
        <v>1</v>
      </c>
      <c r="H1441" s="162">
        <v>38322</v>
      </c>
      <c r="I1441" s="194">
        <v>47153</v>
      </c>
      <c r="L1441" s="165">
        <v>0</v>
      </c>
      <c r="N1441" s="528" t="s">
        <v>794</v>
      </c>
      <c r="O1441" s="15">
        <v>0</v>
      </c>
      <c r="U1441" s="161">
        <f t="shared" ref="U1441:U1450" si="368">$I1441*L1441</f>
        <v>0</v>
      </c>
      <c r="V1441" s="161">
        <f t="shared" ref="V1441:V1450" si="369">$I1441*O1441</f>
        <v>0</v>
      </c>
      <c r="W1441" s="161">
        <f t="shared" ref="W1441:W1450" si="370">V1441*0.4</f>
        <v>0</v>
      </c>
    </row>
    <row r="1442" spans="1:23" ht="12.75" customHeight="1">
      <c r="A1442" s="118">
        <v>1441</v>
      </c>
      <c r="B1442" s="11">
        <v>17</v>
      </c>
      <c r="C1442" s="156">
        <v>38353</v>
      </c>
      <c r="D1442" s="157" t="s">
        <v>44</v>
      </c>
      <c r="E1442" s="8">
        <v>2005</v>
      </c>
      <c r="F1442" s="158">
        <f t="shared" si="366"/>
        <v>31</v>
      </c>
      <c r="G1442" s="158">
        <f t="shared" si="367"/>
        <v>1</v>
      </c>
      <c r="H1442" s="162">
        <v>38322</v>
      </c>
      <c r="I1442" s="194">
        <v>342250</v>
      </c>
      <c r="J1442" s="15">
        <v>1.67</v>
      </c>
      <c r="K1442" s="15">
        <v>0.17</v>
      </c>
      <c r="L1442" s="15">
        <v>0</v>
      </c>
      <c r="O1442" s="15">
        <v>0.17</v>
      </c>
      <c r="Q1442" s="11">
        <v>7</v>
      </c>
      <c r="R1442" s="11">
        <v>33</v>
      </c>
      <c r="T1442" s="161">
        <f t="shared" ref="T1442:T1450" si="371">$I1442*K1442</f>
        <v>58182.500000000007</v>
      </c>
      <c r="U1442" s="161">
        <f t="shared" si="368"/>
        <v>0</v>
      </c>
      <c r="V1442" s="161">
        <f t="shared" si="369"/>
        <v>58182.500000000007</v>
      </c>
      <c r="W1442" s="161">
        <f t="shared" si="370"/>
        <v>23273.000000000004</v>
      </c>
    </row>
    <row r="1443" spans="1:23" ht="12.75" customHeight="1">
      <c r="A1443" s="118">
        <v>1442</v>
      </c>
      <c r="B1443" s="11">
        <v>17</v>
      </c>
      <c r="C1443" s="156">
        <v>38384</v>
      </c>
      <c r="D1443" s="157" t="s">
        <v>45</v>
      </c>
      <c r="E1443" s="8">
        <v>2005</v>
      </c>
      <c r="F1443" s="158">
        <f t="shared" si="366"/>
        <v>62</v>
      </c>
      <c r="G1443" s="158">
        <f t="shared" si="367"/>
        <v>1</v>
      </c>
      <c r="H1443" s="162">
        <v>38322</v>
      </c>
      <c r="I1443" s="194">
        <v>500000</v>
      </c>
      <c r="J1443" s="15">
        <v>2.78</v>
      </c>
      <c r="K1443" s="15">
        <v>0.42</v>
      </c>
      <c r="L1443" s="15">
        <v>0.02</v>
      </c>
      <c r="M1443" s="174">
        <v>0</v>
      </c>
      <c r="O1443" s="15">
        <v>0.42</v>
      </c>
      <c r="Q1443" s="11">
        <v>8</v>
      </c>
      <c r="R1443" s="11">
        <v>32</v>
      </c>
      <c r="T1443" s="161">
        <f t="shared" si="371"/>
        <v>210000</v>
      </c>
      <c r="U1443" s="161">
        <f t="shared" si="368"/>
        <v>10000</v>
      </c>
      <c r="V1443" s="161">
        <f t="shared" si="369"/>
        <v>210000</v>
      </c>
      <c r="W1443" s="161">
        <f t="shared" si="370"/>
        <v>84000</v>
      </c>
    </row>
    <row r="1444" spans="1:23" ht="12.75" customHeight="1">
      <c r="A1444" s="118">
        <v>1443</v>
      </c>
      <c r="B1444" s="11">
        <v>17</v>
      </c>
      <c r="C1444" s="156">
        <v>38412</v>
      </c>
      <c r="D1444" s="157" t="s">
        <v>46</v>
      </c>
      <c r="E1444" s="8">
        <v>2005</v>
      </c>
      <c r="F1444" s="158">
        <f t="shared" si="366"/>
        <v>90</v>
      </c>
      <c r="G1444" s="158">
        <f t="shared" si="367"/>
        <v>1</v>
      </c>
      <c r="H1444" s="162">
        <v>38322</v>
      </c>
      <c r="I1444" s="194">
        <v>655000</v>
      </c>
      <c r="J1444" s="15">
        <v>1.29</v>
      </c>
      <c r="K1444" s="15">
        <v>0.61</v>
      </c>
      <c r="L1444" s="15">
        <v>0.1</v>
      </c>
      <c r="M1444" s="174">
        <v>0</v>
      </c>
      <c r="O1444" s="15">
        <v>0.43</v>
      </c>
      <c r="Q1444" s="11">
        <v>8</v>
      </c>
      <c r="R1444" s="11">
        <v>32</v>
      </c>
      <c r="T1444" s="161">
        <f t="shared" si="371"/>
        <v>399550</v>
      </c>
      <c r="U1444" s="161">
        <f t="shared" si="368"/>
        <v>65500</v>
      </c>
      <c r="V1444" s="161">
        <f t="shared" si="369"/>
        <v>281650</v>
      </c>
      <c r="W1444" s="161">
        <f t="shared" si="370"/>
        <v>112660</v>
      </c>
    </row>
    <row r="1445" spans="1:23" ht="12.75" customHeight="1">
      <c r="A1445" s="118">
        <v>1444</v>
      </c>
      <c r="B1445" s="11">
        <v>17</v>
      </c>
      <c r="C1445" s="181">
        <v>38443</v>
      </c>
      <c r="D1445" s="157" t="s">
        <v>47</v>
      </c>
      <c r="E1445" s="8">
        <v>2005</v>
      </c>
      <c r="F1445" s="158">
        <f t="shared" si="366"/>
        <v>121</v>
      </c>
      <c r="G1445" s="158">
        <f t="shared" si="367"/>
        <v>1</v>
      </c>
      <c r="H1445" s="172">
        <v>38322</v>
      </c>
      <c r="I1445" s="194">
        <v>622000</v>
      </c>
      <c r="J1445" s="173">
        <v>3.6</v>
      </c>
      <c r="K1445" s="173">
        <v>0.98</v>
      </c>
      <c r="L1445" s="173">
        <v>0.05</v>
      </c>
      <c r="M1445" s="174">
        <v>0</v>
      </c>
      <c r="O1445" s="173">
        <v>0.38</v>
      </c>
      <c r="P1445" s="170"/>
      <c r="Q1445" s="128">
        <v>8</v>
      </c>
      <c r="R1445" s="128">
        <v>31</v>
      </c>
      <c r="S1445" s="180"/>
      <c r="T1445" s="161">
        <f t="shared" si="371"/>
        <v>609560</v>
      </c>
      <c r="U1445" s="161">
        <f t="shared" si="368"/>
        <v>31100</v>
      </c>
      <c r="V1445" s="161">
        <f t="shared" si="369"/>
        <v>236360</v>
      </c>
      <c r="W1445" s="161">
        <f t="shared" si="370"/>
        <v>94544</v>
      </c>
    </row>
    <row r="1446" spans="1:23" ht="12.75" customHeight="1">
      <c r="A1446" s="118">
        <v>1445</v>
      </c>
      <c r="B1446" s="11">
        <v>17</v>
      </c>
      <c r="C1446" s="181">
        <v>38473</v>
      </c>
      <c r="D1446" s="157" t="s">
        <v>48</v>
      </c>
      <c r="E1446" s="8">
        <v>2005</v>
      </c>
      <c r="F1446" s="158">
        <f t="shared" si="366"/>
        <v>151</v>
      </c>
      <c r="G1446" s="158">
        <f t="shared" si="367"/>
        <v>1</v>
      </c>
      <c r="H1446" s="172">
        <v>38322</v>
      </c>
      <c r="I1446" s="194">
        <v>613000</v>
      </c>
      <c r="J1446" s="173">
        <v>2.96</v>
      </c>
      <c r="K1446" s="173">
        <v>1.32</v>
      </c>
      <c r="L1446" s="173">
        <v>0.17</v>
      </c>
      <c r="M1446" s="174">
        <v>0</v>
      </c>
      <c r="O1446" s="173">
        <v>0.87</v>
      </c>
      <c r="P1446" s="170"/>
      <c r="Q1446" s="128">
        <v>10</v>
      </c>
      <c r="R1446" s="128">
        <v>32</v>
      </c>
      <c r="S1446" s="180"/>
      <c r="T1446" s="161">
        <f t="shared" si="371"/>
        <v>809160</v>
      </c>
      <c r="U1446" s="161">
        <f t="shared" si="368"/>
        <v>104210.00000000001</v>
      </c>
      <c r="V1446" s="161">
        <f t="shared" si="369"/>
        <v>533310</v>
      </c>
      <c r="W1446" s="161">
        <f t="shared" si="370"/>
        <v>213324</v>
      </c>
    </row>
    <row r="1447" spans="1:23" ht="12.75" customHeight="1">
      <c r="A1447" s="118">
        <v>1446</v>
      </c>
      <c r="B1447" s="11">
        <v>17</v>
      </c>
      <c r="C1447" s="181">
        <v>38504</v>
      </c>
      <c r="D1447" s="157" t="s">
        <v>49</v>
      </c>
      <c r="E1447" s="8">
        <v>2005</v>
      </c>
      <c r="F1447" s="158">
        <f t="shared" si="366"/>
        <v>182</v>
      </c>
      <c r="G1447" s="158">
        <f t="shared" si="367"/>
        <v>1</v>
      </c>
      <c r="H1447" s="172">
        <v>38322</v>
      </c>
      <c r="I1447" s="194">
        <v>605000</v>
      </c>
      <c r="J1447" s="173">
        <v>2.48</v>
      </c>
      <c r="K1447" s="173">
        <v>1.2</v>
      </c>
      <c r="L1447" s="173">
        <v>0.18</v>
      </c>
      <c r="M1447" s="174">
        <v>0</v>
      </c>
      <c r="O1447" s="173">
        <v>0.62</v>
      </c>
      <c r="P1447" s="170"/>
      <c r="Q1447" s="128">
        <v>10</v>
      </c>
      <c r="R1447" s="128">
        <v>30</v>
      </c>
      <c r="S1447" s="180"/>
      <c r="T1447" s="161">
        <f t="shared" si="371"/>
        <v>726000</v>
      </c>
      <c r="U1447" s="161">
        <f t="shared" si="368"/>
        <v>108900</v>
      </c>
      <c r="V1447" s="161">
        <f t="shared" si="369"/>
        <v>375100</v>
      </c>
      <c r="W1447" s="161">
        <f t="shared" si="370"/>
        <v>150040</v>
      </c>
    </row>
    <row r="1448" spans="1:23" ht="12.75" customHeight="1">
      <c r="A1448" s="118">
        <v>1447</v>
      </c>
      <c r="B1448" s="11">
        <v>17</v>
      </c>
      <c r="C1448" s="181">
        <v>38534</v>
      </c>
      <c r="D1448" s="157" t="s">
        <v>50</v>
      </c>
      <c r="E1448" s="8">
        <v>2005</v>
      </c>
      <c r="F1448" s="158">
        <f t="shared" si="366"/>
        <v>212</v>
      </c>
      <c r="G1448" s="158">
        <f t="shared" si="367"/>
        <v>1</v>
      </c>
      <c r="H1448" s="172">
        <v>38322</v>
      </c>
      <c r="I1448" s="194">
        <v>600000</v>
      </c>
      <c r="J1448" s="173">
        <v>0.67</v>
      </c>
      <c r="K1448" s="173">
        <v>0.8</v>
      </c>
      <c r="L1448" s="173">
        <v>0.22</v>
      </c>
      <c r="M1448" s="174">
        <v>2</v>
      </c>
      <c r="O1448" s="173">
        <v>0.8</v>
      </c>
      <c r="P1448" s="170">
        <v>1</v>
      </c>
      <c r="Q1448" s="128">
        <v>11</v>
      </c>
      <c r="R1448" s="128">
        <v>28</v>
      </c>
      <c r="S1448" s="140"/>
      <c r="T1448" s="161">
        <f t="shared" si="371"/>
        <v>480000</v>
      </c>
      <c r="U1448" s="161">
        <f t="shared" si="368"/>
        <v>132000</v>
      </c>
      <c r="V1448" s="161">
        <f t="shared" si="369"/>
        <v>480000</v>
      </c>
      <c r="W1448" s="161">
        <f t="shared" si="370"/>
        <v>192000</v>
      </c>
    </row>
    <row r="1449" spans="1:23" ht="12.75" customHeight="1">
      <c r="A1449" s="118">
        <v>1448</v>
      </c>
      <c r="B1449" s="11">
        <v>17</v>
      </c>
      <c r="C1449" s="181">
        <v>38565</v>
      </c>
      <c r="D1449" s="157" t="s">
        <v>51</v>
      </c>
      <c r="E1449" s="8">
        <v>2005</v>
      </c>
      <c r="F1449" s="158">
        <f t="shared" si="366"/>
        <v>243</v>
      </c>
      <c r="G1449" s="158">
        <f t="shared" si="367"/>
        <v>1</v>
      </c>
      <c r="H1449" s="172">
        <v>38322</v>
      </c>
      <c r="I1449" s="194">
        <v>64773</v>
      </c>
      <c r="J1449" s="173">
        <v>7.0000000000000007E-2</v>
      </c>
      <c r="K1449" s="173">
        <v>0.4</v>
      </c>
      <c r="L1449" s="173">
        <v>0.02</v>
      </c>
      <c r="M1449" s="174">
        <v>0</v>
      </c>
      <c r="O1449" s="173">
        <v>0</v>
      </c>
      <c r="P1449" s="170"/>
      <c r="Q1449" s="128"/>
      <c r="R1449" s="128"/>
      <c r="S1449" s="180" t="s">
        <v>307</v>
      </c>
      <c r="T1449" s="161">
        <f t="shared" si="371"/>
        <v>25909.200000000001</v>
      </c>
      <c r="U1449" s="161">
        <f t="shared" si="368"/>
        <v>1295.46</v>
      </c>
      <c r="V1449" s="161">
        <f t="shared" si="369"/>
        <v>0</v>
      </c>
      <c r="W1449" s="161">
        <f t="shared" si="370"/>
        <v>0</v>
      </c>
    </row>
    <row r="1450" spans="1:23">
      <c r="A1450" s="118">
        <v>1449</v>
      </c>
      <c r="B1450" s="11">
        <v>17</v>
      </c>
      <c r="C1450" s="181">
        <v>38596</v>
      </c>
      <c r="D1450" s="157" t="s">
        <v>52</v>
      </c>
      <c r="E1450" s="8">
        <v>2005</v>
      </c>
      <c r="F1450" s="158">
        <f t="shared" si="366"/>
        <v>274</v>
      </c>
      <c r="G1450" s="158">
        <f t="shared" si="367"/>
        <v>1</v>
      </c>
      <c r="H1450" s="172">
        <v>38322</v>
      </c>
      <c r="I1450" s="248">
        <v>10000</v>
      </c>
      <c r="J1450" s="173">
        <v>0.38</v>
      </c>
      <c r="K1450" s="173">
        <v>0</v>
      </c>
      <c r="L1450" s="173">
        <v>0</v>
      </c>
      <c r="O1450" s="173">
        <v>0.05</v>
      </c>
      <c r="P1450" s="170"/>
      <c r="Q1450" s="128">
        <v>10</v>
      </c>
      <c r="R1450" s="128">
        <v>33</v>
      </c>
      <c r="S1450" s="180"/>
      <c r="T1450" s="161">
        <f t="shared" si="371"/>
        <v>0</v>
      </c>
      <c r="U1450" s="161">
        <f t="shared" si="368"/>
        <v>0</v>
      </c>
      <c r="V1450" s="161">
        <f t="shared" si="369"/>
        <v>500</v>
      </c>
      <c r="W1450" s="161">
        <f t="shared" si="370"/>
        <v>200</v>
      </c>
    </row>
    <row r="1451" spans="1:23" ht="12.75" customHeight="1">
      <c r="A1451" s="118">
        <v>1450</v>
      </c>
      <c r="B1451" s="11">
        <v>17</v>
      </c>
      <c r="C1451" s="181">
        <v>38626</v>
      </c>
      <c r="D1451" s="157" t="s">
        <v>53</v>
      </c>
      <c r="E1451" s="8">
        <v>2005</v>
      </c>
      <c r="F1451" s="158"/>
      <c r="G1451" s="128"/>
      <c r="H1451" s="172"/>
      <c r="I1451" s="194"/>
      <c r="J1451" s="173"/>
      <c r="K1451" s="173"/>
      <c r="L1451" s="173"/>
      <c r="O1451" s="173"/>
      <c r="P1451" s="170"/>
      <c r="Q1451" s="128"/>
      <c r="R1451" s="128"/>
      <c r="S1451" s="180"/>
      <c r="T1451" s="173"/>
      <c r="U1451" s="171"/>
      <c r="V1451" s="173"/>
      <c r="W1451" s="161"/>
    </row>
    <row r="1452" spans="1:23">
      <c r="A1452" s="118">
        <v>1451</v>
      </c>
      <c r="B1452" s="11">
        <v>17</v>
      </c>
      <c r="C1452" s="181">
        <v>38657</v>
      </c>
      <c r="D1452" s="157" t="s">
        <v>54</v>
      </c>
      <c r="E1452" s="8">
        <v>2005</v>
      </c>
      <c r="F1452" s="158">
        <f t="shared" ref="F1452:F1460" si="372">C1452-H1452</f>
        <v>0</v>
      </c>
      <c r="G1452" s="158">
        <f t="shared" ref="G1452:G1460" si="373">IF(F1452&lt;365,1,2)</f>
        <v>1</v>
      </c>
      <c r="H1452" s="172">
        <v>38657</v>
      </c>
      <c r="I1452" s="194">
        <v>168580</v>
      </c>
      <c r="J1452" s="173"/>
      <c r="K1452" s="173"/>
      <c r="L1452" s="165">
        <v>0</v>
      </c>
      <c r="N1452" s="528" t="s">
        <v>794</v>
      </c>
      <c r="O1452" s="165">
        <v>0</v>
      </c>
      <c r="P1452" s="170"/>
      <c r="Q1452" s="128"/>
      <c r="R1452" s="128"/>
      <c r="S1452" s="180" t="s">
        <v>11</v>
      </c>
      <c r="T1452" s="173"/>
      <c r="U1452" s="161">
        <f t="shared" ref="U1452:U1460" si="374">$I1452*L1452</f>
        <v>0</v>
      </c>
      <c r="V1452" s="161">
        <f t="shared" ref="V1452:V1460" si="375">$I1452*O1452</f>
        <v>0</v>
      </c>
      <c r="W1452" s="161">
        <f t="shared" ref="W1452:W1460" si="376">V1452*0.4</f>
        <v>0</v>
      </c>
    </row>
    <row r="1453" spans="1:23">
      <c r="A1453" s="118">
        <v>1452</v>
      </c>
      <c r="B1453" s="11">
        <v>17</v>
      </c>
      <c r="C1453" s="181">
        <v>38687</v>
      </c>
      <c r="D1453" s="157" t="s">
        <v>55</v>
      </c>
      <c r="E1453" s="8">
        <v>2005</v>
      </c>
      <c r="F1453" s="158">
        <f t="shared" si="372"/>
        <v>30</v>
      </c>
      <c r="G1453" s="158">
        <f t="shared" si="373"/>
        <v>1</v>
      </c>
      <c r="H1453" s="172">
        <v>38657</v>
      </c>
      <c r="I1453" s="194">
        <v>701534</v>
      </c>
      <c r="J1453" s="173"/>
      <c r="K1453" s="173"/>
      <c r="L1453" s="165">
        <v>0</v>
      </c>
      <c r="N1453" s="528" t="s">
        <v>794</v>
      </c>
      <c r="O1453" s="165">
        <v>0.06</v>
      </c>
      <c r="U1453" s="161">
        <f t="shared" si="374"/>
        <v>0</v>
      </c>
      <c r="V1453" s="161">
        <f t="shared" si="375"/>
        <v>42092.04</v>
      </c>
      <c r="W1453" s="161">
        <f t="shared" si="376"/>
        <v>16836.816000000003</v>
      </c>
    </row>
    <row r="1454" spans="1:23">
      <c r="A1454" s="118">
        <v>1453</v>
      </c>
      <c r="B1454" s="11">
        <v>17</v>
      </c>
      <c r="C1454" s="181">
        <v>38718</v>
      </c>
      <c r="D1454" s="157" t="s">
        <v>44</v>
      </c>
      <c r="E1454" s="8">
        <v>2006</v>
      </c>
      <c r="F1454" s="158">
        <f t="shared" si="372"/>
        <v>61</v>
      </c>
      <c r="G1454" s="158">
        <f t="shared" si="373"/>
        <v>1</v>
      </c>
      <c r="H1454" s="172">
        <v>38657</v>
      </c>
      <c r="I1454" s="194">
        <v>1223413</v>
      </c>
      <c r="J1454" s="173">
        <v>0.18</v>
      </c>
      <c r="K1454" s="173">
        <v>0.4</v>
      </c>
      <c r="L1454" s="173">
        <v>0</v>
      </c>
      <c r="O1454" s="173">
        <v>0.13</v>
      </c>
      <c r="P1454" s="170"/>
      <c r="Q1454" s="128">
        <v>8</v>
      </c>
      <c r="R1454" s="128">
        <v>33</v>
      </c>
      <c r="S1454" s="180"/>
      <c r="T1454" s="161">
        <f t="shared" ref="T1454:T1460" si="377">$I1454*K1454</f>
        <v>489365.2</v>
      </c>
      <c r="U1454" s="161">
        <f t="shared" si="374"/>
        <v>0</v>
      </c>
      <c r="V1454" s="161">
        <f t="shared" si="375"/>
        <v>159043.69</v>
      </c>
      <c r="W1454" s="161">
        <f t="shared" si="376"/>
        <v>63617.476000000002</v>
      </c>
    </row>
    <row r="1455" spans="1:23">
      <c r="A1455" s="118">
        <v>1454</v>
      </c>
      <c r="B1455" s="11">
        <v>17</v>
      </c>
      <c r="C1455" s="181">
        <v>38749</v>
      </c>
      <c r="D1455" s="157" t="s">
        <v>45</v>
      </c>
      <c r="E1455" s="8">
        <v>2006</v>
      </c>
      <c r="F1455" s="158">
        <f t="shared" si="372"/>
        <v>92</v>
      </c>
      <c r="G1455" s="158">
        <f t="shared" si="373"/>
        <v>1</v>
      </c>
      <c r="H1455" s="172">
        <v>38657</v>
      </c>
      <c r="I1455" s="194">
        <v>1162483</v>
      </c>
      <c r="J1455" s="173">
        <v>0.28000000000000003</v>
      </c>
      <c r="K1455" s="173">
        <v>0.54</v>
      </c>
      <c r="L1455" s="173">
        <v>0.11</v>
      </c>
      <c r="M1455" s="174">
        <v>0</v>
      </c>
      <c r="O1455" s="173">
        <v>0.11</v>
      </c>
      <c r="P1455" s="170"/>
      <c r="Q1455" s="128">
        <v>7</v>
      </c>
      <c r="R1455" s="128"/>
      <c r="S1455" s="180"/>
      <c r="T1455" s="161">
        <f t="shared" si="377"/>
        <v>627740.82000000007</v>
      </c>
      <c r="U1455" s="161">
        <f t="shared" si="374"/>
        <v>127873.13</v>
      </c>
      <c r="V1455" s="161">
        <f t="shared" si="375"/>
        <v>127873.13</v>
      </c>
      <c r="W1455" s="161">
        <f t="shared" si="376"/>
        <v>51149.252000000008</v>
      </c>
    </row>
    <row r="1456" spans="1:23">
      <c r="A1456" s="118">
        <v>1455</v>
      </c>
      <c r="B1456" s="11">
        <v>17</v>
      </c>
      <c r="C1456" s="181">
        <v>38777</v>
      </c>
      <c r="D1456" s="157" t="s">
        <v>46</v>
      </c>
      <c r="E1456" s="8">
        <v>2006</v>
      </c>
      <c r="F1456" s="158">
        <f t="shared" si="372"/>
        <v>120</v>
      </c>
      <c r="G1456" s="158">
        <f t="shared" si="373"/>
        <v>1</v>
      </c>
      <c r="H1456" s="172">
        <v>38657</v>
      </c>
      <c r="I1456" s="194">
        <v>1158423</v>
      </c>
      <c r="J1456" s="173">
        <v>0.55000000000000004</v>
      </c>
      <c r="K1456" s="173">
        <v>0.55000000000000004</v>
      </c>
      <c r="L1456" s="173">
        <v>0.03</v>
      </c>
      <c r="M1456" s="174">
        <v>0</v>
      </c>
      <c r="O1456" s="173">
        <v>0.27</v>
      </c>
      <c r="P1456" s="170"/>
      <c r="Q1456" s="128">
        <v>8</v>
      </c>
      <c r="R1456" s="128">
        <v>31</v>
      </c>
      <c r="S1456" s="180"/>
      <c r="T1456" s="161">
        <f t="shared" si="377"/>
        <v>637132.65</v>
      </c>
      <c r="U1456" s="161">
        <f t="shared" si="374"/>
        <v>34752.69</v>
      </c>
      <c r="V1456" s="161">
        <f t="shared" si="375"/>
        <v>312774.21000000002</v>
      </c>
      <c r="W1456" s="161">
        <f t="shared" si="376"/>
        <v>125109.68400000001</v>
      </c>
    </row>
    <row r="1457" spans="1:23">
      <c r="A1457" s="118">
        <v>1456</v>
      </c>
      <c r="B1457" s="11">
        <v>17</v>
      </c>
      <c r="C1457" s="181">
        <v>38808</v>
      </c>
      <c r="D1457" s="157" t="s">
        <v>47</v>
      </c>
      <c r="E1457" s="8">
        <v>2006</v>
      </c>
      <c r="F1457" s="158">
        <f t="shared" si="372"/>
        <v>151</v>
      </c>
      <c r="G1457" s="158">
        <f t="shared" si="373"/>
        <v>1</v>
      </c>
      <c r="H1457" s="172">
        <v>38657</v>
      </c>
      <c r="I1457" s="194">
        <v>1180669</v>
      </c>
      <c r="J1457" s="173">
        <v>0.27</v>
      </c>
      <c r="K1457" s="173">
        <v>0.43</v>
      </c>
      <c r="L1457" s="173">
        <v>0.03</v>
      </c>
      <c r="M1457" s="174">
        <v>0</v>
      </c>
      <c r="O1457" s="173">
        <v>0.08</v>
      </c>
      <c r="P1457" s="170"/>
      <c r="Q1457" s="128">
        <v>8</v>
      </c>
      <c r="R1457" s="128">
        <v>33</v>
      </c>
      <c r="S1457" s="180"/>
      <c r="T1457" s="161">
        <f t="shared" si="377"/>
        <v>507687.67</v>
      </c>
      <c r="U1457" s="161">
        <f t="shared" si="374"/>
        <v>35420.07</v>
      </c>
      <c r="V1457" s="161">
        <f t="shared" si="375"/>
        <v>94453.52</v>
      </c>
      <c r="W1457" s="161">
        <f t="shared" si="376"/>
        <v>37781.408000000003</v>
      </c>
    </row>
    <row r="1458" spans="1:23">
      <c r="A1458" s="118">
        <v>1457</v>
      </c>
      <c r="B1458" s="11">
        <v>17</v>
      </c>
      <c r="C1458" s="181">
        <v>38838</v>
      </c>
      <c r="D1458" s="157" t="s">
        <v>48</v>
      </c>
      <c r="E1458" s="8">
        <v>2006</v>
      </c>
      <c r="F1458" s="158">
        <f t="shared" si="372"/>
        <v>181</v>
      </c>
      <c r="G1458" s="158">
        <f t="shared" si="373"/>
        <v>1</v>
      </c>
      <c r="H1458" s="172">
        <v>38657</v>
      </c>
      <c r="I1458" s="194">
        <v>1167212</v>
      </c>
      <c r="J1458" s="173">
        <v>0.4</v>
      </c>
      <c r="K1458" s="173">
        <v>0.55000000000000004</v>
      </c>
      <c r="L1458" s="173">
        <v>0.08</v>
      </c>
      <c r="M1458" s="174">
        <v>0</v>
      </c>
      <c r="O1458" s="173">
        <v>0.04</v>
      </c>
      <c r="P1458" s="170"/>
      <c r="Q1458" s="128">
        <v>9</v>
      </c>
      <c r="R1458" s="128">
        <v>32</v>
      </c>
      <c r="S1458" s="180"/>
      <c r="T1458" s="161">
        <f t="shared" si="377"/>
        <v>641966.60000000009</v>
      </c>
      <c r="U1458" s="161">
        <f t="shared" si="374"/>
        <v>93376.960000000006</v>
      </c>
      <c r="V1458" s="161">
        <f t="shared" si="375"/>
        <v>46688.480000000003</v>
      </c>
      <c r="W1458" s="161">
        <f t="shared" si="376"/>
        <v>18675.392000000003</v>
      </c>
    </row>
    <row r="1459" spans="1:23">
      <c r="A1459" s="118">
        <v>1458</v>
      </c>
      <c r="B1459" s="11">
        <v>17</v>
      </c>
      <c r="C1459" s="181">
        <v>38869</v>
      </c>
      <c r="D1459" s="157" t="s">
        <v>49</v>
      </c>
      <c r="E1459" s="8">
        <v>2006</v>
      </c>
      <c r="F1459" s="158">
        <f t="shared" si="372"/>
        <v>212</v>
      </c>
      <c r="G1459" s="158">
        <f t="shared" si="373"/>
        <v>1</v>
      </c>
      <c r="H1459" s="172">
        <v>38657</v>
      </c>
      <c r="I1459" s="194">
        <v>1163063</v>
      </c>
      <c r="J1459" s="173">
        <v>0.13</v>
      </c>
      <c r="K1459" s="173">
        <v>0.48</v>
      </c>
      <c r="L1459" s="173">
        <v>7.0000000000000007E-2</v>
      </c>
      <c r="M1459" s="174">
        <v>0</v>
      </c>
      <c r="O1459" s="173">
        <v>0.13</v>
      </c>
      <c r="P1459" s="170"/>
      <c r="Q1459" s="128">
        <v>10</v>
      </c>
      <c r="R1459" s="128">
        <v>31</v>
      </c>
      <c r="S1459" s="180" t="s">
        <v>373</v>
      </c>
      <c r="T1459" s="161">
        <f t="shared" si="377"/>
        <v>558270.24</v>
      </c>
      <c r="U1459" s="161">
        <f t="shared" si="374"/>
        <v>81414.41</v>
      </c>
      <c r="V1459" s="161">
        <f t="shared" si="375"/>
        <v>151198.19</v>
      </c>
      <c r="W1459" s="161">
        <f t="shared" si="376"/>
        <v>60479.276000000005</v>
      </c>
    </row>
    <row r="1460" spans="1:23">
      <c r="A1460" s="118">
        <v>1459</v>
      </c>
      <c r="B1460" s="11">
        <v>17</v>
      </c>
      <c r="C1460" s="181">
        <v>38899</v>
      </c>
      <c r="D1460" s="157" t="s">
        <v>50</v>
      </c>
      <c r="E1460" s="8">
        <v>2006</v>
      </c>
      <c r="F1460" s="158">
        <f t="shared" si="372"/>
        <v>242</v>
      </c>
      <c r="G1460" s="158">
        <f t="shared" si="373"/>
        <v>1</v>
      </c>
      <c r="H1460" s="172">
        <v>38657</v>
      </c>
      <c r="I1460" s="194">
        <v>592907</v>
      </c>
      <c r="J1460" s="173">
        <v>0.17</v>
      </c>
      <c r="K1460" s="173">
        <v>0.47</v>
      </c>
      <c r="L1460" s="173">
        <v>7.0000000000000007E-2</v>
      </c>
      <c r="O1460" s="173">
        <v>0.22</v>
      </c>
      <c r="P1460" s="170"/>
      <c r="Q1460" s="128">
        <v>10</v>
      </c>
      <c r="R1460" s="128">
        <v>31</v>
      </c>
      <c r="S1460" s="180" t="s">
        <v>374</v>
      </c>
      <c r="T1460" s="161">
        <f t="shared" si="377"/>
        <v>278666.28999999998</v>
      </c>
      <c r="U1460" s="161">
        <f t="shared" si="374"/>
        <v>41503.490000000005</v>
      </c>
      <c r="V1460" s="161">
        <f t="shared" si="375"/>
        <v>130439.54</v>
      </c>
      <c r="W1460" s="161">
        <f t="shared" si="376"/>
        <v>52175.815999999999</v>
      </c>
    </row>
    <row r="1461" spans="1:23">
      <c r="A1461" s="118">
        <v>1460</v>
      </c>
      <c r="B1461" s="11">
        <v>17</v>
      </c>
      <c r="C1461" s="181">
        <v>38930</v>
      </c>
      <c r="D1461" s="157" t="s">
        <v>51</v>
      </c>
      <c r="E1461" s="8">
        <v>2006</v>
      </c>
      <c r="F1461" s="158"/>
      <c r="G1461" s="158"/>
      <c r="H1461" s="172"/>
      <c r="I1461" s="194"/>
      <c r="J1461" s="173"/>
      <c r="K1461" s="173"/>
      <c r="L1461" s="173"/>
      <c r="O1461" s="173"/>
      <c r="P1461" s="170"/>
      <c r="Q1461" s="128"/>
      <c r="R1461" s="128"/>
      <c r="S1461" s="180"/>
      <c r="T1461" s="173"/>
      <c r="U1461" s="171"/>
      <c r="V1461" s="173"/>
      <c r="W1461" s="161"/>
    </row>
    <row r="1462" spans="1:23">
      <c r="A1462" s="118">
        <v>1461</v>
      </c>
      <c r="B1462" s="11">
        <v>17</v>
      </c>
      <c r="C1462" s="181">
        <v>38961</v>
      </c>
      <c r="D1462" s="157" t="s">
        <v>52</v>
      </c>
      <c r="E1462" s="8">
        <v>2006</v>
      </c>
      <c r="F1462" s="158"/>
      <c r="G1462" s="128"/>
      <c r="H1462" s="172"/>
      <c r="I1462" s="194"/>
      <c r="J1462" s="173"/>
      <c r="K1462" s="173"/>
      <c r="L1462" s="173"/>
      <c r="O1462" s="173"/>
      <c r="P1462" s="170"/>
      <c r="Q1462" s="128"/>
      <c r="R1462" s="128"/>
      <c r="S1462" s="180"/>
      <c r="T1462" s="173"/>
      <c r="U1462" s="171"/>
      <c r="V1462" s="173"/>
      <c r="W1462" s="161"/>
    </row>
    <row r="1463" spans="1:23">
      <c r="A1463" s="118">
        <v>1462</v>
      </c>
      <c r="B1463" s="11">
        <v>17</v>
      </c>
      <c r="C1463" s="181">
        <v>38991</v>
      </c>
      <c r="D1463" s="157" t="s">
        <v>53</v>
      </c>
      <c r="E1463" s="8">
        <v>2006</v>
      </c>
      <c r="F1463" s="158"/>
      <c r="G1463" s="128"/>
      <c r="H1463" s="172"/>
      <c r="I1463" s="194"/>
      <c r="J1463" s="173"/>
      <c r="K1463" s="173"/>
      <c r="L1463" s="173"/>
      <c r="O1463" s="173"/>
      <c r="P1463" s="170"/>
      <c r="Q1463" s="128"/>
      <c r="R1463" s="128"/>
      <c r="S1463" s="180" t="s">
        <v>11</v>
      </c>
      <c r="T1463" s="173"/>
      <c r="U1463" s="171"/>
      <c r="V1463" s="173"/>
      <c r="W1463" s="161"/>
    </row>
    <row r="1464" spans="1:23" ht="12.75" customHeight="1">
      <c r="A1464" s="118">
        <v>1463</v>
      </c>
      <c r="B1464" s="11">
        <v>17</v>
      </c>
      <c r="C1464" s="181">
        <v>39022</v>
      </c>
      <c r="D1464" s="157" t="s">
        <v>54</v>
      </c>
      <c r="E1464" s="8">
        <v>2006</v>
      </c>
      <c r="F1464" s="158">
        <f t="shared" ref="F1464:F1473" si="378">C1464-H1464</f>
        <v>0</v>
      </c>
      <c r="G1464" s="158">
        <f t="shared" ref="G1464:G1473" si="379">IF(F1464&lt;365,1,2)</f>
        <v>1</v>
      </c>
      <c r="H1464" s="172">
        <v>39022</v>
      </c>
      <c r="I1464" s="194">
        <v>1257000</v>
      </c>
      <c r="J1464" s="173"/>
      <c r="K1464" s="173"/>
      <c r="L1464" s="165">
        <v>0</v>
      </c>
      <c r="N1464" s="528" t="s">
        <v>794</v>
      </c>
      <c r="O1464" s="165">
        <v>0</v>
      </c>
      <c r="U1464" s="161">
        <f t="shared" ref="U1464:U1473" si="380">$I1464*L1464</f>
        <v>0</v>
      </c>
      <c r="V1464" s="161">
        <f t="shared" ref="V1464:V1473" si="381">$I1464*O1464</f>
        <v>0</v>
      </c>
      <c r="W1464" s="161">
        <f t="shared" ref="W1464:W1473" si="382">V1464*0.4</f>
        <v>0</v>
      </c>
    </row>
    <row r="1465" spans="1:23" ht="12.75" customHeight="1">
      <c r="A1465" s="118">
        <v>1464</v>
      </c>
      <c r="B1465" s="11">
        <v>17</v>
      </c>
      <c r="C1465" s="181">
        <v>39052</v>
      </c>
      <c r="D1465" s="157" t="s">
        <v>55</v>
      </c>
      <c r="E1465" s="8">
        <v>2006</v>
      </c>
      <c r="F1465" s="158">
        <f t="shared" si="378"/>
        <v>30</v>
      </c>
      <c r="G1465" s="158">
        <f t="shared" si="379"/>
        <v>1</v>
      </c>
      <c r="H1465" s="172">
        <v>39022</v>
      </c>
      <c r="I1465" s="194">
        <v>1257000</v>
      </c>
      <c r="J1465" s="173"/>
      <c r="K1465" s="173"/>
      <c r="L1465" s="165">
        <v>0.02</v>
      </c>
      <c r="N1465" s="528" t="s">
        <v>794</v>
      </c>
      <c r="O1465" s="165">
        <v>0.05</v>
      </c>
      <c r="U1465" s="161">
        <f t="shared" si="380"/>
        <v>25140</v>
      </c>
      <c r="V1465" s="161">
        <f t="shared" si="381"/>
        <v>62850</v>
      </c>
      <c r="W1465" s="161">
        <f t="shared" si="382"/>
        <v>25140</v>
      </c>
    </row>
    <row r="1466" spans="1:23" ht="12.75" customHeight="1">
      <c r="A1466" s="118">
        <v>1465</v>
      </c>
      <c r="B1466" s="11">
        <v>17</v>
      </c>
      <c r="C1466" s="156">
        <v>39083</v>
      </c>
      <c r="D1466" s="157" t="s">
        <v>44</v>
      </c>
      <c r="E1466" s="8">
        <v>2007</v>
      </c>
      <c r="F1466" s="158">
        <f t="shared" si="378"/>
        <v>61</v>
      </c>
      <c r="G1466" s="158">
        <f t="shared" si="379"/>
        <v>1</v>
      </c>
      <c r="H1466" s="175">
        <v>39022</v>
      </c>
      <c r="I1466" s="194">
        <v>1213544</v>
      </c>
      <c r="J1466" s="127">
        <v>0.43</v>
      </c>
      <c r="K1466" s="127">
        <v>0.28000000000000003</v>
      </c>
      <c r="L1466" s="127">
        <v>0.05</v>
      </c>
      <c r="M1466" s="193"/>
      <c r="N1466" s="529"/>
      <c r="O1466" s="127">
        <v>0.1</v>
      </c>
      <c r="P1466" s="192"/>
      <c r="Q1466" s="127">
        <v>7</v>
      </c>
      <c r="R1466" s="127">
        <v>31</v>
      </c>
      <c r="S1466" s="140"/>
      <c r="T1466" s="161">
        <f t="shared" ref="T1466:T1473" si="383">$I1466*K1466</f>
        <v>339792.32</v>
      </c>
      <c r="U1466" s="161">
        <f t="shared" si="380"/>
        <v>60677.200000000004</v>
      </c>
      <c r="V1466" s="161">
        <f t="shared" si="381"/>
        <v>121354.40000000001</v>
      </c>
      <c r="W1466" s="161">
        <f t="shared" si="382"/>
        <v>48541.760000000009</v>
      </c>
    </row>
    <row r="1467" spans="1:23" ht="12.75" customHeight="1">
      <c r="A1467" s="118">
        <v>1466</v>
      </c>
      <c r="B1467" s="11">
        <v>17</v>
      </c>
      <c r="C1467" s="156">
        <v>39114</v>
      </c>
      <c r="D1467" s="157" t="s">
        <v>45</v>
      </c>
      <c r="E1467" s="8">
        <v>2007</v>
      </c>
      <c r="F1467" s="158">
        <f t="shared" si="378"/>
        <v>92</v>
      </c>
      <c r="G1467" s="158">
        <f t="shared" si="379"/>
        <v>1</v>
      </c>
      <c r="H1467" s="175">
        <v>39022</v>
      </c>
      <c r="I1467" s="248">
        <v>1204000</v>
      </c>
      <c r="J1467" s="173"/>
      <c r="K1467" s="165">
        <f>(K1466+K1468)/2</f>
        <v>0.44</v>
      </c>
      <c r="L1467" s="165">
        <f>(L1466+L1468)/2</f>
        <v>7.0000000000000007E-2</v>
      </c>
      <c r="N1467" s="528">
        <v>1</v>
      </c>
      <c r="O1467" s="165">
        <f>(O1466+O1468)/2</f>
        <v>0.26666666666666666</v>
      </c>
      <c r="P1467" s="192"/>
      <c r="Q1467" s="127"/>
      <c r="R1467" s="127"/>
      <c r="S1467" s="140" t="s">
        <v>375</v>
      </c>
      <c r="T1467" s="161">
        <f t="shared" si="383"/>
        <v>529760</v>
      </c>
      <c r="U1467" s="161">
        <f t="shared" si="380"/>
        <v>84280.000000000015</v>
      </c>
      <c r="V1467" s="161">
        <f t="shared" si="381"/>
        <v>321066.66666666669</v>
      </c>
      <c r="W1467" s="161">
        <f t="shared" si="382"/>
        <v>128426.66666666669</v>
      </c>
    </row>
    <row r="1468" spans="1:23" ht="12.75" customHeight="1">
      <c r="A1468" s="118">
        <v>1467</v>
      </c>
      <c r="B1468" s="11">
        <v>17</v>
      </c>
      <c r="C1468" s="156">
        <v>39142</v>
      </c>
      <c r="D1468" s="157" t="s">
        <v>46</v>
      </c>
      <c r="E1468" s="8">
        <v>2007</v>
      </c>
      <c r="F1468" s="158">
        <f t="shared" si="378"/>
        <v>120</v>
      </c>
      <c r="G1468" s="158">
        <f t="shared" si="379"/>
        <v>1</v>
      </c>
      <c r="H1468" s="175">
        <v>39022</v>
      </c>
      <c r="I1468" s="194">
        <v>1195669</v>
      </c>
      <c r="J1468" s="191">
        <v>0.53333333333333333</v>
      </c>
      <c r="K1468" s="191">
        <v>0.6</v>
      </c>
      <c r="L1468" s="127">
        <v>0.09</v>
      </c>
      <c r="M1468" s="193"/>
      <c r="N1468" s="529"/>
      <c r="O1468" s="191">
        <v>0.43333333333333335</v>
      </c>
      <c r="P1468" s="192"/>
      <c r="Q1468" s="127">
        <v>7</v>
      </c>
      <c r="R1468" s="127">
        <v>29</v>
      </c>
      <c r="S1468" s="140"/>
      <c r="T1468" s="161">
        <f t="shared" si="383"/>
        <v>717401.4</v>
      </c>
      <c r="U1468" s="161">
        <f t="shared" si="380"/>
        <v>107610.20999999999</v>
      </c>
      <c r="V1468" s="161">
        <f t="shared" si="381"/>
        <v>518123.23333333334</v>
      </c>
      <c r="W1468" s="161">
        <f t="shared" si="382"/>
        <v>207249.29333333333</v>
      </c>
    </row>
    <row r="1469" spans="1:23" ht="12.75" customHeight="1">
      <c r="A1469" s="118">
        <v>1468</v>
      </c>
      <c r="B1469" s="11">
        <v>17</v>
      </c>
      <c r="C1469" s="156">
        <v>39173</v>
      </c>
      <c r="D1469" s="157" t="s">
        <v>47</v>
      </c>
      <c r="E1469" s="8">
        <v>2007</v>
      </c>
      <c r="F1469" s="158">
        <f t="shared" si="378"/>
        <v>151</v>
      </c>
      <c r="G1469" s="158">
        <f t="shared" si="379"/>
        <v>1</v>
      </c>
      <c r="H1469" s="175">
        <v>39022</v>
      </c>
      <c r="I1469" s="194">
        <v>1191119</v>
      </c>
      <c r="J1469" s="191">
        <v>1.1833333333333333</v>
      </c>
      <c r="K1469" s="191">
        <v>0.8833333333333333</v>
      </c>
      <c r="L1469" s="127">
        <v>0.15</v>
      </c>
      <c r="M1469" s="193">
        <v>0</v>
      </c>
      <c r="N1469" s="529"/>
      <c r="O1469" s="191">
        <v>1.0166666666666666</v>
      </c>
      <c r="P1469" s="192"/>
      <c r="Q1469" s="127">
        <v>8</v>
      </c>
      <c r="R1469" s="127">
        <v>29</v>
      </c>
      <c r="S1469" s="140"/>
      <c r="T1469" s="161">
        <f t="shared" si="383"/>
        <v>1052155.1166666667</v>
      </c>
      <c r="U1469" s="161">
        <f t="shared" si="380"/>
        <v>178667.85</v>
      </c>
      <c r="V1469" s="161">
        <f t="shared" si="381"/>
        <v>1210970.9833333332</v>
      </c>
      <c r="W1469" s="161">
        <f t="shared" si="382"/>
        <v>484388.39333333331</v>
      </c>
    </row>
    <row r="1470" spans="1:23" ht="12.75" customHeight="1">
      <c r="A1470" s="118">
        <v>1469</v>
      </c>
      <c r="B1470" s="11">
        <v>17</v>
      </c>
      <c r="C1470" s="156">
        <v>39203</v>
      </c>
      <c r="D1470" s="157" t="s">
        <v>48</v>
      </c>
      <c r="E1470" s="8">
        <v>2007</v>
      </c>
      <c r="F1470" s="158">
        <f t="shared" si="378"/>
        <v>181</v>
      </c>
      <c r="G1470" s="158">
        <f t="shared" si="379"/>
        <v>1</v>
      </c>
      <c r="H1470" s="175">
        <v>39022</v>
      </c>
      <c r="I1470" s="194">
        <v>1184967</v>
      </c>
      <c r="J1470" s="191">
        <v>0.68333333333333335</v>
      </c>
      <c r="K1470" s="191">
        <v>0.23333333333333334</v>
      </c>
      <c r="L1470" s="127">
        <v>0.05</v>
      </c>
      <c r="M1470" s="193">
        <v>0</v>
      </c>
      <c r="N1470" s="529"/>
      <c r="O1470" s="191">
        <v>0.38333333333333336</v>
      </c>
      <c r="P1470" s="192"/>
      <c r="Q1470" s="127">
        <v>8</v>
      </c>
      <c r="R1470" s="127">
        <v>30</v>
      </c>
      <c r="S1470" s="140"/>
      <c r="T1470" s="161">
        <f t="shared" si="383"/>
        <v>276492.3</v>
      </c>
      <c r="U1470" s="161">
        <f t="shared" si="380"/>
        <v>59248.350000000006</v>
      </c>
      <c r="V1470" s="161">
        <f t="shared" si="381"/>
        <v>454237.35000000003</v>
      </c>
      <c r="W1470" s="161">
        <f t="shared" si="382"/>
        <v>181694.94000000003</v>
      </c>
    </row>
    <row r="1471" spans="1:23" ht="12.75" customHeight="1">
      <c r="A1471" s="118">
        <v>1470</v>
      </c>
      <c r="B1471" s="11">
        <v>17</v>
      </c>
      <c r="C1471" s="156">
        <v>39234</v>
      </c>
      <c r="D1471" s="157" t="s">
        <v>49</v>
      </c>
      <c r="E1471" s="8">
        <v>2007</v>
      </c>
      <c r="F1471" s="158">
        <f t="shared" si="378"/>
        <v>212</v>
      </c>
      <c r="G1471" s="158">
        <f t="shared" si="379"/>
        <v>1</v>
      </c>
      <c r="H1471" s="175">
        <v>39022</v>
      </c>
      <c r="I1471" s="194">
        <v>1182742</v>
      </c>
      <c r="J1471" s="191">
        <v>0.46666666666666667</v>
      </c>
      <c r="K1471" s="191">
        <v>0.4</v>
      </c>
      <c r="L1471" s="127">
        <v>0.04</v>
      </c>
      <c r="M1471" s="193">
        <v>0</v>
      </c>
      <c r="N1471" s="529"/>
      <c r="O1471" s="191">
        <v>0.41666666666666669</v>
      </c>
      <c r="P1471" s="192"/>
      <c r="Q1471" s="127">
        <v>9</v>
      </c>
      <c r="R1471" s="127">
        <v>29</v>
      </c>
      <c r="S1471" s="140"/>
      <c r="T1471" s="161">
        <f t="shared" si="383"/>
        <v>473096.80000000005</v>
      </c>
      <c r="U1471" s="161">
        <f t="shared" si="380"/>
        <v>47309.68</v>
      </c>
      <c r="V1471" s="161">
        <f t="shared" si="381"/>
        <v>492809.16666666669</v>
      </c>
      <c r="W1471" s="161">
        <f t="shared" si="382"/>
        <v>197123.66666666669</v>
      </c>
    </row>
    <row r="1472" spans="1:23" ht="12.75" customHeight="1">
      <c r="A1472" s="118">
        <v>1471</v>
      </c>
      <c r="B1472" s="11">
        <v>17</v>
      </c>
      <c r="C1472" s="156">
        <v>39264</v>
      </c>
      <c r="D1472" s="157" t="s">
        <v>50</v>
      </c>
      <c r="E1472" s="8">
        <v>2007</v>
      </c>
      <c r="F1472" s="158">
        <f t="shared" si="378"/>
        <v>242</v>
      </c>
      <c r="G1472" s="158">
        <f t="shared" si="379"/>
        <v>1</v>
      </c>
      <c r="H1472" s="175">
        <v>39022</v>
      </c>
      <c r="I1472" s="194">
        <v>563902</v>
      </c>
      <c r="J1472" s="191">
        <v>0.22500000000000001</v>
      </c>
      <c r="K1472" s="191">
        <v>7.4999999999999997E-2</v>
      </c>
      <c r="L1472" s="127">
        <v>0</v>
      </c>
      <c r="M1472" s="193">
        <v>0</v>
      </c>
      <c r="N1472" s="529"/>
      <c r="O1472" s="191">
        <v>0.32500000000000001</v>
      </c>
      <c r="P1472" s="192"/>
      <c r="Q1472" s="127">
        <v>10</v>
      </c>
      <c r="R1472" s="127">
        <v>28</v>
      </c>
      <c r="S1472" s="140" t="s">
        <v>312</v>
      </c>
      <c r="T1472" s="161">
        <f t="shared" si="383"/>
        <v>42292.65</v>
      </c>
      <c r="U1472" s="161">
        <f t="shared" si="380"/>
        <v>0</v>
      </c>
      <c r="V1472" s="161">
        <f t="shared" si="381"/>
        <v>183268.15</v>
      </c>
      <c r="W1472" s="161">
        <f t="shared" si="382"/>
        <v>73307.259999999995</v>
      </c>
    </row>
    <row r="1473" spans="1:23" ht="12.75" customHeight="1">
      <c r="A1473" s="118">
        <v>1472</v>
      </c>
      <c r="B1473" s="11">
        <v>17</v>
      </c>
      <c r="C1473" s="156">
        <v>39295</v>
      </c>
      <c r="D1473" s="157" t="s">
        <v>51</v>
      </c>
      <c r="E1473" s="8">
        <v>2007</v>
      </c>
      <c r="F1473" s="158">
        <f t="shared" si="378"/>
        <v>273</v>
      </c>
      <c r="G1473" s="158">
        <f t="shared" si="379"/>
        <v>1</v>
      </c>
      <c r="H1473" s="175">
        <v>39022</v>
      </c>
      <c r="I1473" s="194">
        <v>556197</v>
      </c>
      <c r="J1473" s="191">
        <v>0.11666666666666667</v>
      </c>
      <c r="K1473" s="191">
        <v>8.3333333333333329E-2</v>
      </c>
      <c r="L1473" s="127">
        <v>0.02</v>
      </c>
      <c r="M1473" s="193"/>
      <c r="N1473" s="529"/>
      <c r="O1473" s="191">
        <v>0.11666666666666667</v>
      </c>
      <c r="P1473" s="192"/>
      <c r="Q1473" s="127">
        <v>10</v>
      </c>
      <c r="R1473" s="127">
        <v>29</v>
      </c>
      <c r="S1473" s="140" t="s">
        <v>331</v>
      </c>
      <c r="T1473" s="161">
        <f t="shared" si="383"/>
        <v>46349.75</v>
      </c>
      <c r="U1473" s="161">
        <f t="shared" si="380"/>
        <v>11123.94</v>
      </c>
      <c r="V1473" s="161">
        <f t="shared" si="381"/>
        <v>64889.65</v>
      </c>
      <c r="W1473" s="161">
        <f t="shared" si="382"/>
        <v>25955.86</v>
      </c>
    </row>
    <row r="1474" spans="1:23" ht="12.75" customHeight="1">
      <c r="A1474" s="118">
        <v>1473</v>
      </c>
      <c r="B1474" s="11">
        <v>17</v>
      </c>
      <c r="C1474" s="156">
        <v>39326</v>
      </c>
      <c r="D1474" s="157" t="s">
        <v>52</v>
      </c>
      <c r="E1474" s="8">
        <v>2007</v>
      </c>
      <c r="F1474" s="127"/>
      <c r="G1474" s="127"/>
      <c r="H1474" s="127"/>
      <c r="I1474" s="194"/>
      <c r="J1474" s="127"/>
      <c r="K1474" s="127"/>
      <c r="L1474" s="127"/>
      <c r="M1474" s="193"/>
      <c r="N1474" s="529"/>
      <c r="O1474" s="127"/>
      <c r="P1474" s="192"/>
      <c r="Q1474" s="127"/>
      <c r="R1474" s="127"/>
      <c r="S1474" s="140"/>
      <c r="T1474" s="127"/>
      <c r="U1474" s="202"/>
      <c r="V1474" s="127"/>
      <c r="W1474" s="161"/>
    </row>
    <row r="1475" spans="1:23" ht="12.75" customHeight="1">
      <c r="A1475" s="118">
        <v>1474</v>
      </c>
      <c r="B1475" s="11">
        <v>17</v>
      </c>
      <c r="C1475" s="156">
        <v>39356</v>
      </c>
      <c r="D1475" s="157" t="s">
        <v>53</v>
      </c>
      <c r="E1475" s="8">
        <v>2007</v>
      </c>
      <c r="F1475" s="127"/>
      <c r="G1475" s="127"/>
      <c r="H1475" s="127"/>
      <c r="I1475" s="194"/>
      <c r="J1475" s="127"/>
      <c r="K1475" s="127"/>
      <c r="L1475" s="127"/>
      <c r="M1475" s="193"/>
      <c r="N1475" s="529"/>
      <c r="O1475" s="127"/>
      <c r="P1475" s="192"/>
      <c r="Q1475" s="127"/>
      <c r="R1475" s="127"/>
      <c r="S1475" s="140"/>
      <c r="T1475" s="127"/>
      <c r="U1475" s="202"/>
      <c r="V1475" s="127"/>
      <c r="W1475" s="161"/>
    </row>
    <row r="1476" spans="1:23" ht="12.75" customHeight="1">
      <c r="A1476" s="118">
        <v>1475</v>
      </c>
      <c r="B1476" s="11">
        <v>17</v>
      </c>
      <c r="C1476" s="156">
        <v>39387</v>
      </c>
      <c r="D1476" s="157" t="s">
        <v>54</v>
      </c>
      <c r="E1476" s="8">
        <v>2007</v>
      </c>
      <c r="F1476" s="158">
        <f t="shared" ref="F1476:F1484" si="384">C1476-H1476</f>
        <v>0</v>
      </c>
      <c r="G1476" s="158">
        <f t="shared" ref="G1476:G1484" si="385">IF(F1476&lt;365,1,2)</f>
        <v>1</v>
      </c>
      <c r="H1476" s="175">
        <v>39387</v>
      </c>
      <c r="I1476" s="194">
        <v>482039</v>
      </c>
      <c r="J1476" s="127"/>
      <c r="K1476" s="127"/>
      <c r="L1476" s="210">
        <v>0</v>
      </c>
      <c r="M1476" s="193"/>
      <c r="N1476" s="529" t="s">
        <v>794</v>
      </c>
      <c r="O1476" s="195">
        <v>0</v>
      </c>
      <c r="P1476" s="192"/>
      <c r="Q1476" s="127"/>
      <c r="R1476" s="127"/>
      <c r="S1476" s="140" t="s">
        <v>11</v>
      </c>
      <c r="T1476" s="127"/>
      <c r="U1476" s="161">
        <f t="shared" ref="U1476:U1484" si="386">$I1476*L1476</f>
        <v>0</v>
      </c>
      <c r="V1476" s="161">
        <f t="shared" ref="V1476:V1484" si="387">$I1476*O1476</f>
        <v>0</v>
      </c>
      <c r="W1476" s="161">
        <f t="shared" ref="W1476:W1484" si="388">V1476*0.4</f>
        <v>0</v>
      </c>
    </row>
    <row r="1477" spans="1:23" ht="12.75" customHeight="1">
      <c r="A1477" s="118">
        <v>1476</v>
      </c>
      <c r="B1477" s="11">
        <v>17</v>
      </c>
      <c r="C1477" s="156">
        <v>39417</v>
      </c>
      <c r="D1477" s="157" t="s">
        <v>55</v>
      </c>
      <c r="E1477" s="8">
        <v>2007</v>
      </c>
      <c r="F1477" s="158">
        <f t="shared" si="384"/>
        <v>30</v>
      </c>
      <c r="G1477" s="158">
        <f t="shared" si="385"/>
        <v>1</v>
      </c>
      <c r="H1477" s="175">
        <v>39387</v>
      </c>
      <c r="I1477" s="194">
        <v>1364761</v>
      </c>
      <c r="J1477" s="127"/>
      <c r="K1477" s="127"/>
      <c r="L1477" s="210">
        <v>0</v>
      </c>
      <c r="M1477" s="193"/>
      <c r="N1477" s="529" t="s">
        <v>794</v>
      </c>
      <c r="O1477" s="195">
        <v>0.13</v>
      </c>
      <c r="P1477" s="192"/>
      <c r="Q1477" s="127"/>
      <c r="R1477" s="127"/>
      <c r="S1477" s="140"/>
      <c r="T1477" s="127"/>
      <c r="U1477" s="161">
        <f t="shared" si="386"/>
        <v>0</v>
      </c>
      <c r="V1477" s="161">
        <f t="shared" si="387"/>
        <v>177418.93</v>
      </c>
      <c r="W1477" s="161">
        <f t="shared" si="388"/>
        <v>70967.572</v>
      </c>
    </row>
    <row r="1478" spans="1:23" ht="12.75" customHeight="1">
      <c r="A1478" s="118">
        <v>1477</v>
      </c>
      <c r="B1478" s="11">
        <v>17</v>
      </c>
      <c r="C1478" s="156">
        <v>39448</v>
      </c>
      <c r="D1478" s="157" t="s">
        <v>44</v>
      </c>
      <c r="E1478" s="127">
        <v>2008</v>
      </c>
      <c r="F1478" s="158">
        <f t="shared" si="384"/>
        <v>61</v>
      </c>
      <c r="G1478" s="158">
        <f t="shared" si="385"/>
        <v>1</v>
      </c>
      <c r="H1478" s="175">
        <v>39387</v>
      </c>
      <c r="I1478" s="160">
        <v>1354649</v>
      </c>
      <c r="J1478" s="164">
        <v>0.38</v>
      </c>
      <c r="K1478" s="164">
        <v>0.08</v>
      </c>
      <c r="L1478" s="164">
        <v>0.02</v>
      </c>
      <c r="M1478" s="193"/>
      <c r="N1478" s="529"/>
      <c r="O1478" s="164">
        <v>0.27</v>
      </c>
      <c r="P1478" s="192"/>
      <c r="Q1478" s="193"/>
      <c r="R1478" s="193"/>
      <c r="S1478" s="140"/>
      <c r="T1478" s="161">
        <f t="shared" ref="T1478:T1484" si="389">$I1478*K1478</f>
        <v>108371.92</v>
      </c>
      <c r="U1478" s="161">
        <f t="shared" si="386"/>
        <v>27092.98</v>
      </c>
      <c r="V1478" s="161">
        <f t="shared" si="387"/>
        <v>365755.23000000004</v>
      </c>
      <c r="W1478" s="161">
        <f t="shared" si="388"/>
        <v>146302.09200000003</v>
      </c>
    </row>
    <row r="1479" spans="1:23" ht="12.75" customHeight="1">
      <c r="A1479" s="118">
        <v>1478</v>
      </c>
      <c r="B1479" s="11">
        <v>17</v>
      </c>
      <c r="C1479" s="156">
        <v>39479</v>
      </c>
      <c r="D1479" s="157" t="s">
        <v>45</v>
      </c>
      <c r="E1479" s="127">
        <v>2008</v>
      </c>
      <c r="F1479" s="158">
        <f t="shared" si="384"/>
        <v>92</v>
      </c>
      <c r="G1479" s="158">
        <f t="shared" si="385"/>
        <v>1</v>
      </c>
      <c r="H1479" s="175">
        <v>39387</v>
      </c>
      <c r="I1479" s="160">
        <v>1346442</v>
      </c>
      <c r="J1479" s="164">
        <v>0.25</v>
      </c>
      <c r="K1479" s="164">
        <v>6.6666600000000006E-2</v>
      </c>
      <c r="L1479" s="164">
        <v>0</v>
      </c>
      <c r="M1479" s="193">
        <v>0</v>
      </c>
      <c r="N1479" s="529"/>
      <c r="O1479" s="164">
        <v>3.3333300000000003E-2</v>
      </c>
      <c r="P1479" s="192"/>
      <c r="Q1479" s="193"/>
      <c r="R1479" s="193"/>
      <c r="S1479" s="140"/>
      <c r="T1479" s="161">
        <f t="shared" si="389"/>
        <v>89762.710237200008</v>
      </c>
      <c r="U1479" s="161">
        <f t="shared" si="386"/>
        <v>0</v>
      </c>
      <c r="V1479" s="161">
        <f t="shared" si="387"/>
        <v>44881.355118600004</v>
      </c>
      <c r="W1479" s="161">
        <f t="shared" si="388"/>
        <v>17952.542047440002</v>
      </c>
    </row>
    <row r="1480" spans="1:23" ht="12.75" customHeight="1">
      <c r="A1480" s="118">
        <v>1479</v>
      </c>
      <c r="B1480" s="11">
        <v>17</v>
      </c>
      <c r="C1480" s="156">
        <v>39508</v>
      </c>
      <c r="D1480" s="157" t="s">
        <v>46</v>
      </c>
      <c r="E1480" s="127">
        <v>2008</v>
      </c>
      <c r="F1480" s="158">
        <f t="shared" si="384"/>
        <v>121</v>
      </c>
      <c r="G1480" s="158">
        <f t="shared" si="385"/>
        <v>1</v>
      </c>
      <c r="H1480" s="175">
        <v>39387</v>
      </c>
      <c r="I1480" s="160">
        <v>1344515</v>
      </c>
      <c r="J1480" s="164">
        <v>7.0000000000000007E-2</v>
      </c>
      <c r="K1480" s="164">
        <v>0.2</v>
      </c>
      <c r="L1480" s="164">
        <v>0</v>
      </c>
      <c r="M1480" s="193">
        <v>0</v>
      </c>
      <c r="N1480" s="529"/>
      <c r="O1480" s="164">
        <v>0.1</v>
      </c>
      <c r="P1480" s="192"/>
      <c r="Q1480" s="193"/>
      <c r="R1480" s="193"/>
      <c r="S1480" s="140"/>
      <c r="T1480" s="161">
        <f t="shared" si="389"/>
        <v>268903</v>
      </c>
      <c r="U1480" s="161">
        <f t="shared" si="386"/>
        <v>0</v>
      </c>
      <c r="V1480" s="161">
        <f t="shared" si="387"/>
        <v>134451.5</v>
      </c>
      <c r="W1480" s="161">
        <f t="shared" si="388"/>
        <v>53780.600000000006</v>
      </c>
    </row>
    <row r="1481" spans="1:23" ht="12.75" customHeight="1">
      <c r="A1481" s="118">
        <v>1480</v>
      </c>
      <c r="B1481" s="11">
        <v>17</v>
      </c>
      <c r="C1481" s="156">
        <v>39539</v>
      </c>
      <c r="D1481" s="157" t="s">
        <v>47</v>
      </c>
      <c r="E1481" s="127">
        <v>2008</v>
      </c>
      <c r="F1481" s="158">
        <f t="shared" si="384"/>
        <v>152</v>
      </c>
      <c r="G1481" s="158">
        <f t="shared" si="385"/>
        <v>1</v>
      </c>
      <c r="H1481" s="175">
        <v>39387</v>
      </c>
      <c r="I1481" s="160">
        <v>1342119</v>
      </c>
      <c r="J1481" s="164">
        <v>0.1</v>
      </c>
      <c r="K1481" s="164">
        <v>0.02</v>
      </c>
      <c r="L1481" s="164">
        <v>0</v>
      </c>
      <c r="M1481" s="193">
        <v>0</v>
      </c>
      <c r="N1481" s="529"/>
      <c r="O1481" s="164">
        <v>0.1</v>
      </c>
      <c r="P1481" s="192"/>
      <c r="Q1481" s="193"/>
      <c r="R1481" s="193"/>
      <c r="S1481" s="140"/>
      <c r="T1481" s="161">
        <f t="shared" si="389"/>
        <v>26842.38</v>
      </c>
      <c r="U1481" s="161">
        <f t="shared" si="386"/>
        <v>0</v>
      </c>
      <c r="V1481" s="161">
        <f t="shared" si="387"/>
        <v>134211.9</v>
      </c>
      <c r="W1481" s="161">
        <f t="shared" si="388"/>
        <v>53684.76</v>
      </c>
    </row>
    <row r="1482" spans="1:23" ht="12.75" customHeight="1">
      <c r="A1482" s="118">
        <v>1481</v>
      </c>
      <c r="B1482" s="11">
        <v>17</v>
      </c>
      <c r="C1482" s="156">
        <v>39569</v>
      </c>
      <c r="D1482" s="157" t="s">
        <v>48</v>
      </c>
      <c r="E1482" s="127">
        <v>2008</v>
      </c>
      <c r="F1482" s="158">
        <f t="shared" si="384"/>
        <v>182</v>
      </c>
      <c r="G1482" s="158">
        <f t="shared" si="385"/>
        <v>1</v>
      </c>
      <c r="H1482" s="175">
        <v>39387</v>
      </c>
      <c r="I1482" s="194">
        <v>1335317</v>
      </c>
      <c r="J1482" s="191">
        <v>0.25</v>
      </c>
      <c r="K1482" s="191">
        <v>0.28000000000000003</v>
      </c>
      <c r="L1482" s="191">
        <v>0.03</v>
      </c>
      <c r="M1482" s="193">
        <v>0</v>
      </c>
      <c r="N1482" s="529"/>
      <c r="O1482" s="191">
        <v>0.03</v>
      </c>
      <c r="P1482" s="192"/>
      <c r="Q1482" s="193"/>
      <c r="R1482" s="193"/>
      <c r="S1482" s="140"/>
      <c r="T1482" s="161">
        <f t="shared" si="389"/>
        <v>373888.76</v>
      </c>
      <c r="U1482" s="161">
        <f t="shared" si="386"/>
        <v>40059.51</v>
      </c>
      <c r="V1482" s="161">
        <f t="shared" si="387"/>
        <v>40059.51</v>
      </c>
      <c r="W1482" s="161">
        <f t="shared" si="388"/>
        <v>16023.804000000002</v>
      </c>
    </row>
    <row r="1483" spans="1:23" ht="12.75" customHeight="1">
      <c r="A1483" s="118">
        <v>1482</v>
      </c>
      <c r="B1483" s="11">
        <v>17</v>
      </c>
      <c r="C1483" s="156">
        <v>39600</v>
      </c>
      <c r="D1483" s="157" t="s">
        <v>49</v>
      </c>
      <c r="E1483" s="127">
        <v>2008</v>
      </c>
      <c r="F1483" s="158">
        <f t="shared" si="384"/>
        <v>213</v>
      </c>
      <c r="G1483" s="158">
        <f t="shared" si="385"/>
        <v>1</v>
      </c>
      <c r="H1483" s="175">
        <v>39387</v>
      </c>
      <c r="I1483" s="194">
        <v>1326393</v>
      </c>
      <c r="J1483" s="164">
        <v>0.1</v>
      </c>
      <c r="K1483" s="164">
        <v>0.13333333333333333</v>
      </c>
      <c r="L1483" s="164">
        <v>0</v>
      </c>
      <c r="M1483" s="193">
        <v>0</v>
      </c>
      <c r="N1483" s="529"/>
      <c r="O1483" s="164">
        <v>0.28333333333333338</v>
      </c>
      <c r="P1483" s="192"/>
      <c r="Q1483" s="193"/>
      <c r="R1483" s="193"/>
      <c r="S1483" s="140"/>
      <c r="T1483" s="161">
        <f t="shared" si="389"/>
        <v>176852.4</v>
      </c>
      <c r="U1483" s="161">
        <f t="shared" si="386"/>
        <v>0</v>
      </c>
      <c r="V1483" s="161">
        <f t="shared" si="387"/>
        <v>375811.35000000003</v>
      </c>
      <c r="W1483" s="161">
        <f t="shared" si="388"/>
        <v>150324.54</v>
      </c>
    </row>
    <row r="1484" spans="1:23">
      <c r="A1484" s="118">
        <v>1483</v>
      </c>
      <c r="B1484" s="11">
        <v>17</v>
      </c>
      <c r="C1484" s="156">
        <v>39630</v>
      </c>
      <c r="D1484" s="176" t="s">
        <v>50</v>
      </c>
      <c r="E1484" s="127">
        <v>2008</v>
      </c>
      <c r="F1484" s="158">
        <f t="shared" si="384"/>
        <v>243</v>
      </c>
      <c r="G1484" s="158">
        <f t="shared" si="385"/>
        <v>1</v>
      </c>
      <c r="H1484" s="175">
        <v>39387</v>
      </c>
      <c r="I1484" s="211">
        <v>1318883.66666667</v>
      </c>
      <c r="J1484" s="164">
        <v>0.08</v>
      </c>
      <c r="K1484" s="164">
        <v>7.0000000000000007E-2</v>
      </c>
      <c r="L1484" s="164">
        <v>0.03</v>
      </c>
      <c r="M1484" s="193"/>
      <c r="N1484" s="529"/>
      <c r="O1484" s="164">
        <v>0</v>
      </c>
      <c r="P1484" s="127"/>
      <c r="Q1484" s="127"/>
      <c r="R1484" s="193"/>
      <c r="S1484" s="240"/>
      <c r="T1484" s="161">
        <f t="shared" si="389"/>
        <v>92321.856666666907</v>
      </c>
      <c r="U1484" s="161">
        <f t="shared" si="386"/>
        <v>39566.510000000097</v>
      </c>
      <c r="V1484" s="161">
        <f t="shared" si="387"/>
        <v>0</v>
      </c>
      <c r="W1484" s="161">
        <f t="shared" si="388"/>
        <v>0</v>
      </c>
    </row>
    <row r="1485" spans="1:23">
      <c r="A1485" s="118">
        <v>1484</v>
      </c>
      <c r="B1485" s="11">
        <v>17</v>
      </c>
      <c r="C1485" s="156">
        <v>39661</v>
      </c>
      <c r="D1485" s="176" t="s">
        <v>51</v>
      </c>
      <c r="E1485" s="127">
        <v>2008</v>
      </c>
      <c r="F1485" s="127"/>
      <c r="G1485" s="127"/>
      <c r="H1485" s="127"/>
      <c r="I1485" s="168"/>
      <c r="J1485" s="194"/>
      <c r="K1485" s="164"/>
      <c r="L1485" s="164"/>
      <c r="M1485" s="193"/>
      <c r="N1485" s="529"/>
      <c r="O1485" s="164"/>
      <c r="P1485" s="164"/>
      <c r="Q1485" s="127"/>
      <c r="R1485" s="193"/>
      <c r="S1485" s="240" t="s">
        <v>340</v>
      </c>
      <c r="T1485" s="128"/>
      <c r="U1485" s="128"/>
      <c r="V1485" s="127"/>
      <c r="W1485" s="127"/>
    </row>
    <row r="1486" spans="1:23">
      <c r="A1486" s="118">
        <v>1485</v>
      </c>
      <c r="B1486" s="11">
        <v>17</v>
      </c>
      <c r="C1486" s="156">
        <v>39692</v>
      </c>
      <c r="D1486" s="176" t="s">
        <v>52</v>
      </c>
      <c r="E1486" s="127">
        <v>2008</v>
      </c>
      <c r="F1486" s="127"/>
      <c r="G1486" s="127"/>
      <c r="H1486" s="127"/>
      <c r="I1486" s="168"/>
      <c r="J1486" s="194"/>
      <c r="K1486" s="164"/>
      <c r="L1486" s="164"/>
      <c r="M1486" s="193"/>
      <c r="N1486" s="529"/>
      <c r="O1486" s="164"/>
      <c r="P1486" s="164"/>
      <c r="Q1486" s="127"/>
      <c r="R1486" s="193"/>
      <c r="S1486" s="240"/>
      <c r="T1486" s="128"/>
      <c r="U1486" s="128"/>
      <c r="V1486" s="127"/>
      <c r="W1486" s="127"/>
    </row>
    <row r="1487" spans="1:23">
      <c r="A1487" s="118">
        <v>1486</v>
      </c>
      <c r="B1487" s="11">
        <v>17</v>
      </c>
      <c r="C1487" s="156">
        <v>39722</v>
      </c>
      <c r="D1487" s="176" t="s">
        <v>53</v>
      </c>
      <c r="E1487" s="127">
        <v>2008</v>
      </c>
      <c r="F1487" s="158">
        <f t="shared" ref="F1487:F1519" si="390">C1487-H1487</f>
        <v>0</v>
      </c>
      <c r="G1487" s="158">
        <f t="shared" ref="G1487:G1515" si="391">IF(F1487&lt;365,1,2)</f>
        <v>1</v>
      </c>
      <c r="H1487" s="175">
        <v>39722</v>
      </c>
      <c r="I1487" s="168">
        <v>592592</v>
      </c>
      <c r="J1487" s="194"/>
      <c r="K1487" s="164"/>
      <c r="L1487" s="177">
        <v>0</v>
      </c>
      <c r="M1487" s="193"/>
      <c r="N1487" s="529" t="s">
        <v>794</v>
      </c>
      <c r="O1487" s="177">
        <v>0</v>
      </c>
      <c r="P1487" s="164"/>
      <c r="Q1487" s="127"/>
      <c r="R1487" s="193"/>
      <c r="S1487" s="240"/>
      <c r="T1487" s="161"/>
      <c r="U1487" s="161">
        <f t="shared" ref="U1487:U1495" si="392">$I1487*L1487</f>
        <v>0</v>
      </c>
      <c r="V1487" s="161">
        <f t="shared" ref="V1487:V1495" si="393">$I1487*O1487</f>
        <v>0</v>
      </c>
      <c r="W1487" s="161">
        <f t="shared" ref="W1487:W1495" si="394">V1487*0.4</f>
        <v>0</v>
      </c>
    </row>
    <row r="1488" spans="1:23">
      <c r="A1488" s="118">
        <v>1487</v>
      </c>
      <c r="B1488" s="11">
        <v>17</v>
      </c>
      <c r="C1488" s="156">
        <v>39753</v>
      </c>
      <c r="D1488" s="176" t="s">
        <v>54</v>
      </c>
      <c r="E1488" s="127">
        <v>2008</v>
      </c>
      <c r="F1488" s="158">
        <f t="shared" si="390"/>
        <v>31</v>
      </c>
      <c r="G1488" s="158">
        <f t="shared" si="391"/>
        <v>1</v>
      </c>
      <c r="H1488" s="175">
        <v>39722</v>
      </c>
      <c r="I1488" s="168">
        <v>1243339</v>
      </c>
      <c r="J1488" s="194"/>
      <c r="K1488" s="164"/>
      <c r="L1488" s="177">
        <v>0.01</v>
      </c>
      <c r="M1488" s="193"/>
      <c r="N1488" s="529" t="s">
        <v>794</v>
      </c>
      <c r="O1488" s="177">
        <v>0.2</v>
      </c>
      <c r="P1488" s="164"/>
      <c r="Q1488" s="127"/>
      <c r="R1488" s="193"/>
      <c r="S1488" s="240"/>
      <c r="T1488" s="161"/>
      <c r="U1488" s="161">
        <f t="shared" si="392"/>
        <v>12433.39</v>
      </c>
      <c r="V1488" s="161">
        <f t="shared" si="393"/>
        <v>248667.80000000002</v>
      </c>
      <c r="W1488" s="161">
        <f t="shared" si="394"/>
        <v>99467.12000000001</v>
      </c>
    </row>
    <row r="1489" spans="1:23">
      <c r="A1489" s="118">
        <v>1488</v>
      </c>
      <c r="B1489" s="11">
        <v>17</v>
      </c>
      <c r="C1489" s="156">
        <v>39783</v>
      </c>
      <c r="D1489" s="176" t="s">
        <v>55</v>
      </c>
      <c r="E1489" s="127">
        <v>2008</v>
      </c>
      <c r="F1489" s="158">
        <f t="shared" si="390"/>
        <v>61</v>
      </c>
      <c r="G1489" s="158">
        <f t="shared" si="391"/>
        <v>1</v>
      </c>
      <c r="H1489" s="175">
        <v>39722</v>
      </c>
      <c r="I1489" s="168">
        <v>1225645</v>
      </c>
      <c r="J1489" s="194"/>
      <c r="K1489" s="164"/>
      <c r="L1489" s="177">
        <v>0.02</v>
      </c>
      <c r="M1489" s="193"/>
      <c r="N1489" s="529" t="s">
        <v>794</v>
      </c>
      <c r="O1489" s="177">
        <v>0.4</v>
      </c>
      <c r="P1489" s="164"/>
      <c r="Q1489" s="127"/>
      <c r="R1489" s="193"/>
      <c r="S1489" s="240"/>
      <c r="T1489" s="161"/>
      <c r="U1489" s="161">
        <f t="shared" si="392"/>
        <v>24512.9</v>
      </c>
      <c r="V1489" s="161">
        <f t="shared" si="393"/>
        <v>490258</v>
      </c>
      <c r="W1489" s="161">
        <f t="shared" si="394"/>
        <v>196103.2</v>
      </c>
    </row>
    <row r="1490" spans="1:23" ht="12.75" customHeight="1">
      <c r="A1490" s="118">
        <v>1489</v>
      </c>
      <c r="B1490" s="11">
        <v>17</v>
      </c>
      <c r="C1490" s="156">
        <v>39814</v>
      </c>
      <c r="D1490" s="157" t="s">
        <v>44</v>
      </c>
      <c r="E1490" s="127">
        <v>2009</v>
      </c>
      <c r="F1490" s="158">
        <f t="shared" si="390"/>
        <v>92</v>
      </c>
      <c r="G1490" s="158">
        <f t="shared" si="391"/>
        <v>1</v>
      </c>
      <c r="H1490" s="175">
        <v>39722</v>
      </c>
      <c r="I1490" s="160">
        <v>1223166</v>
      </c>
      <c r="J1490" s="164">
        <v>1.4</v>
      </c>
      <c r="K1490" s="164">
        <v>0.3</v>
      </c>
      <c r="L1490" s="164">
        <v>0.03</v>
      </c>
      <c r="M1490" s="193"/>
      <c r="N1490" s="529"/>
      <c r="O1490" s="164">
        <v>0.78</v>
      </c>
      <c r="P1490" s="127"/>
      <c r="Q1490" s="193"/>
      <c r="R1490" s="193"/>
      <c r="S1490" s="140"/>
      <c r="T1490" s="161">
        <f t="shared" ref="T1490:T1495" si="395">$I1490*K1490</f>
        <v>366949.8</v>
      </c>
      <c r="U1490" s="161">
        <f t="shared" si="392"/>
        <v>36694.979999999996</v>
      </c>
      <c r="V1490" s="161">
        <f t="shared" si="393"/>
        <v>954069.48</v>
      </c>
      <c r="W1490" s="161">
        <f t="shared" si="394"/>
        <v>381627.79200000002</v>
      </c>
    </row>
    <row r="1491" spans="1:23" ht="12.75" customHeight="1">
      <c r="A1491" s="118">
        <v>1490</v>
      </c>
      <c r="B1491" s="11">
        <v>17</v>
      </c>
      <c r="C1491" s="156">
        <v>39845</v>
      </c>
      <c r="D1491" s="157" t="s">
        <v>45</v>
      </c>
      <c r="E1491" s="127">
        <v>2009</v>
      </c>
      <c r="F1491" s="158">
        <f t="shared" si="390"/>
        <v>123</v>
      </c>
      <c r="G1491" s="158">
        <f t="shared" si="391"/>
        <v>1</v>
      </c>
      <c r="H1491" s="175">
        <v>39722</v>
      </c>
      <c r="I1491" s="160">
        <v>1213412</v>
      </c>
      <c r="J1491" s="164">
        <v>0.25</v>
      </c>
      <c r="K1491" s="164">
        <v>0.3</v>
      </c>
      <c r="L1491" s="164">
        <v>0.02</v>
      </c>
      <c r="M1491" s="193">
        <v>0</v>
      </c>
      <c r="N1491" s="529"/>
      <c r="O1491" s="164">
        <v>0.37</v>
      </c>
      <c r="P1491" s="127"/>
      <c r="Q1491" s="193"/>
      <c r="R1491" s="193"/>
      <c r="S1491" s="140"/>
      <c r="T1491" s="161">
        <f t="shared" si="395"/>
        <v>364023.6</v>
      </c>
      <c r="U1491" s="161">
        <f t="shared" si="392"/>
        <v>24268.240000000002</v>
      </c>
      <c r="V1491" s="161">
        <f t="shared" si="393"/>
        <v>448962.44</v>
      </c>
      <c r="W1491" s="161">
        <f t="shared" si="394"/>
        <v>179584.97600000002</v>
      </c>
    </row>
    <row r="1492" spans="1:23" ht="12.75" customHeight="1">
      <c r="A1492" s="118">
        <v>1491</v>
      </c>
      <c r="B1492" s="11">
        <v>17</v>
      </c>
      <c r="C1492" s="156">
        <v>39873</v>
      </c>
      <c r="D1492" s="157" t="s">
        <v>46</v>
      </c>
      <c r="E1492" s="127">
        <v>2009</v>
      </c>
      <c r="F1492" s="158">
        <f t="shared" si="390"/>
        <v>151</v>
      </c>
      <c r="G1492" s="158">
        <f t="shared" si="391"/>
        <v>1</v>
      </c>
      <c r="H1492" s="175">
        <v>39722</v>
      </c>
      <c r="I1492" s="160">
        <v>1199249</v>
      </c>
      <c r="J1492" s="164">
        <v>1.47</v>
      </c>
      <c r="K1492" s="164">
        <v>0.12</v>
      </c>
      <c r="L1492" s="164">
        <v>0.02</v>
      </c>
      <c r="M1492" s="193">
        <v>0</v>
      </c>
      <c r="N1492" s="529"/>
      <c r="O1492" s="164">
        <v>0.87</v>
      </c>
      <c r="P1492" s="127"/>
      <c r="Q1492" s="193"/>
      <c r="R1492" s="193"/>
      <c r="S1492" s="140"/>
      <c r="T1492" s="161">
        <f t="shared" si="395"/>
        <v>143909.88</v>
      </c>
      <c r="U1492" s="161">
        <f t="shared" si="392"/>
        <v>23984.98</v>
      </c>
      <c r="V1492" s="161">
        <f t="shared" si="393"/>
        <v>1043346.63</v>
      </c>
      <c r="W1492" s="161">
        <f t="shared" si="394"/>
        <v>417338.652</v>
      </c>
    </row>
    <row r="1493" spans="1:23" ht="12.75" customHeight="1">
      <c r="A1493" s="118">
        <v>1492</v>
      </c>
      <c r="B1493" s="11">
        <v>17</v>
      </c>
      <c r="C1493" s="156">
        <v>39904</v>
      </c>
      <c r="D1493" s="157" t="s">
        <v>47</v>
      </c>
      <c r="E1493" s="127">
        <v>2009</v>
      </c>
      <c r="F1493" s="158">
        <f t="shared" si="390"/>
        <v>182</v>
      </c>
      <c r="G1493" s="158">
        <f t="shared" si="391"/>
        <v>1</v>
      </c>
      <c r="H1493" s="175">
        <v>39722</v>
      </c>
      <c r="I1493" s="160">
        <v>1195692</v>
      </c>
      <c r="J1493" s="164">
        <v>0.38</v>
      </c>
      <c r="K1493" s="164">
        <v>0.18</v>
      </c>
      <c r="L1493" s="164">
        <v>0.05</v>
      </c>
      <c r="M1493" s="193">
        <v>0</v>
      </c>
      <c r="N1493" s="529"/>
      <c r="O1493" s="164">
        <v>0.25</v>
      </c>
      <c r="P1493" s="127"/>
      <c r="Q1493" s="193"/>
      <c r="R1493" s="193"/>
      <c r="S1493" s="140"/>
      <c r="T1493" s="161">
        <f t="shared" si="395"/>
        <v>215224.56</v>
      </c>
      <c r="U1493" s="161">
        <f t="shared" si="392"/>
        <v>59784.600000000006</v>
      </c>
      <c r="V1493" s="161">
        <f t="shared" si="393"/>
        <v>298923</v>
      </c>
      <c r="W1493" s="161">
        <f t="shared" si="394"/>
        <v>119569.20000000001</v>
      </c>
    </row>
    <row r="1494" spans="1:23" ht="12.75" customHeight="1">
      <c r="A1494" s="118">
        <v>1493</v>
      </c>
      <c r="B1494" s="11">
        <v>17</v>
      </c>
      <c r="C1494" s="156">
        <v>39934</v>
      </c>
      <c r="D1494" s="157" t="s">
        <v>48</v>
      </c>
      <c r="E1494" s="127">
        <v>2009</v>
      </c>
      <c r="F1494" s="158">
        <f t="shared" si="390"/>
        <v>212</v>
      </c>
      <c r="G1494" s="158">
        <f t="shared" si="391"/>
        <v>1</v>
      </c>
      <c r="H1494" s="175">
        <v>39722</v>
      </c>
      <c r="I1494" s="194">
        <v>1193290</v>
      </c>
      <c r="J1494" s="191">
        <v>0.5</v>
      </c>
      <c r="K1494" s="191">
        <v>0.23</v>
      </c>
      <c r="L1494" s="191">
        <v>7.0000000000000007E-2</v>
      </c>
      <c r="M1494" s="193">
        <v>0</v>
      </c>
      <c r="N1494" s="529"/>
      <c r="O1494" s="191">
        <v>0.9</v>
      </c>
      <c r="P1494" s="127"/>
      <c r="Q1494" s="193"/>
      <c r="R1494" s="193"/>
      <c r="S1494" s="140"/>
      <c r="T1494" s="161">
        <f t="shared" si="395"/>
        <v>274456.7</v>
      </c>
      <c r="U1494" s="161">
        <f t="shared" si="392"/>
        <v>83530.3</v>
      </c>
      <c r="V1494" s="161">
        <f t="shared" si="393"/>
        <v>1073961</v>
      </c>
      <c r="W1494" s="161">
        <f t="shared" si="394"/>
        <v>429584.4</v>
      </c>
    </row>
    <row r="1495" spans="1:23" ht="12.75" customHeight="1">
      <c r="A1495" s="118">
        <v>1494</v>
      </c>
      <c r="B1495" s="11">
        <v>17</v>
      </c>
      <c r="C1495" s="156">
        <v>39965</v>
      </c>
      <c r="D1495" s="157" t="s">
        <v>49</v>
      </c>
      <c r="E1495" s="127">
        <v>2009</v>
      </c>
      <c r="F1495" s="158">
        <f t="shared" si="390"/>
        <v>243</v>
      </c>
      <c r="G1495" s="158">
        <f t="shared" si="391"/>
        <v>1</v>
      </c>
      <c r="H1495" s="175">
        <v>39722</v>
      </c>
      <c r="I1495" s="194">
        <v>1192843</v>
      </c>
      <c r="J1495" s="164">
        <v>0.25</v>
      </c>
      <c r="K1495" s="164">
        <v>0.14000000000000001</v>
      </c>
      <c r="L1495" s="164">
        <v>0.08</v>
      </c>
      <c r="M1495" s="193">
        <v>0</v>
      </c>
      <c r="N1495" s="529"/>
      <c r="O1495" s="164">
        <v>0.84</v>
      </c>
      <c r="P1495" s="127"/>
      <c r="Q1495" s="193"/>
      <c r="R1495" s="193"/>
      <c r="S1495" s="140"/>
      <c r="T1495" s="161">
        <f t="shared" si="395"/>
        <v>166998.02000000002</v>
      </c>
      <c r="U1495" s="161">
        <f t="shared" si="392"/>
        <v>95427.44</v>
      </c>
      <c r="V1495" s="161">
        <f t="shared" si="393"/>
        <v>1001988.12</v>
      </c>
      <c r="W1495" s="161">
        <f t="shared" si="394"/>
        <v>400795.24800000002</v>
      </c>
    </row>
    <row r="1496" spans="1:23" ht="12.75" customHeight="1">
      <c r="A1496" s="118">
        <v>1495</v>
      </c>
      <c r="B1496" s="11">
        <v>17</v>
      </c>
      <c r="C1496" s="156">
        <v>39995</v>
      </c>
      <c r="D1496" s="157" t="s">
        <v>50</v>
      </c>
      <c r="E1496" s="127">
        <v>2009</v>
      </c>
      <c r="F1496" s="158">
        <f t="shared" ref="F1496:F1497" si="396">C1496-H1496</f>
        <v>273</v>
      </c>
      <c r="G1496" s="158">
        <f t="shared" ref="G1496:G1497" si="397">IF(F1496&lt;365,1,2)</f>
        <v>1</v>
      </c>
      <c r="H1496" s="175">
        <v>39722</v>
      </c>
      <c r="I1496" s="125">
        <v>427917</v>
      </c>
      <c r="J1496" s="191">
        <v>0.12</v>
      </c>
      <c r="K1496" s="191">
        <v>0.05</v>
      </c>
      <c r="L1496" s="191">
        <v>0.02</v>
      </c>
      <c r="M1496" s="193">
        <v>0</v>
      </c>
      <c r="N1496" s="529"/>
      <c r="O1496" s="191">
        <v>7.0000000000000007E-2</v>
      </c>
      <c r="P1496" s="127"/>
      <c r="Q1496" s="127"/>
      <c r="R1496" s="127"/>
      <c r="S1496" s="140"/>
      <c r="T1496" s="118"/>
      <c r="U1496" s="118"/>
      <c r="V1496" s="118"/>
      <c r="W1496" s="118"/>
    </row>
    <row r="1497" spans="1:23" ht="12.75" customHeight="1">
      <c r="A1497" s="118">
        <v>1496</v>
      </c>
      <c r="B1497" s="11">
        <v>17</v>
      </c>
      <c r="C1497" s="156">
        <v>40026</v>
      </c>
      <c r="D1497" s="157" t="s">
        <v>51</v>
      </c>
      <c r="E1497" s="127">
        <v>2009</v>
      </c>
      <c r="F1497" s="158">
        <f t="shared" si="396"/>
        <v>304</v>
      </c>
      <c r="G1497" s="158">
        <f t="shared" si="397"/>
        <v>1</v>
      </c>
      <c r="H1497" s="175">
        <v>39722</v>
      </c>
      <c r="I1497" s="125">
        <v>427010</v>
      </c>
      <c r="J1497" s="191">
        <v>0.1</v>
      </c>
      <c r="K1497" s="191">
        <v>0.28299999999999997</v>
      </c>
      <c r="L1497" s="191">
        <v>6.7000000000000004E-2</v>
      </c>
      <c r="M1497" s="193"/>
      <c r="N1497" s="529"/>
      <c r="O1497" s="191">
        <v>0.13300000000000001</v>
      </c>
      <c r="P1497" s="127"/>
      <c r="Q1497" s="127"/>
      <c r="R1497" s="127"/>
      <c r="S1497" s="140"/>
      <c r="T1497" s="118"/>
      <c r="U1497" s="118"/>
      <c r="V1497" s="118"/>
      <c r="W1497" s="118"/>
    </row>
    <row r="1498" spans="1:23" ht="12.75" customHeight="1">
      <c r="A1498" s="118">
        <v>1497</v>
      </c>
      <c r="B1498" s="11">
        <v>17</v>
      </c>
      <c r="C1498" s="156">
        <v>40057</v>
      </c>
      <c r="D1498" s="157" t="s">
        <v>52</v>
      </c>
      <c r="E1498" s="127">
        <v>2009</v>
      </c>
      <c r="F1498" s="127"/>
      <c r="G1498" s="127"/>
      <c r="H1498" s="127"/>
      <c r="I1498" s="160"/>
      <c r="J1498" s="191"/>
      <c r="K1498" s="191"/>
      <c r="L1498" s="191"/>
      <c r="M1498" s="193"/>
      <c r="N1498" s="529"/>
      <c r="O1498" s="191"/>
      <c r="P1498" s="127"/>
      <c r="Q1498" s="127"/>
      <c r="R1498" s="127"/>
      <c r="S1498" s="222" t="s">
        <v>332</v>
      </c>
      <c r="T1498" s="118"/>
      <c r="U1498" s="118"/>
      <c r="V1498" s="118"/>
      <c r="W1498" s="118"/>
    </row>
    <row r="1499" spans="1:23" ht="12.75" customHeight="1">
      <c r="A1499" s="118">
        <v>1498</v>
      </c>
      <c r="B1499" s="11">
        <v>17</v>
      </c>
      <c r="C1499" s="156">
        <v>40087</v>
      </c>
      <c r="D1499" s="157" t="s">
        <v>53</v>
      </c>
      <c r="E1499" s="127">
        <v>2009</v>
      </c>
      <c r="F1499" s="127"/>
      <c r="G1499" s="127"/>
      <c r="H1499" s="175"/>
      <c r="I1499" s="168"/>
      <c r="J1499" s="191"/>
      <c r="K1499" s="191"/>
      <c r="L1499" s="191"/>
      <c r="M1499" s="193"/>
      <c r="N1499" s="529"/>
      <c r="O1499" s="191"/>
      <c r="P1499" s="127"/>
      <c r="Q1499" s="127"/>
      <c r="R1499" s="127"/>
      <c r="S1499" s="245"/>
      <c r="T1499" s="118"/>
      <c r="U1499" s="118"/>
      <c r="V1499" s="118"/>
      <c r="W1499" s="118"/>
    </row>
    <row r="1500" spans="1:23" ht="12.75" customHeight="1">
      <c r="A1500" s="118">
        <v>1499</v>
      </c>
      <c r="B1500" s="11">
        <v>17</v>
      </c>
      <c r="C1500" s="156">
        <v>40118</v>
      </c>
      <c r="D1500" s="157" t="s">
        <v>54</v>
      </c>
      <c r="E1500" s="127">
        <v>2009</v>
      </c>
      <c r="F1500" s="127"/>
      <c r="G1500" s="127"/>
      <c r="H1500" s="175"/>
      <c r="I1500" s="168"/>
      <c r="J1500" s="191"/>
      <c r="K1500" s="191"/>
      <c r="L1500" s="191"/>
      <c r="M1500" s="193"/>
      <c r="N1500" s="529"/>
      <c r="O1500" s="191"/>
      <c r="P1500" s="127"/>
      <c r="Q1500" s="127"/>
      <c r="R1500" s="127"/>
      <c r="S1500" s="245"/>
      <c r="T1500" s="118"/>
      <c r="U1500" s="118"/>
      <c r="V1500" s="118"/>
      <c r="W1500" s="118"/>
    </row>
    <row r="1501" spans="1:23" ht="12.75" customHeight="1">
      <c r="A1501" s="118">
        <v>1500</v>
      </c>
      <c r="B1501" s="11">
        <v>17</v>
      </c>
      <c r="C1501" s="156">
        <v>40148</v>
      </c>
      <c r="D1501" s="157" t="s">
        <v>55</v>
      </c>
      <c r="E1501" s="127">
        <v>2009</v>
      </c>
      <c r="F1501" s="127"/>
      <c r="G1501" s="127"/>
      <c r="H1501" s="175"/>
      <c r="I1501" s="168"/>
      <c r="J1501" s="191"/>
      <c r="K1501" s="191"/>
      <c r="L1501" s="191"/>
      <c r="M1501" s="193"/>
      <c r="N1501" s="529"/>
      <c r="O1501" s="191"/>
      <c r="P1501" s="127"/>
      <c r="Q1501" s="127"/>
      <c r="R1501" s="127"/>
      <c r="S1501" s="245"/>
      <c r="T1501" s="118"/>
      <c r="U1501" s="118"/>
      <c r="V1501" s="118"/>
      <c r="W1501" s="118"/>
    </row>
    <row r="1502" spans="1:23" ht="12.75" customHeight="1">
      <c r="A1502" s="118">
        <v>1501</v>
      </c>
      <c r="B1502" s="128">
        <v>18</v>
      </c>
      <c r="C1502" s="156">
        <v>36526</v>
      </c>
      <c r="D1502" s="157" t="s">
        <v>44</v>
      </c>
      <c r="E1502" s="8">
        <v>2000</v>
      </c>
      <c r="F1502" s="158">
        <f t="shared" si="390"/>
        <v>306</v>
      </c>
      <c r="G1502" s="158">
        <f t="shared" si="391"/>
        <v>1</v>
      </c>
      <c r="H1502" s="162">
        <v>36220</v>
      </c>
      <c r="I1502" s="163">
        <v>346619</v>
      </c>
      <c r="J1502" s="11"/>
      <c r="K1502" s="11"/>
      <c r="L1502" s="11"/>
      <c r="O1502" s="11"/>
      <c r="S1502" s="155" t="s">
        <v>322</v>
      </c>
      <c r="T1502" s="11"/>
      <c r="V1502" s="11"/>
      <c r="W1502" s="11"/>
    </row>
    <row r="1503" spans="1:23" ht="12.75" customHeight="1">
      <c r="A1503" s="118">
        <v>1502</v>
      </c>
      <c r="B1503" s="128">
        <v>18</v>
      </c>
      <c r="C1503" s="156">
        <v>36557</v>
      </c>
      <c r="D1503" s="157" t="s">
        <v>45</v>
      </c>
      <c r="E1503" s="8">
        <v>2000</v>
      </c>
      <c r="F1503" s="158">
        <f t="shared" si="390"/>
        <v>337</v>
      </c>
      <c r="G1503" s="158">
        <f t="shared" si="391"/>
        <v>1</v>
      </c>
      <c r="H1503" s="162">
        <v>36220</v>
      </c>
      <c r="I1503" s="163">
        <v>346335</v>
      </c>
      <c r="J1503" s="11"/>
      <c r="K1503" s="11"/>
      <c r="L1503" s="11"/>
      <c r="O1503" s="11"/>
      <c r="T1503" s="11"/>
      <c r="V1503" s="11"/>
      <c r="W1503" s="11"/>
    </row>
    <row r="1504" spans="1:23" ht="12.75" customHeight="1">
      <c r="A1504" s="118">
        <v>1503</v>
      </c>
      <c r="B1504" s="128">
        <v>18</v>
      </c>
      <c r="C1504" s="156">
        <v>36586</v>
      </c>
      <c r="D1504" s="157" t="s">
        <v>46</v>
      </c>
      <c r="E1504" s="8">
        <v>2000</v>
      </c>
      <c r="F1504" s="158">
        <f t="shared" si="390"/>
        <v>366</v>
      </c>
      <c r="G1504" s="158">
        <f t="shared" si="391"/>
        <v>2</v>
      </c>
      <c r="H1504" s="162">
        <v>36220</v>
      </c>
      <c r="I1504" s="163">
        <v>346056</v>
      </c>
      <c r="J1504" s="11"/>
      <c r="K1504" s="11"/>
      <c r="L1504" s="11"/>
      <c r="O1504" s="11"/>
      <c r="T1504" s="11"/>
      <c r="V1504" s="11"/>
      <c r="W1504" s="11"/>
    </row>
    <row r="1505" spans="1:23" ht="12.75" customHeight="1">
      <c r="A1505" s="118">
        <v>1504</v>
      </c>
      <c r="B1505" s="128">
        <v>18</v>
      </c>
      <c r="C1505" s="156">
        <v>36617</v>
      </c>
      <c r="D1505" s="157" t="s">
        <v>47</v>
      </c>
      <c r="E1505" s="8">
        <v>2000</v>
      </c>
      <c r="F1505" s="158">
        <f t="shared" si="390"/>
        <v>397</v>
      </c>
      <c r="G1505" s="158">
        <f t="shared" si="391"/>
        <v>2</v>
      </c>
      <c r="H1505" s="162">
        <v>36220</v>
      </c>
      <c r="I1505" s="163">
        <v>345717</v>
      </c>
      <c r="J1505" s="11"/>
      <c r="K1505" s="11"/>
      <c r="L1505" s="11"/>
      <c r="O1505" s="11"/>
      <c r="T1505" s="11"/>
      <c r="V1505" s="11"/>
      <c r="W1505" s="11"/>
    </row>
    <row r="1506" spans="1:23" ht="12.75" customHeight="1">
      <c r="A1506" s="118">
        <v>1505</v>
      </c>
      <c r="B1506" s="128">
        <v>18</v>
      </c>
      <c r="C1506" s="156">
        <v>36647</v>
      </c>
      <c r="D1506" s="157" t="s">
        <v>48</v>
      </c>
      <c r="E1506" s="8">
        <v>2000</v>
      </c>
      <c r="F1506" s="158">
        <f t="shared" si="390"/>
        <v>427</v>
      </c>
      <c r="G1506" s="158">
        <f t="shared" si="391"/>
        <v>2</v>
      </c>
      <c r="H1506" s="162">
        <v>36220</v>
      </c>
      <c r="I1506" s="163">
        <v>345412</v>
      </c>
      <c r="J1506" s="11"/>
      <c r="K1506" s="11"/>
      <c r="L1506" s="11"/>
      <c r="O1506" s="11"/>
      <c r="T1506" s="11"/>
      <c r="V1506" s="11"/>
      <c r="W1506" s="11"/>
    </row>
    <row r="1507" spans="1:23" ht="12.75" customHeight="1">
      <c r="A1507" s="118">
        <v>1506</v>
      </c>
      <c r="B1507" s="128">
        <v>18</v>
      </c>
      <c r="C1507" s="156">
        <v>36678</v>
      </c>
      <c r="D1507" s="157" t="s">
        <v>49</v>
      </c>
      <c r="E1507" s="8">
        <v>2000</v>
      </c>
      <c r="F1507" s="158">
        <f t="shared" si="390"/>
        <v>458</v>
      </c>
      <c r="G1507" s="158">
        <f t="shared" si="391"/>
        <v>2</v>
      </c>
      <c r="H1507" s="162">
        <v>36220</v>
      </c>
      <c r="I1507" s="163">
        <v>344935</v>
      </c>
      <c r="J1507" s="11"/>
      <c r="K1507" s="11"/>
      <c r="L1507" s="11"/>
      <c r="O1507" s="11"/>
      <c r="T1507" s="11"/>
      <c r="V1507" s="11"/>
      <c r="W1507" s="11"/>
    </row>
    <row r="1508" spans="1:23" ht="12.75" customHeight="1">
      <c r="A1508" s="118">
        <v>1507</v>
      </c>
      <c r="B1508" s="128">
        <v>18</v>
      </c>
      <c r="C1508" s="156">
        <v>36708</v>
      </c>
      <c r="D1508" s="157" t="s">
        <v>50</v>
      </c>
      <c r="E1508" s="8">
        <v>2000</v>
      </c>
      <c r="F1508" s="158">
        <f t="shared" si="390"/>
        <v>488</v>
      </c>
      <c r="G1508" s="158">
        <f t="shared" si="391"/>
        <v>2</v>
      </c>
      <c r="H1508" s="162">
        <v>36220</v>
      </c>
      <c r="I1508" s="163">
        <v>340773</v>
      </c>
      <c r="J1508" s="11"/>
      <c r="K1508" s="11"/>
      <c r="L1508" s="11"/>
      <c r="O1508" s="11"/>
      <c r="T1508" s="11"/>
      <c r="V1508" s="11"/>
      <c r="W1508" s="11"/>
    </row>
    <row r="1509" spans="1:23" ht="12.75" customHeight="1">
      <c r="A1509" s="118">
        <v>1508</v>
      </c>
      <c r="B1509" s="128">
        <v>18</v>
      </c>
      <c r="C1509" s="156">
        <v>36739</v>
      </c>
      <c r="D1509" s="157" t="s">
        <v>51</v>
      </c>
      <c r="E1509" s="8">
        <v>2000</v>
      </c>
      <c r="F1509" s="158">
        <f t="shared" si="390"/>
        <v>519</v>
      </c>
      <c r="G1509" s="158">
        <f t="shared" si="391"/>
        <v>2</v>
      </c>
      <c r="H1509" s="162">
        <v>36220</v>
      </c>
      <c r="I1509" s="163">
        <v>338447</v>
      </c>
      <c r="J1509" s="11"/>
      <c r="K1509" s="11"/>
      <c r="L1509" s="11"/>
      <c r="O1509" s="11"/>
      <c r="T1509" s="11"/>
      <c r="V1509" s="11"/>
      <c r="W1509" s="11"/>
    </row>
    <row r="1510" spans="1:23" ht="12.75" customHeight="1">
      <c r="A1510" s="118">
        <v>1509</v>
      </c>
      <c r="B1510" s="128">
        <v>18</v>
      </c>
      <c r="C1510" s="156">
        <v>36770</v>
      </c>
      <c r="D1510" s="157" t="s">
        <v>52</v>
      </c>
      <c r="E1510" s="8">
        <v>2000</v>
      </c>
      <c r="F1510" s="158">
        <f t="shared" si="390"/>
        <v>550</v>
      </c>
      <c r="G1510" s="158">
        <f t="shared" si="391"/>
        <v>2</v>
      </c>
      <c r="H1510" s="162">
        <v>36220</v>
      </c>
      <c r="I1510" s="163">
        <v>338193</v>
      </c>
      <c r="J1510" s="11"/>
      <c r="K1510" s="11"/>
      <c r="L1510" s="11"/>
      <c r="O1510" s="11"/>
      <c r="T1510" s="11"/>
      <c r="V1510" s="11"/>
      <c r="W1510" s="11"/>
    </row>
    <row r="1511" spans="1:23" ht="12.75" customHeight="1">
      <c r="A1511" s="118">
        <v>1510</v>
      </c>
      <c r="B1511" s="128">
        <v>18</v>
      </c>
      <c r="C1511" s="156">
        <v>36800</v>
      </c>
      <c r="D1511" s="157" t="s">
        <v>53</v>
      </c>
      <c r="E1511" s="8">
        <v>2000</v>
      </c>
      <c r="F1511" s="158">
        <f t="shared" si="390"/>
        <v>580</v>
      </c>
      <c r="G1511" s="158">
        <f t="shared" si="391"/>
        <v>2</v>
      </c>
      <c r="H1511" s="162">
        <v>36220</v>
      </c>
      <c r="I1511" s="163">
        <v>337862</v>
      </c>
      <c r="J1511" s="11"/>
      <c r="K1511" s="11"/>
      <c r="L1511" s="11"/>
      <c r="O1511" s="11"/>
      <c r="T1511" s="11"/>
      <c r="V1511" s="11"/>
      <c r="W1511" s="11"/>
    </row>
    <row r="1512" spans="1:23" ht="12.75" customHeight="1">
      <c r="A1512" s="118">
        <v>1511</v>
      </c>
      <c r="B1512" s="260">
        <v>18</v>
      </c>
      <c r="C1512" s="156">
        <v>36831</v>
      </c>
      <c r="D1512" s="157" t="s">
        <v>54</v>
      </c>
      <c r="E1512" s="8">
        <v>2000</v>
      </c>
      <c r="F1512" s="158">
        <f t="shared" si="390"/>
        <v>611</v>
      </c>
      <c r="G1512" s="158">
        <f t="shared" si="391"/>
        <v>2</v>
      </c>
      <c r="H1512" s="162">
        <v>36220</v>
      </c>
      <c r="I1512" s="163">
        <v>337521</v>
      </c>
      <c r="J1512" s="11"/>
      <c r="K1512" s="11"/>
      <c r="L1512" s="11"/>
      <c r="O1512" s="11"/>
      <c r="T1512" s="11"/>
      <c r="V1512" s="11"/>
      <c r="W1512" s="11"/>
    </row>
    <row r="1513" spans="1:23" ht="12.75" customHeight="1">
      <c r="A1513" s="118">
        <v>1512</v>
      </c>
      <c r="B1513" s="260">
        <v>18</v>
      </c>
      <c r="C1513" s="156">
        <v>36861</v>
      </c>
      <c r="D1513" s="157" t="s">
        <v>55</v>
      </c>
      <c r="E1513" s="8">
        <v>2000</v>
      </c>
      <c r="F1513" s="158">
        <f t="shared" si="390"/>
        <v>641</v>
      </c>
      <c r="G1513" s="158">
        <f t="shared" si="391"/>
        <v>2</v>
      </c>
      <c r="H1513" s="162">
        <v>36220</v>
      </c>
      <c r="I1513" s="163">
        <v>337239</v>
      </c>
      <c r="J1513" s="11"/>
      <c r="K1513" s="11"/>
      <c r="L1513" s="11"/>
      <c r="O1513" s="11"/>
      <c r="T1513" s="11"/>
      <c r="V1513" s="11"/>
      <c r="W1513" s="11"/>
    </row>
    <row r="1514" spans="1:23" ht="12.75" customHeight="1">
      <c r="A1514" s="118">
        <v>1513</v>
      </c>
      <c r="B1514" s="260">
        <v>18</v>
      </c>
      <c r="C1514" s="156">
        <v>36892</v>
      </c>
      <c r="D1514" s="157" t="s">
        <v>44</v>
      </c>
      <c r="E1514" s="8">
        <v>2001</v>
      </c>
      <c r="F1514" s="158">
        <f t="shared" si="390"/>
        <v>672</v>
      </c>
      <c r="G1514" s="158">
        <f t="shared" si="391"/>
        <v>2</v>
      </c>
      <c r="H1514" s="162">
        <v>36220</v>
      </c>
      <c r="I1514" s="163">
        <v>336967</v>
      </c>
      <c r="J1514" s="11"/>
      <c r="K1514" s="11"/>
      <c r="L1514" s="11"/>
      <c r="O1514" s="11"/>
      <c r="T1514" s="11"/>
      <c r="V1514" s="11"/>
      <c r="W1514" s="11"/>
    </row>
    <row r="1515" spans="1:23" ht="12.75" customHeight="1">
      <c r="A1515" s="118">
        <v>1514</v>
      </c>
      <c r="B1515" s="260">
        <v>18</v>
      </c>
      <c r="C1515" s="156">
        <v>36923</v>
      </c>
      <c r="D1515" s="157" t="s">
        <v>45</v>
      </c>
      <c r="E1515" s="8">
        <v>2001</v>
      </c>
      <c r="F1515" s="158">
        <f t="shared" si="390"/>
        <v>703</v>
      </c>
      <c r="G1515" s="158">
        <f t="shared" si="391"/>
        <v>2</v>
      </c>
      <c r="H1515" s="162">
        <v>36220</v>
      </c>
      <c r="I1515" s="163">
        <v>336680</v>
      </c>
      <c r="J1515" s="11"/>
      <c r="K1515" s="11"/>
      <c r="L1515" s="11"/>
      <c r="O1515" s="11"/>
      <c r="T1515" s="11"/>
      <c r="V1515" s="11"/>
      <c r="W1515" s="11"/>
    </row>
    <row r="1516" spans="1:23" ht="12.75" customHeight="1">
      <c r="A1516" s="118">
        <v>1515</v>
      </c>
      <c r="B1516" s="260">
        <v>18</v>
      </c>
      <c r="C1516" s="156">
        <v>36951</v>
      </c>
      <c r="D1516" s="157" t="s">
        <v>46</v>
      </c>
      <c r="E1516" s="8">
        <v>2001</v>
      </c>
      <c r="F1516" s="158">
        <f t="shared" si="390"/>
        <v>731</v>
      </c>
      <c r="G1516" s="158">
        <f>IF(F1516&lt;730,2,3)</f>
        <v>3</v>
      </c>
      <c r="H1516" s="162">
        <v>36220</v>
      </c>
      <c r="I1516" s="163">
        <v>309615</v>
      </c>
      <c r="J1516" s="11"/>
      <c r="K1516" s="11"/>
      <c r="L1516" s="11"/>
      <c r="O1516" s="11"/>
      <c r="S1516" s="155" t="s">
        <v>31</v>
      </c>
      <c r="T1516" s="11"/>
      <c r="V1516" s="11"/>
      <c r="W1516" s="11"/>
    </row>
    <row r="1517" spans="1:23" ht="12.75" customHeight="1">
      <c r="A1517" s="118">
        <v>1516</v>
      </c>
      <c r="B1517" s="260">
        <v>18</v>
      </c>
      <c r="C1517" s="156">
        <v>36982</v>
      </c>
      <c r="D1517" s="157" t="s">
        <v>47</v>
      </c>
      <c r="E1517" s="8">
        <v>2001</v>
      </c>
      <c r="F1517" s="158">
        <f t="shared" si="390"/>
        <v>762</v>
      </c>
      <c r="G1517" s="158">
        <f>IF(F1517&lt;730,2,3)</f>
        <v>3</v>
      </c>
      <c r="H1517" s="162">
        <v>36220</v>
      </c>
      <c r="I1517" s="163">
        <v>214997</v>
      </c>
      <c r="J1517" s="11"/>
      <c r="K1517" s="11"/>
      <c r="L1517" s="11"/>
      <c r="O1517" s="11"/>
      <c r="T1517" s="11"/>
      <c r="V1517" s="11"/>
      <c r="W1517" s="11"/>
    </row>
    <row r="1518" spans="1:23" ht="12.75" customHeight="1">
      <c r="A1518" s="118">
        <v>1517</v>
      </c>
      <c r="B1518" s="260">
        <v>18</v>
      </c>
      <c r="C1518" s="156">
        <v>37012</v>
      </c>
      <c r="D1518" s="157" t="s">
        <v>48</v>
      </c>
      <c r="E1518" s="8">
        <v>2001</v>
      </c>
      <c r="F1518" s="158">
        <f t="shared" si="390"/>
        <v>792</v>
      </c>
      <c r="G1518" s="158">
        <f>IF(F1518&lt;730,2,3)</f>
        <v>3</v>
      </c>
      <c r="H1518" s="162">
        <v>36220</v>
      </c>
      <c r="I1518" s="163">
        <v>125865</v>
      </c>
      <c r="J1518" s="11"/>
      <c r="K1518" s="11"/>
      <c r="L1518" s="11"/>
      <c r="O1518" s="11"/>
      <c r="T1518" s="11"/>
      <c r="V1518" s="11"/>
      <c r="W1518" s="11"/>
    </row>
    <row r="1519" spans="1:23" ht="12.75" customHeight="1">
      <c r="A1519" s="118">
        <v>1518</v>
      </c>
      <c r="B1519" s="260">
        <v>18</v>
      </c>
      <c r="C1519" s="156">
        <v>37043</v>
      </c>
      <c r="D1519" s="157" t="s">
        <v>49</v>
      </c>
      <c r="E1519" s="8">
        <v>2001</v>
      </c>
      <c r="F1519" s="158">
        <f t="shared" si="390"/>
        <v>823</v>
      </c>
      <c r="G1519" s="158">
        <f>IF(F1519&lt;730,2,3)</f>
        <v>3</v>
      </c>
      <c r="H1519" s="162">
        <v>36220</v>
      </c>
      <c r="I1519" s="163">
        <v>64304</v>
      </c>
      <c r="J1519" s="11"/>
      <c r="K1519" s="11"/>
      <c r="L1519" s="11"/>
      <c r="O1519" s="11"/>
      <c r="Q1519" s="11">
        <v>8.6</v>
      </c>
      <c r="T1519" s="11"/>
      <c r="V1519" s="11"/>
      <c r="W1519" s="11"/>
    </row>
    <row r="1520" spans="1:23" ht="12.75" customHeight="1">
      <c r="A1520" s="118">
        <v>1519</v>
      </c>
      <c r="B1520" s="128">
        <v>18</v>
      </c>
      <c r="C1520" s="156">
        <v>37073</v>
      </c>
      <c r="D1520" s="157" t="s">
        <v>50</v>
      </c>
      <c r="E1520" s="8">
        <v>2001</v>
      </c>
      <c r="F1520" s="158"/>
      <c r="G1520" s="162"/>
      <c r="J1520" s="11"/>
      <c r="K1520" s="11"/>
      <c r="L1520" s="11"/>
      <c r="O1520" s="11"/>
      <c r="T1520" s="11"/>
      <c r="V1520" s="11"/>
      <c r="W1520" s="11"/>
    </row>
    <row r="1521" spans="1:23" ht="12.75" customHeight="1">
      <c r="A1521" s="118">
        <v>1520</v>
      </c>
      <c r="B1521" s="128">
        <v>18</v>
      </c>
      <c r="C1521" s="156">
        <v>37104</v>
      </c>
      <c r="D1521" s="157" t="s">
        <v>51</v>
      </c>
      <c r="E1521" s="8">
        <v>2001</v>
      </c>
      <c r="F1521" s="158"/>
      <c r="G1521" s="162"/>
      <c r="J1521" s="11"/>
      <c r="K1521" s="11"/>
      <c r="L1521" s="11"/>
      <c r="O1521" s="11"/>
      <c r="T1521" s="11"/>
      <c r="V1521" s="11"/>
      <c r="W1521" s="11"/>
    </row>
    <row r="1522" spans="1:23" ht="12.75" customHeight="1">
      <c r="A1522" s="118">
        <v>1521</v>
      </c>
      <c r="B1522" s="128">
        <v>18</v>
      </c>
      <c r="C1522" s="156">
        <v>37135</v>
      </c>
      <c r="D1522" s="157" t="s">
        <v>52</v>
      </c>
      <c r="E1522" s="8">
        <v>2001</v>
      </c>
      <c r="F1522" s="158"/>
      <c r="G1522" s="162"/>
      <c r="J1522" s="11"/>
      <c r="K1522" s="11"/>
      <c r="L1522" s="11"/>
      <c r="O1522" s="11"/>
      <c r="T1522" s="11"/>
      <c r="V1522" s="11"/>
      <c r="W1522" s="11"/>
    </row>
    <row r="1523" spans="1:23" ht="12.75" customHeight="1">
      <c r="A1523" s="118">
        <v>1522</v>
      </c>
      <c r="B1523" s="128">
        <v>18</v>
      </c>
      <c r="C1523" s="156">
        <v>37165</v>
      </c>
      <c r="D1523" s="157" t="s">
        <v>53</v>
      </c>
      <c r="E1523" s="8">
        <v>2001</v>
      </c>
      <c r="F1523" s="158">
        <f t="shared" ref="F1523:F1541" si="398">C1523-H1523</f>
        <v>214</v>
      </c>
      <c r="G1523" s="158">
        <f t="shared" ref="G1523:G1541" si="399">IF(F1523&lt;365,1,2)</f>
        <v>1</v>
      </c>
      <c r="H1523" s="162">
        <v>36951</v>
      </c>
      <c r="I1523" s="163">
        <v>418997</v>
      </c>
      <c r="J1523" s="128"/>
      <c r="K1523" s="146">
        <v>4.6900000000000004</v>
      </c>
      <c r="L1523" s="146">
        <v>0.8</v>
      </c>
      <c r="N1523" s="528" t="s">
        <v>446</v>
      </c>
      <c r="O1523" s="146">
        <v>0</v>
      </c>
      <c r="Q1523" s="11">
        <v>8.8000000000000007</v>
      </c>
      <c r="S1523" s="155" t="s">
        <v>342</v>
      </c>
      <c r="T1523" s="161">
        <f t="shared" ref="T1523:T1531" si="400">$I1523*K1523</f>
        <v>1965095.9300000002</v>
      </c>
      <c r="U1523" s="161">
        <f t="shared" ref="U1523:U1531" si="401">$I1523*L1523</f>
        <v>335197.60000000003</v>
      </c>
      <c r="V1523" s="161">
        <f t="shared" ref="V1523:V1531" si="402">$I1523*O1523</f>
        <v>0</v>
      </c>
      <c r="W1523" s="161">
        <f t="shared" ref="W1523:W1531" si="403">V1523*0.4</f>
        <v>0</v>
      </c>
    </row>
    <row r="1524" spans="1:23" ht="12.75" customHeight="1">
      <c r="A1524" s="118">
        <v>1523</v>
      </c>
      <c r="B1524" s="128">
        <v>18</v>
      </c>
      <c r="C1524" s="156">
        <v>37196</v>
      </c>
      <c r="D1524" s="157" t="s">
        <v>54</v>
      </c>
      <c r="E1524" s="8">
        <v>2001</v>
      </c>
      <c r="F1524" s="158">
        <f t="shared" si="398"/>
        <v>245</v>
      </c>
      <c r="G1524" s="158">
        <f t="shared" si="399"/>
        <v>1</v>
      </c>
      <c r="H1524" s="162">
        <v>36951</v>
      </c>
      <c r="I1524" s="163">
        <v>416894</v>
      </c>
      <c r="J1524" s="11">
        <v>5.7</v>
      </c>
      <c r="K1524" s="11">
        <v>3.63</v>
      </c>
      <c r="L1524" s="11">
        <v>1.2</v>
      </c>
      <c r="O1524" s="11">
        <v>0</v>
      </c>
      <c r="Q1524" s="11">
        <v>8.4</v>
      </c>
      <c r="T1524" s="161">
        <f t="shared" si="400"/>
        <v>1513325.22</v>
      </c>
      <c r="U1524" s="161">
        <f t="shared" si="401"/>
        <v>500272.8</v>
      </c>
      <c r="V1524" s="161">
        <f t="shared" si="402"/>
        <v>0</v>
      </c>
      <c r="W1524" s="161">
        <f t="shared" si="403"/>
        <v>0</v>
      </c>
    </row>
    <row r="1525" spans="1:23" ht="12.75" customHeight="1">
      <c r="A1525" s="118">
        <v>1524</v>
      </c>
      <c r="B1525" s="128">
        <v>18</v>
      </c>
      <c r="C1525" s="156">
        <v>37226</v>
      </c>
      <c r="D1525" s="157" t="s">
        <v>55</v>
      </c>
      <c r="E1525" s="8">
        <v>2001</v>
      </c>
      <c r="F1525" s="158">
        <f t="shared" si="398"/>
        <v>275</v>
      </c>
      <c r="G1525" s="158">
        <f t="shared" si="399"/>
        <v>1</v>
      </c>
      <c r="H1525" s="162">
        <v>36951</v>
      </c>
      <c r="I1525" s="163">
        <v>416320</v>
      </c>
      <c r="J1525" s="173"/>
      <c r="K1525" s="165">
        <f>(K1524+K1526)/2</f>
        <v>4.5649999999999995</v>
      </c>
      <c r="L1525" s="165">
        <f>(L1524+L1526)/2</f>
        <v>0.95</v>
      </c>
      <c r="N1525" s="528">
        <v>1</v>
      </c>
      <c r="O1525" s="165">
        <f>(O1524+O1526)/2</f>
        <v>0.25</v>
      </c>
      <c r="Q1525" s="11">
        <v>7.7</v>
      </c>
      <c r="T1525" s="161">
        <f t="shared" si="400"/>
        <v>1900500.7999999998</v>
      </c>
      <c r="U1525" s="161">
        <f t="shared" si="401"/>
        <v>395504</v>
      </c>
      <c r="V1525" s="161">
        <f t="shared" si="402"/>
        <v>104080</v>
      </c>
      <c r="W1525" s="161">
        <f t="shared" si="403"/>
        <v>41632</v>
      </c>
    </row>
    <row r="1526" spans="1:23" ht="12.75" customHeight="1">
      <c r="A1526" s="118">
        <v>1525</v>
      </c>
      <c r="B1526" s="128">
        <v>18</v>
      </c>
      <c r="C1526" s="156">
        <v>37257</v>
      </c>
      <c r="D1526" s="157" t="s">
        <v>44</v>
      </c>
      <c r="E1526" s="8">
        <v>2002</v>
      </c>
      <c r="F1526" s="158">
        <f t="shared" si="398"/>
        <v>306</v>
      </c>
      <c r="G1526" s="158">
        <f t="shared" si="399"/>
        <v>1</v>
      </c>
      <c r="H1526" s="162">
        <v>36951</v>
      </c>
      <c r="I1526" s="163">
        <v>415781</v>
      </c>
      <c r="J1526" s="11">
        <v>7</v>
      </c>
      <c r="K1526" s="11">
        <v>5.5</v>
      </c>
      <c r="L1526" s="11">
        <v>0.7</v>
      </c>
      <c r="O1526" s="11">
        <v>0.5</v>
      </c>
      <c r="Q1526" s="11">
        <v>7.3</v>
      </c>
      <c r="T1526" s="161">
        <f t="shared" si="400"/>
        <v>2286795.5</v>
      </c>
      <c r="U1526" s="161">
        <f t="shared" si="401"/>
        <v>291046.69999999995</v>
      </c>
      <c r="V1526" s="161">
        <f t="shared" si="402"/>
        <v>207890.5</v>
      </c>
      <c r="W1526" s="161">
        <f t="shared" si="403"/>
        <v>83156.200000000012</v>
      </c>
    </row>
    <row r="1527" spans="1:23" ht="12.75" customHeight="1">
      <c r="A1527" s="118">
        <v>1526</v>
      </c>
      <c r="B1527" s="128">
        <v>18</v>
      </c>
      <c r="C1527" s="156">
        <v>37288</v>
      </c>
      <c r="D1527" s="157" t="s">
        <v>45</v>
      </c>
      <c r="E1527" s="8">
        <v>2002</v>
      </c>
      <c r="F1527" s="158">
        <f t="shared" si="398"/>
        <v>337</v>
      </c>
      <c r="G1527" s="158">
        <f t="shared" si="399"/>
        <v>1</v>
      </c>
      <c r="H1527" s="162">
        <v>36951</v>
      </c>
      <c r="I1527" s="163">
        <v>415355</v>
      </c>
      <c r="J1527" s="173"/>
      <c r="K1527" s="165">
        <f>(K1526+K1528)/2</f>
        <v>7.53</v>
      </c>
      <c r="L1527" s="165">
        <f>(L1526+L1528)/2</f>
        <v>2.1</v>
      </c>
      <c r="N1527" s="528">
        <v>1</v>
      </c>
      <c r="O1527" s="165">
        <f>(O1526+O1528)/2</f>
        <v>2.5</v>
      </c>
      <c r="Q1527" s="11">
        <v>7.1</v>
      </c>
      <c r="T1527" s="161">
        <f t="shared" si="400"/>
        <v>3127623.15</v>
      </c>
      <c r="U1527" s="161">
        <f t="shared" si="401"/>
        <v>872245.5</v>
      </c>
      <c r="V1527" s="161">
        <f t="shared" si="402"/>
        <v>1038387.5</v>
      </c>
      <c r="W1527" s="161">
        <f t="shared" si="403"/>
        <v>415355</v>
      </c>
    </row>
    <row r="1528" spans="1:23" ht="12.75" customHeight="1">
      <c r="A1528" s="118">
        <v>1527</v>
      </c>
      <c r="B1528" s="128">
        <v>18</v>
      </c>
      <c r="C1528" s="156">
        <v>37316</v>
      </c>
      <c r="D1528" s="157" t="s">
        <v>46</v>
      </c>
      <c r="E1528" s="8">
        <v>2002</v>
      </c>
      <c r="F1528" s="158">
        <f t="shared" si="398"/>
        <v>365</v>
      </c>
      <c r="G1528" s="158">
        <f t="shared" si="399"/>
        <v>2</v>
      </c>
      <c r="H1528" s="162">
        <v>36951</v>
      </c>
      <c r="I1528" s="163">
        <v>414466</v>
      </c>
      <c r="J1528" s="11">
        <v>19.899999999999999</v>
      </c>
      <c r="K1528" s="11">
        <v>9.56</v>
      </c>
      <c r="L1528" s="11">
        <v>3.5</v>
      </c>
      <c r="O1528" s="11">
        <v>4.5</v>
      </c>
      <c r="Q1528" s="11">
        <v>7.4</v>
      </c>
      <c r="T1528" s="161">
        <f t="shared" si="400"/>
        <v>3962294.9600000004</v>
      </c>
      <c r="U1528" s="161">
        <f t="shared" si="401"/>
        <v>1450631</v>
      </c>
      <c r="V1528" s="161">
        <f t="shared" si="402"/>
        <v>1865097</v>
      </c>
      <c r="W1528" s="161">
        <f t="shared" si="403"/>
        <v>746038.8</v>
      </c>
    </row>
    <row r="1529" spans="1:23" ht="12.75" customHeight="1">
      <c r="A1529" s="118">
        <v>1528</v>
      </c>
      <c r="B1529" s="128">
        <v>18</v>
      </c>
      <c r="C1529" s="156">
        <v>37347</v>
      </c>
      <c r="D1529" s="157" t="s">
        <v>47</v>
      </c>
      <c r="E1529" s="8">
        <v>2002</v>
      </c>
      <c r="F1529" s="158">
        <f t="shared" si="398"/>
        <v>396</v>
      </c>
      <c r="G1529" s="158">
        <f t="shared" si="399"/>
        <v>2</v>
      </c>
      <c r="H1529" s="162">
        <v>36951</v>
      </c>
      <c r="I1529" s="163">
        <v>414064</v>
      </c>
      <c r="J1529" s="11">
        <v>21.23</v>
      </c>
      <c r="K1529" s="11">
        <v>10.15</v>
      </c>
      <c r="L1529" s="11">
        <v>3.33</v>
      </c>
      <c r="M1529" s="174">
        <v>2</v>
      </c>
      <c r="O1529" s="11">
        <v>0</v>
      </c>
      <c r="P1529" s="8">
        <v>1</v>
      </c>
      <c r="Q1529" s="11">
        <v>7.5</v>
      </c>
      <c r="T1529" s="161">
        <f t="shared" si="400"/>
        <v>4202749.6000000006</v>
      </c>
      <c r="U1529" s="161">
        <f t="shared" si="401"/>
        <v>1378833.12</v>
      </c>
      <c r="V1529" s="161">
        <f t="shared" si="402"/>
        <v>0</v>
      </c>
      <c r="W1529" s="161">
        <f t="shared" si="403"/>
        <v>0</v>
      </c>
    </row>
    <row r="1530" spans="1:23" ht="12.75" customHeight="1">
      <c r="A1530" s="118">
        <v>1529</v>
      </c>
      <c r="B1530" s="259">
        <v>18</v>
      </c>
      <c r="C1530" s="156">
        <v>37377</v>
      </c>
      <c r="D1530" s="157" t="s">
        <v>48</v>
      </c>
      <c r="E1530" s="8">
        <v>2002</v>
      </c>
      <c r="F1530" s="158">
        <f t="shared" si="398"/>
        <v>426</v>
      </c>
      <c r="G1530" s="158">
        <f t="shared" si="399"/>
        <v>2</v>
      </c>
      <c r="H1530" s="162">
        <v>36951</v>
      </c>
      <c r="I1530" s="163">
        <v>412065</v>
      </c>
      <c r="J1530" s="11">
        <v>5</v>
      </c>
      <c r="K1530" s="11">
        <v>1.9</v>
      </c>
      <c r="L1530" s="11">
        <v>0.6</v>
      </c>
      <c r="M1530" s="174">
        <v>0</v>
      </c>
      <c r="O1530" s="11">
        <v>0</v>
      </c>
      <c r="Q1530" s="11">
        <v>8.1999999999999993</v>
      </c>
      <c r="T1530" s="161">
        <f t="shared" si="400"/>
        <v>782923.5</v>
      </c>
      <c r="U1530" s="161">
        <f t="shared" si="401"/>
        <v>247239</v>
      </c>
      <c r="V1530" s="161">
        <f t="shared" si="402"/>
        <v>0</v>
      </c>
      <c r="W1530" s="161">
        <f t="shared" si="403"/>
        <v>0</v>
      </c>
    </row>
    <row r="1531" spans="1:23" ht="12.75" customHeight="1">
      <c r="A1531" s="118">
        <v>1530</v>
      </c>
      <c r="B1531" s="259">
        <v>18</v>
      </c>
      <c r="C1531" s="156">
        <v>37408</v>
      </c>
      <c r="D1531" s="157" t="s">
        <v>49</v>
      </c>
      <c r="E1531" s="8">
        <v>2002</v>
      </c>
      <c r="F1531" s="158">
        <f t="shared" si="398"/>
        <v>457</v>
      </c>
      <c r="G1531" s="158">
        <f t="shared" si="399"/>
        <v>2</v>
      </c>
      <c r="H1531" s="162">
        <v>36951</v>
      </c>
      <c r="I1531" s="163">
        <v>400584</v>
      </c>
      <c r="J1531" s="11">
        <v>0</v>
      </c>
      <c r="K1531" s="11">
        <v>0.1</v>
      </c>
      <c r="L1531" s="11">
        <v>0.03</v>
      </c>
      <c r="O1531" s="11">
        <v>0</v>
      </c>
      <c r="T1531" s="161">
        <f t="shared" si="400"/>
        <v>40058.400000000001</v>
      </c>
      <c r="U1531" s="161">
        <f t="shared" si="401"/>
        <v>12017.52</v>
      </c>
      <c r="V1531" s="161">
        <f t="shared" si="402"/>
        <v>0</v>
      </c>
      <c r="W1531" s="161">
        <f t="shared" si="403"/>
        <v>0</v>
      </c>
    </row>
    <row r="1532" spans="1:23" ht="12.75" customHeight="1">
      <c r="A1532" s="118">
        <v>1531</v>
      </c>
      <c r="B1532" s="128">
        <v>18</v>
      </c>
      <c r="C1532" s="156">
        <v>37438</v>
      </c>
      <c r="D1532" s="157" t="s">
        <v>50</v>
      </c>
      <c r="E1532" s="8">
        <v>2002</v>
      </c>
      <c r="F1532" s="158">
        <f t="shared" si="398"/>
        <v>487</v>
      </c>
      <c r="G1532" s="158">
        <f t="shared" si="399"/>
        <v>2</v>
      </c>
      <c r="H1532" s="162">
        <v>36951</v>
      </c>
      <c r="I1532" s="163">
        <v>400248</v>
      </c>
      <c r="J1532" s="11"/>
      <c r="K1532" s="11"/>
      <c r="L1532" s="11"/>
      <c r="O1532" s="11"/>
      <c r="Q1532" s="11">
        <v>8.6999999999999993</v>
      </c>
      <c r="T1532" s="11"/>
      <c r="V1532" s="11"/>
      <c r="W1532" s="11"/>
    </row>
    <row r="1533" spans="1:23" ht="12.75" customHeight="1">
      <c r="A1533" s="118">
        <v>1532</v>
      </c>
      <c r="B1533" s="128">
        <v>18</v>
      </c>
      <c r="C1533" s="156">
        <v>37469</v>
      </c>
      <c r="D1533" s="157" t="s">
        <v>51</v>
      </c>
      <c r="E1533" s="8">
        <v>2002</v>
      </c>
      <c r="F1533" s="158">
        <f t="shared" si="398"/>
        <v>518</v>
      </c>
      <c r="G1533" s="158">
        <f t="shared" si="399"/>
        <v>2</v>
      </c>
      <c r="H1533" s="162">
        <v>36951</v>
      </c>
      <c r="I1533" s="163">
        <v>389153</v>
      </c>
      <c r="J1533" s="11"/>
      <c r="K1533" s="11"/>
      <c r="L1533" s="11"/>
      <c r="O1533" s="11"/>
      <c r="Q1533" s="11">
        <v>9.6999999999999993</v>
      </c>
      <c r="T1533" s="11"/>
      <c r="V1533" s="11"/>
      <c r="W1533" s="11"/>
    </row>
    <row r="1534" spans="1:23" ht="12.75" customHeight="1">
      <c r="A1534" s="118">
        <v>1533</v>
      </c>
      <c r="B1534" s="128">
        <v>18</v>
      </c>
      <c r="C1534" s="156">
        <v>37500</v>
      </c>
      <c r="D1534" s="157" t="s">
        <v>52</v>
      </c>
      <c r="E1534" s="8">
        <v>2002</v>
      </c>
      <c r="F1534" s="158">
        <f t="shared" si="398"/>
        <v>549</v>
      </c>
      <c r="G1534" s="158">
        <f t="shared" si="399"/>
        <v>2</v>
      </c>
      <c r="H1534" s="162">
        <v>36951</v>
      </c>
      <c r="I1534" s="179">
        <v>388000</v>
      </c>
      <c r="J1534" s="11"/>
      <c r="K1534" s="11"/>
      <c r="L1534" s="11"/>
      <c r="O1534" s="11"/>
      <c r="T1534" s="11"/>
      <c r="V1534" s="11"/>
      <c r="W1534" s="11"/>
    </row>
    <row r="1535" spans="1:23" ht="12.75" customHeight="1">
      <c r="A1535" s="118">
        <v>1534</v>
      </c>
      <c r="B1535" s="128">
        <v>18</v>
      </c>
      <c r="C1535" s="156">
        <v>37530</v>
      </c>
      <c r="D1535" s="157" t="s">
        <v>53</v>
      </c>
      <c r="E1535" s="8">
        <v>2002</v>
      </c>
      <c r="F1535" s="158">
        <f t="shared" si="398"/>
        <v>579</v>
      </c>
      <c r="G1535" s="158">
        <f t="shared" si="399"/>
        <v>2</v>
      </c>
      <c r="H1535" s="162">
        <v>36951</v>
      </c>
      <c r="I1535" s="163">
        <v>387195</v>
      </c>
      <c r="J1535" s="11"/>
      <c r="K1535" s="11"/>
      <c r="L1535" s="11"/>
      <c r="O1535" s="11"/>
      <c r="T1535" s="11"/>
      <c r="V1535" s="11"/>
      <c r="W1535" s="11"/>
    </row>
    <row r="1536" spans="1:23" ht="12.75" customHeight="1">
      <c r="A1536" s="118">
        <v>1535</v>
      </c>
      <c r="B1536" s="260">
        <v>18</v>
      </c>
      <c r="C1536" s="156">
        <v>37561</v>
      </c>
      <c r="D1536" s="157" t="s">
        <v>54</v>
      </c>
      <c r="E1536" s="8">
        <v>2002</v>
      </c>
      <c r="F1536" s="158">
        <f t="shared" si="398"/>
        <v>610</v>
      </c>
      <c r="G1536" s="158">
        <f t="shared" si="399"/>
        <v>2</v>
      </c>
      <c r="H1536" s="162">
        <v>36951</v>
      </c>
      <c r="I1536" s="163">
        <v>327990</v>
      </c>
      <c r="J1536" s="11"/>
      <c r="K1536" s="11"/>
      <c r="L1536" s="11"/>
      <c r="O1536" s="11"/>
      <c r="Q1536" s="11">
        <v>8</v>
      </c>
      <c r="S1536" s="155" t="s">
        <v>26</v>
      </c>
      <c r="T1536" s="11"/>
      <c r="V1536" s="11"/>
      <c r="W1536" s="11"/>
    </row>
    <row r="1537" spans="1:23" ht="12.75" customHeight="1">
      <c r="A1537" s="118">
        <v>1536</v>
      </c>
      <c r="B1537" s="260">
        <v>18</v>
      </c>
      <c r="C1537" s="156">
        <v>37591</v>
      </c>
      <c r="D1537" s="157" t="s">
        <v>55</v>
      </c>
      <c r="E1537" s="8">
        <v>2002</v>
      </c>
      <c r="F1537" s="158">
        <f t="shared" si="398"/>
        <v>640</v>
      </c>
      <c r="G1537" s="158">
        <f t="shared" si="399"/>
        <v>2</v>
      </c>
      <c r="H1537" s="162">
        <v>36951</v>
      </c>
      <c r="I1537" s="163">
        <v>327325</v>
      </c>
      <c r="J1537" s="11"/>
      <c r="K1537" s="11"/>
      <c r="L1537" s="11"/>
      <c r="O1537" s="11"/>
      <c r="Q1537" s="11">
        <v>7.8</v>
      </c>
      <c r="T1537" s="11"/>
      <c r="V1537" s="11"/>
      <c r="W1537" s="11"/>
    </row>
    <row r="1538" spans="1:23" ht="12.75" customHeight="1">
      <c r="A1538" s="118">
        <v>1537</v>
      </c>
      <c r="B1538" s="128">
        <v>18</v>
      </c>
      <c r="C1538" s="156">
        <v>37622</v>
      </c>
      <c r="D1538" s="157" t="s">
        <v>44</v>
      </c>
      <c r="E1538" s="8">
        <v>2003</v>
      </c>
      <c r="F1538" s="158">
        <f t="shared" si="398"/>
        <v>457</v>
      </c>
      <c r="G1538" s="158">
        <f t="shared" si="399"/>
        <v>2</v>
      </c>
      <c r="H1538" s="162">
        <v>37165</v>
      </c>
      <c r="I1538" s="194">
        <v>306628</v>
      </c>
      <c r="L1538" s="165">
        <v>4.5999999999999996</v>
      </c>
      <c r="N1538" s="528" t="s">
        <v>795</v>
      </c>
      <c r="O1538" s="165">
        <v>0.3</v>
      </c>
      <c r="S1538" s="155" t="s">
        <v>7</v>
      </c>
      <c r="U1538" s="161">
        <f>$I1538*L1538</f>
        <v>1410488.7999999998</v>
      </c>
      <c r="V1538" s="161">
        <f t="shared" ref="V1538:V1541" si="404">$I1538*O1538</f>
        <v>91988.4</v>
      </c>
      <c r="W1538" s="161">
        <f>V1538*0.4</f>
        <v>36795.360000000001</v>
      </c>
    </row>
    <row r="1539" spans="1:23" ht="12.75" customHeight="1">
      <c r="A1539" s="118">
        <v>1538</v>
      </c>
      <c r="B1539" s="128">
        <v>18</v>
      </c>
      <c r="C1539" s="156">
        <v>37653</v>
      </c>
      <c r="D1539" s="157" t="s">
        <v>45</v>
      </c>
      <c r="E1539" s="8">
        <v>2003</v>
      </c>
      <c r="F1539" s="158">
        <f t="shared" si="398"/>
        <v>488</v>
      </c>
      <c r="G1539" s="158">
        <f t="shared" si="399"/>
        <v>2</v>
      </c>
      <c r="H1539" s="162">
        <v>37165</v>
      </c>
      <c r="I1539" s="194">
        <v>256913</v>
      </c>
      <c r="J1539" s="15">
        <v>38.1</v>
      </c>
      <c r="K1539" s="15">
        <v>13.6</v>
      </c>
      <c r="L1539" s="15">
        <v>5.8</v>
      </c>
      <c r="O1539" s="15">
        <v>0.4</v>
      </c>
      <c r="Q1539" s="11">
        <v>7.4</v>
      </c>
      <c r="R1539" s="11">
        <v>32</v>
      </c>
      <c r="S1539" s="155" t="s">
        <v>7</v>
      </c>
      <c r="T1539" s="161">
        <f>$I1539*K1539</f>
        <v>3494016.8</v>
      </c>
      <c r="U1539" s="161">
        <f>$I1539*L1539</f>
        <v>1490095.4</v>
      </c>
      <c r="V1539" s="161">
        <f t="shared" si="404"/>
        <v>102765.20000000001</v>
      </c>
      <c r="W1539" s="161">
        <f>V1539*0.4</f>
        <v>41106.080000000009</v>
      </c>
    </row>
    <row r="1540" spans="1:23" ht="12.75" customHeight="1">
      <c r="A1540" s="118">
        <v>1539</v>
      </c>
      <c r="B1540" s="128">
        <v>18</v>
      </c>
      <c r="C1540" s="156">
        <v>37681</v>
      </c>
      <c r="D1540" s="157" t="s">
        <v>46</v>
      </c>
      <c r="E1540" s="8">
        <v>2003</v>
      </c>
      <c r="F1540" s="158">
        <f t="shared" si="398"/>
        <v>516</v>
      </c>
      <c r="G1540" s="158">
        <f t="shared" si="399"/>
        <v>2</v>
      </c>
      <c r="H1540" s="162">
        <v>37165</v>
      </c>
      <c r="I1540" s="194">
        <v>230163</v>
      </c>
      <c r="J1540" s="15">
        <v>15.7</v>
      </c>
      <c r="K1540" s="15">
        <v>22.85</v>
      </c>
      <c r="L1540" s="15">
        <v>7.95</v>
      </c>
      <c r="M1540" s="174">
        <v>1</v>
      </c>
      <c r="O1540" s="15">
        <v>9.85</v>
      </c>
      <c r="Q1540" s="11">
        <v>7.2</v>
      </c>
      <c r="R1540" s="11">
        <v>31</v>
      </c>
      <c r="S1540" s="155" t="s">
        <v>7</v>
      </c>
      <c r="T1540" s="161">
        <f>$I1540*K1540</f>
        <v>5259224.5500000007</v>
      </c>
      <c r="U1540" s="161">
        <f>$I1540*L1540</f>
        <v>1829795.85</v>
      </c>
      <c r="V1540" s="161">
        <f t="shared" si="404"/>
        <v>2267105.5499999998</v>
      </c>
      <c r="W1540" s="161">
        <f>V1540*0.4</f>
        <v>906842.22</v>
      </c>
    </row>
    <row r="1541" spans="1:23" ht="12.75" customHeight="1">
      <c r="A1541" s="118">
        <v>1540</v>
      </c>
      <c r="B1541" s="128">
        <v>18</v>
      </c>
      <c r="C1541" s="156">
        <v>37712</v>
      </c>
      <c r="D1541" s="157" t="s">
        <v>47</v>
      </c>
      <c r="E1541" s="8">
        <v>2003</v>
      </c>
      <c r="F1541" s="158">
        <f t="shared" si="398"/>
        <v>547</v>
      </c>
      <c r="G1541" s="158">
        <f t="shared" si="399"/>
        <v>2</v>
      </c>
      <c r="H1541" s="162">
        <v>37165</v>
      </c>
      <c r="I1541" s="194">
        <v>84468</v>
      </c>
      <c r="J1541" s="15">
        <v>1.95</v>
      </c>
      <c r="K1541" s="15">
        <v>18.149999999999999</v>
      </c>
      <c r="L1541" s="15">
        <v>7.65</v>
      </c>
      <c r="O1541" s="15">
        <v>13.5</v>
      </c>
      <c r="Q1541" s="11">
        <v>7.5</v>
      </c>
      <c r="R1541" s="11">
        <v>30</v>
      </c>
      <c r="S1541" s="155" t="s">
        <v>7</v>
      </c>
      <c r="T1541" s="161">
        <f>$I1541*K1541</f>
        <v>1533094.2</v>
      </c>
      <c r="U1541" s="161">
        <f>$I1541*L1541</f>
        <v>646180.20000000007</v>
      </c>
      <c r="V1541" s="161">
        <f t="shared" si="404"/>
        <v>1140318</v>
      </c>
      <c r="W1541" s="161">
        <f>V1541*0.4</f>
        <v>456127.2</v>
      </c>
    </row>
    <row r="1542" spans="1:23" ht="12.75" customHeight="1">
      <c r="A1542" s="118">
        <v>1541</v>
      </c>
      <c r="B1542" s="128">
        <v>18</v>
      </c>
      <c r="C1542" s="156">
        <v>37742</v>
      </c>
      <c r="D1542" s="157" t="s">
        <v>48</v>
      </c>
      <c r="E1542" s="8">
        <v>2003</v>
      </c>
      <c r="F1542" s="158"/>
      <c r="I1542" s="194"/>
    </row>
    <row r="1543" spans="1:23" ht="12.75" customHeight="1">
      <c r="A1543" s="118">
        <v>1542</v>
      </c>
      <c r="B1543" s="128">
        <v>18</v>
      </c>
      <c r="C1543" s="156">
        <v>37773</v>
      </c>
      <c r="D1543" s="157" t="s">
        <v>49</v>
      </c>
      <c r="E1543" s="8">
        <v>2003</v>
      </c>
      <c r="F1543" s="158"/>
      <c r="I1543" s="194"/>
    </row>
    <row r="1544" spans="1:23" ht="12.75" customHeight="1">
      <c r="A1544" s="118">
        <v>1543</v>
      </c>
      <c r="B1544" s="128">
        <v>18</v>
      </c>
      <c r="C1544" s="156">
        <v>37803</v>
      </c>
      <c r="D1544" s="157" t="s">
        <v>50</v>
      </c>
      <c r="E1544" s="8">
        <v>2003</v>
      </c>
      <c r="F1544" s="158"/>
      <c r="I1544" s="194"/>
    </row>
    <row r="1545" spans="1:23" ht="12.75" customHeight="1">
      <c r="A1545" s="118">
        <v>1544</v>
      </c>
      <c r="B1545" s="128">
        <v>18</v>
      </c>
      <c r="C1545" s="156">
        <v>37834</v>
      </c>
      <c r="D1545" s="157" t="s">
        <v>51</v>
      </c>
      <c r="E1545" s="8">
        <v>2003</v>
      </c>
      <c r="F1545" s="158"/>
      <c r="I1545" s="194"/>
    </row>
    <row r="1546" spans="1:23" ht="12.75" customHeight="1">
      <c r="A1546" s="118">
        <v>1545</v>
      </c>
      <c r="B1546" s="128">
        <v>18</v>
      </c>
      <c r="C1546" s="156">
        <v>37865</v>
      </c>
      <c r="D1546" s="157" t="s">
        <v>52</v>
      </c>
      <c r="E1546" s="8">
        <v>2003</v>
      </c>
      <c r="F1546" s="158"/>
      <c r="I1546" s="194"/>
    </row>
    <row r="1547" spans="1:23" ht="12.75" customHeight="1">
      <c r="A1547" s="118">
        <v>1546</v>
      </c>
      <c r="B1547" s="128">
        <v>18</v>
      </c>
      <c r="C1547" s="156">
        <v>37895</v>
      </c>
      <c r="D1547" s="157" t="s">
        <v>53</v>
      </c>
      <c r="E1547" s="8">
        <v>2003</v>
      </c>
      <c r="F1547" s="158"/>
      <c r="I1547" s="194"/>
    </row>
    <row r="1548" spans="1:23" ht="12.75" customHeight="1">
      <c r="A1548" s="118">
        <v>1547</v>
      </c>
      <c r="B1548" s="128">
        <v>18</v>
      </c>
      <c r="C1548" s="156">
        <v>37926</v>
      </c>
      <c r="D1548" s="157" t="s">
        <v>54</v>
      </c>
      <c r="E1548" s="8">
        <v>2003</v>
      </c>
      <c r="F1548" s="158"/>
      <c r="I1548" s="194"/>
    </row>
    <row r="1549" spans="1:23" ht="12.75" customHeight="1">
      <c r="A1549" s="118">
        <v>1548</v>
      </c>
      <c r="B1549" s="128">
        <v>18</v>
      </c>
      <c r="C1549" s="156">
        <v>37956</v>
      </c>
      <c r="D1549" s="157" t="s">
        <v>55</v>
      </c>
      <c r="E1549" s="8">
        <v>2003</v>
      </c>
      <c r="F1549" s="158">
        <f t="shared" ref="F1549:F1566" si="405">C1549-H1549</f>
        <v>303</v>
      </c>
      <c r="G1549" s="158">
        <f t="shared" ref="G1549:G1566" si="406">IF(F1549&lt;365,1,2)</f>
        <v>1</v>
      </c>
      <c r="H1549" s="162">
        <v>37653</v>
      </c>
      <c r="I1549" s="194">
        <v>420226</v>
      </c>
      <c r="J1549" s="15">
        <v>1.33</v>
      </c>
      <c r="K1549" s="15">
        <v>3.33</v>
      </c>
      <c r="L1549" s="15">
        <v>0.87</v>
      </c>
      <c r="O1549" s="15">
        <v>1.43</v>
      </c>
      <c r="Q1549" s="11">
        <v>7.5</v>
      </c>
      <c r="R1549" s="11">
        <v>31</v>
      </c>
      <c r="S1549" s="155" t="s">
        <v>343</v>
      </c>
      <c r="T1549" s="161">
        <f t="shared" ref="T1549:T1563" si="407">$I1549*K1549</f>
        <v>1399352.58</v>
      </c>
      <c r="U1549" s="161">
        <f t="shared" ref="U1549:U1563" si="408">$I1549*L1549</f>
        <v>365596.62</v>
      </c>
      <c r="V1549" s="161">
        <f t="shared" ref="V1549:V1566" si="409">$I1549*O1549</f>
        <v>600923.17999999993</v>
      </c>
      <c r="W1549" s="161">
        <f t="shared" ref="W1549:W1566" si="410">V1549*0.4</f>
        <v>240369.272</v>
      </c>
    </row>
    <row r="1550" spans="1:23" ht="12.75" customHeight="1">
      <c r="A1550" s="118">
        <v>1549</v>
      </c>
      <c r="B1550" s="128">
        <v>18</v>
      </c>
      <c r="C1550" s="156">
        <v>37987</v>
      </c>
      <c r="D1550" s="157" t="s">
        <v>44</v>
      </c>
      <c r="E1550" s="8">
        <v>2004</v>
      </c>
      <c r="F1550" s="158">
        <f t="shared" si="405"/>
        <v>334</v>
      </c>
      <c r="G1550" s="158">
        <f t="shared" si="406"/>
        <v>1</v>
      </c>
      <c r="H1550" s="162">
        <v>37653</v>
      </c>
      <c r="I1550" s="194">
        <v>420226</v>
      </c>
      <c r="J1550" s="15">
        <v>0.73</v>
      </c>
      <c r="K1550" s="15">
        <v>4</v>
      </c>
      <c r="L1550" s="15">
        <v>1.27</v>
      </c>
      <c r="M1550" s="174">
        <v>2</v>
      </c>
      <c r="O1550" s="15">
        <v>10.63</v>
      </c>
      <c r="P1550" s="8">
        <v>1</v>
      </c>
      <c r="Q1550" s="11">
        <v>6.8</v>
      </c>
      <c r="R1550" s="11">
        <v>33</v>
      </c>
      <c r="T1550" s="161">
        <f t="shared" si="407"/>
        <v>1680904</v>
      </c>
      <c r="U1550" s="161">
        <f t="shared" si="408"/>
        <v>533687.02</v>
      </c>
      <c r="V1550" s="161">
        <f t="shared" si="409"/>
        <v>4467002.38</v>
      </c>
      <c r="W1550" s="161">
        <f t="shared" si="410"/>
        <v>1786800.952</v>
      </c>
    </row>
    <row r="1551" spans="1:23" ht="12.75" customHeight="1">
      <c r="A1551" s="118">
        <v>1550</v>
      </c>
      <c r="B1551" s="128">
        <v>18</v>
      </c>
      <c r="C1551" s="156">
        <v>38018</v>
      </c>
      <c r="D1551" s="157" t="s">
        <v>45</v>
      </c>
      <c r="E1551" s="8">
        <v>2004</v>
      </c>
      <c r="F1551" s="158">
        <f t="shared" si="405"/>
        <v>365</v>
      </c>
      <c r="G1551" s="158">
        <f t="shared" si="406"/>
        <v>2</v>
      </c>
      <c r="H1551" s="162">
        <v>37653</v>
      </c>
      <c r="I1551" s="198">
        <v>420000</v>
      </c>
      <c r="J1551" s="15">
        <v>0.4</v>
      </c>
      <c r="K1551" s="15">
        <v>2.5</v>
      </c>
      <c r="L1551" s="15">
        <v>0.8</v>
      </c>
      <c r="M1551" s="174">
        <v>0</v>
      </c>
      <c r="O1551" s="15">
        <v>3.1</v>
      </c>
      <c r="Q1551" s="11">
        <v>7.4</v>
      </c>
      <c r="R1551" s="11">
        <v>31</v>
      </c>
      <c r="T1551" s="161">
        <f t="shared" si="407"/>
        <v>1050000</v>
      </c>
      <c r="U1551" s="161">
        <f t="shared" si="408"/>
        <v>336000</v>
      </c>
      <c r="V1551" s="161">
        <f t="shared" si="409"/>
        <v>1302000</v>
      </c>
      <c r="W1551" s="161">
        <f t="shared" si="410"/>
        <v>520800</v>
      </c>
    </row>
    <row r="1552" spans="1:23" ht="12.75" customHeight="1">
      <c r="A1552" s="118">
        <v>1551</v>
      </c>
      <c r="B1552" s="128">
        <v>18</v>
      </c>
      <c r="C1552" s="156">
        <v>38047</v>
      </c>
      <c r="D1552" s="157" t="s">
        <v>46</v>
      </c>
      <c r="E1552" s="8">
        <v>2004</v>
      </c>
      <c r="F1552" s="158">
        <f t="shared" si="405"/>
        <v>394</v>
      </c>
      <c r="G1552" s="158">
        <f t="shared" si="406"/>
        <v>2</v>
      </c>
      <c r="H1552" s="162">
        <v>37653</v>
      </c>
      <c r="I1552" s="194">
        <v>419858</v>
      </c>
      <c r="J1552" s="15">
        <v>0</v>
      </c>
      <c r="K1552" s="15">
        <v>0.4</v>
      </c>
      <c r="L1552" s="15">
        <v>0.2</v>
      </c>
      <c r="M1552" s="174">
        <v>0</v>
      </c>
      <c r="O1552" s="15">
        <v>0</v>
      </c>
      <c r="Q1552" s="11">
        <v>7.7</v>
      </c>
      <c r="R1552" s="11">
        <v>32</v>
      </c>
      <c r="T1552" s="161">
        <f t="shared" si="407"/>
        <v>167943.2</v>
      </c>
      <c r="U1552" s="161">
        <f t="shared" si="408"/>
        <v>83971.6</v>
      </c>
      <c r="V1552" s="161">
        <f t="shared" si="409"/>
        <v>0</v>
      </c>
      <c r="W1552" s="161">
        <f t="shared" si="410"/>
        <v>0</v>
      </c>
    </row>
    <row r="1553" spans="1:23" ht="12.75" customHeight="1">
      <c r="A1553" s="118">
        <v>1552</v>
      </c>
      <c r="B1553" s="128">
        <v>18</v>
      </c>
      <c r="C1553" s="156">
        <v>38078</v>
      </c>
      <c r="D1553" s="157" t="s">
        <v>47</v>
      </c>
      <c r="E1553" s="8">
        <v>2004</v>
      </c>
      <c r="F1553" s="158">
        <f t="shared" si="405"/>
        <v>425</v>
      </c>
      <c r="G1553" s="158">
        <f t="shared" si="406"/>
        <v>2</v>
      </c>
      <c r="H1553" s="162">
        <v>37653</v>
      </c>
      <c r="I1553" s="194">
        <v>419660</v>
      </c>
      <c r="J1553" s="15">
        <v>0.1</v>
      </c>
      <c r="K1553" s="15">
        <v>0.1</v>
      </c>
      <c r="L1553" s="15">
        <v>0.02</v>
      </c>
      <c r="M1553" s="174">
        <v>2</v>
      </c>
      <c r="O1553" s="15">
        <v>0.13</v>
      </c>
      <c r="Q1553" s="11">
        <v>8</v>
      </c>
      <c r="R1553" s="11">
        <v>32</v>
      </c>
      <c r="T1553" s="161">
        <f t="shared" si="407"/>
        <v>41966</v>
      </c>
      <c r="U1553" s="161">
        <f t="shared" si="408"/>
        <v>8393.2000000000007</v>
      </c>
      <c r="V1553" s="161">
        <f t="shared" si="409"/>
        <v>54555.8</v>
      </c>
      <c r="W1553" s="161">
        <f t="shared" si="410"/>
        <v>21822.320000000003</v>
      </c>
    </row>
    <row r="1554" spans="1:23" ht="12.75" customHeight="1">
      <c r="A1554" s="118">
        <v>1553</v>
      </c>
      <c r="B1554" s="128">
        <v>18</v>
      </c>
      <c r="C1554" s="156">
        <v>38108</v>
      </c>
      <c r="D1554" s="157" t="s">
        <v>48</v>
      </c>
      <c r="E1554" s="8">
        <v>2004</v>
      </c>
      <c r="F1554" s="158">
        <f t="shared" si="405"/>
        <v>455</v>
      </c>
      <c r="G1554" s="158">
        <f t="shared" si="406"/>
        <v>2</v>
      </c>
      <c r="H1554" s="162">
        <v>37653</v>
      </c>
      <c r="I1554" s="194">
        <v>419407</v>
      </c>
      <c r="J1554" s="15">
        <v>0.53</v>
      </c>
      <c r="K1554" s="15">
        <v>0.63</v>
      </c>
      <c r="L1554" s="15">
        <v>0.13</v>
      </c>
      <c r="M1554" s="174">
        <v>0</v>
      </c>
      <c r="O1554" s="15">
        <v>1.93</v>
      </c>
      <c r="Q1554" s="11">
        <v>8.8000000000000007</v>
      </c>
      <c r="R1554" s="11">
        <v>32</v>
      </c>
      <c r="T1554" s="161">
        <f t="shared" si="407"/>
        <v>264226.40999999997</v>
      </c>
      <c r="U1554" s="161">
        <f t="shared" si="408"/>
        <v>54522.91</v>
      </c>
      <c r="V1554" s="161">
        <f t="shared" si="409"/>
        <v>809455.51</v>
      </c>
      <c r="W1554" s="161">
        <f t="shared" si="410"/>
        <v>323782.20400000003</v>
      </c>
    </row>
    <row r="1555" spans="1:23" ht="12.75" customHeight="1">
      <c r="A1555" s="118">
        <v>1554</v>
      </c>
      <c r="B1555" s="128">
        <v>18</v>
      </c>
      <c r="C1555" s="156">
        <v>38139</v>
      </c>
      <c r="D1555" s="157" t="s">
        <v>49</v>
      </c>
      <c r="E1555" s="8">
        <v>2004</v>
      </c>
      <c r="F1555" s="158">
        <f t="shared" si="405"/>
        <v>486</v>
      </c>
      <c r="G1555" s="158">
        <f t="shared" si="406"/>
        <v>2</v>
      </c>
      <c r="H1555" s="162">
        <v>37653</v>
      </c>
      <c r="I1555" s="194">
        <v>417859</v>
      </c>
      <c r="J1555" s="15">
        <v>1.4</v>
      </c>
      <c r="K1555" s="15">
        <v>3.35</v>
      </c>
      <c r="L1555" s="15">
        <v>1</v>
      </c>
      <c r="M1555" s="174">
        <v>0</v>
      </c>
      <c r="O1555" s="15">
        <v>2.4500000000000002</v>
      </c>
      <c r="Q1555" s="11">
        <v>9.75</v>
      </c>
      <c r="R1555" s="11">
        <v>32</v>
      </c>
      <c r="T1555" s="161">
        <f t="shared" si="407"/>
        <v>1399827.6500000001</v>
      </c>
      <c r="U1555" s="161">
        <f t="shared" si="408"/>
        <v>417859</v>
      </c>
      <c r="V1555" s="161">
        <f t="shared" si="409"/>
        <v>1023754.55</v>
      </c>
      <c r="W1555" s="161">
        <f t="shared" si="410"/>
        <v>409501.82000000007</v>
      </c>
    </row>
    <row r="1556" spans="1:23" ht="12.75" customHeight="1">
      <c r="A1556" s="118">
        <v>1555</v>
      </c>
      <c r="B1556" s="128">
        <v>18</v>
      </c>
      <c r="C1556" s="156">
        <v>38169</v>
      </c>
      <c r="D1556" s="157" t="s">
        <v>50</v>
      </c>
      <c r="E1556" s="8">
        <v>2004</v>
      </c>
      <c r="F1556" s="158">
        <f t="shared" si="405"/>
        <v>516</v>
      </c>
      <c r="G1556" s="158">
        <f t="shared" si="406"/>
        <v>2</v>
      </c>
      <c r="H1556" s="162">
        <v>37653</v>
      </c>
      <c r="I1556" s="194">
        <v>417006</v>
      </c>
      <c r="J1556" s="15">
        <v>0.5</v>
      </c>
      <c r="K1556" s="15">
        <v>5</v>
      </c>
      <c r="L1556" s="15">
        <v>2.1</v>
      </c>
      <c r="M1556" s="174">
        <v>0</v>
      </c>
      <c r="O1556" s="15">
        <v>0.2</v>
      </c>
      <c r="Q1556" s="11">
        <v>9.5</v>
      </c>
      <c r="R1556" s="11">
        <v>32</v>
      </c>
      <c r="T1556" s="161">
        <f t="shared" si="407"/>
        <v>2085030</v>
      </c>
      <c r="U1556" s="161">
        <f t="shared" si="408"/>
        <v>875712.60000000009</v>
      </c>
      <c r="V1556" s="161">
        <f t="shared" si="409"/>
        <v>83401.200000000012</v>
      </c>
      <c r="W1556" s="161">
        <f t="shared" si="410"/>
        <v>33360.480000000003</v>
      </c>
    </row>
    <row r="1557" spans="1:23" ht="12.75" customHeight="1">
      <c r="A1557" s="118">
        <v>1556</v>
      </c>
      <c r="B1557" s="128">
        <v>18</v>
      </c>
      <c r="C1557" s="156">
        <v>38200</v>
      </c>
      <c r="D1557" s="157" t="s">
        <v>51</v>
      </c>
      <c r="E1557" s="8">
        <v>2004</v>
      </c>
      <c r="F1557" s="158">
        <f t="shared" si="405"/>
        <v>547</v>
      </c>
      <c r="G1557" s="158">
        <f t="shared" si="406"/>
        <v>2</v>
      </c>
      <c r="H1557" s="162">
        <v>37653</v>
      </c>
      <c r="I1557" s="194">
        <v>415340</v>
      </c>
      <c r="J1557" s="15">
        <v>0.03</v>
      </c>
      <c r="K1557" s="15">
        <v>5.8</v>
      </c>
      <c r="L1557" s="15">
        <v>3.83</v>
      </c>
      <c r="M1557" s="174">
        <v>0</v>
      </c>
      <c r="O1557" s="15">
        <v>0.03</v>
      </c>
      <c r="Q1557" s="11">
        <v>9.6999999999999993</v>
      </c>
      <c r="R1557" s="11">
        <v>30.5</v>
      </c>
      <c r="T1557" s="161">
        <f t="shared" si="407"/>
        <v>2408972</v>
      </c>
      <c r="U1557" s="161">
        <f t="shared" si="408"/>
        <v>1590752.2</v>
      </c>
      <c r="V1557" s="161">
        <f t="shared" si="409"/>
        <v>12460.199999999999</v>
      </c>
      <c r="W1557" s="161">
        <f t="shared" si="410"/>
        <v>4984.08</v>
      </c>
    </row>
    <row r="1558" spans="1:23" ht="12.75" customHeight="1">
      <c r="A1558" s="118">
        <v>1557</v>
      </c>
      <c r="B1558" s="128">
        <v>18</v>
      </c>
      <c r="C1558" s="156">
        <v>38231</v>
      </c>
      <c r="D1558" s="157" t="s">
        <v>52</v>
      </c>
      <c r="E1558" s="8">
        <v>2004</v>
      </c>
      <c r="F1558" s="158">
        <f t="shared" si="405"/>
        <v>578</v>
      </c>
      <c r="G1558" s="158">
        <f t="shared" si="406"/>
        <v>2</v>
      </c>
      <c r="H1558" s="162">
        <v>37653</v>
      </c>
      <c r="I1558" s="198">
        <v>414000</v>
      </c>
      <c r="J1558" s="15">
        <v>0.1</v>
      </c>
      <c r="K1558" s="15">
        <v>6.7</v>
      </c>
      <c r="L1558" s="15">
        <v>4.3</v>
      </c>
      <c r="O1558" s="15">
        <v>0.3</v>
      </c>
      <c r="Q1558" s="11">
        <v>9.6999999999999993</v>
      </c>
      <c r="R1558" s="11">
        <v>31.8</v>
      </c>
      <c r="T1558" s="161">
        <f t="shared" si="407"/>
        <v>2773800</v>
      </c>
      <c r="U1558" s="161">
        <f t="shared" si="408"/>
        <v>1780200</v>
      </c>
      <c r="V1558" s="161">
        <f t="shared" si="409"/>
        <v>124200</v>
      </c>
      <c r="W1558" s="161">
        <f t="shared" si="410"/>
        <v>49680</v>
      </c>
    </row>
    <row r="1559" spans="1:23" ht="12.75" customHeight="1">
      <c r="A1559" s="118">
        <v>1558</v>
      </c>
      <c r="B1559" s="128">
        <v>18</v>
      </c>
      <c r="C1559" s="156">
        <v>38261</v>
      </c>
      <c r="D1559" s="157" t="s">
        <v>53</v>
      </c>
      <c r="E1559" s="8">
        <v>2004</v>
      </c>
      <c r="F1559" s="158">
        <f t="shared" si="405"/>
        <v>608</v>
      </c>
      <c r="G1559" s="158">
        <f t="shared" si="406"/>
        <v>2</v>
      </c>
      <c r="H1559" s="162">
        <v>37653</v>
      </c>
      <c r="I1559" s="198">
        <v>413000</v>
      </c>
      <c r="J1559" s="434"/>
      <c r="K1559" s="255">
        <f>(K1558+K1560)/2</f>
        <v>12.885</v>
      </c>
      <c r="L1559" s="255">
        <f>(L1558+L1560)/2</f>
        <v>6.1999999999999993</v>
      </c>
      <c r="M1559" s="438"/>
      <c r="N1559" s="531">
        <v>1</v>
      </c>
      <c r="O1559" s="255">
        <f>(O1558+O1560)/2</f>
        <v>0.91500000000000004</v>
      </c>
      <c r="P1559" s="256"/>
      <c r="Q1559" s="257">
        <f>(Q1558+Q1560)/2</f>
        <v>9</v>
      </c>
      <c r="R1559" s="255">
        <f>(R1558+R1560)/2</f>
        <v>31.9</v>
      </c>
      <c r="T1559" s="161">
        <f t="shared" si="407"/>
        <v>5321505</v>
      </c>
      <c r="U1559" s="161">
        <f t="shared" si="408"/>
        <v>2560599.9999999995</v>
      </c>
      <c r="V1559" s="161">
        <f t="shared" si="409"/>
        <v>377895</v>
      </c>
      <c r="W1559" s="161">
        <f t="shared" si="410"/>
        <v>151158</v>
      </c>
    </row>
    <row r="1560" spans="1:23" ht="12.75" customHeight="1">
      <c r="A1560" s="118">
        <v>1559</v>
      </c>
      <c r="B1560" s="128">
        <v>18</v>
      </c>
      <c r="C1560" s="156">
        <v>38292</v>
      </c>
      <c r="D1560" s="157" t="s">
        <v>54</v>
      </c>
      <c r="E1560" s="8">
        <v>2004</v>
      </c>
      <c r="F1560" s="158">
        <f t="shared" si="405"/>
        <v>639</v>
      </c>
      <c r="G1560" s="158">
        <f t="shared" si="406"/>
        <v>2</v>
      </c>
      <c r="H1560" s="162">
        <v>37653</v>
      </c>
      <c r="I1560" s="198">
        <v>412000</v>
      </c>
      <c r="J1560" s="15">
        <v>10.7</v>
      </c>
      <c r="K1560" s="15">
        <v>19.07</v>
      </c>
      <c r="L1560" s="15">
        <v>8.1</v>
      </c>
      <c r="O1560" s="15">
        <v>1.53</v>
      </c>
      <c r="Q1560" s="11">
        <v>8.3000000000000007</v>
      </c>
      <c r="R1560" s="11">
        <v>32</v>
      </c>
      <c r="T1560" s="161">
        <f t="shared" si="407"/>
        <v>7856840</v>
      </c>
      <c r="U1560" s="161">
        <f t="shared" si="408"/>
        <v>3337200</v>
      </c>
      <c r="V1560" s="161">
        <f t="shared" si="409"/>
        <v>630360</v>
      </c>
      <c r="W1560" s="161">
        <f t="shared" si="410"/>
        <v>252144</v>
      </c>
    </row>
    <row r="1561" spans="1:23" ht="12.75" customHeight="1">
      <c r="A1561" s="118">
        <v>1560</v>
      </c>
      <c r="B1561" s="128">
        <v>18</v>
      </c>
      <c r="C1561" s="156">
        <v>38322</v>
      </c>
      <c r="D1561" s="157" t="s">
        <v>55</v>
      </c>
      <c r="E1561" s="8">
        <v>2004</v>
      </c>
      <c r="F1561" s="158">
        <f t="shared" si="405"/>
        <v>669</v>
      </c>
      <c r="G1561" s="158">
        <f t="shared" si="406"/>
        <v>2</v>
      </c>
      <c r="H1561" s="162">
        <v>37653</v>
      </c>
      <c r="I1561" s="198">
        <v>411000</v>
      </c>
      <c r="J1561" s="15">
        <v>3.21</v>
      </c>
      <c r="K1561" s="15">
        <v>17.73</v>
      </c>
      <c r="L1561" s="15">
        <v>8.8800000000000008</v>
      </c>
      <c r="M1561" s="174">
        <v>0</v>
      </c>
      <c r="O1561" s="15">
        <v>6.13</v>
      </c>
      <c r="Q1561" s="11">
        <v>8</v>
      </c>
      <c r="R1561" s="11">
        <v>32</v>
      </c>
      <c r="T1561" s="161">
        <f t="shared" si="407"/>
        <v>7287030</v>
      </c>
      <c r="U1561" s="161">
        <f t="shared" si="408"/>
        <v>3649680.0000000005</v>
      </c>
      <c r="V1561" s="161">
        <f t="shared" si="409"/>
        <v>2519430</v>
      </c>
      <c r="W1561" s="161">
        <f t="shared" si="410"/>
        <v>1007772</v>
      </c>
    </row>
    <row r="1562" spans="1:23" ht="12.75" customHeight="1">
      <c r="A1562" s="118">
        <v>1561</v>
      </c>
      <c r="B1562" s="128">
        <v>18</v>
      </c>
      <c r="C1562" s="156">
        <v>38353</v>
      </c>
      <c r="D1562" s="157" t="s">
        <v>44</v>
      </c>
      <c r="E1562" s="8">
        <v>2005</v>
      </c>
      <c r="F1562" s="158">
        <f t="shared" si="405"/>
        <v>700</v>
      </c>
      <c r="G1562" s="158">
        <f t="shared" si="406"/>
        <v>2</v>
      </c>
      <c r="H1562" s="162">
        <v>37653</v>
      </c>
      <c r="I1562" s="194">
        <v>409675</v>
      </c>
      <c r="J1562" s="15">
        <v>4.3099999999999996</v>
      </c>
      <c r="K1562" s="15">
        <v>21.28</v>
      </c>
      <c r="L1562" s="15">
        <v>9.4499999999999993</v>
      </c>
      <c r="M1562" s="174">
        <v>2</v>
      </c>
      <c r="O1562" s="15">
        <v>5.83</v>
      </c>
      <c r="P1562" s="8">
        <v>1</v>
      </c>
      <c r="Q1562" s="11">
        <v>7</v>
      </c>
      <c r="R1562" s="11">
        <v>32</v>
      </c>
      <c r="T1562" s="161">
        <f t="shared" si="407"/>
        <v>8717884</v>
      </c>
      <c r="U1562" s="161">
        <f t="shared" si="408"/>
        <v>3871428.7499999995</v>
      </c>
      <c r="V1562" s="161">
        <f t="shared" si="409"/>
        <v>2388405.25</v>
      </c>
      <c r="W1562" s="161">
        <f t="shared" si="410"/>
        <v>955362.10000000009</v>
      </c>
    </row>
    <row r="1563" spans="1:23" ht="12.75" customHeight="1">
      <c r="A1563" s="118">
        <v>1562</v>
      </c>
      <c r="B1563" s="128">
        <v>18</v>
      </c>
      <c r="C1563" s="156">
        <v>38384</v>
      </c>
      <c r="D1563" s="157" t="s">
        <v>45</v>
      </c>
      <c r="E1563" s="8">
        <v>2005</v>
      </c>
      <c r="F1563" s="158">
        <f t="shared" si="405"/>
        <v>731</v>
      </c>
      <c r="G1563" s="158">
        <f t="shared" si="406"/>
        <v>2</v>
      </c>
      <c r="H1563" s="162">
        <v>37653</v>
      </c>
      <c r="I1563" s="194">
        <v>291000</v>
      </c>
      <c r="J1563" s="15">
        <v>0.08</v>
      </c>
      <c r="K1563" s="15">
        <v>1.91</v>
      </c>
      <c r="L1563" s="15">
        <v>1.1599999999999999</v>
      </c>
      <c r="O1563" s="15">
        <v>0</v>
      </c>
      <c r="Q1563" s="11">
        <v>7</v>
      </c>
      <c r="R1563" s="11">
        <v>32</v>
      </c>
      <c r="S1563" s="155" t="s">
        <v>7</v>
      </c>
      <c r="T1563" s="161">
        <f t="shared" si="407"/>
        <v>555810</v>
      </c>
      <c r="U1563" s="161">
        <f t="shared" si="408"/>
        <v>337560</v>
      </c>
      <c r="V1563" s="161">
        <f t="shared" si="409"/>
        <v>0</v>
      </c>
      <c r="W1563" s="161">
        <f t="shared" si="410"/>
        <v>0</v>
      </c>
    </row>
    <row r="1564" spans="1:23">
      <c r="A1564" s="118">
        <v>1563</v>
      </c>
      <c r="B1564" s="128">
        <v>18</v>
      </c>
      <c r="C1564" s="156">
        <v>38412</v>
      </c>
      <c r="D1564" s="157" t="s">
        <v>46</v>
      </c>
      <c r="E1564" s="8">
        <v>2005</v>
      </c>
      <c r="F1564" s="158">
        <f t="shared" si="405"/>
        <v>759</v>
      </c>
      <c r="G1564" s="158">
        <f t="shared" si="406"/>
        <v>2</v>
      </c>
      <c r="H1564" s="162">
        <v>37653</v>
      </c>
      <c r="I1564" s="198">
        <v>150000</v>
      </c>
      <c r="L1564" s="165">
        <v>0.5</v>
      </c>
      <c r="N1564" s="528" t="s">
        <v>795</v>
      </c>
      <c r="O1564" s="165">
        <v>0</v>
      </c>
      <c r="S1564" s="155" t="s">
        <v>7</v>
      </c>
      <c r="U1564" s="161">
        <f>$I1564*L1564</f>
        <v>75000</v>
      </c>
      <c r="V1564" s="161">
        <f t="shared" si="409"/>
        <v>0</v>
      </c>
      <c r="W1564" s="161">
        <f t="shared" si="410"/>
        <v>0</v>
      </c>
    </row>
    <row r="1565" spans="1:23" ht="12.75" customHeight="1">
      <c r="A1565" s="118">
        <v>1564</v>
      </c>
      <c r="B1565" s="128">
        <v>18</v>
      </c>
      <c r="C1565" s="156">
        <v>38443</v>
      </c>
      <c r="D1565" s="157" t="s">
        <v>47</v>
      </c>
      <c r="E1565" s="8">
        <v>2005</v>
      </c>
      <c r="F1565" s="158">
        <f t="shared" si="405"/>
        <v>790</v>
      </c>
      <c r="G1565" s="158">
        <f t="shared" si="406"/>
        <v>2</v>
      </c>
      <c r="H1565" s="162">
        <v>37653</v>
      </c>
      <c r="I1565" s="194">
        <v>68102</v>
      </c>
      <c r="L1565" s="165">
        <v>0.3</v>
      </c>
      <c r="N1565" s="528" t="s">
        <v>795</v>
      </c>
      <c r="O1565" s="165">
        <v>0.05</v>
      </c>
      <c r="S1565" s="155" t="s">
        <v>7</v>
      </c>
      <c r="U1565" s="161">
        <f>$I1565*L1565</f>
        <v>20430.599999999999</v>
      </c>
      <c r="V1565" s="161">
        <f t="shared" si="409"/>
        <v>3405.1000000000004</v>
      </c>
      <c r="W1565" s="161">
        <f t="shared" si="410"/>
        <v>1362.0400000000002</v>
      </c>
    </row>
    <row r="1566" spans="1:23">
      <c r="A1566" s="118">
        <v>1565</v>
      </c>
      <c r="B1566" s="128">
        <v>18</v>
      </c>
      <c r="C1566" s="156">
        <v>38473</v>
      </c>
      <c r="D1566" s="157" t="s">
        <v>48</v>
      </c>
      <c r="E1566" s="8">
        <v>2005</v>
      </c>
      <c r="F1566" s="158">
        <f t="shared" si="405"/>
        <v>820</v>
      </c>
      <c r="G1566" s="158">
        <f t="shared" si="406"/>
        <v>2</v>
      </c>
      <c r="H1566" s="162">
        <v>37653</v>
      </c>
      <c r="I1566" s="194">
        <v>42346</v>
      </c>
      <c r="L1566" s="165">
        <v>0.2</v>
      </c>
      <c r="N1566" s="528" t="s">
        <v>795</v>
      </c>
      <c r="O1566" s="165">
        <v>0.1</v>
      </c>
      <c r="S1566" s="155" t="s">
        <v>7</v>
      </c>
      <c r="U1566" s="161">
        <f>$I1566*L1566</f>
        <v>8469.2000000000007</v>
      </c>
      <c r="V1566" s="161">
        <f t="shared" si="409"/>
        <v>4234.6000000000004</v>
      </c>
      <c r="W1566" s="161">
        <f t="shared" si="410"/>
        <v>1693.8400000000001</v>
      </c>
    </row>
    <row r="1567" spans="1:23">
      <c r="A1567" s="118">
        <v>1566</v>
      </c>
      <c r="B1567" s="128">
        <v>18</v>
      </c>
      <c r="C1567" s="156">
        <v>38504</v>
      </c>
      <c r="D1567" s="157" t="s">
        <v>49</v>
      </c>
      <c r="E1567" s="8">
        <v>2005</v>
      </c>
      <c r="F1567" s="158"/>
      <c r="H1567" s="162"/>
      <c r="I1567" s="194"/>
    </row>
    <row r="1568" spans="1:23">
      <c r="A1568" s="118">
        <v>1567</v>
      </c>
      <c r="B1568" s="128">
        <v>18</v>
      </c>
      <c r="C1568" s="156">
        <v>38534</v>
      </c>
      <c r="D1568" s="157" t="s">
        <v>50</v>
      </c>
      <c r="E1568" s="8">
        <v>2005</v>
      </c>
      <c r="F1568" s="158"/>
      <c r="H1568" s="162"/>
      <c r="I1568" s="194"/>
    </row>
    <row r="1569" spans="1:23">
      <c r="A1569" s="118">
        <v>1568</v>
      </c>
      <c r="B1569" s="128">
        <v>18</v>
      </c>
      <c r="C1569" s="156">
        <v>38565</v>
      </c>
      <c r="D1569" s="157" t="s">
        <v>51</v>
      </c>
      <c r="E1569" s="8">
        <v>2005</v>
      </c>
      <c r="F1569" s="158"/>
      <c r="H1569" s="162"/>
      <c r="I1569" s="194"/>
    </row>
    <row r="1570" spans="1:23">
      <c r="A1570" s="118">
        <v>1569</v>
      </c>
      <c r="B1570" s="128">
        <v>18</v>
      </c>
      <c r="C1570" s="156">
        <v>38596</v>
      </c>
      <c r="D1570" s="157" t="s">
        <v>52</v>
      </c>
      <c r="E1570" s="8">
        <v>2005</v>
      </c>
      <c r="F1570" s="158"/>
      <c r="H1570" s="162"/>
      <c r="I1570" s="194"/>
    </row>
    <row r="1571" spans="1:23">
      <c r="A1571" s="118">
        <v>1570</v>
      </c>
      <c r="B1571" s="128">
        <v>18</v>
      </c>
      <c r="C1571" s="156">
        <v>38626</v>
      </c>
      <c r="D1571" s="157" t="s">
        <v>53</v>
      </c>
      <c r="E1571" s="8">
        <v>2005</v>
      </c>
      <c r="F1571" s="158"/>
      <c r="H1571" s="162"/>
      <c r="I1571" s="194"/>
    </row>
    <row r="1572" spans="1:23">
      <c r="A1572" s="118">
        <v>1571</v>
      </c>
      <c r="B1572" s="128">
        <v>18</v>
      </c>
      <c r="C1572" s="156">
        <v>38657</v>
      </c>
      <c r="D1572" s="157" t="s">
        <v>54</v>
      </c>
      <c r="E1572" s="8">
        <v>2005</v>
      </c>
      <c r="F1572" s="158"/>
      <c r="H1572" s="162"/>
      <c r="I1572" s="194"/>
    </row>
    <row r="1573" spans="1:23">
      <c r="A1573" s="118">
        <v>1572</v>
      </c>
      <c r="B1573" s="128">
        <v>18</v>
      </c>
      <c r="C1573" s="156">
        <v>38687</v>
      </c>
      <c r="D1573" s="157" t="s">
        <v>55</v>
      </c>
      <c r="E1573" s="8">
        <v>2005</v>
      </c>
      <c r="F1573" s="158"/>
      <c r="H1573" s="162"/>
      <c r="I1573" s="194"/>
    </row>
    <row r="1574" spans="1:23">
      <c r="A1574" s="118">
        <v>1573</v>
      </c>
      <c r="B1574" s="128">
        <v>18</v>
      </c>
      <c r="C1574" s="156">
        <v>38718</v>
      </c>
      <c r="D1574" s="157" t="s">
        <v>44</v>
      </c>
      <c r="E1574" s="8">
        <v>2006</v>
      </c>
      <c r="F1574" s="158"/>
      <c r="G1574" s="158"/>
      <c r="H1574" s="162"/>
      <c r="I1574" s="194"/>
      <c r="L1574" s="173"/>
    </row>
    <row r="1575" spans="1:23">
      <c r="A1575" s="118">
        <v>1574</v>
      </c>
      <c r="B1575" s="128">
        <v>18</v>
      </c>
      <c r="C1575" s="156">
        <v>38749</v>
      </c>
      <c r="D1575" s="157" t="s">
        <v>45</v>
      </c>
      <c r="E1575" s="8">
        <v>2006</v>
      </c>
      <c r="F1575" s="158"/>
      <c r="G1575" s="158"/>
      <c r="H1575" s="162"/>
      <c r="I1575" s="194"/>
      <c r="L1575" s="173"/>
    </row>
    <row r="1576" spans="1:23">
      <c r="A1576" s="118">
        <v>1575</v>
      </c>
      <c r="B1576" s="128">
        <v>18</v>
      </c>
      <c r="C1576" s="156">
        <v>38777</v>
      </c>
      <c r="D1576" s="157" t="s">
        <v>46</v>
      </c>
      <c r="E1576" s="8">
        <v>2006</v>
      </c>
      <c r="F1576" s="158">
        <f t="shared" ref="F1576:F1588" si="411">C1576-H1576</f>
        <v>455</v>
      </c>
      <c r="G1576" s="158">
        <f t="shared" ref="G1576:G1584" si="412">IF(F1576&lt;365,1,2)</f>
        <v>2</v>
      </c>
      <c r="H1576" s="172">
        <v>38322</v>
      </c>
      <c r="I1576" s="194">
        <v>623110</v>
      </c>
      <c r="J1576" s="15">
        <v>0</v>
      </c>
      <c r="K1576" s="15">
        <v>0.15</v>
      </c>
      <c r="L1576" s="15">
        <v>0.02</v>
      </c>
      <c r="O1576" s="15">
        <v>0</v>
      </c>
      <c r="Q1576" s="11">
        <v>7</v>
      </c>
      <c r="R1576" s="11">
        <v>32</v>
      </c>
      <c r="S1576" s="155" t="s">
        <v>308</v>
      </c>
      <c r="T1576" s="161">
        <f t="shared" ref="T1576:T1585" si="413">$I1576*K1576</f>
        <v>93466.5</v>
      </c>
      <c r="U1576" s="161">
        <f t="shared" ref="U1576:U1585" si="414">$I1576*L1576</f>
        <v>12462.2</v>
      </c>
      <c r="V1576" s="161">
        <f t="shared" ref="V1576:V1588" si="415">$I1576*O1576</f>
        <v>0</v>
      </c>
      <c r="W1576" s="161">
        <f t="shared" ref="W1576:W1588" si="416">V1576*0.4</f>
        <v>0</v>
      </c>
    </row>
    <row r="1577" spans="1:23">
      <c r="A1577" s="118">
        <v>1576</v>
      </c>
      <c r="B1577" s="128">
        <v>18</v>
      </c>
      <c r="C1577" s="156">
        <v>38808</v>
      </c>
      <c r="D1577" s="157" t="s">
        <v>47</v>
      </c>
      <c r="E1577" s="8">
        <v>2006</v>
      </c>
      <c r="F1577" s="158">
        <f t="shared" si="411"/>
        <v>486</v>
      </c>
      <c r="G1577" s="158">
        <f t="shared" si="412"/>
        <v>2</v>
      </c>
      <c r="H1577" s="172">
        <v>38322</v>
      </c>
      <c r="I1577" s="194">
        <v>621791</v>
      </c>
      <c r="J1577" s="15">
        <v>3.67</v>
      </c>
      <c r="K1577" s="15">
        <v>0.02</v>
      </c>
      <c r="L1577" s="15">
        <v>0</v>
      </c>
      <c r="M1577" s="174">
        <v>0</v>
      </c>
      <c r="O1577" s="15">
        <v>0</v>
      </c>
      <c r="Q1577" s="11">
        <v>8</v>
      </c>
      <c r="R1577" s="11">
        <v>32</v>
      </c>
      <c r="T1577" s="161">
        <f t="shared" si="413"/>
        <v>12435.82</v>
      </c>
      <c r="U1577" s="161">
        <f t="shared" si="414"/>
        <v>0</v>
      </c>
      <c r="V1577" s="161">
        <f t="shared" si="415"/>
        <v>0</v>
      </c>
      <c r="W1577" s="161">
        <f t="shared" si="416"/>
        <v>0</v>
      </c>
    </row>
    <row r="1578" spans="1:23" ht="12.75" customHeight="1">
      <c r="A1578" s="118">
        <v>1577</v>
      </c>
      <c r="B1578" s="128">
        <v>18</v>
      </c>
      <c r="C1578" s="156">
        <v>38838</v>
      </c>
      <c r="D1578" s="157" t="s">
        <v>48</v>
      </c>
      <c r="E1578" s="8">
        <v>2006</v>
      </c>
      <c r="F1578" s="158">
        <f t="shared" si="411"/>
        <v>516</v>
      </c>
      <c r="G1578" s="158">
        <f t="shared" si="412"/>
        <v>2</v>
      </c>
      <c r="H1578" s="172">
        <v>38322</v>
      </c>
      <c r="I1578" s="194">
        <v>621224</v>
      </c>
      <c r="J1578" s="15">
        <v>2.34</v>
      </c>
      <c r="K1578" s="15">
        <v>0.38</v>
      </c>
      <c r="L1578" s="15">
        <v>0.11</v>
      </c>
      <c r="M1578" s="174">
        <v>0</v>
      </c>
      <c r="O1578" s="15">
        <v>1.67</v>
      </c>
      <c r="Q1578" s="11">
        <v>8</v>
      </c>
      <c r="R1578" s="11">
        <v>31</v>
      </c>
      <c r="T1578" s="161">
        <f t="shared" si="413"/>
        <v>236065.12</v>
      </c>
      <c r="U1578" s="161">
        <f t="shared" si="414"/>
        <v>68334.64</v>
      </c>
      <c r="V1578" s="161">
        <f t="shared" si="415"/>
        <v>1037444.08</v>
      </c>
      <c r="W1578" s="161">
        <f t="shared" si="416"/>
        <v>414977.63199999998</v>
      </c>
    </row>
    <row r="1579" spans="1:23" ht="12.75" customHeight="1">
      <c r="A1579" s="118">
        <v>1578</v>
      </c>
      <c r="B1579" s="128">
        <v>18</v>
      </c>
      <c r="C1579" s="156">
        <v>38869</v>
      </c>
      <c r="D1579" s="157" t="s">
        <v>49</v>
      </c>
      <c r="E1579" s="8">
        <v>2006</v>
      </c>
      <c r="F1579" s="158">
        <f t="shared" si="411"/>
        <v>547</v>
      </c>
      <c r="G1579" s="158">
        <f t="shared" si="412"/>
        <v>2</v>
      </c>
      <c r="H1579" s="172">
        <v>38322</v>
      </c>
      <c r="I1579" s="194">
        <v>619592</v>
      </c>
      <c r="J1579" s="15">
        <v>2.92</v>
      </c>
      <c r="K1579" s="15">
        <v>0.17</v>
      </c>
      <c r="L1579" s="15">
        <v>0.17</v>
      </c>
      <c r="M1579" s="174">
        <v>0</v>
      </c>
      <c r="O1579" s="15">
        <v>0</v>
      </c>
      <c r="Q1579" s="11">
        <v>10</v>
      </c>
      <c r="R1579" s="11">
        <v>32</v>
      </c>
      <c r="T1579" s="161">
        <f t="shared" si="413"/>
        <v>105330.64000000001</v>
      </c>
      <c r="U1579" s="161">
        <f t="shared" si="414"/>
        <v>105330.64000000001</v>
      </c>
      <c r="V1579" s="161">
        <f t="shared" si="415"/>
        <v>0</v>
      </c>
      <c r="W1579" s="161">
        <f t="shared" si="416"/>
        <v>0</v>
      </c>
    </row>
    <row r="1580" spans="1:23" ht="12.75" customHeight="1">
      <c r="A1580" s="118">
        <v>1579</v>
      </c>
      <c r="B1580" s="128">
        <v>18</v>
      </c>
      <c r="C1580" s="156">
        <v>38899</v>
      </c>
      <c r="D1580" s="157" t="s">
        <v>50</v>
      </c>
      <c r="E1580" s="8">
        <v>2006</v>
      </c>
      <c r="F1580" s="158">
        <f t="shared" si="411"/>
        <v>577</v>
      </c>
      <c r="G1580" s="158">
        <f t="shared" si="412"/>
        <v>2</v>
      </c>
      <c r="H1580" s="172">
        <v>38322</v>
      </c>
      <c r="I1580" s="194">
        <v>616000</v>
      </c>
      <c r="J1580" s="15">
        <v>0.48</v>
      </c>
      <c r="K1580" s="15">
        <v>2.2799999999999998</v>
      </c>
      <c r="L1580" s="15">
        <v>0.97</v>
      </c>
      <c r="M1580" s="174">
        <v>0</v>
      </c>
      <c r="O1580" s="15">
        <v>1.45</v>
      </c>
      <c r="Q1580" s="11">
        <v>10</v>
      </c>
      <c r="T1580" s="161">
        <f t="shared" si="413"/>
        <v>1404479.9999999998</v>
      </c>
      <c r="U1580" s="161">
        <f t="shared" si="414"/>
        <v>597520</v>
      </c>
      <c r="V1580" s="161">
        <f t="shared" si="415"/>
        <v>893200</v>
      </c>
      <c r="W1580" s="161">
        <f t="shared" si="416"/>
        <v>357280</v>
      </c>
    </row>
    <row r="1581" spans="1:23" ht="12.75" customHeight="1">
      <c r="A1581" s="118">
        <v>1580</v>
      </c>
      <c r="B1581" s="128">
        <v>18</v>
      </c>
      <c r="C1581" s="156">
        <v>38930</v>
      </c>
      <c r="D1581" s="157" t="s">
        <v>51</v>
      </c>
      <c r="E1581" s="8">
        <v>2006</v>
      </c>
      <c r="F1581" s="158">
        <f t="shared" si="411"/>
        <v>608</v>
      </c>
      <c r="G1581" s="158">
        <f t="shared" si="412"/>
        <v>2</v>
      </c>
      <c r="H1581" s="172">
        <v>38322</v>
      </c>
      <c r="I1581" s="194">
        <v>486181</v>
      </c>
      <c r="J1581" s="15">
        <v>6.6666666000000001</v>
      </c>
      <c r="K1581" s="15">
        <v>4.4833333</v>
      </c>
      <c r="L1581" s="15">
        <v>2.2166665999999999</v>
      </c>
      <c r="M1581" s="174">
        <v>0</v>
      </c>
      <c r="O1581" s="15">
        <v>1.0333333</v>
      </c>
      <c r="Q1581" s="11">
        <v>10</v>
      </c>
      <c r="R1581" s="11">
        <v>32</v>
      </c>
      <c r="T1581" s="161">
        <f t="shared" si="413"/>
        <v>2179711.4671272999</v>
      </c>
      <c r="U1581" s="161">
        <f t="shared" si="414"/>
        <v>1077701.1842546</v>
      </c>
      <c r="V1581" s="161">
        <f t="shared" si="415"/>
        <v>502387.01712730003</v>
      </c>
      <c r="W1581" s="161">
        <f t="shared" si="416"/>
        <v>200954.80685092002</v>
      </c>
    </row>
    <row r="1582" spans="1:23" ht="12.75" customHeight="1">
      <c r="A1582" s="118">
        <v>1581</v>
      </c>
      <c r="B1582" s="128">
        <v>18</v>
      </c>
      <c r="C1582" s="156">
        <v>38961</v>
      </c>
      <c r="D1582" s="157" t="s">
        <v>52</v>
      </c>
      <c r="E1582" s="8">
        <v>2006</v>
      </c>
      <c r="F1582" s="158">
        <f t="shared" si="411"/>
        <v>639</v>
      </c>
      <c r="G1582" s="158">
        <f t="shared" si="412"/>
        <v>2</v>
      </c>
      <c r="H1582" s="172">
        <v>38322</v>
      </c>
      <c r="I1582" s="194">
        <v>419199</v>
      </c>
      <c r="J1582" s="15">
        <v>18.13</v>
      </c>
      <c r="K1582" s="15">
        <v>4.83</v>
      </c>
      <c r="L1582" s="15">
        <v>2.42</v>
      </c>
      <c r="M1582" s="174">
        <v>0</v>
      </c>
      <c r="O1582" s="15">
        <v>0.18</v>
      </c>
      <c r="Q1582" s="11">
        <v>9</v>
      </c>
      <c r="R1582" s="11">
        <v>31</v>
      </c>
      <c r="T1582" s="161">
        <f t="shared" si="413"/>
        <v>2024731.17</v>
      </c>
      <c r="U1582" s="161">
        <f t="shared" si="414"/>
        <v>1014461.58</v>
      </c>
      <c r="V1582" s="161">
        <f t="shared" si="415"/>
        <v>75455.819999999992</v>
      </c>
      <c r="W1582" s="161">
        <f t="shared" si="416"/>
        <v>30182.327999999998</v>
      </c>
    </row>
    <row r="1583" spans="1:23" ht="12.75" customHeight="1">
      <c r="A1583" s="118">
        <v>1582</v>
      </c>
      <c r="B1583" s="128">
        <v>18</v>
      </c>
      <c r="C1583" s="156">
        <v>38991</v>
      </c>
      <c r="D1583" s="157" t="s">
        <v>53</v>
      </c>
      <c r="E1583" s="8">
        <v>2006</v>
      </c>
      <c r="F1583" s="158">
        <f t="shared" si="411"/>
        <v>669</v>
      </c>
      <c r="G1583" s="158">
        <f t="shared" si="412"/>
        <v>2</v>
      </c>
      <c r="H1583" s="172">
        <v>38322</v>
      </c>
      <c r="I1583" s="194">
        <v>310698</v>
      </c>
      <c r="J1583" s="15">
        <v>30.97</v>
      </c>
      <c r="K1583" s="15">
        <v>7.26</v>
      </c>
      <c r="L1583" s="15">
        <v>4.1399999999999997</v>
      </c>
      <c r="M1583" s="174">
        <v>0</v>
      </c>
      <c r="O1583" s="15">
        <v>0.81</v>
      </c>
      <c r="Q1583" s="11">
        <v>9</v>
      </c>
      <c r="R1583" s="11">
        <v>31</v>
      </c>
      <c r="T1583" s="161">
        <f t="shared" si="413"/>
        <v>2255667.48</v>
      </c>
      <c r="U1583" s="161">
        <f t="shared" si="414"/>
        <v>1286289.72</v>
      </c>
      <c r="V1583" s="161">
        <f t="shared" si="415"/>
        <v>251665.38</v>
      </c>
      <c r="W1583" s="161">
        <f t="shared" si="416"/>
        <v>100666.152</v>
      </c>
    </row>
    <row r="1584" spans="1:23" ht="12.75" customHeight="1">
      <c r="A1584" s="118">
        <v>1583</v>
      </c>
      <c r="B1584" s="128">
        <v>18</v>
      </c>
      <c r="C1584" s="156">
        <v>39022</v>
      </c>
      <c r="D1584" s="157" t="s">
        <v>54</v>
      </c>
      <c r="E1584" s="8">
        <v>2006</v>
      </c>
      <c r="F1584" s="158">
        <f t="shared" si="411"/>
        <v>700</v>
      </c>
      <c r="G1584" s="158">
        <f t="shared" si="412"/>
        <v>2</v>
      </c>
      <c r="H1584" s="172">
        <v>38322</v>
      </c>
      <c r="I1584" s="194">
        <v>185928</v>
      </c>
      <c r="J1584" s="15">
        <v>12.866666</v>
      </c>
      <c r="K1584" s="15">
        <v>10.85</v>
      </c>
      <c r="L1584" s="15">
        <v>6.7333333</v>
      </c>
      <c r="M1584" s="174">
        <v>0</v>
      </c>
      <c r="O1584" s="15">
        <v>0.43333329999999998</v>
      </c>
      <c r="Q1584" s="11">
        <v>8</v>
      </c>
      <c r="T1584" s="161">
        <f t="shared" si="413"/>
        <v>2017318.8</v>
      </c>
      <c r="U1584" s="161">
        <f t="shared" si="414"/>
        <v>1251915.1938024</v>
      </c>
      <c r="V1584" s="161">
        <f t="shared" si="415"/>
        <v>80568.793802399989</v>
      </c>
      <c r="W1584" s="161">
        <f t="shared" si="416"/>
        <v>32227.517520959998</v>
      </c>
    </row>
    <row r="1585" spans="1:23" ht="12.75" customHeight="1">
      <c r="A1585" s="118">
        <v>1584</v>
      </c>
      <c r="B1585" s="128">
        <v>18</v>
      </c>
      <c r="C1585" s="156">
        <v>39052</v>
      </c>
      <c r="D1585" s="157" t="s">
        <v>55</v>
      </c>
      <c r="E1585" s="8">
        <v>2006</v>
      </c>
      <c r="F1585" s="158">
        <f t="shared" si="411"/>
        <v>730</v>
      </c>
      <c r="G1585" s="158">
        <f>IF(F1585&lt;730,2,3)</f>
        <v>3</v>
      </c>
      <c r="H1585" s="172">
        <v>38322</v>
      </c>
      <c r="I1585" s="194">
        <v>132890</v>
      </c>
      <c r="J1585" s="15">
        <v>28.83</v>
      </c>
      <c r="K1585" s="15">
        <v>18.72</v>
      </c>
      <c r="L1585" s="15">
        <v>11.28</v>
      </c>
      <c r="O1585" s="15">
        <v>0</v>
      </c>
      <c r="Q1585" s="11">
        <v>7</v>
      </c>
      <c r="R1585" s="11">
        <v>32</v>
      </c>
      <c r="T1585" s="161">
        <f t="shared" si="413"/>
        <v>2487700.7999999998</v>
      </c>
      <c r="U1585" s="161">
        <f t="shared" si="414"/>
        <v>1498999.2</v>
      </c>
      <c r="V1585" s="161">
        <f t="shared" si="415"/>
        <v>0</v>
      </c>
      <c r="W1585" s="161">
        <f t="shared" si="416"/>
        <v>0</v>
      </c>
    </row>
    <row r="1586" spans="1:23" ht="12.75" customHeight="1">
      <c r="A1586" s="118">
        <v>1585</v>
      </c>
      <c r="B1586" s="128">
        <v>18</v>
      </c>
      <c r="C1586" s="156">
        <v>39083</v>
      </c>
      <c r="D1586" s="157" t="s">
        <v>44</v>
      </c>
      <c r="E1586" s="8">
        <v>2007</v>
      </c>
      <c r="F1586" s="158">
        <f t="shared" si="411"/>
        <v>761</v>
      </c>
      <c r="G1586" s="158">
        <f>IF(F1586&lt;730,2,3)</f>
        <v>3</v>
      </c>
      <c r="H1586" s="172">
        <v>38322</v>
      </c>
      <c r="I1586" s="194">
        <v>62350</v>
      </c>
      <c r="J1586" s="128"/>
      <c r="K1586" s="128"/>
      <c r="L1586" s="167">
        <v>14</v>
      </c>
      <c r="N1586" s="528" t="s">
        <v>795</v>
      </c>
      <c r="O1586" s="165">
        <v>0.2</v>
      </c>
      <c r="P1586" s="170"/>
      <c r="Q1586" s="128"/>
      <c r="R1586" s="128"/>
      <c r="S1586" s="180"/>
      <c r="T1586" s="128"/>
      <c r="U1586" s="171">
        <f>$I1586*L1586</f>
        <v>872900</v>
      </c>
      <c r="V1586" s="171">
        <f t="shared" si="415"/>
        <v>12470</v>
      </c>
      <c r="W1586" s="161">
        <f t="shared" si="416"/>
        <v>4988</v>
      </c>
    </row>
    <row r="1587" spans="1:23" ht="12.75" customHeight="1">
      <c r="A1587" s="118">
        <v>1586</v>
      </c>
      <c r="B1587" s="128">
        <v>18</v>
      </c>
      <c r="C1587" s="156">
        <v>39114</v>
      </c>
      <c r="D1587" s="157" t="s">
        <v>45</v>
      </c>
      <c r="E1587" s="8">
        <v>2007</v>
      </c>
      <c r="F1587" s="158">
        <f t="shared" si="411"/>
        <v>792</v>
      </c>
      <c r="G1587" s="158">
        <f>IF(F1587&lt;730,2,3)</f>
        <v>3</v>
      </c>
      <c r="H1587" s="172">
        <v>38322</v>
      </c>
      <c r="I1587" s="194">
        <v>53220</v>
      </c>
      <c r="J1587" s="128"/>
      <c r="K1587" s="128"/>
      <c r="L1587" s="167">
        <v>18</v>
      </c>
      <c r="N1587" s="528" t="s">
        <v>795</v>
      </c>
      <c r="O1587" s="165">
        <v>0.2</v>
      </c>
      <c r="P1587" s="170"/>
      <c r="Q1587" s="128"/>
      <c r="R1587" s="128"/>
      <c r="S1587" s="180"/>
      <c r="T1587" s="128"/>
      <c r="U1587" s="171">
        <f>$I1587*L1587</f>
        <v>957960</v>
      </c>
      <c r="V1587" s="171">
        <f t="shared" si="415"/>
        <v>10644</v>
      </c>
      <c r="W1587" s="161">
        <f t="shared" si="416"/>
        <v>4257.6000000000004</v>
      </c>
    </row>
    <row r="1588" spans="1:23" ht="12.75" customHeight="1">
      <c r="A1588" s="118">
        <v>1587</v>
      </c>
      <c r="B1588" s="128">
        <v>18</v>
      </c>
      <c r="C1588" s="156">
        <v>39142</v>
      </c>
      <c r="D1588" s="157" t="s">
        <v>46</v>
      </c>
      <c r="E1588" s="8">
        <v>2007</v>
      </c>
      <c r="F1588" s="158">
        <f t="shared" si="411"/>
        <v>820</v>
      </c>
      <c r="G1588" s="158">
        <f>IF(F1588&lt;730,2,3)</f>
        <v>3</v>
      </c>
      <c r="H1588" s="172">
        <v>38322</v>
      </c>
      <c r="I1588" s="194">
        <v>18926</v>
      </c>
      <c r="J1588" s="128"/>
      <c r="K1588" s="128"/>
      <c r="L1588" s="167">
        <v>22</v>
      </c>
      <c r="N1588" s="528" t="s">
        <v>795</v>
      </c>
      <c r="O1588" s="165">
        <v>0.2</v>
      </c>
      <c r="P1588" s="170"/>
      <c r="Q1588" s="128"/>
      <c r="R1588" s="128"/>
      <c r="S1588" s="180"/>
      <c r="T1588" s="128"/>
      <c r="U1588" s="171">
        <f>$I1588*L1588</f>
        <v>416372</v>
      </c>
      <c r="V1588" s="171">
        <f t="shared" si="415"/>
        <v>3785.2000000000003</v>
      </c>
      <c r="W1588" s="161">
        <f t="shared" si="416"/>
        <v>1514.0800000000002</v>
      </c>
    </row>
    <row r="1589" spans="1:23" ht="12.75" customHeight="1">
      <c r="A1589" s="118">
        <v>1588</v>
      </c>
      <c r="B1589" s="128">
        <v>18</v>
      </c>
      <c r="C1589" s="156">
        <v>39173</v>
      </c>
      <c r="D1589" s="157" t="s">
        <v>47</v>
      </c>
      <c r="E1589" s="8">
        <v>2007</v>
      </c>
      <c r="F1589" s="128"/>
      <c r="G1589" s="128"/>
      <c r="H1589" s="172"/>
      <c r="I1589" s="194"/>
      <c r="J1589" s="128"/>
      <c r="K1589" s="128"/>
      <c r="L1589" s="128"/>
      <c r="O1589" s="128"/>
      <c r="P1589" s="170"/>
      <c r="Q1589" s="128"/>
      <c r="R1589" s="128"/>
      <c r="S1589" s="180" t="s">
        <v>38</v>
      </c>
      <c r="T1589" s="128"/>
      <c r="U1589" s="171"/>
      <c r="V1589" s="128"/>
      <c r="W1589" s="128"/>
    </row>
    <row r="1590" spans="1:23" ht="12.75" customHeight="1">
      <c r="A1590" s="118">
        <v>1589</v>
      </c>
      <c r="B1590" s="128">
        <v>18</v>
      </c>
      <c r="C1590" s="156">
        <v>39203</v>
      </c>
      <c r="D1590" s="157" t="s">
        <v>48</v>
      </c>
      <c r="E1590" s="8">
        <v>2007</v>
      </c>
      <c r="F1590" s="128"/>
      <c r="G1590" s="128"/>
      <c r="H1590" s="172"/>
      <c r="I1590" s="194"/>
      <c r="J1590" s="128"/>
      <c r="K1590" s="128"/>
      <c r="L1590" s="128"/>
      <c r="O1590" s="128"/>
      <c r="P1590" s="170"/>
      <c r="Q1590" s="128"/>
      <c r="R1590" s="128"/>
      <c r="S1590" s="180"/>
      <c r="T1590" s="128"/>
      <c r="U1590" s="171"/>
      <c r="V1590" s="128"/>
      <c r="W1590" s="128"/>
    </row>
    <row r="1591" spans="1:23" ht="12.75" customHeight="1">
      <c r="A1591" s="118">
        <v>1590</v>
      </c>
      <c r="B1591" s="128">
        <v>18</v>
      </c>
      <c r="C1591" s="156">
        <v>39234</v>
      </c>
      <c r="D1591" s="157" t="s">
        <v>49</v>
      </c>
      <c r="E1591" s="8">
        <v>2007</v>
      </c>
      <c r="F1591" s="128"/>
      <c r="G1591" s="128"/>
      <c r="H1591" s="172"/>
      <c r="I1591" s="194"/>
      <c r="J1591" s="128"/>
      <c r="K1591" s="128"/>
      <c r="L1591" s="128"/>
      <c r="O1591" s="128"/>
      <c r="P1591" s="170"/>
      <c r="Q1591" s="128"/>
      <c r="R1591" s="128"/>
      <c r="S1591" s="180"/>
      <c r="T1591" s="128"/>
      <c r="U1591" s="171"/>
      <c r="V1591" s="128"/>
      <c r="W1591" s="128"/>
    </row>
    <row r="1592" spans="1:23" ht="12.75" customHeight="1">
      <c r="A1592" s="118">
        <v>1591</v>
      </c>
      <c r="B1592" s="128">
        <v>18</v>
      </c>
      <c r="C1592" s="156">
        <v>39264</v>
      </c>
      <c r="D1592" s="157" t="s">
        <v>50</v>
      </c>
      <c r="E1592" s="8">
        <v>2007</v>
      </c>
      <c r="F1592" s="128"/>
      <c r="G1592" s="128"/>
      <c r="H1592" s="172"/>
      <c r="I1592" s="194"/>
      <c r="J1592" s="128"/>
      <c r="K1592" s="128"/>
      <c r="L1592" s="128"/>
      <c r="O1592" s="128"/>
      <c r="P1592" s="170"/>
      <c r="Q1592" s="128"/>
      <c r="R1592" s="128"/>
      <c r="S1592" s="180"/>
      <c r="T1592" s="128"/>
      <c r="U1592" s="171"/>
      <c r="V1592" s="128"/>
      <c r="W1592" s="128"/>
    </row>
    <row r="1593" spans="1:23" ht="12.75" customHeight="1">
      <c r="A1593" s="118">
        <v>1592</v>
      </c>
      <c r="B1593" s="128">
        <v>18</v>
      </c>
      <c r="C1593" s="156">
        <v>39295</v>
      </c>
      <c r="D1593" s="157" t="s">
        <v>51</v>
      </c>
      <c r="E1593" s="8">
        <v>2007</v>
      </c>
      <c r="F1593" s="128"/>
      <c r="G1593" s="128"/>
      <c r="H1593" s="172"/>
      <c r="I1593" s="194"/>
      <c r="J1593" s="128"/>
      <c r="K1593" s="128"/>
      <c r="L1593" s="128"/>
      <c r="O1593" s="128"/>
      <c r="P1593" s="170"/>
      <c r="Q1593" s="128"/>
      <c r="R1593" s="128"/>
      <c r="S1593" s="180" t="s">
        <v>327</v>
      </c>
      <c r="T1593" s="128"/>
      <c r="U1593" s="171"/>
      <c r="V1593" s="128"/>
      <c r="W1593" s="128"/>
    </row>
    <row r="1594" spans="1:23" ht="12.75" customHeight="1">
      <c r="A1594" s="118">
        <v>1593</v>
      </c>
      <c r="B1594" s="128">
        <v>18</v>
      </c>
      <c r="C1594" s="156">
        <v>39326</v>
      </c>
      <c r="D1594" s="157" t="s">
        <v>52</v>
      </c>
      <c r="E1594" s="8">
        <v>2007</v>
      </c>
      <c r="F1594" s="158">
        <f t="shared" ref="F1594:F1611" si="417">C1594-H1594</f>
        <v>304</v>
      </c>
      <c r="G1594" s="158">
        <f t="shared" ref="G1594:G1607" si="418">IF(F1594&lt;365,1,2)</f>
        <v>1</v>
      </c>
      <c r="H1594" s="172">
        <v>39022</v>
      </c>
      <c r="I1594" s="194">
        <v>555524</v>
      </c>
      <c r="J1594" s="173">
        <v>0.1</v>
      </c>
      <c r="K1594" s="173">
        <v>0.1</v>
      </c>
      <c r="L1594" s="173">
        <v>0</v>
      </c>
      <c r="O1594" s="173">
        <v>0</v>
      </c>
      <c r="P1594" s="170"/>
      <c r="Q1594" s="128">
        <v>9</v>
      </c>
      <c r="R1594" s="128">
        <v>32</v>
      </c>
      <c r="S1594" s="180"/>
      <c r="T1594" s="161">
        <f t="shared" ref="T1594:T1611" si="419">$I1594*K1594</f>
        <v>55552.4</v>
      </c>
      <c r="U1594" s="161">
        <f t="shared" ref="U1594:U1611" si="420">$I1594*L1594</f>
        <v>0</v>
      </c>
      <c r="V1594" s="161">
        <f t="shared" ref="V1594:V1612" si="421">$I1594*O1594</f>
        <v>0</v>
      </c>
      <c r="W1594" s="161">
        <f t="shared" ref="W1594:W1612" si="422">V1594*0.4</f>
        <v>0</v>
      </c>
    </row>
    <row r="1595" spans="1:23" ht="12.75" customHeight="1">
      <c r="A1595" s="118">
        <v>1594</v>
      </c>
      <c r="B1595" s="128">
        <v>18</v>
      </c>
      <c r="C1595" s="156">
        <v>39356</v>
      </c>
      <c r="D1595" s="157" t="s">
        <v>53</v>
      </c>
      <c r="E1595" s="8">
        <v>2007</v>
      </c>
      <c r="F1595" s="158">
        <f t="shared" si="417"/>
        <v>334</v>
      </c>
      <c r="G1595" s="158">
        <f t="shared" si="418"/>
        <v>1</v>
      </c>
      <c r="H1595" s="172">
        <v>39022</v>
      </c>
      <c r="I1595" s="194">
        <v>555091</v>
      </c>
      <c r="J1595" s="173">
        <v>0.92</v>
      </c>
      <c r="K1595" s="173">
        <v>0.28000000000000003</v>
      </c>
      <c r="L1595" s="173">
        <v>0.2</v>
      </c>
      <c r="M1595" s="174">
        <v>0</v>
      </c>
      <c r="O1595" s="173">
        <v>0</v>
      </c>
      <c r="P1595" s="170"/>
      <c r="Q1595" s="128">
        <v>9</v>
      </c>
      <c r="R1595" s="128"/>
      <c r="S1595" s="180"/>
      <c r="T1595" s="161">
        <f t="shared" si="419"/>
        <v>155425.48000000001</v>
      </c>
      <c r="U1595" s="161">
        <f t="shared" si="420"/>
        <v>111018.20000000001</v>
      </c>
      <c r="V1595" s="161">
        <f t="shared" si="421"/>
        <v>0</v>
      </c>
      <c r="W1595" s="161">
        <f t="shared" si="422"/>
        <v>0</v>
      </c>
    </row>
    <row r="1596" spans="1:23" ht="12.75" customHeight="1">
      <c r="A1596" s="118">
        <v>1595</v>
      </c>
      <c r="B1596" s="128">
        <v>18</v>
      </c>
      <c r="C1596" s="156">
        <v>39387</v>
      </c>
      <c r="D1596" s="157" t="s">
        <v>54</v>
      </c>
      <c r="E1596" s="8">
        <v>2007</v>
      </c>
      <c r="F1596" s="158">
        <f t="shared" si="417"/>
        <v>365</v>
      </c>
      <c r="G1596" s="158">
        <f t="shared" si="418"/>
        <v>2</v>
      </c>
      <c r="H1596" s="172">
        <v>39022</v>
      </c>
      <c r="I1596" s="194">
        <v>554390</v>
      </c>
      <c r="J1596" s="173">
        <v>1.32</v>
      </c>
      <c r="K1596" s="173">
        <v>1.7</v>
      </c>
      <c r="L1596" s="173">
        <v>0.56999999999999995</v>
      </c>
      <c r="M1596" s="174">
        <v>0</v>
      </c>
      <c r="O1596" s="173">
        <v>1.1200000000000001</v>
      </c>
      <c r="P1596" s="170"/>
      <c r="Q1596" s="128">
        <v>8</v>
      </c>
      <c r="R1596" s="128"/>
      <c r="S1596" s="180"/>
      <c r="T1596" s="161">
        <f t="shared" si="419"/>
        <v>942463</v>
      </c>
      <c r="U1596" s="161">
        <f t="shared" si="420"/>
        <v>316002.3</v>
      </c>
      <c r="V1596" s="161">
        <f t="shared" si="421"/>
        <v>620916.80000000005</v>
      </c>
      <c r="W1596" s="161">
        <f t="shared" si="422"/>
        <v>248366.72000000003</v>
      </c>
    </row>
    <row r="1597" spans="1:23" ht="12.75" customHeight="1">
      <c r="A1597" s="118">
        <v>1596</v>
      </c>
      <c r="B1597" s="128">
        <v>18</v>
      </c>
      <c r="C1597" s="156">
        <v>39417</v>
      </c>
      <c r="D1597" s="157" t="s">
        <v>55</v>
      </c>
      <c r="E1597" s="8">
        <v>2007</v>
      </c>
      <c r="F1597" s="158">
        <f t="shared" si="417"/>
        <v>395</v>
      </c>
      <c r="G1597" s="158">
        <f t="shared" si="418"/>
        <v>2</v>
      </c>
      <c r="H1597" s="172">
        <v>39022</v>
      </c>
      <c r="I1597" s="194">
        <v>554008</v>
      </c>
      <c r="J1597" s="173">
        <v>2.27</v>
      </c>
      <c r="K1597" s="173">
        <v>2.83</v>
      </c>
      <c r="L1597" s="173">
        <v>1.22</v>
      </c>
      <c r="M1597" s="174">
        <v>2</v>
      </c>
      <c r="O1597" s="173">
        <v>1.02</v>
      </c>
      <c r="P1597" s="170"/>
      <c r="Q1597" s="128">
        <v>8</v>
      </c>
      <c r="R1597" s="128"/>
      <c r="S1597" s="180"/>
      <c r="T1597" s="161">
        <f t="shared" si="419"/>
        <v>1567842.6400000001</v>
      </c>
      <c r="U1597" s="161">
        <f t="shared" si="420"/>
        <v>675889.76</v>
      </c>
      <c r="V1597" s="161">
        <f t="shared" si="421"/>
        <v>565088.16</v>
      </c>
      <c r="W1597" s="161">
        <f t="shared" si="422"/>
        <v>226035.26400000002</v>
      </c>
    </row>
    <row r="1598" spans="1:23" ht="12.75" customHeight="1">
      <c r="A1598" s="118">
        <v>1597</v>
      </c>
      <c r="B1598" s="128">
        <v>18</v>
      </c>
      <c r="C1598" s="156">
        <v>39448</v>
      </c>
      <c r="D1598" s="157" t="s">
        <v>44</v>
      </c>
      <c r="E1598" s="127">
        <v>2008</v>
      </c>
      <c r="F1598" s="158">
        <f t="shared" si="417"/>
        <v>426</v>
      </c>
      <c r="G1598" s="158">
        <f t="shared" si="418"/>
        <v>2</v>
      </c>
      <c r="H1598" s="172">
        <v>39022</v>
      </c>
      <c r="I1598" s="194">
        <v>553541</v>
      </c>
      <c r="J1598" s="118">
        <v>0.48</v>
      </c>
      <c r="K1598" s="118">
        <v>2.48</v>
      </c>
      <c r="L1598" s="118">
        <v>0.95</v>
      </c>
      <c r="M1598" s="193">
        <v>0</v>
      </c>
      <c r="N1598" s="529"/>
      <c r="O1598" s="118">
        <v>1.62</v>
      </c>
      <c r="P1598" s="170">
        <v>1</v>
      </c>
      <c r="Q1598" s="174"/>
      <c r="R1598" s="174"/>
      <c r="S1598" s="180"/>
      <c r="T1598" s="161">
        <f t="shared" si="419"/>
        <v>1372781.68</v>
      </c>
      <c r="U1598" s="161">
        <f t="shared" si="420"/>
        <v>525863.94999999995</v>
      </c>
      <c r="V1598" s="161">
        <f t="shared" si="421"/>
        <v>896736.42</v>
      </c>
      <c r="W1598" s="161">
        <f t="shared" si="422"/>
        <v>358694.56800000003</v>
      </c>
    </row>
    <row r="1599" spans="1:23" ht="12.75" customHeight="1">
      <c r="A1599" s="118">
        <v>1598</v>
      </c>
      <c r="B1599" s="128">
        <v>18</v>
      </c>
      <c r="C1599" s="156">
        <v>39479</v>
      </c>
      <c r="D1599" s="157" t="s">
        <v>45</v>
      </c>
      <c r="E1599" s="127">
        <v>2008</v>
      </c>
      <c r="F1599" s="158">
        <f t="shared" si="417"/>
        <v>457</v>
      </c>
      <c r="G1599" s="158">
        <f t="shared" si="418"/>
        <v>2</v>
      </c>
      <c r="H1599" s="172">
        <v>39022</v>
      </c>
      <c r="I1599" s="194">
        <v>553456</v>
      </c>
      <c r="J1599" s="118">
        <v>0.15</v>
      </c>
      <c r="K1599" s="118">
        <v>0.65</v>
      </c>
      <c r="L1599" s="118">
        <v>0.3</v>
      </c>
      <c r="M1599" s="193">
        <v>0</v>
      </c>
      <c r="N1599" s="529"/>
      <c r="O1599" s="118">
        <v>0</v>
      </c>
      <c r="P1599" s="170"/>
      <c r="Q1599" s="174"/>
      <c r="R1599" s="174"/>
      <c r="S1599" s="180"/>
      <c r="T1599" s="161">
        <f t="shared" si="419"/>
        <v>359746.4</v>
      </c>
      <c r="U1599" s="161">
        <f t="shared" si="420"/>
        <v>166036.79999999999</v>
      </c>
      <c r="V1599" s="161">
        <f t="shared" si="421"/>
        <v>0</v>
      </c>
      <c r="W1599" s="161">
        <f t="shared" si="422"/>
        <v>0</v>
      </c>
    </row>
    <row r="1600" spans="1:23" ht="12.75" customHeight="1">
      <c r="A1600" s="118">
        <v>1599</v>
      </c>
      <c r="B1600" s="128">
        <v>18</v>
      </c>
      <c r="C1600" s="156">
        <v>39508</v>
      </c>
      <c r="D1600" s="157" t="s">
        <v>46</v>
      </c>
      <c r="E1600" s="127">
        <v>2008</v>
      </c>
      <c r="F1600" s="158">
        <f t="shared" si="417"/>
        <v>486</v>
      </c>
      <c r="G1600" s="158">
        <f t="shared" si="418"/>
        <v>2</v>
      </c>
      <c r="H1600" s="172">
        <v>39022</v>
      </c>
      <c r="I1600" s="194">
        <v>553271</v>
      </c>
      <c r="J1600" s="118">
        <v>0</v>
      </c>
      <c r="K1600" s="118">
        <v>0.15</v>
      </c>
      <c r="L1600" s="118">
        <v>0.05</v>
      </c>
      <c r="M1600" s="193">
        <v>0</v>
      </c>
      <c r="N1600" s="529"/>
      <c r="O1600" s="118">
        <v>0</v>
      </c>
      <c r="P1600" s="170"/>
      <c r="Q1600" s="174"/>
      <c r="R1600" s="174"/>
      <c r="S1600" s="180"/>
      <c r="T1600" s="161">
        <f t="shared" si="419"/>
        <v>82990.649999999994</v>
      </c>
      <c r="U1600" s="161">
        <f t="shared" si="420"/>
        <v>27663.550000000003</v>
      </c>
      <c r="V1600" s="161">
        <f t="shared" si="421"/>
        <v>0</v>
      </c>
      <c r="W1600" s="161">
        <f t="shared" si="422"/>
        <v>0</v>
      </c>
    </row>
    <row r="1601" spans="1:23" ht="12.75" customHeight="1">
      <c r="A1601" s="118">
        <v>1600</v>
      </c>
      <c r="B1601" s="128">
        <v>18</v>
      </c>
      <c r="C1601" s="156">
        <v>39539</v>
      </c>
      <c r="D1601" s="157" t="s">
        <v>47</v>
      </c>
      <c r="E1601" s="127">
        <v>2008</v>
      </c>
      <c r="F1601" s="158">
        <f t="shared" si="417"/>
        <v>517</v>
      </c>
      <c r="G1601" s="158">
        <f t="shared" si="418"/>
        <v>2</v>
      </c>
      <c r="H1601" s="172">
        <v>39022</v>
      </c>
      <c r="I1601" s="194">
        <v>552733</v>
      </c>
      <c r="J1601" s="173">
        <v>0.23</v>
      </c>
      <c r="K1601" s="173">
        <v>0.17</v>
      </c>
      <c r="L1601" s="173">
        <v>0.02</v>
      </c>
      <c r="M1601" s="174">
        <v>0</v>
      </c>
      <c r="O1601" s="173">
        <v>0</v>
      </c>
      <c r="P1601" s="170"/>
      <c r="Q1601" s="174"/>
      <c r="R1601" s="174"/>
      <c r="S1601" s="180"/>
      <c r="T1601" s="161">
        <f t="shared" si="419"/>
        <v>93964.61</v>
      </c>
      <c r="U1601" s="161">
        <f t="shared" si="420"/>
        <v>11054.66</v>
      </c>
      <c r="V1601" s="161">
        <f t="shared" si="421"/>
        <v>0</v>
      </c>
      <c r="W1601" s="161">
        <f t="shared" si="422"/>
        <v>0</v>
      </c>
    </row>
    <row r="1602" spans="1:23" ht="12.75" customHeight="1">
      <c r="A1602" s="118">
        <v>1601</v>
      </c>
      <c r="B1602" s="128">
        <v>18</v>
      </c>
      <c r="C1602" s="156">
        <v>39569</v>
      </c>
      <c r="D1602" s="157" t="s">
        <v>48</v>
      </c>
      <c r="E1602" s="127">
        <v>2008</v>
      </c>
      <c r="F1602" s="158">
        <f t="shared" si="417"/>
        <v>547</v>
      </c>
      <c r="G1602" s="158">
        <f t="shared" si="418"/>
        <v>2</v>
      </c>
      <c r="H1602" s="172">
        <v>39022</v>
      </c>
      <c r="I1602" s="194">
        <v>552603</v>
      </c>
      <c r="J1602" s="173">
        <v>0.33</v>
      </c>
      <c r="K1602" s="173">
        <v>0.05</v>
      </c>
      <c r="L1602" s="173">
        <v>0.02</v>
      </c>
      <c r="M1602" s="174">
        <v>0</v>
      </c>
      <c r="O1602" s="173">
        <v>0</v>
      </c>
      <c r="P1602" s="170"/>
      <c r="Q1602" s="174"/>
      <c r="R1602" s="174"/>
      <c r="S1602" s="180"/>
      <c r="T1602" s="161">
        <f t="shared" si="419"/>
        <v>27630.15</v>
      </c>
      <c r="U1602" s="161">
        <f t="shared" si="420"/>
        <v>11052.06</v>
      </c>
      <c r="V1602" s="161">
        <f t="shared" si="421"/>
        <v>0</v>
      </c>
      <c r="W1602" s="161">
        <f t="shared" si="422"/>
        <v>0</v>
      </c>
    </row>
    <row r="1603" spans="1:23" ht="12.75" customHeight="1">
      <c r="A1603" s="118">
        <v>1602</v>
      </c>
      <c r="B1603" s="128">
        <v>18</v>
      </c>
      <c r="C1603" s="156">
        <v>39600</v>
      </c>
      <c r="D1603" s="157" t="s">
        <v>49</v>
      </c>
      <c r="E1603" s="127">
        <v>2008</v>
      </c>
      <c r="F1603" s="158">
        <f t="shared" si="417"/>
        <v>578</v>
      </c>
      <c r="G1603" s="158">
        <f t="shared" si="418"/>
        <v>2</v>
      </c>
      <c r="H1603" s="172">
        <v>39022</v>
      </c>
      <c r="I1603" s="194">
        <v>543560</v>
      </c>
      <c r="J1603" s="173">
        <v>0.32</v>
      </c>
      <c r="K1603" s="173">
        <v>0.13</v>
      </c>
      <c r="L1603" s="173">
        <v>0</v>
      </c>
      <c r="M1603" s="174">
        <v>0</v>
      </c>
      <c r="O1603" s="173">
        <v>0.17</v>
      </c>
      <c r="P1603" s="170"/>
      <c r="Q1603" s="174"/>
      <c r="R1603" s="174"/>
      <c r="S1603" s="180"/>
      <c r="T1603" s="161">
        <f t="shared" si="419"/>
        <v>70662.8</v>
      </c>
      <c r="U1603" s="161">
        <f t="shared" si="420"/>
        <v>0</v>
      </c>
      <c r="V1603" s="161">
        <f t="shared" si="421"/>
        <v>92405.200000000012</v>
      </c>
      <c r="W1603" s="161">
        <f t="shared" si="422"/>
        <v>36962.080000000009</v>
      </c>
    </row>
    <row r="1604" spans="1:23">
      <c r="A1604" s="118">
        <v>1603</v>
      </c>
      <c r="B1604" s="128">
        <v>18</v>
      </c>
      <c r="C1604" s="156">
        <v>39630</v>
      </c>
      <c r="D1604" s="176" t="s">
        <v>50</v>
      </c>
      <c r="E1604" s="127">
        <v>2008</v>
      </c>
      <c r="F1604" s="158">
        <f t="shared" si="417"/>
        <v>608</v>
      </c>
      <c r="G1604" s="158">
        <f t="shared" si="418"/>
        <v>2</v>
      </c>
      <c r="H1604" s="172">
        <v>39022</v>
      </c>
      <c r="I1604" s="194">
        <v>543000</v>
      </c>
      <c r="J1604" s="173">
        <v>0.1</v>
      </c>
      <c r="K1604" s="173">
        <v>0.13</v>
      </c>
      <c r="L1604" s="173">
        <v>0.05</v>
      </c>
      <c r="M1604" s="174">
        <v>0</v>
      </c>
      <c r="O1604" s="173">
        <v>7.0000000000000007E-2</v>
      </c>
      <c r="P1604" s="128"/>
      <c r="Q1604" s="174"/>
      <c r="R1604" s="174"/>
      <c r="S1604" s="180"/>
      <c r="T1604" s="161">
        <f t="shared" si="419"/>
        <v>70590</v>
      </c>
      <c r="U1604" s="161">
        <f t="shared" si="420"/>
        <v>27150</v>
      </c>
      <c r="V1604" s="161">
        <f t="shared" si="421"/>
        <v>38010</v>
      </c>
      <c r="W1604" s="161">
        <f t="shared" si="422"/>
        <v>15204</v>
      </c>
    </row>
    <row r="1605" spans="1:23">
      <c r="A1605" s="118">
        <v>1604</v>
      </c>
      <c r="B1605" s="128">
        <v>18</v>
      </c>
      <c r="C1605" s="156">
        <v>39661</v>
      </c>
      <c r="D1605" s="176" t="s">
        <v>51</v>
      </c>
      <c r="E1605" s="127">
        <v>2008</v>
      </c>
      <c r="F1605" s="158">
        <f t="shared" si="417"/>
        <v>639</v>
      </c>
      <c r="G1605" s="158">
        <f t="shared" si="418"/>
        <v>2</v>
      </c>
      <c r="H1605" s="172">
        <v>39022</v>
      </c>
      <c r="I1605" s="194">
        <v>542000</v>
      </c>
      <c r="J1605" s="173">
        <v>1.28</v>
      </c>
      <c r="K1605" s="173">
        <v>0.55000000000000004</v>
      </c>
      <c r="L1605" s="173">
        <v>0.12</v>
      </c>
      <c r="M1605" s="174">
        <v>0</v>
      </c>
      <c r="O1605" s="173">
        <v>0.02</v>
      </c>
      <c r="P1605" s="128"/>
      <c r="Q1605" s="174"/>
      <c r="R1605" s="174"/>
      <c r="S1605" s="180"/>
      <c r="T1605" s="161">
        <f t="shared" si="419"/>
        <v>298100</v>
      </c>
      <c r="U1605" s="161">
        <f t="shared" si="420"/>
        <v>65040</v>
      </c>
      <c r="V1605" s="161">
        <f t="shared" si="421"/>
        <v>10840</v>
      </c>
      <c r="W1605" s="161">
        <f t="shared" si="422"/>
        <v>4336</v>
      </c>
    </row>
    <row r="1606" spans="1:23">
      <c r="A1606" s="118">
        <v>1605</v>
      </c>
      <c r="B1606" s="128">
        <v>18</v>
      </c>
      <c r="C1606" s="156">
        <v>39692</v>
      </c>
      <c r="D1606" s="176" t="s">
        <v>52</v>
      </c>
      <c r="E1606" s="127">
        <v>2008</v>
      </c>
      <c r="F1606" s="158">
        <f t="shared" si="417"/>
        <v>670</v>
      </c>
      <c r="G1606" s="158">
        <f t="shared" si="418"/>
        <v>2</v>
      </c>
      <c r="H1606" s="172">
        <v>39022</v>
      </c>
      <c r="I1606" s="194">
        <v>541000</v>
      </c>
      <c r="J1606" s="173">
        <v>1.23</v>
      </c>
      <c r="K1606" s="173">
        <v>0.71</v>
      </c>
      <c r="L1606" s="173">
        <v>0.14000000000000001</v>
      </c>
      <c r="M1606" s="174">
        <v>0</v>
      </c>
      <c r="O1606" s="173">
        <v>0.08</v>
      </c>
      <c r="P1606" s="128"/>
      <c r="Q1606" s="174"/>
      <c r="R1606" s="174"/>
      <c r="S1606" s="180"/>
      <c r="T1606" s="161">
        <f t="shared" si="419"/>
        <v>384110</v>
      </c>
      <c r="U1606" s="161">
        <f t="shared" si="420"/>
        <v>75740</v>
      </c>
      <c r="V1606" s="161">
        <f t="shared" si="421"/>
        <v>43280</v>
      </c>
      <c r="W1606" s="161">
        <f t="shared" si="422"/>
        <v>17312</v>
      </c>
    </row>
    <row r="1607" spans="1:23">
      <c r="A1607" s="118">
        <v>1606</v>
      </c>
      <c r="B1607" s="128">
        <v>18</v>
      </c>
      <c r="C1607" s="156">
        <v>39722</v>
      </c>
      <c r="D1607" s="176" t="s">
        <v>53</v>
      </c>
      <c r="E1607" s="127">
        <v>2008</v>
      </c>
      <c r="F1607" s="158">
        <f t="shared" si="417"/>
        <v>700</v>
      </c>
      <c r="G1607" s="158">
        <f t="shared" si="418"/>
        <v>2</v>
      </c>
      <c r="H1607" s="172">
        <v>39022</v>
      </c>
      <c r="I1607" s="194">
        <v>538000</v>
      </c>
      <c r="J1607" s="173">
        <v>3.13</v>
      </c>
      <c r="K1607" s="173">
        <v>1.7</v>
      </c>
      <c r="L1607" s="173">
        <v>0.72</v>
      </c>
      <c r="M1607" s="174">
        <v>0</v>
      </c>
      <c r="O1607" s="173">
        <v>0.28000000000000003</v>
      </c>
      <c r="P1607" s="128"/>
      <c r="Q1607" s="174"/>
      <c r="R1607" s="174"/>
      <c r="S1607" s="180"/>
      <c r="T1607" s="161">
        <f t="shared" si="419"/>
        <v>914600</v>
      </c>
      <c r="U1607" s="161">
        <f t="shared" si="420"/>
        <v>387360</v>
      </c>
      <c r="V1607" s="161">
        <f t="shared" si="421"/>
        <v>150640</v>
      </c>
      <c r="W1607" s="161">
        <f t="shared" si="422"/>
        <v>60256</v>
      </c>
    </row>
    <row r="1608" spans="1:23">
      <c r="A1608" s="118">
        <v>1607</v>
      </c>
      <c r="B1608" s="128">
        <v>18</v>
      </c>
      <c r="C1608" s="156">
        <v>39753</v>
      </c>
      <c r="D1608" s="176" t="s">
        <v>54</v>
      </c>
      <c r="E1608" s="127">
        <v>2008</v>
      </c>
      <c r="F1608" s="158">
        <f t="shared" si="417"/>
        <v>731</v>
      </c>
      <c r="G1608" s="158">
        <f>IF(F1608&lt;730,2,3)</f>
        <v>3</v>
      </c>
      <c r="H1608" s="172">
        <v>39022</v>
      </c>
      <c r="I1608" s="194">
        <v>538000</v>
      </c>
      <c r="J1608" s="173">
        <v>8.3000000000000007</v>
      </c>
      <c r="K1608" s="173">
        <v>4.28</v>
      </c>
      <c r="L1608" s="173">
        <v>1.81</v>
      </c>
      <c r="M1608" s="174">
        <v>0</v>
      </c>
      <c r="O1608" s="173">
        <v>0.78</v>
      </c>
      <c r="T1608" s="161">
        <f t="shared" si="419"/>
        <v>2302640</v>
      </c>
      <c r="U1608" s="161">
        <f t="shared" si="420"/>
        <v>973780</v>
      </c>
      <c r="V1608" s="161">
        <f t="shared" si="421"/>
        <v>419640</v>
      </c>
      <c r="W1608" s="161">
        <f t="shared" si="422"/>
        <v>167856</v>
      </c>
    </row>
    <row r="1609" spans="1:23">
      <c r="A1609" s="118">
        <v>1608</v>
      </c>
      <c r="B1609" s="128">
        <v>18</v>
      </c>
      <c r="C1609" s="156">
        <v>39783</v>
      </c>
      <c r="D1609" s="176" t="s">
        <v>55</v>
      </c>
      <c r="E1609" s="127">
        <v>2008</v>
      </c>
      <c r="F1609" s="158">
        <f t="shared" si="417"/>
        <v>761</v>
      </c>
      <c r="G1609" s="158">
        <f>IF(F1609&lt;730,2,3)</f>
        <v>3</v>
      </c>
      <c r="H1609" s="172">
        <v>39022</v>
      </c>
      <c r="I1609" s="194">
        <v>500000</v>
      </c>
      <c r="J1609" s="164">
        <v>2.85</v>
      </c>
      <c r="K1609" s="164">
        <v>5.0916666666666668</v>
      </c>
      <c r="L1609" s="164">
        <v>2.2416666666666667</v>
      </c>
      <c r="M1609" s="193">
        <v>2</v>
      </c>
      <c r="N1609" s="529"/>
      <c r="O1609" s="164">
        <v>0.84166666666666656</v>
      </c>
      <c r="P1609" s="170">
        <v>1</v>
      </c>
      <c r="Q1609" s="174"/>
      <c r="R1609" s="174"/>
      <c r="S1609" s="180"/>
      <c r="T1609" s="161">
        <f t="shared" si="419"/>
        <v>2545833.3333333335</v>
      </c>
      <c r="U1609" s="161">
        <f t="shared" si="420"/>
        <v>1120833.3333333333</v>
      </c>
      <c r="V1609" s="161">
        <f t="shared" si="421"/>
        <v>420833.33333333326</v>
      </c>
      <c r="W1609" s="161">
        <f t="shared" si="422"/>
        <v>168333.33333333331</v>
      </c>
    </row>
    <row r="1610" spans="1:23" ht="12.75" customHeight="1">
      <c r="A1610" s="118">
        <v>1609</v>
      </c>
      <c r="B1610" s="128">
        <v>18</v>
      </c>
      <c r="C1610" s="156">
        <v>39814</v>
      </c>
      <c r="D1610" s="157" t="s">
        <v>44</v>
      </c>
      <c r="E1610" s="127">
        <v>2009</v>
      </c>
      <c r="F1610" s="158">
        <f t="shared" si="417"/>
        <v>762</v>
      </c>
      <c r="G1610" s="158">
        <f>IF(F1610&lt;730,2,3)</f>
        <v>3</v>
      </c>
      <c r="H1610" s="178">
        <v>39052</v>
      </c>
      <c r="I1610" s="125">
        <v>340161</v>
      </c>
      <c r="J1610" s="164">
        <v>1</v>
      </c>
      <c r="K1610" s="164">
        <v>2.1666666666666665</v>
      </c>
      <c r="L1610" s="164">
        <v>1.2333333333333334</v>
      </c>
      <c r="M1610" s="193">
        <v>0</v>
      </c>
      <c r="N1610" s="529"/>
      <c r="O1610" s="164">
        <v>0.23333333333333331</v>
      </c>
      <c r="P1610" s="118"/>
      <c r="Q1610" s="118"/>
      <c r="R1610" s="118"/>
      <c r="S1610" s="221"/>
      <c r="T1610" s="161">
        <f t="shared" si="419"/>
        <v>737015.5</v>
      </c>
      <c r="U1610" s="161">
        <f t="shared" si="420"/>
        <v>419531.9</v>
      </c>
      <c r="V1610" s="161">
        <f t="shared" si="421"/>
        <v>79370.899999999994</v>
      </c>
      <c r="W1610" s="161">
        <f t="shared" si="422"/>
        <v>31748.36</v>
      </c>
    </row>
    <row r="1611" spans="1:23" ht="12.75" customHeight="1">
      <c r="A1611" s="118">
        <v>1610</v>
      </c>
      <c r="B1611" s="128">
        <v>18</v>
      </c>
      <c r="C1611" s="156">
        <v>39845</v>
      </c>
      <c r="D1611" s="157" t="s">
        <v>45</v>
      </c>
      <c r="E1611" s="127">
        <v>2009</v>
      </c>
      <c r="F1611" s="158">
        <f t="shared" si="417"/>
        <v>793</v>
      </c>
      <c r="G1611" s="158">
        <f>IF(F1611&lt;730,2,3)</f>
        <v>3</v>
      </c>
      <c r="H1611" s="178">
        <v>39052</v>
      </c>
      <c r="I1611" s="125">
        <v>247882</v>
      </c>
      <c r="J1611" s="164">
        <v>1.0249999999999999</v>
      </c>
      <c r="K1611" s="164">
        <v>1.7333333333333334</v>
      </c>
      <c r="L1611" s="191">
        <v>1.1083333333333334</v>
      </c>
      <c r="M1611" s="193"/>
      <c r="N1611" s="529"/>
      <c r="O1611" s="191">
        <v>9.166666666666666E-2</v>
      </c>
      <c r="P1611" s="118"/>
      <c r="Q1611" s="118"/>
      <c r="R1611" s="118"/>
      <c r="S1611" s="221"/>
      <c r="T1611" s="161">
        <f t="shared" si="419"/>
        <v>429662.13333333336</v>
      </c>
      <c r="U1611" s="161">
        <f t="shared" si="420"/>
        <v>274735.88333333336</v>
      </c>
      <c r="V1611" s="161">
        <f t="shared" si="421"/>
        <v>22722.516666666666</v>
      </c>
      <c r="W1611" s="161">
        <f t="shared" si="422"/>
        <v>9089.0066666666662</v>
      </c>
    </row>
    <row r="1612" spans="1:23" ht="12.75" customHeight="1">
      <c r="A1612" s="118">
        <v>1611</v>
      </c>
      <c r="B1612" s="128">
        <v>18</v>
      </c>
      <c r="C1612" s="156">
        <v>39873</v>
      </c>
      <c r="D1612" s="157" t="s">
        <v>46</v>
      </c>
      <c r="E1612" s="127">
        <v>2009</v>
      </c>
      <c r="F1612" s="118"/>
      <c r="G1612" s="118"/>
      <c r="H1612" s="118"/>
      <c r="I1612" s="125">
        <v>2124</v>
      </c>
      <c r="J1612" s="164"/>
      <c r="K1612" s="164"/>
      <c r="L1612" s="177">
        <v>1.4</v>
      </c>
      <c r="M1612" s="193"/>
      <c r="N1612" s="529" t="s">
        <v>795</v>
      </c>
      <c r="O1612" s="177">
        <v>0.1</v>
      </c>
      <c r="P1612" s="118"/>
      <c r="Q1612" s="118"/>
      <c r="R1612" s="118"/>
      <c r="S1612" s="221" t="s">
        <v>253</v>
      </c>
      <c r="T1612" s="118"/>
      <c r="U1612" s="161">
        <f>$I1612*L1612</f>
        <v>2973.6</v>
      </c>
      <c r="V1612" s="161">
        <f t="shared" si="421"/>
        <v>212.4</v>
      </c>
      <c r="W1612" s="161">
        <f t="shared" si="422"/>
        <v>84.960000000000008</v>
      </c>
    </row>
    <row r="1613" spans="1:23" ht="12.75" customHeight="1">
      <c r="A1613" s="118">
        <v>1612</v>
      </c>
      <c r="B1613" s="128">
        <v>18</v>
      </c>
      <c r="C1613" s="156">
        <v>39904</v>
      </c>
      <c r="D1613" s="157" t="s">
        <v>47</v>
      </c>
      <c r="E1613" s="127">
        <v>2009</v>
      </c>
      <c r="F1613" s="118"/>
      <c r="G1613" s="118"/>
      <c r="H1613" s="118"/>
      <c r="I1613" s="125"/>
      <c r="J1613" s="164"/>
      <c r="K1613" s="164"/>
      <c r="L1613" s="164"/>
      <c r="M1613" s="193"/>
      <c r="N1613" s="529"/>
      <c r="O1613" s="164"/>
      <c r="P1613" s="118"/>
      <c r="Q1613" s="118"/>
      <c r="R1613" s="118"/>
      <c r="S1613" s="221"/>
      <c r="T1613" s="118"/>
      <c r="U1613" s="118"/>
      <c r="V1613" s="118"/>
      <c r="W1613" s="118"/>
    </row>
    <row r="1614" spans="1:23" ht="12.75" customHeight="1">
      <c r="A1614" s="118">
        <v>1613</v>
      </c>
      <c r="B1614" s="128">
        <v>18</v>
      </c>
      <c r="C1614" s="156">
        <v>39934</v>
      </c>
      <c r="D1614" s="157" t="s">
        <v>48</v>
      </c>
      <c r="E1614" s="127">
        <v>2009</v>
      </c>
      <c r="F1614" s="118"/>
      <c r="G1614" s="118"/>
      <c r="H1614" s="118"/>
      <c r="I1614" s="125"/>
      <c r="J1614" s="164"/>
      <c r="K1614" s="164"/>
      <c r="L1614" s="164"/>
      <c r="M1614" s="193"/>
      <c r="N1614" s="529"/>
      <c r="O1614" s="164"/>
      <c r="P1614" s="118"/>
      <c r="Q1614" s="118"/>
      <c r="R1614" s="118"/>
      <c r="S1614" s="221"/>
      <c r="T1614" s="118"/>
      <c r="U1614" s="118"/>
      <c r="V1614" s="118"/>
      <c r="W1614" s="118"/>
    </row>
    <row r="1615" spans="1:23" ht="12.75" customHeight="1">
      <c r="A1615" s="118">
        <v>1614</v>
      </c>
      <c r="B1615" s="128">
        <v>18</v>
      </c>
      <c r="C1615" s="156">
        <v>39965</v>
      </c>
      <c r="D1615" s="157" t="s">
        <v>49</v>
      </c>
      <c r="E1615" s="127">
        <v>2009</v>
      </c>
      <c r="F1615" s="118"/>
      <c r="G1615" s="118"/>
      <c r="H1615" s="118"/>
      <c r="I1615" s="125"/>
      <c r="J1615" s="164"/>
      <c r="K1615" s="164"/>
      <c r="L1615" s="191"/>
      <c r="M1615" s="193"/>
      <c r="N1615" s="529"/>
      <c r="O1615" s="191"/>
      <c r="P1615" s="118"/>
      <c r="Q1615" s="118"/>
      <c r="R1615" s="118"/>
      <c r="S1615" s="221"/>
      <c r="T1615" s="118"/>
      <c r="U1615" s="118"/>
      <c r="V1615" s="118"/>
      <c r="W1615" s="118"/>
    </row>
    <row r="1616" spans="1:23" ht="12.75" customHeight="1">
      <c r="A1616" s="118">
        <v>1615</v>
      </c>
      <c r="B1616" s="128">
        <v>18</v>
      </c>
      <c r="C1616" s="156">
        <v>39995</v>
      </c>
      <c r="D1616" s="157" t="s">
        <v>50</v>
      </c>
      <c r="E1616" s="127">
        <v>2009</v>
      </c>
      <c r="F1616" s="127"/>
      <c r="G1616" s="127"/>
      <c r="H1616" s="175">
        <v>39729</v>
      </c>
      <c r="I1616" s="168"/>
      <c r="J1616" s="191"/>
      <c r="K1616" s="191"/>
      <c r="L1616" s="191"/>
      <c r="M1616" s="193"/>
      <c r="N1616" s="529"/>
      <c r="O1616" s="191"/>
      <c r="P1616" s="127"/>
      <c r="Q1616" s="127"/>
      <c r="R1616" s="127"/>
      <c r="S1616" s="180"/>
      <c r="T1616" s="118"/>
      <c r="U1616" s="118"/>
      <c r="V1616" s="118"/>
      <c r="W1616" s="118"/>
    </row>
    <row r="1617" spans="1:23" ht="12.75" customHeight="1">
      <c r="A1617" s="118">
        <v>1616</v>
      </c>
      <c r="B1617" s="128">
        <v>18</v>
      </c>
      <c r="C1617" s="156">
        <v>40026</v>
      </c>
      <c r="D1617" s="157" t="s">
        <v>51</v>
      </c>
      <c r="E1617" s="127">
        <v>2009</v>
      </c>
      <c r="F1617" s="127"/>
      <c r="G1617" s="127"/>
      <c r="H1617" s="175">
        <v>39729</v>
      </c>
      <c r="I1617" s="168"/>
      <c r="J1617" s="191"/>
      <c r="K1617" s="191"/>
      <c r="L1617" s="191"/>
      <c r="M1617" s="193"/>
      <c r="N1617" s="529"/>
      <c r="O1617" s="191"/>
      <c r="P1617" s="127"/>
      <c r="Q1617" s="127"/>
      <c r="R1617" s="127"/>
      <c r="S1617" s="180"/>
      <c r="T1617" s="118"/>
      <c r="U1617" s="118"/>
      <c r="V1617" s="118"/>
      <c r="W1617" s="118"/>
    </row>
    <row r="1618" spans="1:23" ht="12.75" customHeight="1">
      <c r="A1618" s="118">
        <v>1617</v>
      </c>
      <c r="B1618" s="128">
        <v>18</v>
      </c>
      <c r="C1618" s="156">
        <v>40057</v>
      </c>
      <c r="D1618" s="157" t="s">
        <v>52</v>
      </c>
      <c r="E1618" s="127">
        <v>2009</v>
      </c>
      <c r="F1618" s="127"/>
      <c r="G1618" s="127"/>
      <c r="H1618" s="175">
        <v>39729</v>
      </c>
      <c r="I1618" s="168"/>
      <c r="J1618" s="191"/>
      <c r="K1618" s="191"/>
      <c r="L1618" s="191"/>
      <c r="M1618" s="193"/>
      <c r="N1618" s="529"/>
      <c r="O1618" s="191"/>
      <c r="P1618" s="127"/>
      <c r="Q1618" s="127"/>
      <c r="R1618" s="127"/>
      <c r="T1618" s="118"/>
      <c r="U1618" s="118"/>
      <c r="V1618" s="118"/>
      <c r="W1618" s="118"/>
    </row>
    <row r="1619" spans="1:23" ht="12.75" customHeight="1">
      <c r="A1619" s="118">
        <v>1618</v>
      </c>
      <c r="B1619" s="128">
        <v>18</v>
      </c>
      <c r="C1619" s="156">
        <v>40087</v>
      </c>
      <c r="D1619" s="157" t="s">
        <v>53</v>
      </c>
      <c r="E1619" s="127">
        <v>2009</v>
      </c>
      <c r="F1619" s="158">
        <f t="shared" ref="F1619:F1621" si="423">C1619-H1619</f>
        <v>358</v>
      </c>
      <c r="G1619" s="158">
        <f t="shared" ref="G1619:G1621" si="424">IF(F1619&lt;365,1,2)</f>
        <v>1</v>
      </c>
      <c r="H1619" s="175">
        <v>39729</v>
      </c>
      <c r="I1619" s="205">
        <v>428988</v>
      </c>
      <c r="J1619" s="191">
        <v>5.72</v>
      </c>
      <c r="K1619" s="191">
        <v>2.17</v>
      </c>
      <c r="L1619" s="191">
        <v>0.77</v>
      </c>
      <c r="M1619" s="193"/>
      <c r="N1619" s="529"/>
      <c r="O1619" s="191">
        <v>0.43</v>
      </c>
      <c r="P1619" s="127"/>
      <c r="Q1619" s="127"/>
      <c r="R1619" s="127"/>
      <c r="S1619" s="180" t="s">
        <v>328</v>
      </c>
      <c r="T1619" s="171">
        <f t="shared" ref="T1619:T1621" si="425">$I1619*K1619</f>
        <v>930903.96</v>
      </c>
      <c r="U1619" s="171">
        <f t="shared" ref="U1619:U1621" si="426">$I1619*L1619</f>
        <v>330320.76</v>
      </c>
      <c r="V1619" s="171">
        <f t="shared" ref="V1619:V1621" si="427">$I1619*O1619</f>
        <v>184464.84</v>
      </c>
      <c r="W1619" s="171">
        <f t="shared" ref="W1619:W1621" si="428">V1619*0.4</f>
        <v>73785.936000000002</v>
      </c>
    </row>
    <row r="1620" spans="1:23" ht="12.75" customHeight="1">
      <c r="A1620" s="118">
        <v>1619</v>
      </c>
      <c r="B1620" s="128">
        <v>18</v>
      </c>
      <c r="C1620" s="156">
        <v>40118</v>
      </c>
      <c r="D1620" s="157" t="s">
        <v>54</v>
      </c>
      <c r="E1620" s="127">
        <v>2009</v>
      </c>
      <c r="F1620" s="158">
        <f t="shared" si="423"/>
        <v>389</v>
      </c>
      <c r="G1620" s="158">
        <f t="shared" si="424"/>
        <v>2</v>
      </c>
      <c r="H1620" s="175">
        <v>39729</v>
      </c>
      <c r="I1620" s="125">
        <v>428940</v>
      </c>
      <c r="J1620" s="191">
        <v>7.0170000000000003</v>
      </c>
      <c r="K1620" s="191">
        <v>3.1829999999999998</v>
      </c>
      <c r="L1620" s="191">
        <v>1.1830000000000001</v>
      </c>
      <c r="M1620" s="193">
        <v>2</v>
      </c>
      <c r="N1620" s="529"/>
      <c r="O1620" s="191">
        <v>3.133</v>
      </c>
      <c r="P1620" s="127">
        <v>1</v>
      </c>
      <c r="Q1620" s="127"/>
      <c r="R1620" s="127"/>
      <c r="S1620" s="246"/>
      <c r="T1620" s="171">
        <f t="shared" si="425"/>
        <v>1365316.02</v>
      </c>
      <c r="U1620" s="171">
        <f t="shared" si="426"/>
        <v>507436.02</v>
      </c>
      <c r="V1620" s="171">
        <f t="shared" si="427"/>
        <v>1343869.02</v>
      </c>
      <c r="W1620" s="171">
        <f t="shared" si="428"/>
        <v>537547.60800000001</v>
      </c>
    </row>
    <row r="1621" spans="1:23" ht="12.75" customHeight="1">
      <c r="A1621" s="118">
        <v>1620</v>
      </c>
      <c r="B1621" s="128">
        <v>18</v>
      </c>
      <c r="C1621" s="156">
        <v>40148</v>
      </c>
      <c r="D1621" s="157" t="s">
        <v>55</v>
      </c>
      <c r="E1621" s="127">
        <v>2009</v>
      </c>
      <c r="F1621" s="158">
        <f t="shared" si="423"/>
        <v>419</v>
      </c>
      <c r="G1621" s="158">
        <f t="shared" si="424"/>
        <v>2</v>
      </c>
      <c r="H1621" s="175">
        <v>39729</v>
      </c>
      <c r="I1621" s="125">
        <v>428686</v>
      </c>
      <c r="J1621" s="191">
        <v>7.0000000000000007E-2</v>
      </c>
      <c r="K1621" s="191">
        <v>0.27</v>
      </c>
      <c r="L1621" s="191">
        <v>0.1</v>
      </c>
      <c r="M1621" s="193"/>
      <c r="N1621" s="529"/>
      <c r="O1621" s="191">
        <v>0.03</v>
      </c>
      <c r="P1621" s="127"/>
      <c r="Q1621" s="127"/>
      <c r="R1621" s="127"/>
      <c r="S1621" s="140"/>
      <c r="T1621" s="171">
        <f t="shared" si="425"/>
        <v>115745.22</v>
      </c>
      <c r="U1621" s="171">
        <f t="shared" si="426"/>
        <v>42868.600000000006</v>
      </c>
      <c r="V1621" s="171">
        <f t="shared" si="427"/>
        <v>12860.58</v>
      </c>
      <c r="W1621" s="171">
        <f t="shared" si="428"/>
        <v>5144.232</v>
      </c>
    </row>
    <row r="1622" spans="1:23" ht="12.75" customHeight="1">
      <c r="A1622" s="118">
        <v>1621</v>
      </c>
      <c r="B1622" s="128">
        <v>19</v>
      </c>
      <c r="C1622" s="156">
        <v>36526</v>
      </c>
      <c r="D1622" s="157" t="s">
        <v>44</v>
      </c>
      <c r="E1622" s="8">
        <v>2000</v>
      </c>
      <c r="F1622" s="158"/>
      <c r="G1622" s="162"/>
      <c r="J1622" s="11"/>
      <c r="K1622" s="11"/>
      <c r="L1622" s="11"/>
      <c r="O1622" s="11"/>
      <c r="T1622" s="11"/>
      <c r="V1622" s="11"/>
      <c r="W1622" s="11"/>
    </row>
    <row r="1623" spans="1:23" ht="12.75" customHeight="1">
      <c r="A1623" s="118">
        <v>1622</v>
      </c>
      <c r="B1623" s="128">
        <v>19</v>
      </c>
      <c r="C1623" s="156">
        <v>36557</v>
      </c>
      <c r="D1623" s="157" t="s">
        <v>45</v>
      </c>
      <c r="E1623" s="8">
        <v>2000</v>
      </c>
      <c r="F1623" s="158"/>
      <c r="G1623" s="162"/>
      <c r="J1623" s="11"/>
      <c r="K1623" s="11"/>
      <c r="L1623" s="11"/>
      <c r="O1623" s="11"/>
      <c r="T1623" s="11"/>
      <c r="V1623" s="11"/>
      <c r="W1623" s="11"/>
    </row>
    <row r="1624" spans="1:23" ht="12.75" customHeight="1">
      <c r="A1624" s="118">
        <v>1623</v>
      </c>
      <c r="B1624" s="128">
        <v>19</v>
      </c>
      <c r="C1624" s="156">
        <v>36586</v>
      </c>
      <c r="D1624" s="157" t="s">
        <v>46</v>
      </c>
      <c r="E1624" s="8">
        <v>2000</v>
      </c>
      <c r="F1624" s="158"/>
      <c r="G1624" s="162"/>
      <c r="J1624" s="11"/>
      <c r="K1624" s="11"/>
      <c r="L1624" s="11"/>
      <c r="O1624" s="11"/>
      <c r="T1624" s="11"/>
      <c r="V1624" s="11"/>
      <c r="W1624" s="11"/>
    </row>
    <row r="1625" spans="1:23" ht="12.75" customHeight="1">
      <c r="A1625" s="118">
        <v>1624</v>
      </c>
      <c r="B1625" s="128">
        <v>19</v>
      </c>
      <c r="C1625" s="156">
        <v>36617</v>
      </c>
      <c r="D1625" s="157" t="s">
        <v>47</v>
      </c>
      <c r="E1625" s="8">
        <v>2000</v>
      </c>
      <c r="F1625" s="158"/>
      <c r="G1625" s="162"/>
      <c r="J1625" s="11"/>
      <c r="K1625" s="11"/>
      <c r="L1625" s="11"/>
      <c r="O1625" s="11"/>
      <c r="T1625" s="11"/>
      <c r="V1625" s="11"/>
      <c r="W1625" s="11"/>
    </row>
    <row r="1626" spans="1:23" ht="12.75" customHeight="1">
      <c r="A1626" s="118">
        <v>1625</v>
      </c>
      <c r="B1626" s="128">
        <v>19</v>
      </c>
      <c r="C1626" s="156">
        <v>36647</v>
      </c>
      <c r="D1626" s="157" t="s">
        <v>48</v>
      </c>
      <c r="E1626" s="8">
        <v>2000</v>
      </c>
      <c r="F1626" s="158"/>
      <c r="G1626" s="162"/>
      <c r="J1626" s="11"/>
      <c r="K1626" s="11"/>
      <c r="L1626" s="11"/>
      <c r="O1626" s="11"/>
      <c r="T1626" s="11"/>
      <c r="V1626" s="11"/>
      <c r="W1626" s="11"/>
    </row>
    <row r="1627" spans="1:23" ht="12.75" customHeight="1">
      <c r="A1627" s="118">
        <v>1626</v>
      </c>
      <c r="B1627" s="128">
        <v>19</v>
      </c>
      <c r="C1627" s="156">
        <v>36678</v>
      </c>
      <c r="D1627" s="157" t="s">
        <v>49</v>
      </c>
      <c r="E1627" s="8">
        <v>2000</v>
      </c>
      <c r="F1627" s="158"/>
      <c r="G1627" s="162"/>
      <c r="J1627" s="11"/>
      <c r="K1627" s="11"/>
      <c r="L1627" s="11"/>
      <c r="O1627" s="11"/>
      <c r="T1627" s="11"/>
      <c r="V1627" s="11"/>
      <c r="W1627" s="11"/>
    </row>
    <row r="1628" spans="1:23" ht="12.75" customHeight="1">
      <c r="A1628" s="118">
        <v>1627</v>
      </c>
      <c r="B1628" s="128">
        <v>19</v>
      </c>
      <c r="C1628" s="156">
        <v>36708</v>
      </c>
      <c r="D1628" s="157" t="s">
        <v>50</v>
      </c>
      <c r="E1628" s="8">
        <v>2000</v>
      </c>
      <c r="F1628" s="158"/>
      <c r="G1628" s="162"/>
      <c r="J1628" s="11"/>
      <c r="K1628" s="11"/>
      <c r="L1628" s="11"/>
      <c r="O1628" s="11"/>
      <c r="T1628" s="11"/>
      <c r="V1628" s="11"/>
      <c r="W1628" s="11"/>
    </row>
    <row r="1629" spans="1:23" ht="12.75" customHeight="1">
      <c r="A1629" s="118">
        <v>1628</v>
      </c>
      <c r="B1629" s="128">
        <v>19</v>
      </c>
      <c r="C1629" s="156">
        <v>36739</v>
      </c>
      <c r="D1629" s="157" t="s">
        <v>51</v>
      </c>
      <c r="E1629" s="8">
        <v>2000</v>
      </c>
      <c r="F1629" s="158"/>
      <c r="G1629" s="162"/>
      <c r="J1629" s="11"/>
      <c r="K1629" s="11"/>
      <c r="L1629" s="11"/>
      <c r="O1629" s="11"/>
      <c r="T1629" s="11"/>
      <c r="V1629" s="11"/>
      <c r="W1629" s="11"/>
    </row>
    <row r="1630" spans="1:23" ht="12.75" customHeight="1">
      <c r="A1630" s="118">
        <v>1629</v>
      </c>
      <c r="B1630" s="128">
        <v>19</v>
      </c>
      <c r="C1630" s="156">
        <v>36770</v>
      </c>
      <c r="D1630" s="157" t="s">
        <v>52</v>
      </c>
      <c r="E1630" s="8">
        <v>2000</v>
      </c>
      <c r="F1630" s="158"/>
      <c r="G1630" s="162"/>
      <c r="J1630" s="11"/>
      <c r="K1630" s="11"/>
      <c r="L1630" s="11"/>
      <c r="O1630" s="11"/>
      <c r="T1630" s="11"/>
      <c r="V1630" s="11"/>
      <c r="W1630" s="11"/>
    </row>
    <row r="1631" spans="1:23" ht="12.75" customHeight="1">
      <c r="A1631" s="118">
        <v>1630</v>
      </c>
      <c r="B1631" s="128">
        <v>19</v>
      </c>
      <c r="C1631" s="156">
        <v>36800</v>
      </c>
      <c r="D1631" s="157" t="s">
        <v>53</v>
      </c>
      <c r="E1631" s="8">
        <v>2000</v>
      </c>
      <c r="F1631" s="158"/>
      <c r="G1631" s="162"/>
      <c r="J1631" s="11"/>
      <c r="K1631" s="11"/>
      <c r="L1631" s="11"/>
      <c r="O1631" s="11"/>
      <c r="T1631" s="11"/>
      <c r="V1631" s="11"/>
      <c r="W1631" s="11"/>
    </row>
    <row r="1632" spans="1:23" ht="12.75" customHeight="1">
      <c r="A1632" s="118">
        <v>1631</v>
      </c>
      <c r="B1632" s="128">
        <v>19</v>
      </c>
      <c r="C1632" s="156">
        <v>36831</v>
      </c>
      <c r="D1632" s="157" t="s">
        <v>54</v>
      </c>
      <c r="E1632" s="8">
        <v>2000</v>
      </c>
      <c r="F1632" s="158"/>
      <c r="G1632" s="162"/>
      <c r="J1632" s="11"/>
      <c r="K1632" s="11"/>
      <c r="L1632" s="11"/>
      <c r="O1632" s="11"/>
      <c r="T1632" s="11"/>
      <c r="V1632" s="11"/>
      <c r="W1632" s="11"/>
    </row>
    <row r="1633" spans="1:244" ht="12.75" customHeight="1">
      <c r="A1633" s="118">
        <v>1632</v>
      </c>
      <c r="B1633" s="128">
        <v>19</v>
      </c>
      <c r="C1633" s="156">
        <v>36861</v>
      </c>
      <c r="D1633" s="157" t="s">
        <v>55</v>
      </c>
      <c r="E1633" s="8">
        <v>2000</v>
      </c>
      <c r="F1633" s="158"/>
      <c r="G1633" s="162"/>
      <c r="J1633" s="11"/>
      <c r="K1633" s="11"/>
      <c r="L1633" s="11"/>
      <c r="O1633" s="11"/>
      <c r="T1633" s="11"/>
      <c r="V1633" s="11"/>
      <c r="W1633" s="11"/>
    </row>
    <row r="1634" spans="1:244" ht="12.75" customHeight="1">
      <c r="A1634" s="118">
        <v>1633</v>
      </c>
      <c r="B1634" s="128">
        <v>19</v>
      </c>
      <c r="C1634" s="156">
        <v>36892</v>
      </c>
      <c r="D1634" s="157" t="s">
        <v>44</v>
      </c>
      <c r="E1634" s="8">
        <v>2001</v>
      </c>
      <c r="F1634" s="158"/>
      <c r="G1634" s="162"/>
      <c r="J1634" s="11"/>
      <c r="K1634" s="11"/>
      <c r="L1634" s="11"/>
      <c r="O1634" s="11"/>
      <c r="T1634" s="11"/>
      <c r="V1634" s="11"/>
      <c r="W1634" s="11"/>
    </row>
    <row r="1635" spans="1:244" ht="12.75" customHeight="1">
      <c r="A1635" s="118">
        <v>1634</v>
      </c>
      <c r="B1635" s="128">
        <v>19</v>
      </c>
      <c r="C1635" s="156">
        <v>36923</v>
      </c>
      <c r="D1635" s="157" t="s">
        <v>45</v>
      </c>
      <c r="E1635" s="8">
        <v>2001</v>
      </c>
      <c r="F1635" s="158"/>
      <c r="G1635" s="162"/>
      <c r="J1635" s="11"/>
      <c r="K1635" s="11"/>
      <c r="L1635" s="11"/>
      <c r="O1635" s="11"/>
      <c r="T1635" s="11"/>
      <c r="V1635" s="11"/>
      <c r="W1635" s="11"/>
    </row>
    <row r="1636" spans="1:244" ht="12.75" customHeight="1">
      <c r="A1636" s="118">
        <v>1635</v>
      </c>
      <c r="B1636" s="128">
        <v>19</v>
      </c>
      <c r="C1636" s="156">
        <v>36951</v>
      </c>
      <c r="D1636" s="157" t="s">
        <v>46</v>
      </c>
      <c r="E1636" s="8">
        <v>2001</v>
      </c>
      <c r="F1636" s="158"/>
      <c r="G1636" s="162"/>
      <c r="J1636" s="11"/>
      <c r="K1636" s="11"/>
      <c r="L1636" s="11"/>
      <c r="O1636" s="11"/>
      <c r="T1636" s="11"/>
      <c r="V1636" s="11"/>
      <c r="W1636" s="11"/>
    </row>
    <row r="1637" spans="1:244" ht="12.75" customHeight="1">
      <c r="A1637" s="118">
        <v>1636</v>
      </c>
      <c r="B1637" s="128">
        <v>19</v>
      </c>
      <c r="C1637" s="156">
        <v>36982</v>
      </c>
      <c r="D1637" s="157" t="s">
        <v>47</v>
      </c>
      <c r="E1637" s="8">
        <v>2001</v>
      </c>
      <c r="F1637" s="158"/>
      <c r="G1637" s="162"/>
      <c r="J1637" s="11"/>
      <c r="K1637" s="11"/>
      <c r="L1637" s="11"/>
      <c r="O1637" s="11"/>
      <c r="T1637" s="11"/>
      <c r="V1637" s="11"/>
      <c r="W1637" s="11"/>
    </row>
    <row r="1638" spans="1:244" ht="12.75" customHeight="1">
      <c r="A1638" s="118">
        <v>1637</v>
      </c>
      <c r="B1638" s="260">
        <v>19</v>
      </c>
      <c r="C1638" s="156">
        <v>37012</v>
      </c>
      <c r="D1638" s="157" t="s">
        <v>48</v>
      </c>
      <c r="E1638" s="8">
        <v>2001</v>
      </c>
      <c r="F1638" s="158">
        <f t="shared" ref="F1638:F1645" si="429">C1638-H1638</f>
        <v>792</v>
      </c>
      <c r="G1638" s="158">
        <v>3</v>
      </c>
      <c r="H1638" s="162">
        <v>36220</v>
      </c>
      <c r="I1638" s="163">
        <v>17706</v>
      </c>
      <c r="J1638" s="11"/>
      <c r="K1638" s="11"/>
      <c r="L1638" s="11"/>
      <c r="O1638" s="11"/>
      <c r="T1638" s="11"/>
      <c r="V1638" s="11"/>
      <c r="W1638" s="11"/>
    </row>
    <row r="1639" spans="1:244" ht="12.75" customHeight="1">
      <c r="A1639" s="118">
        <v>1638</v>
      </c>
      <c r="B1639" s="260">
        <v>19</v>
      </c>
      <c r="C1639" s="156">
        <v>37043</v>
      </c>
      <c r="D1639" s="157" t="s">
        <v>49</v>
      </c>
      <c r="E1639" s="8">
        <v>2001</v>
      </c>
      <c r="F1639" s="158">
        <f t="shared" si="429"/>
        <v>823</v>
      </c>
      <c r="G1639" s="158">
        <v>3</v>
      </c>
      <c r="H1639" s="162">
        <v>36220</v>
      </c>
      <c r="I1639" s="163">
        <v>17485</v>
      </c>
      <c r="J1639" s="11"/>
      <c r="K1639" s="11"/>
      <c r="L1639" s="11"/>
      <c r="O1639" s="11"/>
      <c r="Q1639" s="11">
        <v>8.8000000000000007</v>
      </c>
      <c r="T1639" s="11"/>
      <c r="V1639" s="11"/>
      <c r="W1639" s="11"/>
    </row>
    <row r="1640" spans="1:244" ht="12.75" customHeight="1">
      <c r="A1640" s="118">
        <v>1639</v>
      </c>
      <c r="B1640" s="260">
        <v>19</v>
      </c>
      <c r="C1640" s="156">
        <v>37073</v>
      </c>
      <c r="D1640" s="157" t="s">
        <v>50</v>
      </c>
      <c r="E1640" s="8">
        <v>2001</v>
      </c>
      <c r="F1640" s="158">
        <f t="shared" si="429"/>
        <v>853</v>
      </c>
      <c r="G1640" s="158">
        <v>3</v>
      </c>
      <c r="H1640" s="162">
        <v>36220</v>
      </c>
      <c r="I1640" s="163">
        <v>7367</v>
      </c>
      <c r="J1640" s="11"/>
      <c r="K1640" s="11"/>
      <c r="L1640" s="11"/>
      <c r="O1640" s="11"/>
      <c r="T1640" s="11"/>
      <c r="V1640" s="11"/>
      <c r="W1640" s="11"/>
    </row>
    <row r="1641" spans="1:244" ht="12.75" customHeight="1">
      <c r="A1641" s="118">
        <v>1640</v>
      </c>
      <c r="B1641" s="260">
        <v>19</v>
      </c>
      <c r="C1641" s="156">
        <v>37104</v>
      </c>
      <c r="D1641" s="157" t="s">
        <v>51</v>
      </c>
      <c r="E1641" s="8">
        <v>2001</v>
      </c>
      <c r="F1641" s="158">
        <f t="shared" si="429"/>
        <v>884</v>
      </c>
      <c r="G1641" s="158">
        <v>3</v>
      </c>
      <c r="H1641" s="162">
        <v>36220</v>
      </c>
      <c r="I1641" s="163">
        <v>7327</v>
      </c>
      <c r="J1641" s="11"/>
      <c r="K1641" s="11"/>
      <c r="L1641" s="11"/>
      <c r="O1641" s="11"/>
      <c r="Q1641" s="11">
        <v>9.3000000000000007</v>
      </c>
      <c r="T1641" s="11"/>
      <c r="V1641" s="11"/>
      <c r="W1641" s="11"/>
    </row>
    <row r="1642" spans="1:244" ht="12.75" customHeight="1">
      <c r="A1642" s="118">
        <v>1641</v>
      </c>
      <c r="B1642" s="260">
        <v>19</v>
      </c>
      <c r="C1642" s="156">
        <v>37135</v>
      </c>
      <c r="D1642" s="157" t="s">
        <v>52</v>
      </c>
      <c r="E1642" s="8">
        <v>2001</v>
      </c>
      <c r="F1642" s="158">
        <f t="shared" si="429"/>
        <v>915</v>
      </c>
      <c r="G1642" s="158">
        <v>3</v>
      </c>
      <c r="H1642" s="162">
        <v>36220</v>
      </c>
      <c r="I1642" s="163">
        <v>7472</v>
      </c>
      <c r="J1642" s="11"/>
      <c r="K1642" s="11"/>
      <c r="L1642" s="11"/>
      <c r="O1642" s="11"/>
      <c r="Q1642" s="11">
        <v>9.3000000000000007</v>
      </c>
      <c r="T1642" s="11"/>
      <c r="V1642" s="11"/>
      <c r="W1642" s="11"/>
    </row>
    <row r="1643" spans="1:244" ht="12.75" customHeight="1">
      <c r="A1643" s="118">
        <v>1642</v>
      </c>
      <c r="B1643" s="260">
        <v>19</v>
      </c>
      <c r="C1643" s="156">
        <v>37165</v>
      </c>
      <c r="D1643" s="157" t="s">
        <v>53</v>
      </c>
      <c r="E1643" s="8">
        <v>2001</v>
      </c>
      <c r="F1643" s="158">
        <f t="shared" si="429"/>
        <v>945</v>
      </c>
      <c r="G1643" s="158">
        <v>3</v>
      </c>
      <c r="H1643" s="162">
        <v>36220</v>
      </c>
      <c r="I1643" s="163">
        <v>7404</v>
      </c>
      <c r="J1643" s="11"/>
      <c r="K1643" s="11"/>
      <c r="L1643" s="11"/>
      <c r="O1643" s="11"/>
      <c r="Q1643" s="11">
        <v>8.9</v>
      </c>
      <c r="T1643" s="11"/>
      <c r="V1643" s="11"/>
      <c r="W1643" s="11"/>
    </row>
    <row r="1644" spans="1:244" ht="12.75" customHeight="1">
      <c r="A1644" s="118">
        <v>1643</v>
      </c>
      <c r="B1644" s="260">
        <v>19</v>
      </c>
      <c r="C1644" s="156">
        <v>37196</v>
      </c>
      <c r="D1644" s="157" t="s">
        <v>54</v>
      </c>
      <c r="E1644" s="8">
        <v>2001</v>
      </c>
      <c r="F1644" s="158">
        <f t="shared" si="429"/>
        <v>976</v>
      </c>
      <c r="G1644" s="158">
        <v>3</v>
      </c>
      <c r="H1644" s="162">
        <v>36220</v>
      </c>
      <c r="I1644" s="163">
        <v>6694</v>
      </c>
      <c r="J1644" s="11"/>
      <c r="K1644" s="11"/>
      <c r="L1644" s="11"/>
      <c r="O1644" s="11"/>
      <c r="Q1644" s="11">
        <v>8.3000000000000007</v>
      </c>
      <c r="T1644" s="11"/>
      <c r="V1644" s="11"/>
      <c r="W1644" s="11"/>
    </row>
    <row r="1645" spans="1:244" ht="12.75" customHeight="1">
      <c r="A1645" s="118">
        <v>1644</v>
      </c>
      <c r="B1645" s="260">
        <v>19</v>
      </c>
      <c r="C1645" s="156">
        <v>37226</v>
      </c>
      <c r="D1645" s="157" t="s">
        <v>55</v>
      </c>
      <c r="E1645" s="8">
        <v>2001</v>
      </c>
      <c r="F1645" s="158">
        <f t="shared" si="429"/>
        <v>1006</v>
      </c>
      <c r="G1645" s="158">
        <v>3</v>
      </c>
      <c r="H1645" s="162">
        <v>36220</v>
      </c>
      <c r="I1645" s="163">
        <v>6416</v>
      </c>
      <c r="J1645" s="11"/>
      <c r="K1645" s="11"/>
      <c r="L1645" s="11"/>
      <c r="O1645" s="11"/>
      <c r="Q1645" s="11">
        <v>7.6</v>
      </c>
      <c r="T1645" s="11"/>
      <c r="V1645" s="11"/>
      <c r="W1645" s="11"/>
    </row>
    <row r="1646" spans="1:244" s="127" customFormat="1" ht="12.75" customHeight="1">
      <c r="A1646" s="118">
        <v>1645</v>
      </c>
      <c r="B1646" s="260">
        <v>19</v>
      </c>
      <c r="C1646" s="156">
        <v>37257</v>
      </c>
      <c r="D1646" s="157" t="s">
        <v>44</v>
      </c>
      <c r="E1646" s="8">
        <v>2002</v>
      </c>
      <c r="F1646" s="196" t="s">
        <v>41</v>
      </c>
      <c r="G1646" s="158">
        <v>2</v>
      </c>
      <c r="H1646" s="11" t="s">
        <v>32</v>
      </c>
      <c r="I1646" s="163">
        <v>19880</v>
      </c>
      <c r="J1646" s="11"/>
      <c r="K1646" s="11"/>
      <c r="L1646" s="11"/>
      <c r="M1646" s="174"/>
      <c r="N1646" s="528"/>
      <c r="O1646" s="11"/>
      <c r="P1646" s="8"/>
      <c r="Q1646" s="11">
        <v>7.3</v>
      </c>
      <c r="R1646" s="11"/>
      <c r="S1646" s="155"/>
      <c r="T1646" s="11"/>
      <c r="U1646" s="161"/>
      <c r="V1646" s="11"/>
      <c r="W1646" s="11"/>
      <c r="X1646" s="118"/>
      <c r="Y1646" s="118"/>
      <c r="Z1646" s="118"/>
      <c r="AA1646" s="118"/>
      <c r="AB1646" s="118"/>
      <c r="AC1646" s="118"/>
      <c r="AD1646" s="118"/>
      <c r="AE1646" s="118"/>
      <c r="AF1646" s="118"/>
      <c r="AG1646" s="118"/>
      <c r="AH1646" s="118"/>
      <c r="AI1646" s="118"/>
      <c r="AJ1646" s="118"/>
      <c r="AK1646" s="118"/>
      <c r="AL1646" s="118"/>
      <c r="AM1646" s="118"/>
      <c r="AN1646" s="118"/>
      <c r="AO1646" s="118"/>
      <c r="AP1646" s="118"/>
      <c r="AQ1646" s="118"/>
      <c r="AR1646" s="118"/>
      <c r="AS1646" s="118"/>
      <c r="AT1646" s="118"/>
      <c r="AU1646" s="118"/>
      <c r="AV1646" s="118"/>
      <c r="AW1646" s="118"/>
      <c r="AX1646" s="118"/>
      <c r="AY1646" s="118"/>
      <c r="AZ1646" s="118"/>
      <c r="BA1646" s="118"/>
      <c r="BB1646" s="118"/>
      <c r="BC1646" s="118"/>
      <c r="BD1646" s="118"/>
      <c r="BE1646" s="118"/>
      <c r="BF1646" s="118"/>
      <c r="BG1646" s="118"/>
      <c r="BH1646" s="118"/>
      <c r="BI1646" s="118"/>
      <c r="BJ1646" s="118"/>
      <c r="BK1646" s="118"/>
      <c r="BL1646" s="118"/>
      <c r="BM1646" s="118"/>
      <c r="BN1646" s="118"/>
      <c r="BO1646" s="118"/>
      <c r="BP1646" s="118"/>
      <c r="BQ1646" s="118"/>
      <c r="BR1646" s="118"/>
      <c r="BS1646" s="118"/>
      <c r="BT1646" s="118"/>
      <c r="BU1646" s="118"/>
      <c r="BV1646" s="118"/>
      <c r="BW1646" s="118"/>
      <c r="BX1646" s="118"/>
      <c r="BY1646" s="118"/>
      <c r="BZ1646" s="118"/>
      <c r="CA1646" s="118"/>
      <c r="CB1646" s="118"/>
      <c r="CC1646" s="118"/>
      <c r="CD1646" s="118"/>
      <c r="CE1646" s="118"/>
      <c r="CF1646" s="118"/>
      <c r="CG1646" s="118"/>
      <c r="CH1646" s="118"/>
      <c r="CI1646" s="118"/>
      <c r="CJ1646" s="118"/>
      <c r="CK1646" s="118"/>
      <c r="CL1646" s="118"/>
      <c r="CM1646" s="118"/>
      <c r="CN1646" s="118"/>
      <c r="CO1646" s="118"/>
      <c r="CP1646" s="118"/>
      <c r="CQ1646" s="118"/>
      <c r="CR1646" s="118"/>
      <c r="CS1646" s="118"/>
      <c r="CT1646" s="118"/>
      <c r="CU1646" s="118"/>
      <c r="CV1646" s="118"/>
      <c r="CW1646" s="118"/>
      <c r="CX1646" s="118"/>
      <c r="CY1646" s="118"/>
      <c r="CZ1646" s="118"/>
      <c r="DA1646" s="118"/>
      <c r="DB1646" s="118"/>
      <c r="DC1646" s="118"/>
      <c r="DD1646" s="118"/>
      <c r="DE1646" s="118"/>
      <c r="DF1646" s="118"/>
      <c r="DG1646" s="118"/>
      <c r="DH1646" s="118"/>
      <c r="DI1646" s="118"/>
      <c r="DJ1646" s="118"/>
      <c r="DK1646" s="118"/>
      <c r="DL1646" s="118"/>
      <c r="DM1646" s="118"/>
      <c r="DN1646" s="118"/>
      <c r="DO1646" s="118"/>
      <c r="DP1646" s="118"/>
      <c r="DQ1646" s="118"/>
      <c r="DR1646" s="118"/>
      <c r="DS1646" s="118"/>
      <c r="DT1646" s="118"/>
      <c r="DU1646" s="118"/>
      <c r="DV1646" s="118"/>
      <c r="DW1646" s="118"/>
      <c r="DX1646" s="118"/>
      <c r="DY1646" s="118"/>
      <c r="DZ1646" s="118"/>
      <c r="EA1646" s="118"/>
      <c r="EB1646" s="118"/>
      <c r="EC1646" s="118"/>
      <c r="ED1646" s="118"/>
      <c r="EE1646" s="118"/>
      <c r="EF1646" s="118"/>
      <c r="EG1646" s="118"/>
      <c r="EH1646" s="118"/>
      <c r="EI1646" s="118"/>
      <c r="EJ1646" s="118"/>
      <c r="EK1646" s="118"/>
      <c r="EL1646" s="118"/>
      <c r="EM1646" s="118"/>
      <c r="EN1646" s="118"/>
      <c r="EO1646" s="118"/>
      <c r="EP1646" s="118"/>
      <c r="EQ1646" s="118"/>
      <c r="ER1646" s="118"/>
      <c r="ES1646" s="118"/>
      <c r="ET1646" s="118"/>
      <c r="EU1646" s="118"/>
      <c r="EV1646" s="118"/>
      <c r="EW1646" s="118"/>
      <c r="EX1646" s="118"/>
      <c r="EY1646" s="118"/>
      <c r="EZ1646" s="118"/>
      <c r="FA1646" s="118"/>
      <c r="FB1646" s="118"/>
      <c r="FC1646" s="118"/>
      <c r="FD1646" s="118"/>
      <c r="FE1646" s="118"/>
      <c r="FF1646" s="118"/>
      <c r="FG1646" s="118"/>
      <c r="FH1646" s="118"/>
      <c r="FI1646" s="118"/>
      <c r="FJ1646" s="118"/>
      <c r="FK1646" s="118"/>
      <c r="FL1646" s="118"/>
      <c r="FM1646" s="118"/>
      <c r="FN1646" s="118"/>
      <c r="FO1646" s="118"/>
      <c r="FP1646" s="118"/>
      <c r="FQ1646" s="118"/>
      <c r="FR1646" s="118"/>
      <c r="FS1646" s="118"/>
      <c r="FT1646" s="118"/>
      <c r="FU1646" s="118"/>
      <c r="FV1646" s="118"/>
      <c r="FW1646" s="118"/>
      <c r="FX1646" s="118"/>
      <c r="FY1646" s="118"/>
      <c r="FZ1646" s="118"/>
      <c r="GA1646" s="118"/>
      <c r="GB1646" s="118"/>
      <c r="GC1646" s="118"/>
      <c r="GD1646" s="118"/>
      <c r="GE1646" s="118"/>
      <c r="GF1646" s="118"/>
      <c r="GG1646" s="118"/>
      <c r="GH1646" s="118"/>
      <c r="GI1646" s="118"/>
      <c r="GJ1646" s="118"/>
      <c r="GK1646" s="118"/>
      <c r="GL1646" s="118"/>
      <c r="GM1646" s="118"/>
      <c r="GN1646" s="118"/>
      <c r="GO1646" s="118"/>
      <c r="GP1646" s="118"/>
      <c r="GQ1646" s="118"/>
      <c r="GR1646" s="118"/>
      <c r="GS1646" s="118"/>
      <c r="GT1646" s="118"/>
      <c r="GU1646" s="118"/>
      <c r="GV1646" s="118"/>
      <c r="GW1646" s="118"/>
      <c r="GX1646" s="118"/>
      <c r="GY1646" s="118"/>
      <c r="GZ1646" s="118"/>
      <c r="HA1646" s="118"/>
      <c r="HB1646" s="118"/>
      <c r="HC1646" s="118"/>
      <c r="HD1646" s="118"/>
      <c r="HE1646" s="118"/>
      <c r="HF1646" s="118"/>
      <c r="HG1646" s="118"/>
      <c r="HH1646" s="118"/>
      <c r="HI1646" s="118"/>
      <c r="HJ1646" s="118"/>
      <c r="HK1646" s="118"/>
      <c r="HL1646" s="118"/>
      <c r="HM1646" s="118"/>
      <c r="HN1646" s="118"/>
      <c r="HO1646" s="118"/>
      <c r="HP1646" s="118"/>
      <c r="HQ1646" s="118"/>
      <c r="HR1646" s="118"/>
      <c r="HS1646" s="118"/>
      <c r="HT1646" s="118"/>
      <c r="HU1646" s="118"/>
      <c r="HV1646" s="118"/>
      <c r="HW1646" s="118"/>
      <c r="HX1646" s="118"/>
      <c r="HY1646" s="118"/>
      <c r="HZ1646" s="118"/>
      <c r="IA1646" s="118"/>
      <c r="IB1646" s="118"/>
      <c r="IC1646" s="118"/>
      <c r="ID1646" s="118"/>
      <c r="IE1646" s="118"/>
      <c r="IF1646" s="118"/>
      <c r="IG1646" s="118"/>
      <c r="IH1646" s="118"/>
      <c r="II1646" s="118"/>
      <c r="IJ1646" s="118"/>
    </row>
    <row r="1647" spans="1:244" s="127" customFormat="1" ht="12.75" customHeight="1">
      <c r="A1647" s="118">
        <v>1646</v>
      </c>
      <c r="B1647" s="260">
        <v>19</v>
      </c>
      <c r="C1647" s="156">
        <v>37288</v>
      </c>
      <c r="D1647" s="157" t="s">
        <v>45</v>
      </c>
      <c r="E1647" s="8">
        <v>2002</v>
      </c>
      <c r="F1647" s="196" t="s">
        <v>41</v>
      </c>
      <c r="G1647" s="158">
        <v>2</v>
      </c>
      <c r="H1647" s="11" t="s">
        <v>32</v>
      </c>
      <c r="I1647" s="163">
        <v>19782</v>
      </c>
      <c r="J1647" s="11"/>
      <c r="K1647" s="11"/>
      <c r="L1647" s="11"/>
      <c r="M1647" s="174"/>
      <c r="N1647" s="528"/>
      <c r="O1647" s="11"/>
      <c r="P1647" s="8"/>
      <c r="Q1647" s="11">
        <v>7.1</v>
      </c>
      <c r="R1647" s="11"/>
      <c r="S1647" s="155"/>
      <c r="T1647" s="11"/>
      <c r="U1647" s="161"/>
      <c r="V1647" s="11"/>
      <c r="W1647" s="11"/>
      <c r="X1647" s="118"/>
      <c r="Y1647" s="118"/>
      <c r="Z1647" s="118"/>
      <c r="AA1647" s="118"/>
      <c r="AB1647" s="118"/>
      <c r="AC1647" s="118"/>
      <c r="AD1647" s="118"/>
      <c r="AE1647" s="118"/>
      <c r="AF1647" s="118"/>
      <c r="AG1647" s="118"/>
      <c r="AH1647" s="118"/>
      <c r="AI1647" s="118"/>
      <c r="AJ1647" s="118"/>
      <c r="AK1647" s="118"/>
      <c r="AL1647" s="118"/>
      <c r="AM1647" s="118"/>
      <c r="AN1647" s="118"/>
      <c r="AO1647" s="118"/>
      <c r="AP1647" s="118"/>
      <c r="AQ1647" s="118"/>
      <c r="AR1647" s="118"/>
      <c r="AS1647" s="118"/>
      <c r="AT1647" s="118"/>
      <c r="AU1647" s="118"/>
      <c r="AV1647" s="118"/>
      <c r="AW1647" s="118"/>
      <c r="AX1647" s="118"/>
      <c r="AY1647" s="118"/>
      <c r="AZ1647" s="118"/>
      <c r="BA1647" s="118"/>
      <c r="BB1647" s="118"/>
      <c r="BC1647" s="118"/>
      <c r="BD1647" s="118"/>
      <c r="BE1647" s="118"/>
      <c r="BF1647" s="118"/>
      <c r="BG1647" s="118"/>
      <c r="BH1647" s="118"/>
      <c r="BI1647" s="118"/>
      <c r="BJ1647" s="118"/>
      <c r="BK1647" s="118"/>
      <c r="BL1647" s="118"/>
      <c r="BM1647" s="118"/>
      <c r="BN1647" s="118"/>
      <c r="BO1647" s="118"/>
      <c r="BP1647" s="118"/>
      <c r="BQ1647" s="118"/>
      <c r="BR1647" s="118"/>
      <c r="BS1647" s="118"/>
      <c r="BT1647" s="118"/>
      <c r="BU1647" s="118"/>
      <c r="BV1647" s="118"/>
      <c r="BW1647" s="118"/>
      <c r="BX1647" s="118"/>
      <c r="BY1647" s="118"/>
      <c r="BZ1647" s="118"/>
      <c r="CA1647" s="118"/>
      <c r="CB1647" s="118"/>
      <c r="CC1647" s="118"/>
      <c r="CD1647" s="118"/>
      <c r="CE1647" s="118"/>
      <c r="CF1647" s="118"/>
      <c r="CG1647" s="118"/>
      <c r="CH1647" s="118"/>
      <c r="CI1647" s="118"/>
      <c r="CJ1647" s="118"/>
      <c r="CK1647" s="118"/>
      <c r="CL1647" s="118"/>
      <c r="CM1647" s="118"/>
      <c r="CN1647" s="118"/>
      <c r="CO1647" s="118"/>
      <c r="CP1647" s="118"/>
      <c r="CQ1647" s="118"/>
      <c r="CR1647" s="118"/>
      <c r="CS1647" s="118"/>
      <c r="CT1647" s="118"/>
      <c r="CU1647" s="118"/>
      <c r="CV1647" s="118"/>
      <c r="CW1647" s="118"/>
      <c r="CX1647" s="118"/>
      <c r="CY1647" s="118"/>
      <c r="CZ1647" s="118"/>
      <c r="DA1647" s="118"/>
      <c r="DB1647" s="118"/>
      <c r="DC1647" s="118"/>
      <c r="DD1647" s="118"/>
      <c r="DE1647" s="118"/>
      <c r="DF1647" s="118"/>
      <c r="DG1647" s="118"/>
      <c r="DH1647" s="118"/>
      <c r="DI1647" s="118"/>
      <c r="DJ1647" s="118"/>
      <c r="DK1647" s="118"/>
      <c r="DL1647" s="118"/>
      <c r="DM1647" s="118"/>
      <c r="DN1647" s="118"/>
      <c r="DO1647" s="118"/>
      <c r="DP1647" s="118"/>
      <c r="DQ1647" s="118"/>
      <c r="DR1647" s="118"/>
      <c r="DS1647" s="118"/>
      <c r="DT1647" s="118"/>
      <c r="DU1647" s="118"/>
      <c r="DV1647" s="118"/>
      <c r="DW1647" s="118"/>
      <c r="DX1647" s="118"/>
      <c r="DY1647" s="118"/>
      <c r="DZ1647" s="118"/>
      <c r="EA1647" s="118"/>
      <c r="EB1647" s="118"/>
      <c r="EC1647" s="118"/>
      <c r="ED1647" s="118"/>
      <c r="EE1647" s="118"/>
      <c r="EF1647" s="118"/>
      <c r="EG1647" s="118"/>
      <c r="EH1647" s="118"/>
      <c r="EI1647" s="118"/>
      <c r="EJ1647" s="118"/>
      <c r="EK1647" s="118"/>
      <c r="EL1647" s="118"/>
      <c r="EM1647" s="118"/>
      <c r="EN1647" s="118"/>
      <c r="EO1647" s="118"/>
      <c r="EP1647" s="118"/>
      <c r="EQ1647" s="118"/>
      <c r="ER1647" s="118"/>
      <c r="ES1647" s="118"/>
      <c r="ET1647" s="118"/>
      <c r="EU1647" s="118"/>
      <c r="EV1647" s="118"/>
      <c r="EW1647" s="118"/>
      <c r="EX1647" s="118"/>
      <c r="EY1647" s="118"/>
      <c r="EZ1647" s="118"/>
      <c r="FA1647" s="118"/>
      <c r="FB1647" s="118"/>
      <c r="FC1647" s="118"/>
      <c r="FD1647" s="118"/>
      <c r="FE1647" s="118"/>
      <c r="FF1647" s="118"/>
      <c r="FG1647" s="118"/>
      <c r="FH1647" s="118"/>
      <c r="FI1647" s="118"/>
      <c r="FJ1647" s="118"/>
      <c r="FK1647" s="118"/>
      <c r="FL1647" s="118"/>
      <c r="FM1647" s="118"/>
      <c r="FN1647" s="118"/>
      <c r="FO1647" s="118"/>
      <c r="FP1647" s="118"/>
      <c r="FQ1647" s="118"/>
      <c r="FR1647" s="118"/>
      <c r="FS1647" s="118"/>
      <c r="FT1647" s="118"/>
      <c r="FU1647" s="118"/>
      <c r="FV1647" s="118"/>
      <c r="FW1647" s="118"/>
      <c r="FX1647" s="118"/>
      <c r="FY1647" s="118"/>
      <c r="FZ1647" s="118"/>
      <c r="GA1647" s="118"/>
      <c r="GB1647" s="118"/>
      <c r="GC1647" s="118"/>
      <c r="GD1647" s="118"/>
      <c r="GE1647" s="118"/>
      <c r="GF1647" s="118"/>
      <c r="GG1647" s="118"/>
      <c r="GH1647" s="118"/>
      <c r="GI1647" s="118"/>
      <c r="GJ1647" s="118"/>
      <c r="GK1647" s="118"/>
      <c r="GL1647" s="118"/>
      <c r="GM1647" s="118"/>
      <c r="GN1647" s="118"/>
      <c r="GO1647" s="118"/>
      <c r="GP1647" s="118"/>
      <c r="GQ1647" s="118"/>
      <c r="GR1647" s="118"/>
      <c r="GS1647" s="118"/>
      <c r="GT1647" s="118"/>
      <c r="GU1647" s="118"/>
      <c r="GV1647" s="118"/>
      <c r="GW1647" s="118"/>
      <c r="GX1647" s="118"/>
      <c r="GY1647" s="118"/>
      <c r="GZ1647" s="118"/>
      <c r="HA1647" s="118"/>
      <c r="HB1647" s="118"/>
      <c r="HC1647" s="118"/>
      <c r="HD1647" s="118"/>
      <c r="HE1647" s="118"/>
      <c r="HF1647" s="118"/>
      <c r="HG1647" s="118"/>
      <c r="HH1647" s="118"/>
      <c r="HI1647" s="118"/>
      <c r="HJ1647" s="118"/>
      <c r="HK1647" s="118"/>
      <c r="HL1647" s="118"/>
      <c r="HM1647" s="118"/>
      <c r="HN1647" s="118"/>
      <c r="HO1647" s="118"/>
      <c r="HP1647" s="118"/>
      <c r="HQ1647" s="118"/>
      <c r="HR1647" s="118"/>
      <c r="HS1647" s="118"/>
      <c r="HT1647" s="118"/>
      <c r="HU1647" s="118"/>
      <c r="HV1647" s="118"/>
      <c r="HW1647" s="118"/>
      <c r="HX1647" s="118"/>
      <c r="HY1647" s="118"/>
      <c r="HZ1647" s="118"/>
      <c r="IA1647" s="118"/>
      <c r="IB1647" s="118"/>
      <c r="IC1647" s="118"/>
      <c r="ID1647" s="118"/>
      <c r="IE1647" s="118"/>
      <c r="IF1647" s="118"/>
      <c r="IG1647" s="118"/>
      <c r="IH1647" s="118"/>
      <c r="II1647" s="118"/>
      <c r="IJ1647" s="118"/>
    </row>
    <row r="1648" spans="1:244" s="127" customFormat="1" ht="12.75" customHeight="1">
      <c r="A1648" s="118">
        <v>1647</v>
      </c>
      <c r="B1648" s="260">
        <v>19</v>
      </c>
      <c r="C1648" s="156">
        <v>37316</v>
      </c>
      <c r="D1648" s="157" t="s">
        <v>46</v>
      </c>
      <c r="E1648" s="8">
        <v>2002</v>
      </c>
      <c r="F1648" s="196" t="s">
        <v>41</v>
      </c>
      <c r="G1648" s="158">
        <v>2</v>
      </c>
      <c r="H1648" s="11" t="s">
        <v>32</v>
      </c>
      <c r="I1648" s="163">
        <v>19746</v>
      </c>
      <c r="J1648" s="11"/>
      <c r="K1648" s="11"/>
      <c r="L1648" s="11"/>
      <c r="M1648" s="174"/>
      <c r="N1648" s="528"/>
      <c r="O1648" s="11"/>
      <c r="P1648" s="8"/>
      <c r="Q1648" s="11">
        <v>6.9</v>
      </c>
      <c r="R1648" s="11"/>
      <c r="S1648" s="155"/>
      <c r="T1648" s="11"/>
      <c r="U1648" s="161"/>
      <c r="V1648" s="11"/>
      <c r="W1648" s="11"/>
      <c r="X1648" s="118"/>
      <c r="Y1648" s="118"/>
      <c r="Z1648" s="118"/>
      <c r="AA1648" s="118"/>
      <c r="AB1648" s="118"/>
      <c r="AC1648" s="118"/>
      <c r="AD1648" s="118"/>
      <c r="AE1648" s="118"/>
      <c r="AF1648" s="118"/>
      <c r="AG1648" s="118"/>
      <c r="AH1648" s="118"/>
      <c r="AI1648" s="118"/>
      <c r="AJ1648" s="118"/>
      <c r="AK1648" s="118"/>
      <c r="AL1648" s="118"/>
      <c r="AM1648" s="118"/>
      <c r="AN1648" s="118"/>
      <c r="AO1648" s="118"/>
      <c r="AP1648" s="118"/>
      <c r="AQ1648" s="118"/>
      <c r="AR1648" s="118"/>
      <c r="AS1648" s="118"/>
      <c r="AT1648" s="118"/>
      <c r="AU1648" s="118"/>
      <c r="AV1648" s="118"/>
      <c r="AW1648" s="118"/>
      <c r="AX1648" s="118"/>
      <c r="AY1648" s="118"/>
      <c r="AZ1648" s="118"/>
      <c r="BA1648" s="118"/>
      <c r="BB1648" s="118"/>
      <c r="BC1648" s="118"/>
      <c r="BD1648" s="118"/>
      <c r="BE1648" s="118"/>
      <c r="BF1648" s="118"/>
      <c r="BG1648" s="118"/>
      <c r="BH1648" s="118"/>
      <c r="BI1648" s="118"/>
      <c r="BJ1648" s="118"/>
      <c r="BK1648" s="118"/>
      <c r="BL1648" s="118"/>
      <c r="BM1648" s="118"/>
      <c r="BN1648" s="118"/>
      <c r="BO1648" s="118"/>
      <c r="BP1648" s="118"/>
      <c r="BQ1648" s="118"/>
      <c r="BR1648" s="118"/>
      <c r="BS1648" s="118"/>
      <c r="BT1648" s="118"/>
      <c r="BU1648" s="118"/>
      <c r="BV1648" s="118"/>
      <c r="BW1648" s="118"/>
      <c r="BX1648" s="118"/>
      <c r="BY1648" s="118"/>
      <c r="BZ1648" s="118"/>
      <c r="CA1648" s="118"/>
      <c r="CB1648" s="118"/>
      <c r="CC1648" s="118"/>
      <c r="CD1648" s="118"/>
      <c r="CE1648" s="118"/>
      <c r="CF1648" s="118"/>
      <c r="CG1648" s="118"/>
      <c r="CH1648" s="118"/>
      <c r="CI1648" s="118"/>
      <c r="CJ1648" s="118"/>
      <c r="CK1648" s="118"/>
      <c r="CL1648" s="118"/>
      <c r="CM1648" s="118"/>
      <c r="CN1648" s="118"/>
      <c r="CO1648" s="118"/>
      <c r="CP1648" s="118"/>
      <c r="CQ1648" s="118"/>
      <c r="CR1648" s="118"/>
      <c r="CS1648" s="118"/>
      <c r="CT1648" s="118"/>
      <c r="CU1648" s="118"/>
      <c r="CV1648" s="118"/>
      <c r="CW1648" s="118"/>
      <c r="CX1648" s="118"/>
      <c r="CY1648" s="118"/>
      <c r="CZ1648" s="118"/>
      <c r="DA1648" s="118"/>
      <c r="DB1648" s="118"/>
      <c r="DC1648" s="118"/>
      <c r="DD1648" s="118"/>
      <c r="DE1648" s="118"/>
      <c r="DF1648" s="118"/>
      <c r="DG1648" s="118"/>
      <c r="DH1648" s="118"/>
      <c r="DI1648" s="118"/>
      <c r="DJ1648" s="118"/>
      <c r="DK1648" s="118"/>
      <c r="DL1648" s="118"/>
      <c r="DM1648" s="118"/>
      <c r="DN1648" s="118"/>
      <c r="DO1648" s="118"/>
      <c r="DP1648" s="118"/>
      <c r="DQ1648" s="118"/>
      <c r="DR1648" s="118"/>
      <c r="DS1648" s="118"/>
      <c r="DT1648" s="118"/>
      <c r="DU1648" s="118"/>
      <c r="DV1648" s="118"/>
      <c r="DW1648" s="118"/>
      <c r="DX1648" s="118"/>
      <c r="DY1648" s="118"/>
      <c r="DZ1648" s="118"/>
      <c r="EA1648" s="118"/>
      <c r="EB1648" s="118"/>
      <c r="EC1648" s="118"/>
      <c r="ED1648" s="118"/>
      <c r="EE1648" s="118"/>
      <c r="EF1648" s="118"/>
      <c r="EG1648" s="118"/>
      <c r="EH1648" s="118"/>
      <c r="EI1648" s="118"/>
      <c r="EJ1648" s="118"/>
      <c r="EK1648" s="118"/>
      <c r="EL1648" s="118"/>
      <c r="EM1648" s="118"/>
      <c r="EN1648" s="118"/>
      <c r="EO1648" s="118"/>
      <c r="EP1648" s="118"/>
      <c r="EQ1648" s="118"/>
      <c r="ER1648" s="118"/>
      <c r="ES1648" s="118"/>
      <c r="ET1648" s="118"/>
      <c r="EU1648" s="118"/>
      <c r="EV1648" s="118"/>
      <c r="EW1648" s="118"/>
      <c r="EX1648" s="118"/>
      <c r="EY1648" s="118"/>
      <c r="EZ1648" s="118"/>
      <c r="FA1648" s="118"/>
      <c r="FB1648" s="118"/>
      <c r="FC1648" s="118"/>
      <c r="FD1648" s="118"/>
      <c r="FE1648" s="118"/>
      <c r="FF1648" s="118"/>
      <c r="FG1648" s="118"/>
      <c r="FH1648" s="118"/>
      <c r="FI1648" s="118"/>
      <c r="FJ1648" s="118"/>
      <c r="FK1648" s="118"/>
      <c r="FL1648" s="118"/>
      <c r="FM1648" s="118"/>
      <c r="FN1648" s="118"/>
      <c r="FO1648" s="118"/>
      <c r="FP1648" s="118"/>
      <c r="FQ1648" s="118"/>
      <c r="FR1648" s="118"/>
      <c r="FS1648" s="118"/>
      <c r="FT1648" s="118"/>
      <c r="FU1648" s="118"/>
      <c r="FV1648" s="118"/>
      <c r="FW1648" s="118"/>
      <c r="FX1648" s="118"/>
      <c r="FY1648" s="118"/>
      <c r="FZ1648" s="118"/>
      <c r="GA1648" s="118"/>
      <c r="GB1648" s="118"/>
      <c r="GC1648" s="118"/>
      <c r="GD1648" s="118"/>
      <c r="GE1648" s="118"/>
      <c r="GF1648" s="118"/>
      <c r="GG1648" s="118"/>
      <c r="GH1648" s="118"/>
      <c r="GI1648" s="118"/>
      <c r="GJ1648" s="118"/>
      <c r="GK1648" s="118"/>
      <c r="GL1648" s="118"/>
      <c r="GM1648" s="118"/>
      <c r="GN1648" s="118"/>
      <c r="GO1648" s="118"/>
      <c r="GP1648" s="118"/>
      <c r="GQ1648" s="118"/>
      <c r="GR1648" s="118"/>
      <c r="GS1648" s="118"/>
      <c r="GT1648" s="118"/>
      <c r="GU1648" s="118"/>
      <c r="GV1648" s="118"/>
      <c r="GW1648" s="118"/>
      <c r="GX1648" s="118"/>
      <c r="GY1648" s="118"/>
      <c r="GZ1648" s="118"/>
      <c r="HA1648" s="118"/>
      <c r="HB1648" s="118"/>
      <c r="HC1648" s="118"/>
      <c r="HD1648" s="118"/>
      <c r="HE1648" s="118"/>
      <c r="HF1648" s="118"/>
      <c r="HG1648" s="118"/>
      <c r="HH1648" s="118"/>
      <c r="HI1648" s="118"/>
      <c r="HJ1648" s="118"/>
      <c r="HK1648" s="118"/>
      <c r="HL1648" s="118"/>
      <c r="HM1648" s="118"/>
      <c r="HN1648" s="118"/>
      <c r="HO1648" s="118"/>
      <c r="HP1648" s="118"/>
      <c r="HQ1648" s="118"/>
      <c r="HR1648" s="118"/>
      <c r="HS1648" s="118"/>
      <c r="HT1648" s="118"/>
      <c r="HU1648" s="118"/>
      <c r="HV1648" s="118"/>
      <c r="HW1648" s="118"/>
      <c r="HX1648" s="118"/>
      <c r="HY1648" s="118"/>
      <c r="HZ1648" s="118"/>
      <c r="IA1648" s="118"/>
      <c r="IB1648" s="118"/>
      <c r="IC1648" s="118"/>
      <c r="ID1648" s="118"/>
      <c r="IE1648" s="118"/>
      <c r="IF1648" s="118"/>
      <c r="IG1648" s="118"/>
      <c r="IH1648" s="118"/>
      <c r="II1648" s="118"/>
      <c r="IJ1648" s="118"/>
    </row>
    <row r="1649" spans="1:244" s="127" customFormat="1" ht="12.75" customHeight="1">
      <c r="A1649" s="118">
        <v>1648</v>
      </c>
      <c r="B1649" s="260">
        <v>19</v>
      </c>
      <c r="C1649" s="156">
        <v>37347</v>
      </c>
      <c r="D1649" s="157" t="s">
        <v>47</v>
      </c>
      <c r="E1649" s="8">
        <v>2002</v>
      </c>
      <c r="F1649" s="196" t="s">
        <v>41</v>
      </c>
      <c r="G1649" s="158">
        <v>2</v>
      </c>
      <c r="H1649" s="11" t="s">
        <v>32</v>
      </c>
      <c r="I1649" s="163">
        <v>19705</v>
      </c>
      <c r="J1649" s="11"/>
      <c r="K1649" s="11"/>
      <c r="L1649" s="11"/>
      <c r="M1649" s="174"/>
      <c r="N1649" s="528"/>
      <c r="O1649" s="11"/>
      <c r="P1649" s="8"/>
      <c r="Q1649" s="11">
        <v>7.5</v>
      </c>
      <c r="R1649" s="11"/>
      <c r="S1649" s="155"/>
      <c r="T1649" s="11"/>
      <c r="U1649" s="161"/>
      <c r="V1649" s="11"/>
      <c r="W1649" s="11"/>
      <c r="X1649" s="118"/>
      <c r="Y1649" s="118"/>
      <c r="Z1649" s="118"/>
      <c r="AA1649" s="118"/>
      <c r="AB1649" s="118"/>
      <c r="AC1649" s="118"/>
      <c r="AD1649" s="118"/>
      <c r="AE1649" s="118"/>
      <c r="AF1649" s="118"/>
      <c r="AG1649" s="118"/>
      <c r="AH1649" s="118"/>
      <c r="AI1649" s="118"/>
      <c r="AJ1649" s="118"/>
      <c r="AK1649" s="118"/>
      <c r="AL1649" s="118"/>
      <c r="AM1649" s="118"/>
      <c r="AN1649" s="118"/>
      <c r="AO1649" s="118"/>
      <c r="AP1649" s="118"/>
      <c r="AQ1649" s="118"/>
      <c r="AR1649" s="118"/>
      <c r="AS1649" s="118"/>
      <c r="AT1649" s="118"/>
      <c r="AU1649" s="118"/>
      <c r="AV1649" s="118"/>
      <c r="AW1649" s="118"/>
      <c r="AX1649" s="118"/>
      <c r="AY1649" s="118"/>
      <c r="AZ1649" s="118"/>
      <c r="BA1649" s="118"/>
      <c r="BB1649" s="118"/>
      <c r="BC1649" s="118"/>
      <c r="BD1649" s="118"/>
      <c r="BE1649" s="118"/>
      <c r="BF1649" s="118"/>
      <c r="BG1649" s="118"/>
      <c r="BH1649" s="118"/>
      <c r="BI1649" s="118"/>
      <c r="BJ1649" s="118"/>
      <c r="BK1649" s="118"/>
      <c r="BL1649" s="118"/>
      <c r="BM1649" s="118"/>
      <c r="BN1649" s="118"/>
      <c r="BO1649" s="118"/>
      <c r="BP1649" s="118"/>
      <c r="BQ1649" s="118"/>
      <c r="BR1649" s="118"/>
      <c r="BS1649" s="118"/>
      <c r="BT1649" s="118"/>
      <c r="BU1649" s="118"/>
      <c r="BV1649" s="118"/>
      <c r="BW1649" s="118"/>
      <c r="BX1649" s="118"/>
      <c r="BY1649" s="118"/>
      <c r="BZ1649" s="118"/>
      <c r="CA1649" s="118"/>
      <c r="CB1649" s="118"/>
      <c r="CC1649" s="118"/>
      <c r="CD1649" s="118"/>
      <c r="CE1649" s="118"/>
      <c r="CF1649" s="118"/>
      <c r="CG1649" s="118"/>
      <c r="CH1649" s="118"/>
      <c r="CI1649" s="118"/>
      <c r="CJ1649" s="118"/>
      <c r="CK1649" s="118"/>
      <c r="CL1649" s="118"/>
      <c r="CM1649" s="118"/>
      <c r="CN1649" s="118"/>
      <c r="CO1649" s="118"/>
      <c r="CP1649" s="118"/>
      <c r="CQ1649" s="118"/>
      <c r="CR1649" s="118"/>
      <c r="CS1649" s="118"/>
      <c r="CT1649" s="118"/>
      <c r="CU1649" s="118"/>
      <c r="CV1649" s="118"/>
      <c r="CW1649" s="118"/>
      <c r="CX1649" s="118"/>
      <c r="CY1649" s="118"/>
      <c r="CZ1649" s="118"/>
      <c r="DA1649" s="118"/>
      <c r="DB1649" s="118"/>
      <c r="DC1649" s="118"/>
      <c r="DD1649" s="118"/>
      <c r="DE1649" s="118"/>
      <c r="DF1649" s="118"/>
      <c r="DG1649" s="118"/>
      <c r="DH1649" s="118"/>
      <c r="DI1649" s="118"/>
      <c r="DJ1649" s="118"/>
      <c r="DK1649" s="118"/>
      <c r="DL1649" s="118"/>
      <c r="DM1649" s="118"/>
      <c r="DN1649" s="118"/>
      <c r="DO1649" s="118"/>
      <c r="DP1649" s="118"/>
      <c r="DQ1649" s="118"/>
      <c r="DR1649" s="118"/>
      <c r="DS1649" s="118"/>
      <c r="DT1649" s="118"/>
      <c r="DU1649" s="118"/>
      <c r="DV1649" s="118"/>
      <c r="DW1649" s="118"/>
      <c r="DX1649" s="118"/>
      <c r="DY1649" s="118"/>
      <c r="DZ1649" s="118"/>
      <c r="EA1649" s="118"/>
      <c r="EB1649" s="118"/>
      <c r="EC1649" s="118"/>
      <c r="ED1649" s="118"/>
      <c r="EE1649" s="118"/>
      <c r="EF1649" s="118"/>
      <c r="EG1649" s="118"/>
      <c r="EH1649" s="118"/>
      <c r="EI1649" s="118"/>
      <c r="EJ1649" s="118"/>
      <c r="EK1649" s="118"/>
      <c r="EL1649" s="118"/>
      <c r="EM1649" s="118"/>
      <c r="EN1649" s="118"/>
      <c r="EO1649" s="118"/>
      <c r="EP1649" s="118"/>
      <c r="EQ1649" s="118"/>
      <c r="ER1649" s="118"/>
      <c r="ES1649" s="118"/>
      <c r="ET1649" s="118"/>
      <c r="EU1649" s="118"/>
      <c r="EV1649" s="118"/>
      <c r="EW1649" s="118"/>
      <c r="EX1649" s="118"/>
      <c r="EY1649" s="118"/>
      <c r="EZ1649" s="118"/>
      <c r="FA1649" s="118"/>
      <c r="FB1649" s="118"/>
      <c r="FC1649" s="118"/>
      <c r="FD1649" s="118"/>
      <c r="FE1649" s="118"/>
      <c r="FF1649" s="118"/>
      <c r="FG1649" s="118"/>
      <c r="FH1649" s="118"/>
      <c r="FI1649" s="118"/>
      <c r="FJ1649" s="118"/>
      <c r="FK1649" s="118"/>
      <c r="FL1649" s="118"/>
      <c r="FM1649" s="118"/>
      <c r="FN1649" s="118"/>
      <c r="FO1649" s="118"/>
      <c r="FP1649" s="118"/>
      <c r="FQ1649" s="118"/>
      <c r="FR1649" s="118"/>
      <c r="FS1649" s="118"/>
      <c r="FT1649" s="118"/>
      <c r="FU1649" s="118"/>
      <c r="FV1649" s="118"/>
      <c r="FW1649" s="118"/>
      <c r="FX1649" s="118"/>
      <c r="FY1649" s="118"/>
      <c r="FZ1649" s="118"/>
      <c r="GA1649" s="118"/>
      <c r="GB1649" s="118"/>
      <c r="GC1649" s="118"/>
      <c r="GD1649" s="118"/>
      <c r="GE1649" s="118"/>
      <c r="GF1649" s="118"/>
      <c r="GG1649" s="118"/>
      <c r="GH1649" s="118"/>
      <c r="GI1649" s="118"/>
      <c r="GJ1649" s="118"/>
      <c r="GK1649" s="118"/>
      <c r="GL1649" s="118"/>
      <c r="GM1649" s="118"/>
      <c r="GN1649" s="118"/>
      <c r="GO1649" s="118"/>
      <c r="GP1649" s="118"/>
      <c r="GQ1649" s="118"/>
      <c r="GR1649" s="118"/>
      <c r="GS1649" s="118"/>
      <c r="GT1649" s="118"/>
      <c r="GU1649" s="118"/>
      <c r="GV1649" s="118"/>
      <c r="GW1649" s="118"/>
      <c r="GX1649" s="118"/>
      <c r="GY1649" s="118"/>
      <c r="GZ1649" s="118"/>
      <c r="HA1649" s="118"/>
      <c r="HB1649" s="118"/>
      <c r="HC1649" s="118"/>
      <c r="HD1649" s="118"/>
      <c r="HE1649" s="118"/>
      <c r="HF1649" s="118"/>
      <c r="HG1649" s="118"/>
      <c r="HH1649" s="118"/>
      <c r="HI1649" s="118"/>
      <c r="HJ1649" s="118"/>
      <c r="HK1649" s="118"/>
      <c r="HL1649" s="118"/>
      <c r="HM1649" s="118"/>
      <c r="HN1649" s="118"/>
      <c r="HO1649" s="118"/>
      <c r="HP1649" s="118"/>
      <c r="HQ1649" s="118"/>
      <c r="HR1649" s="118"/>
      <c r="HS1649" s="118"/>
      <c r="HT1649" s="118"/>
      <c r="HU1649" s="118"/>
      <c r="HV1649" s="118"/>
      <c r="HW1649" s="118"/>
      <c r="HX1649" s="118"/>
      <c r="HY1649" s="118"/>
      <c r="HZ1649" s="118"/>
      <c r="IA1649" s="118"/>
      <c r="IB1649" s="118"/>
      <c r="IC1649" s="118"/>
      <c r="ID1649" s="118"/>
      <c r="IE1649" s="118"/>
      <c r="IF1649" s="118"/>
      <c r="IG1649" s="118"/>
      <c r="IH1649" s="118"/>
      <c r="II1649" s="118"/>
      <c r="IJ1649" s="118"/>
    </row>
    <row r="1650" spans="1:244" s="127" customFormat="1" ht="12.75" customHeight="1">
      <c r="A1650" s="118">
        <v>1649</v>
      </c>
      <c r="B1650" s="260">
        <v>19</v>
      </c>
      <c r="C1650" s="156">
        <v>37377</v>
      </c>
      <c r="D1650" s="157" t="s">
        <v>48</v>
      </c>
      <c r="E1650" s="8">
        <v>2002</v>
      </c>
      <c r="F1650" s="196" t="s">
        <v>41</v>
      </c>
      <c r="G1650" s="158">
        <v>2</v>
      </c>
      <c r="H1650" s="11" t="s">
        <v>32</v>
      </c>
      <c r="I1650" s="163">
        <v>19665</v>
      </c>
      <c r="J1650" s="11"/>
      <c r="K1650" s="11"/>
      <c r="L1650" s="11"/>
      <c r="M1650" s="174"/>
      <c r="N1650" s="528"/>
      <c r="O1650" s="11"/>
      <c r="P1650" s="8"/>
      <c r="Q1650" s="11">
        <v>8.1</v>
      </c>
      <c r="R1650" s="11"/>
      <c r="S1650" s="155"/>
      <c r="T1650" s="11"/>
      <c r="U1650" s="161"/>
      <c r="V1650" s="11"/>
      <c r="W1650" s="11"/>
      <c r="X1650" s="118"/>
      <c r="Y1650" s="118"/>
      <c r="Z1650" s="118"/>
      <c r="AA1650" s="118"/>
      <c r="AB1650" s="118"/>
      <c r="AC1650" s="118"/>
      <c r="AD1650" s="118"/>
      <c r="AE1650" s="118"/>
      <c r="AF1650" s="118"/>
      <c r="AG1650" s="118"/>
      <c r="AH1650" s="118"/>
      <c r="AI1650" s="118"/>
      <c r="AJ1650" s="118"/>
      <c r="AK1650" s="118"/>
      <c r="AL1650" s="118"/>
      <c r="AM1650" s="118"/>
      <c r="AN1650" s="118"/>
      <c r="AO1650" s="118"/>
      <c r="AP1650" s="118"/>
      <c r="AQ1650" s="118"/>
      <c r="AR1650" s="118"/>
      <c r="AS1650" s="118"/>
      <c r="AT1650" s="118"/>
      <c r="AU1650" s="118"/>
      <c r="AV1650" s="118"/>
      <c r="AW1650" s="118"/>
      <c r="AX1650" s="118"/>
      <c r="AY1650" s="118"/>
      <c r="AZ1650" s="118"/>
      <c r="BA1650" s="118"/>
      <c r="BB1650" s="118"/>
      <c r="BC1650" s="118"/>
      <c r="BD1650" s="118"/>
      <c r="BE1650" s="118"/>
      <c r="BF1650" s="118"/>
      <c r="BG1650" s="118"/>
      <c r="BH1650" s="118"/>
      <c r="BI1650" s="118"/>
      <c r="BJ1650" s="118"/>
      <c r="BK1650" s="118"/>
      <c r="BL1650" s="118"/>
      <c r="BM1650" s="118"/>
      <c r="BN1650" s="118"/>
      <c r="BO1650" s="118"/>
      <c r="BP1650" s="118"/>
      <c r="BQ1650" s="118"/>
      <c r="BR1650" s="118"/>
      <c r="BS1650" s="118"/>
      <c r="BT1650" s="118"/>
      <c r="BU1650" s="118"/>
      <c r="BV1650" s="118"/>
      <c r="BW1650" s="118"/>
      <c r="BX1650" s="118"/>
      <c r="BY1650" s="118"/>
      <c r="BZ1650" s="118"/>
      <c r="CA1650" s="118"/>
      <c r="CB1650" s="118"/>
      <c r="CC1650" s="118"/>
      <c r="CD1650" s="118"/>
      <c r="CE1650" s="118"/>
      <c r="CF1650" s="118"/>
      <c r="CG1650" s="118"/>
      <c r="CH1650" s="118"/>
      <c r="CI1650" s="118"/>
      <c r="CJ1650" s="118"/>
      <c r="CK1650" s="118"/>
      <c r="CL1650" s="118"/>
      <c r="CM1650" s="118"/>
      <c r="CN1650" s="118"/>
      <c r="CO1650" s="118"/>
      <c r="CP1650" s="118"/>
      <c r="CQ1650" s="118"/>
      <c r="CR1650" s="118"/>
      <c r="CS1650" s="118"/>
      <c r="CT1650" s="118"/>
      <c r="CU1650" s="118"/>
      <c r="CV1650" s="118"/>
      <c r="CW1650" s="118"/>
      <c r="CX1650" s="118"/>
      <c r="CY1650" s="118"/>
      <c r="CZ1650" s="118"/>
      <c r="DA1650" s="118"/>
      <c r="DB1650" s="118"/>
      <c r="DC1650" s="118"/>
      <c r="DD1650" s="118"/>
      <c r="DE1650" s="118"/>
      <c r="DF1650" s="118"/>
      <c r="DG1650" s="118"/>
      <c r="DH1650" s="118"/>
      <c r="DI1650" s="118"/>
      <c r="DJ1650" s="118"/>
      <c r="DK1650" s="118"/>
      <c r="DL1650" s="118"/>
      <c r="DM1650" s="118"/>
      <c r="DN1650" s="118"/>
      <c r="DO1650" s="118"/>
      <c r="DP1650" s="118"/>
      <c r="DQ1650" s="118"/>
      <c r="DR1650" s="118"/>
      <c r="DS1650" s="118"/>
      <c r="DT1650" s="118"/>
      <c r="DU1650" s="118"/>
      <c r="DV1650" s="118"/>
      <c r="DW1650" s="118"/>
      <c r="DX1650" s="118"/>
      <c r="DY1650" s="118"/>
      <c r="DZ1650" s="118"/>
      <c r="EA1650" s="118"/>
      <c r="EB1650" s="118"/>
      <c r="EC1650" s="118"/>
      <c r="ED1650" s="118"/>
      <c r="EE1650" s="118"/>
      <c r="EF1650" s="118"/>
      <c r="EG1650" s="118"/>
      <c r="EH1650" s="118"/>
      <c r="EI1650" s="118"/>
      <c r="EJ1650" s="118"/>
      <c r="EK1650" s="118"/>
      <c r="EL1650" s="118"/>
      <c r="EM1650" s="118"/>
      <c r="EN1650" s="118"/>
      <c r="EO1650" s="118"/>
      <c r="EP1650" s="118"/>
      <c r="EQ1650" s="118"/>
      <c r="ER1650" s="118"/>
      <c r="ES1650" s="118"/>
      <c r="ET1650" s="118"/>
      <c r="EU1650" s="118"/>
      <c r="EV1650" s="118"/>
      <c r="EW1650" s="118"/>
      <c r="EX1650" s="118"/>
      <c r="EY1650" s="118"/>
      <c r="EZ1650" s="118"/>
      <c r="FA1650" s="118"/>
      <c r="FB1650" s="118"/>
      <c r="FC1650" s="118"/>
      <c r="FD1650" s="118"/>
      <c r="FE1650" s="118"/>
      <c r="FF1650" s="118"/>
      <c r="FG1650" s="118"/>
      <c r="FH1650" s="118"/>
      <c r="FI1650" s="118"/>
      <c r="FJ1650" s="118"/>
      <c r="FK1650" s="118"/>
      <c r="FL1650" s="118"/>
      <c r="FM1650" s="118"/>
      <c r="FN1650" s="118"/>
      <c r="FO1650" s="118"/>
      <c r="FP1650" s="118"/>
      <c r="FQ1650" s="118"/>
      <c r="FR1650" s="118"/>
      <c r="FS1650" s="118"/>
      <c r="FT1650" s="118"/>
      <c r="FU1650" s="118"/>
      <c r="FV1650" s="118"/>
      <c r="FW1650" s="118"/>
      <c r="FX1650" s="118"/>
      <c r="FY1650" s="118"/>
      <c r="FZ1650" s="118"/>
      <c r="GA1650" s="118"/>
      <c r="GB1650" s="118"/>
      <c r="GC1650" s="118"/>
      <c r="GD1650" s="118"/>
      <c r="GE1650" s="118"/>
      <c r="GF1650" s="118"/>
      <c r="GG1650" s="118"/>
      <c r="GH1650" s="118"/>
      <c r="GI1650" s="118"/>
      <c r="GJ1650" s="118"/>
      <c r="GK1650" s="118"/>
      <c r="GL1650" s="118"/>
      <c r="GM1650" s="118"/>
      <c r="GN1650" s="118"/>
      <c r="GO1650" s="118"/>
      <c r="GP1650" s="118"/>
      <c r="GQ1650" s="118"/>
      <c r="GR1650" s="118"/>
      <c r="GS1650" s="118"/>
      <c r="GT1650" s="118"/>
      <c r="GU1650" s="118"/>
      <c r="GV1650" s="118"/>
      <c r="GW1650" s="118"/>
      <c r="GX1650" s="118"/>
      <c r="GY1650" s="118"/>
      <c r="GZ1650" s="118"/>
      <c r="HA1650" s="118"/>
      <c r="HB1650" s="118"/>
      <c r="HC1650" s="118"/>
      <c r="HD1650" s="118"/>
      <c r="HE1650" s="118"/>
      <c r="HF1650" s="118"/>
      <c r="HG1650" s="118"/>
      <c r="HH1650" s="118"/>
      <c r="HI1650" s="118"/>
      <c r="HJ1650" s="118"/>
      <c r="HK1650" s="118"/>
      <c r="HL1650" s="118"/>
      <c r="HM1650" s="118"/>
      <c r="HN1650" s="118"/>
      <c r="HO1650" s="118"/>
      <c r="HP1650" s="118"/>
      <c r="HQ1650" s="118"/>
      <c r="HR1650" s="118"/>
      <c r="HS1650" s="118"/>
      <c r="HT1650" s="118"/>
      <c r="HU1650" s="118"/>
      <c r="HV1650" s="118"/>
      <c r="HW1650" s="118"/>
      <c r="HX1650" s="118"/>
      <c r="HY1650" s="118"/>
      <c r="HZ1650" s="118"/>
      <c r="IA1650" s="118"/>
      <c r="IB1650" s="118"/>
      <c r="IC1650" s="118"/>
      <c r="ID1650" s="118"/>
      <c r="IE1650" s="118"/>
      <c r="IF1650" s="118"/>
      <c r="IG1650" s="118"/>
      <c r="IH1650" s="118"/>
      <c r="II1650" s="118"/>
      <c r="IJ1650" s="118"/>
    </row>
    <row r="1651" spans="1:244" ht="12.75" customHeight="1">
      <c r="A1651" s="118">
        <v>1650</v>
      </c>
      <c r="B1651" s="260">
        <v>19</v>
      </c>
      <c r="C1651" s="156">
        <v>37408</v>
      </c>
      <c r="D1651" s="157" t="s">
        <v>49</v>
      </c>
      <c r="E1651" s="8">
        <v>2002</v>
      </c>
      <c r="F1651" s="196" t="s">
        <v>41</v>
      </c>
      <c r="G1651" s="158">
        <v>2</v>
      </c>
      <c r="H1651" s="11" t="s">
        <v>32</v>
      </c>
      <c r="I1651" s="163">
        <v>19890</v>
      </c>
      <c r="J1651" s="11"/>
      <c r="K1651" s="11"/>
      <c r="L1651" s="11"/>
      <c r="O1651" s="11"/>
      <c r="Q1651" s="11">
        <v>8.8000000000000007</v>
      </c>
      <c r="T1651" s="11"/>
      <c r="V1651" s="11"/>
      <c r="W1651" s="11"/>
    </row>
    <row r="1652" spans="1:244" ht="12.75" customHeight="1">
      <c r="A1652" s="118">
        <v>1651</v>
      </c>
      <c r="B1652" s="260">
        <v>19</v>
      </c>
      <c r="C1652" s="156">
        <v>37438</v>
      </c>
      <c r="D1652" s="157" t="s">
        <v>50</v>
      </c>
      <c r="E1652" s="8">
        <v>2002</v>
      </c>
      <c r="F1652" s="196" t="s">
        <v>41</v>
      </c>
      <c r="G1652" s="158">
        <v>2</v>
      </c>
      <c r="H1652" s="11" t="s">
        <v>32</v>
      </c>
      <c r="I1652" s="163">
        <v>7386</v>
      </c>
      <c r="J1652" s="11"/>
      <c r="K1652" s="11"/>
      <c r="L1652" s="11"/>
      <c r="O1652" s="11"/>
      <c r="Q1652" s="11">
        <v>9.1999999999999993</v>
      </c>
      <c r="T1652" s="11"/>
      <c r="V1652" s="11"/>
      <c r="W1652" s="11"/>
    </row>
    <row r="1653" spans="1:244" ht="12.75" customHeight="1">
      <c r="A1653" s="118">
        <v>1652</v>
      </c>
      <c r="B1653" s="260">
        <v>19</v>
      </c>
      <c r="C1653" s="156">
        <v>37469</v>
      </c>
      <c r="D1653" s="157" t="s">
        <v>51</v>
      </c>
      <c r="E1653" s="8">
        <v>2002</v>
      </c>
      <c r="F1653" s="196" t="s">
        <v>41</v>
      </c>
      <c r="G1653" s="158">
        <v>2</v>
      </c>
      <c r="H1653" s="11" t="s">
        <v>32</v>
      </c>
      <c r="I1653" s="163">
        <v>5527</v>
      </c>
      <c r="J1653" s="11"/>
      <c r="K1653" s="11"/>
      <c r="L1653" s="11"/>
      <c r="O1653" s="11"/>
      <c r="Q1653" s="11">
        <v>9.3000000000000007</v>
      </c>
      <c r="T1653" s="11"/>
      <c r="V1653" s="11"/>
      <c r="W1653" s="11"/>
    </row>
    <row r="1654" spans="1:244" ht="12.75" customHeight="1">
      <c r="A1654" s="118">
        <v>1653</v>
      </c>
      <c r="B1654" s="260">
        <v>19</v>
      </c>
      <c r="C1654" s="156">
        <v>37500</v>
      </c>
      <c r="D1654" s="157" t="s">
        <v>52</v>
      </c>
      <c r="E1654" s="8">
        <v>2002</v>
      </c>
      <c r="F1654" s="196" t="s">
        <v>41</v>
      </c>
      <c r="G1654" s="158">
        <v>2</v>
      </c>
      <c r="H1654" s="11" t="s">
        <v>32</v>
      </c>
      <c r="I1654" s="179">
        <v>5300</v>
      </c>
      <c r="J1654" s="11"/>
      <c r="K1654" s="11"/>
      <c r="L1654" s="11"/>
      <c r="O1654" s="11"/>
      <c r="T1654" s="11"/>
      <c r="V1654" s="11"/>
      <c r="W1654" s="11"/>
    </row>
    <row r="1655" spans="1:244" ht="12.75" customHeight="1">
      <c r="A1655" s="118">
        <v>1654</v>
      </c>
      <c r="B1655" s="260">
        <v>19</v>
      </c>
      <c r="C1655" s="156">
        <v>37530</v>
      </c>
      <c r="D1655" s="157" t="s">
        <v>53</v>
      </c>
      <c r="E1655" s="8">
        <v>2002</v>
      </c>
      <c r="F1655" s="196" t="s">
        <v>41</v>
      </c>
      <c r="G1655" s="158">
        <v>2</v>
      </c>
      <c r="H1655" s="11" t="s">
        <v>32</v>
      </c>
      <c r="I1655" s="163">
        <v>5098</v>
      </c>
      <c r="J1655" s="11"/>
      <c r="K1655" s="11"/>
      <c r="L1655" s="11"/>
      <c r="O1655" s="11"/>
      <c r="T1655" s="11"/>
      <c r="V1655" s="11"/>
      <c r="W1655" s="11"/>
    </row>
    <row r="1656" spans="1:244" ht="12.75" customHeight="1">
      <c r="A1656" s="118">
        <v>1655</v>
      </c>
      <c r="B1656" s="260">
        <v>19</v>
      </c>
      <c r="C1656" s="156">
        <v>37561</v>
      </c>
      <c r="D1656" s="157" t="s">
        <v>54</v>
      </c>
      <c r="E1656" s="8">
        <v>2002</v>
      </c>
      <c r="F1656" s="196" t="s">
        <v>41</v>
      </c>
      <c r="G1656" s="158">
        <v>2</v>
      </c>
      <c r="H1656" s="11" t="s">
        <v>32</v>
      </c>
      <c r="I1656" s="163">
        <v>4411</v>
      </c>
      <c r="J1656" s="11"/>
      <c r="K1656" s="11"/>
      <c r="L1656" s="11"/>
      <c r="O1656" s="11"/>
      <c r="Q1656" s="11">
        <v>8.3000000000000007</v>
      </c>
      <c r="T1656" s="11"/>
      <c r="V1656" s="11"/>
      <c r="W1656" s="11"/>
    </row>
    <row r="1657" spans="1:244" ht="12.75" customHeight="1">
      <c r="A1657" s="118">
        <v>1656</v>
      </c>
      <c r="B1657" s="260">
        <v>19</v>
      </c>
      <c r="C1657" s="156">
        <v>37591</v>
      </c>
      <c r="D1657" s="157" t="s">
        <v>55</v>
      </c>
      <c r="E1657" s="8">
        <v>2002</v>
      </c>
      <c r="F1657" s="196" t="s">
        <v>41</v>
      </c>
      <c r="G1657" s="158">
        <v>2</v>
      </c>
      <c r="H1657" s="11" t="s">
        <v>32</v>
      </c>
      <c r="I1657" s="163">
        <v>4322</v>
      </c>
      <c r="J1657" s="11"/>
      <c r="K1657" s="11"/>
      <c r="L1657" s="11"/>
      <c r="O1657" s="11"/>
      <c r="Q1657" s="11">
        <v>8.1</v>
      </c>
      <c r="T1657" s="11"/>
      <c r="V1657" s="11"/>
      <c r="W1657" s="11"/>
    </row>
    <row r="1658" spans="1:244" ht="12.75" customHeight="1">
      <c r="A1658" s="118">
        <v>1657</v>
      </c>
      <c r="B1658" s="128">
        <v>19</v>
      </c>
      <c r="C1658" s="156">
        <v>37622</v>
      </c>
      <c r="D1658" s="157" t="s">
        <v>44</v>
      </c>
      <c r="E1658" s="8">
        <v>2003</v>
      </c>
      <c r="F1658" s="158">
        <f>C1658-H1658</f>
        <v>1036</v>
      </c>
      <c r="G1658" s="158">
        <v>2</v>
      </c>
      <c r="H1658" s="162">
        <v>36586</v>
      </c>
      <c r="I1658" s="163">
        <v>1550</v>
      </c>
      <c r="J1658" s="11"/>
      <c r="K1658" s="11"/>
      <c r="L1658" s="146">
        <v>4.4000000000000004</v>
      </c>
      <c r="N1658" s="528" t="s">
        <v>796</v>
      </c>
      <c r="O1658" s="146">
        <v>0.15</v>
      </c>
      <c r="Q1658" s="11">
        <v>7.6</v>
      </c>
      <c r="T1658" s="11"/>
      <c r="U1658" s="161">
        <f t="shared" ref="U1658:U1682" si="430">$I1658*L1658</f>
        <v>6820.0000000000009</v>
      </c>
      <c r="V1658" s="161">
        <f t="shared" ref="V1658:V1682" si="431">$I1658*O1658</f>
        <v>232.5</v>
      </c>
      <c r="W1658" s="161">
        <f t="shared" ref="W1658:W1682" si="432">V1658*0.4</f>
        <v>93</v>
      </c>
    </row>
    <row r="1659" spans="1:244" ht="12.75" customHeight="1">
      <c r="A1659" s="118">
        <v>1658</v>
      </c>
      <c r="B1659" s="128">
        <v>19</v>
      </c>
      <c r="C1659" s="156">
        <v>37653</v>
      </c>
      <c r="D1659" s="157" t="s">
        <v>45</v>
      </c>
      <c r="E1659" s="8">
        <v>2003</v>
      </c>
      <c r="F1659" s="196" t="s">
        <v>41</v>
      </c>
      <c r="G1659" s="158">
        <v>2</v>
      </c>
      <c r="H1659" s="11" t="s">
        <v>33</v>
      </c>
      <c r="I1659" s="163">
        <v>26406</v>
      </c>
      <c r="J1659" s="11">
        <v>29</v>
      </c>
      <c r="K1659" s="11">
        <v>16.399999999999999</v>
      </c>
      <c r="L1659" s="11">
        <v>8.8000000000000007</v>
      </c>
      <c r="O1659" s="11">
        <v>0.3</v>
      </c>
      <c r="S1659" s="155" t="s">
        <v>377</v>
      </c>
      <c r="T1659" s="161">
        <f t="shared" ref="T1659:T1682" si="433">$I1659*K1659</f>
        <v>433058.39999999997</v>
      </c>
      <c r="U1659" s="161">
        <f t="shared" si="430"/>
        <v>232372.80000000002</v>
      </c>
      <c r="V1659" s="161">
        <f t="shared" si="431"/>
        <v>7921.7999999999993</v>
      </c>
      <c r="W1659" s="161">
        <f t="shared" si="432"/>
        <v>3168.72</v>
      </c>
    </row>
    <row r="1660" spans="1:244" ht="12.75" customHeight="1">
      <c r="A1660" s="118">
        <v>1659</v>
      </c>
      <c r="B1660" s="128">
        <v>19</v>
      </c>
      <c r="C1660" s="156">
        <v>37681</v>
      </c>
      <c r="D1660" s="157" t="s">
        <v>46</v>
      </c>
      <c r="E1660" s="8">
        <v>2003</v>
      </c>
      <c r="F1660" s="196" t="s">
        <v>41</v>
      </c>
      <c r="G1660" s="158">
        <v>2</v>
      </c>
      <c r="H1660" s="11" t="s">
        <v>9</v>
      </c>
      <c r="I1660" s="194">
        <v>26322</v>
      </c>
      <c r="J1660" s="15">
        <v>22.3</v>
      </c>
      <c r="K1660" s="15">
        <v>8.5</v>
      </c>
      <c r="L1660" s="15">
        <v>4.3</v>
      </c>
      <c r="M1660" s="174">
        <v>2</v>
      </c>
      <c r="O1660" s="15">
        <v>0</v>
      </c>
      <c r="P1660" s="8">
        <v>1</v>
      </c>
      <c r="Q1660" s="11">
        <v>7.5</v>
      </c>
      <c r="R1660" s="11">
        <v>32</v>
      </c>
      <c r="T1660" s="161">
        <f t="shared" si="433"/>
        <v>223737</v>
      </c>
      <c r="U1660" s="161">
        <f t="shared" si="430"/>
        <v>113184.59999999999</v>
      </c>
      <c r="V1660" s="161">
        <f t="shared" si="431"/>
        <v>0</v>
      </c>
      <c r="W1660" s="161">
        <f t="shared" si="432"/>
        <v>0</v>
      </c>
    </row>
    <row r="1661" spans="1:244" ht="12.75" customHeight="1">
      <c r="A1661" s="118">
        <v>1660</v>
      </c>
      <c r="B1661" s="128">
        <v>19</v>
      </c>
      <c r="C1661" s="156">
        <v>37712</v>
      </c>
      <c r="D1661" s="157" t="s">
        <v>47</v>
      </c>
      <c r="E1661" s="8">
        <v>2003</v>
      </c>
      <c r="F1661" s="196" t="s">
        <v>41</v>
      </c>
      <c r="G1661" s="158">
        <v>2</v>
      </c>
      <c r="H1661" s="11" t="s">
        <v>9</v>
      </c>
      <c r="I1661" s="194">
        <v>29904</v>
      </c>
      <c r="J1661" s="15">
        <v>0.1</v>
      </c>
      <c r="K1661" s="15">
        <v>2.0299999999999998</v>
      </c>
      <c r="L1661" s="15">
        <v>1.03</v>
      </c>
      <c r="M1661" s="174">
        <v>0</v>
      </c>
      <c r="O1661" s="15">
        <v>1.5</v>
      </c>
      <c r="Q1661" s="11">
        <v>9.33</v>
      </c>
      <c r="R1661" s="11">
        <v>32</v>
      </c>
      <c r="T1661" s="161">
        <f t="shared" si="433"/>
        <v>60705.119999999995</v>
      </c>
      <c r="U1661" s="161">
        <f t="shared" si="430"/>
        <v>30801.119999999999</v>
      </c>
      <c r="V1661" s="161">
        <f t="shared" si="431"/>
        <v>44856</v>
      </c>
      <c r="W1661" s="161">
        <f t="shared" si="432"/>
        <v>17942.400000000001</v>
      </c>
    </row>
    <row r="1662" spans="1:244" ht="12.75" customHeight="1">
      <c r="A1662" s="118">
        <v>1661</v>
      </c>
      <c r="B1662" s="128">
        <v>19</v>
      </c>
      <c r="C1662" s="156">
        <v>37742</v>
      </c>
      <c r="D1662" s="157" t="s">
        <v>48</v>
      </c>
      <c r="E1662" s="8">
        <v>2003</v>
      </c>
      <c r="F1662" s="196" t="s">
        <v>41</v>
      </c>
      <c r="G1662" s="158">
        <v>2</v>
      </c>
      <c r="H1662" s="11" t="s">
        <v>9</v>
      </c>
      <c r="I1662" s="194">
        <v>29870</v>
      </c>
      <c r="J1662" s="15">
        <v>0.35</v>
      </c>
      <c r="K1662" s="15">
        <v>0.9</v>
      </c>
      <c r="L1662" s="15">
        <v>0.6</v>
      </c>
      <c r="M1662" s="174">
        <v>2</v>
      </c>
      <c r="O1662" s="15">
        <v>1.55</v>
      </c>
      <c r="Q1662" s="11">
        <v>9.3000000000000007</v>
      </c>
      <c r="R1662" s="11">
        <v>32</v>
      </c>
      <c r="T1662" s="161">
        <f t="shared" si="433"/>
        <v>26883</v>
      </c>
      <c r="U1662" s="161">
        <f t="shared" si="430"/>
        <v>17922</v>
      </c>
      <c r="V1662" s="161">
        <f t="shared" si="431"/>
        <v>46298.5</v>
      </c>
      <c r="W1662" s="161">
        <f t="shared" si="432"/>
        <v>18519.400000000001</v>
      </c>
    </row>
    <row r="1663" spans="1:244" ht="12.75" customHeight="1">
      <c r="A1663" s="118">
        <v>1662</v>
      </c>
      <c r="B1663" s="128">
        <v>19</v>
      </c>
      <c r="C1663" s="156">
        <v>37773</v>
      </c>
      <c r="D1663" s="157" t="s">
        <v>49</v>
      </c>
      <c r="E1663" s="8">
        <v>2003</v>
      </c>
      <c r="F1663" s="196" t="s">
        <v>41</v>
      </c>
      <c r="G1663" s="158">
        <v>2</v>
      </c>
      <c r="H1663" s="11" t="s">
        <v>9</v>
      </c>
      <c r="I1663" s="194">
        <v>29626</v>
      </c>
      <c r="J1663" s="15">
        <v>0.45</v>
      </c>
      <c r="K1663" s="15">
        <v>1.2</v>
      </c>
      <c r="L1663" s="15">
        <v>0.85</v>
      </c>
      <c r="M1663" s="174">
        <v>1</v>
      </c>
      <c r="O1663" s="15">
        <v>1.45</v>
      </c>
      <c r="Q1663" s="11">
        <v>9.8000000000000007</v>
      </c>
      <c r="R1663" s="11">
        <v>32</v>
      </c>
      <c r="T1663" s="161">
        <f t="shared" si="433"/>
        <v>35551.199999999997</v>
      </c>
      <c r="U1663" s="161">
        <f t="shared" si="430"/>
        <v>25182.1</v>
      </c>
      <c r="V1663" s="161">
        <f t="shared" si="431"/>
        <v>42957.7</v>
      </c>
      <c r="W1663" s="161">
        <f t="shared" si="432"/>
        <v>17183.079999999998</v>
      </c>
    </row>
    <row r="1664" spans="1:244" ht="12.75" customHeight="1">
      <c r="A1664" s="118">
        <v>1663</v>
      </c>
      <c r="B1664" s="128">
        <v>19</v>
      </c>
      <c r="C1664" s="156">
        <v>37803</v>
      </c>
      <c r="D1664" s="157" t="s">
        <v>50</v>
      </c>
      <c r="E1664" s="8">
        <v>2003</v>
      </c>
      <c r="F1664" s="196" t="s">
        <v>41</v>
      </c>
      <c r="G1664" s="158">
        <v>2</v>
      </c>
      <c r="H1664" s="11" t="s">
        <v>9</v>
      </c>
      <c r="I1664" s="194">
        <v>30000</v>
      </c>
      <c r="J1664" s="15">
        <v>0.15</v>
      </c>
      <c r="K1664" s="15">
        <v>0.3</v>
      </c>
      <c r="L1664" s="15">
        <v>0.1</v>
      </c>
      <c r="M1664" s="174">
        <v>0</v>
      </c>
      <c r="O1664" s="15">
        <v>1.2</v>
      </c>
      <c r="Q1664" s="11">
        <v>10.199999999999999</v>
      </c>
      <c r="R1664" s="11">
        <v>32</v>
      </c>
      <c r="T1664" s="161">
        <f t="shared" si="433"/>
        <v>9000</v>
      </c>
      <c r="U1664" s="161">
        <f t="shared" si="430"/>
        <v>3000</v>
      </c>
      <c r="V1664" s="161">
        <f t="shared" si="431"/>
        <v>36000</v>
      </c>
      <c r="W1664" s="161">
        <f t="shared" si="432"/>
        <v>14400</v>
      </c>
    </row>
    <row r="1665" spans="1:244" ht="12.75" customHeight="1">
      <c r="A1665" s="118">
        <v>1664</v>
      </c>
      <c r="B1665" s="128">
        <v>19</v>
      </c>
      <c r="C1665" s="156">
        <v>37834</v>
      </c>
      <c r="D1665" s="157" t="s">
        <v>51</v>
      </c>
      <c r="E1665" s="8">
        <v>2003</v>
      </c>
      <c r="F1665" s="196" t="s">
        <v>41</v>
      </c>
      <c r="G1665" s="158">
        <v>2</v>
      </c>
      <c r="H1665" s="11" t="s">
        <v>9</v>
      </c>
      <c r="I1665" s="194">
        <v>6500</v>
      </c>
      <c r="J1665" s="15">
        <v>0.4</v>
      </c>
      <c r="K1665" s="15">
        <v>0.5</v>
      </c>
      <c r="L1665" s="15">
        <v>0.2</v>
      </c>
      <c r="O1665" s="15">
        <v>2.2999999999999998</v>
      </c>
      <c r="Q1665" s="11">
        <v>10</v>
      </c>
      <c r="R1665" s="11">
        <v>32</v>
      </c>
      <c r="T1665" s="161">
        <f t="shared" si="433"/>
        <v>3250</v>
      </c>
      <c r="U1665" s="161">
        <f t="shared" si="430"/>
        <v>1300</v>
      </c>
      <c r="V1665" s="161">
        <f t="shared" si="431"/>
        <v>14949.999999999998</v>
      </c>
      <c r="W1665" s="161">
        <f t="shared" si="432"/>
        <v>5980</v>
      </c>
    </row>
    <row r="1666" spans="1:244" ht="12.75" customHeight="1">
      <c r="A1666" s="118">
        <v>1665</v>
      </c>
      <c r="B1666" s="128">
        <v>19</v>
      </c>
      <c r="C1666" s="156">
        <v>37865</v>
      </c>
      <c r="D1666" s="157" t="s">
        <v>52</v>
      </c>
      <c r="E1666" s="8">
        <v>2003</v>
      </c>
      <c r="F1666" s="196" t="s">
        <v>41</v>
      </c>
      <c r="G1666" s="158">
        <v>2</v>
      </c>
      <c r="H1666" s="11" t="s">
        <v>9</v>
      </c>
      <c r="I1666" s="198">
        <v>6000</v>
      </c>
      <c r="J1666" s="434"/>
      <c r="K1666" s="255">
        <f>(K1665+K1667)/2</f>
        <v>9.7899999999999991</v>
      </c>
      <c r="L1666" s="255">
        <f>(L1665+L1667)/2</f>
        <v>3.0500000000000003</v>
      </c>
      <c r="M1666" s="438"/>
      <c r="N1666" s="531">
        <v>1</v>
      </c>
      <c r="O1666" s="255">
        <f>(O1665+O1667)/2</f>
        <v>7.0649999999999995</v>
      </c>
      <c r="P1666" s="256"/>
      <c r="Q1666" s="257">
        <f>(Q1665+Q1667)/2</f>
        <v>9.4499999999999993</v>
      </c>
      <c r="R1666" s="256">
        <v>32</v>
      </c>
      <c r="T1666" s="161">
        <f t="shared" si="433"/>
        <v>58739.999999999993</v>
      </c>
      <c r="U1666" s="161">
        <f t="shared" si="430"/>
        <v>18300</v>
      </c>
      <c r="V1666" s="161">
        <f t="shared" si="431"/>
        <v>42390</v>
      </c>
      <c r="W1666" s="161">
        <f t="shared" si="432"/>
        <v>16956</v>
      </c>
    </row>
    <row r="1667" spans="1:244" ht="12.75" customHeight="1">
      <c r="A1667" s="118">
        <v>1666</v>
      </c>
      <c r="B1667" s="128">
        <v>19</v>
      </c>
      <c r="C1667" s="156">
        <v>37895</v>
      </c>
      <c r="D1667" s="157" t="s">
        <v>53</v>
      </c>
      <c r="E1667" s="8">
        <v>2003</v>
      </c>
      <c r="F1667" s="196" t="s">
        <v>41</v>
      </c>
      <c r="G1667" s="158">
        <v>2</v>
      </c>
      <c r="H1667" s="11" t="s">
        <v>9</v>
      </c>
      <c r="I1667" s="198">
        <v>6000</v>
      </c>
      <c r="J1667" s="15">
        <v>4.4800000000000004</v>
      </c>
      <c r="K1667" s="15">
        <v>19.079999999999998</v>
      </c>
      <c r="L1667" s="15">
        <v>5.9</v>
      </c>
      <c r="O1667" s="15">
        <v>11.83</v>
      </c>
      <c r="Q1667" s="11">
        <v>8.9</v>
      </c>
      <c r="R1667" s="256">
        <v>32</v>
      </c>
      <c r="T1667" s="161">
        <f t="shared" si="433"/>
        <v>114479.99999999999</v>
      </c>
      <c r="U1667" s="161">
        <f t="shared" si="430"/>
        <v>35400</v>
      </c>
      <c r="V1667" s="161">
        <f t="shared" si="431"/>
        <v>70980</v>
      </c>
      <c r="W1667" s="161">
        <f t="shared" si="432"/>
        <v>28392</v>
      </c>
    </row>
    <row r="1668" spans="1:244" ht="12.75" customHeight="1">
      <c r="A1668" s="118">
        <v>1667</v>
      </c>
      <c r="B1668" s="128">
        <v>19</v>
      </c>
      <c r="C1668" s="156">
        <v>37926</v>
      </c>
      <c r="D1668" s="157" t="s">
        <v>54</v>
      </c>
      <c r="E1668" s="8">
        <v>2003</v>
      </c>
      <c r="F1668" s="196" t="s">
        <v>41</v>
      </c>
      <c r="G1668" s="158">
        <v>2</v>
      </c>
      <c r="H1668" s="11" t="s">
        <v>9</v>
      </c>
      <c r="I1668" s="194">
        <v>5500</v>
      </c>
      <c r="J1668" s="15">
        <v>0.43</v>
      </c>
      <c r="K1668" s="15">
        <v>3.47</v>
      </c>
      <c r="L1668" s="15">
        <v>0.67</v>
      </c>
      <c r="M1668" s="174">
        <v>1</v>
      </c>
      <c r="O1668" s="15">
        <v>3.7</v>
      </c>
      <c r="Q1668" s="11">
        <v>8</v>
      </c>
      <c r="R1668" s="11">
        <v>32</v>
      </c>
      <c r="T1668" s="161">
        <f t="shared" si="433"/>
        <v>19085</v>
      </c>
      <c r="U1668" s="161">
        <f t="shared" si="430"/>
        <v>3685</v>
      </c>
      <c r="V1668" s="161">
        <f t="shared" si="431"/>
        <v>20350</v>
      </c>
      <c r="W1668" s="161">
        <f t="shared" si="432"/>
        <v>8140</v>
      </c>
    </row>
    <row r="1669" spans="1:244" ht="12.75" customHeight="1">
      <c r="A1669" s="118">
        <v>1668</v>
      </c>
      <c r="B1669" s="128">
        <v>19</v>
      </c>
      <c r="C1669" s="156">
        <v>37956</v>
      </c>
      <c r="D1669" s="157" t="s">
        <v>55</v>
      </c>
      <c r="E1669" s="8">
        <v>2003</v>
      </c>
      <c r="F1669" s="196" t="s">
        <v>41</v>
      </c>
      <c r="G1669" s="158">
        <v>2</v>
      </c>
      <c r="H1669" s="11" t="s">
        <v>9</v>
      </c>
      <c r="I1669" s="198">
        <v>3000</v>
      </c>
      <c r="J1669" s="15">
        <v>1.57</v>
      </c>
      <c r="K1669" s="15">
        <v>8.07</v>
      </c>
      <c r="L1669" s="15">
        <v>2.2999999999999998</v>
      </c>
      <c r="M1669" s="174">
        <v>0</v>
      </c>
      <c r="O1669" s="15">
        <v>15.53</v>
      </c>
      <c r="Q1669" s="11">
        <v>7.6</v>
      </c>
      <c r="R1669" s="11">
        <v>32</v>
      </c>
      <c r="T1669" s="161">
        <f t="shared" si="433"/>
        <v>24210</v>
      </c>
      <c r="U1669" s="161">
        <f t="shared" si="430"/>
        <v>6899.9999999999991</v>
      </c>
      <c r="V1669" s="161">
        <f t="shared" si="431"/>
        <v>46590</v>
      </c>
      <c r="W1669" s="161">
        <f t="shared" si="432"/>
        <v>18636</v>
      </c>
    </row>
    <row r="1670" spans="1:244" ht="12.75" customHeight="1">
      <c r="A1670" s="118">
        <v>1669</v>
      </c>
      <c r="B1670" s="128">
        <v>19</v>
      </c>
      <c r="C1670" s="156">
        <v>37987</v>
      </c>
      <c r="D1670" s="157" t="s">
        <v>44</v>
      </c>
      <c r="E1670" s="8">
        <v>2004</v>
      </c>
      <c r="F1670" s="196" t="s">
        <v>41</v>
      </c>
      <c r="G1670" s="158">
        <v>2</v>
      </c>
      <c r="H1670" s="11" t="s">
        <v>9</v>
      </c>
      <c r="I1670" s="194">
        <v>1745</v>
      </c>
      <c r="J1670" s="15">
        <v>5.65</v>
      </c>
      <c r="K1670" s="15">
        <v>35.35</v>
      </c>
      <c r="L1670" s="15">
        <v>19.399999999999999</v>
      </c>
      <c r="M1670" s="174">
        <v>2</v>
      </c>
      <c r="O1670" s="15">
        <v>28.9</v>
      </c>
      <c r="P1670" s="8">
        <v>0.5</v>
      </c>
      <c r="Q1670" s="11">
        <v>7.3</v>
      </c>
      <c r="R1670" s="11">
        <v>32</v>
      </c>
      <c r="S1670" s="155" t="s">
        <v>73</v>
      </c>
      <c r="T1670" s="161">
        <f t="shared" si="433"/>
        <v>61685.75</v>
      </c>
      <c r="U1670" s="161">
        <f t="shared" si="430"/>
        <v>33853</v>
      </c>
      <c r="V1670" s="161">
        <f t="shared" si="431"/>
        <v>50430.5</v>
      </c>
      <c r="W1670" s="161">
        <f t="shared" si="432"/>
        <v>20172.2</v>
      </c>
      <c r="X1670" s="127"/>
      <c r="Y1670" s="127"/>
      <c r="Z1670" s="127"/>
      <c r="AA1670" s="127"/>
      <c r="AB1670" s="127"/>
      <c r="AC1670" s="127"/>
      <c r="AD1670" s="127"/>
      <c r="AE1670" s="127"/>
      <c r="AF1670" s="127"/>
      <c r="AG1670" s="127"/>
      <c r="AH1670" s="127"/>
      <c r="AI1670" s="127"/>
      <c r="AJ1670" s="127"/>
      <c r="AK1670" s="127"/>
      <c r="AL1670" s="127"/>
      <c r="AM1670" s="127"/>
      <c r="AN1670" s="127"/>
      <c r="AO1670" s="127"/>
      <c r="AP1670" s="127"/>
      <c r="AQ1670" s="127"/>
      <c r="AR1670" s="127"/>
      <c r="AS1670" s="127"/>
      <c r="AT1670" s="127"/>
      <c r="AU1670" s="127"/>
      <c r="AV1670" s="127"/>
      <c r="AW1670" s="127"/>
      <c r="AX1670" s="127"/>
      <c r="AY1670" s="127"/>
      <c r="AZ1670" s="127"/>
      <c r="BA1670" s="127"/>
      <c r="BB1670" s="127"/>
      <c r="BC1670" s="127"/>
      <c r="BD1670" s="127"/>
      <c r="BE1670" s="127"/>
      <c r="BF1670" s="127"/>
      <c r="BG1670" s="127"/>
      <c r="BH1670" s="127"/>
      <c r="BI1670" s="127"/>
      <c r="BJ1670" s="127"/>
      <c r="BK1670" s="127"/>
      <c r="BL1670" s="127"/>
      <c r="BM1670" s="127"/>
      <c r="BN1670" s="127"/>
      <c r="BO1670" s="127"/>
      <c r="BP1670" s="127"/>
      <c r="BQ1670" s="127"/>
      <c r="BR1670" s="127"/>
      <c r="BS1670" s="127"/>
      <c r="BT1670" s="127"/>
      <c r="BU1670" s="127"/>
      <c r="BV1670" s="127"/>
      <c r="BW1670" s="127"/>
      <c r="BX1670" s="127"/>
      <c r="BY1670" s="127"/>
      <c r="BZ1670" s="127"/>
      <c r="CA1670" s="127"/>
      <c r="CB1670" s="127"/>
      <c r="CC1670" s="127"/>
      <c r="CD1670" s="127"/>
      <c r="CE1670" s="127"/>
      <c r="CF1670" s="127"/>
      <c r="CG1670" s="127"/>
      <c r="CH1670" s="127"/>
      <c r="CI1670" s="127"/>
      <c r="CJ1670" s="127"/>
      <c r="CK1670" s="127"/>
      <c r="CL1670" s="127"/>
      <c r="CM1670" s="127"/>
      <c r="CN1670" s="127"/>
      <c r="CO1670" s="127"/>
      <c r="CP1670" s="127"/>
      <c r="CQ1670" s="127"/>
      <c r="CR1670" s="127"/>
      <c r="CS1670" s="127"/>
      <c r="CT1670" s="127"/>
      <c r="CU1670" s="127"/>
      <c r="CV1670" s="127"/>
      <c r="CW1670" s="127"/>
      <c r="CX1670" s="127"/>
      <c r="CY1670" s="127"/>
      <c r="CZ1670" s="127"/>
      <c r="DA1670" s="127"/>
      <c r="DB1670" s="127"/>
      <c r="DC1670" s="127"/>
      <c r="DD1670" s="127"/>
      <c r="DE1670" s="127"/>
      <c r="DF1670" s="127"/>
      <c r="DG1670" s="127"/>
      <c r="DH1670" s="127"/>
      <c r="DI1670" s="127"/>
      <c r="DJ1670" s="127"/>
      <c r="DK1670" s="127"/>
      <c r="DL1670" s="127"/>
      <c r="DM1670" s="127"/>
      <c r="DN1670" s="127"/>
      <c r="DO1670" s="127"/>
      <c r="DP1670" s="127"/>
      <c r="DQ1670" s="127"/>
      <c r="DR1670" s="127"/>
      <c r="DS1670" s="127"/>
      <c r="DT1670" s="127"/>
      <c r="DU1670" s="127"/>
      <c r="DV1670" s="127"/>
      <c r="DW1670" s="127"/>
      <c r="DX1670" s="127"/>
      <c r="DY1670" s="127"/>
      <c r="DZ1670" s="127"/>
      <c r="EA1670" s="127"/>
      <c r="EB1670" s="127"/>
      <c r="EC1670" s="127"/>
      <c r="ED1670" s="127"/>
      <c r="EE1670" s="127"/>
      <c r="EF1670" s="127"/>
      <c r="EG1670" s="127"/>
      <c r="EH1670" s="127"/>
      <c r="EI1670" s="127"/>
      <c r="EJ1670" s="127"/>
      <c r="EK1670" s="127"/>
      <c r="EL1670" s="127"/>
      <c r="EM1670" s="127"/>
      <c r="EN1670" s="127"/>
      <c r="EO1670" s="127"/>
      <c r="EP1670" s="127"/>
      <c r="EQ1670" s="127"/>
      <c r="ER1670" s="127"/>
      <c r="ES1670" s="127"/>
      <c r="ET1670" s="127"/>
      <c r="EU1670" s="127"/>
      <c r="EV1670" s="127"/>
      <c r="EW1670" s="127"/>
      <c r="EX1670" s="127"/>
      <c r="EY1670" s="127"/>
      <c r="EZ1670" s="127"/>
      <c r="FA1670" s="127"/>
      <c r="FB1670" s="127"/>
      <c r="FC1670" s="127"/>
      <c r="FD1670" s="127"/>
      <c r="FE1670" s="127"/>
      <c r="FF1670" s="127"/>
      <c r="FG1670" s="127"/>
      <c r="FH1670" s="127"/>
      <c r="FI1670" s="127"/>
      <c r="FJ1670" s="127"/>
      <c r="FK1670" s="127"/>
      <c r="FL1670" s="127"/>
      <c r="FM1670" s="127"/>
      <c r="FN1670" s="127"/>
      <c r="FO1670" s="127"/>
      <c r="FP1670" s="127"/>
      <c r="FQ1670" s="127"/>
      <c r="FR1670" s="127"/>
      <c r="FS1670" s="127"/>
      <c r="FT1670" s="127"/>
      <c r="FU1670" s="127"/>
      <c r="FV1670" s="127"/>
      <c r="FW1670" s="127"/>
      <c r="FX1670" s="127"/>
      <c r="FY1670" s="127"/>
      <c r="FZ1670" s="127"/>
      <c r="GA1670" s="127"/>
      <c r="GB1670" s="127"/>
      <c r="GC1670" s="127"/>
      <c r="GD1670" s="127"/>
      <c r="GE1670" s="127"/>
      <c r="GF1670" s="127"/>
      <c r="GG1670" s="127"/>
      <c r="GH1670" s="127"/>
      <c r="GI1670" s="127"/>
      <c r="GJ1670" s="127"/>
      <c r="GK1670" s="127"/>
      <c r="GL1670" s="127"/>
      <c r="GM1670" s="127"/>
      <c r="GN1670" s="127"/>
      <c r="GO1670" s="127"/>
      <c r="GP1670" s="127"/>
      <c r="GQ1670" s="127"/>
      <c r="GR1670" s="127"/>
      <c r="GS1670" s="127"/>
      <c r="GT1670" s="127"/>
      <c r="GU1670" s="127"/>
      <c r="GV1670" s="127"/>
      <c r="GW1670" s="127"/>
      <c r="GX1670" s="127"/>
      <c r="GY1670" s="127"/>
      <c r="GZ1670" s="127"/>
      <c r="HA1670" s="127"/>
      <c r="HB1670" s="127"/>
      <c r="HC1670" s="127"/>
      <c r="HD1670" s="127"/>
      <c r="HE1670" s="127"/>
      <c r="HF1670" s="127"/>
      <c r="HG1670" s="127"/>
      <c r="HH1670" s="127"/>
      <c r="HI1670" s="127"/>
      <c r="HJ1670" s="127"/>
      <c r="HK1670" s="127"/>
      <c r="HL1670" s="127"/>
      <c r="HM1670" s="127"/>
      <c r="HN1670" s="127"/>
      <c r="HO1670" s="127"/>
      <c r="HP1670" s="127"/>
      <c r="HQ1670" s="127"/>
      <c r="HR1670" s="127"/>
      <c r="HS1670" s="127"/>
      <c r="HT1670" s="127"/>
      <c r="HU1670" s="127"/>
      <c r="HV1670" s="127"/>
      <c r="HW1670" s="127"/>
      <c r="HX1670" s="127"/>
      <c r="HY1670" s="127"/>
      <c r="HZ1670" s="127"/>
      <c r="IA1670" s="127"/>
      <c r="IB1670" s="127"/>
      <c r="IC1670" s="127"/>
      <c r="ID1670" s="127"/>
      <c r="IE1670" s="127"/>
      <c r="IF1670" s="127"/>
      <c r="IG1670" s="127"/>
      <c r="IH1670" s="127"/>
      <c r="II1670" s="127"/>
      <c r="IJ1670" s="127"/>
    </row>
    <row r="1671" spans="1:244" ht="12.75" customHeight="1">
      <c r="A1671" s="118">
        <v>1670</v>
      </c>
      <c r="B1671" s="128">
        <v>19</v>
      </c>
      <c r="C1671" s="156">
        <v>38018</v>
      </c>
      <c r="D1671" s="157" t="s">
        <v>45</v>
      </c>
      <c r="E1671" s="8">
        <v>2004</v>
      </c>
      <c r="F1671" s="196" t="s">
        <v>41</v>
      </c>
      <c r="G1671" s="158">
        <v>2</v>
      </c>
      <c r="H1671" s="11" t="s">
        <v>9</v>
      </c>
      <c r="I1671" s="198">
        <v>38000</v>
      </c>
      <c r="J1671" s="15">
        <v>0</v>
      </c>
      <c r="K1671" s="15">
        <v>10.8</v>
      </c>
      <c r="L1671" s="15">
        <v>6.5</v>
      </c>
      <c r="M1671" s="174">
        <v>0</v>
      </c>
      <c r="O1671" s="15">
        <v>0.5</v>
      </c>
      <c r="P1671" s="8">
        <v>0.5</v>
      </c>
      <c r="Q1671" s="11">
        <v>7.3</v>
      </c>
      <c r="R1671" s="11">
        <v>32</v>
      </c>
      <c r="S1671" s="155" t="s">
        <v>73</v>
      </c>
      <c r="T1671" s="161">
        <f t="shared" si="433"/>
        <v>410400</v>
      </c>
      <c r="U1671" s="161">
        <f t="shared" si="430"/>
        <v>247000</v>
      </c>
      <c r="V1671" s="161">
        <f t="shared" si="431"/>
        <v>19000</v>
      </c>
      <c r="W1671" s="161">
        <f t="shared" si="432"/>
        <v>7600</v>
      </c>
      <c r="X1671" s="127"/>
      <c r="Y1671" s="127"/>
      <c r="Z1671" s="127"/>
      <c r="AA1671" s="127"/>
      <c r="AB1671" s="127"/>
      <c r="AC1671" s="127"/>
      <c r="AD1671" s="127"/>
      <c r="AE1671" s="127"/>
      <c r="AF1671" s="127"/>
      <c r="AG1671" s="127"/>
      <c r="AH1671" s="127"/>
      <c r="AI1671" s="127"/>
      <c r="AJ1671" s="127"/>
      <c r="AK1671" s="127"/>
      <c r="AL1671" s="127"/>
      <c r="AM1671" s="127"/>
      <c r="AN1671" s="127"/>
      <c r="AO1671" s="127"/>
      <c r="AP1671" s="127"/>
      <c r="AQ1671" s="127"/>
      <c r="AR1671" s="127"/>
      <c r="AS1671" s="127"/>
      <c r="AT1671" s="127"/>
      <c r="AU1671" s="127"/>
      <c r="AV1671" s="127"/>
      <c r="AW1671" s="127"/>
      <c r="AX1671" s="127"/>
      <c r="AY1671" s="127"/>
      <c r="AZ1671" s="127"/>
      <c r="BA1671" s="127"/>
      <c r="BB1671" s="127"/>
      <c r="BC1671" s="127"/>
      <c r="BD1671" s="127"/>
      <c r="BE1671" s="127"/>
      <c r="BF1671" s="127"/>
      <c r="BG1671" s="127"/>
      <c r="BH1671" s="127"/>
      <c r="BI1671" s="127"/>
      <c r="BJ1671" s="127"/>
      <c r="BK1671" s="127"/>
      <c r="BL1671" s="127"/>
      <c r="BM1671" s="127"/>
      <c r="BN1671" s="127"/>
      <c r="BO1671" s="127"/>
      <c r="BP1671" s="127"/>
      <c r="BQ1671" s="127"/>
      <c r="BR1671" s="127"/>
      <c r="BS1671" s="127"/>
      <c r="BT1671" s="127"/>
      <c r="BU1671" s="127"/>
      <c r="BV1671" s="127"/>
      <c r="BW1671" s="127"/>
      <c r="BX1671" s="127"/>
      <c r="BY1671" s="127"/>
      <c r="BZ1671" s="127"/>
      <c r="CA1671" s="127"/>
      <c r="CB1671" s="127"/>
      <c r="CC1671" s="127"/>
      <c r="CD1671" s="127"/>
      <c r="CE1671" s="127"/>
      <c r="CF1671" s="127"/>
      <c r="CG1671" s="127"/>
      <c r="CH1671" s="127"/>
      <c r="CI1671" s="127"/>
      <c r="CJ1671" s="127"/>
      <c r="CK1671" s="127"/>
      <c r="CL1671" s="127"/>
      <c r="CM1671" s="127"/>
      <c r="CN1671" s="127"/>
      <c r="CO1671" s="127"/>
      <c r="CP1671" s="127"/>
      <c r="CQ1671" s="127"/>
      <c r="CR1671" s="127"/>
      <c r="CS1671" s="127"/>
      <c r="CT1671" s="127"/>
      <c r="CU1671" s="127"/>
      <c r="CV1671" s="127"/>
      <c r="CW1671" s="127"/>
      <c r="CX1671" s="127"/>
      <c r="CY1671" s="127"/>
      <c r="CZ1671" s="127"/>
      <c r="DA1671" s="127"/>
      <c r="DB1671" s="127"/>
      <c r="DC1671" s="127"/>
      <c r="DD1671" s="127"/>
      <c r="DE1671" s="127"/>
      <c r="DF1671" s="127"/>
      <c r="DG1671" s="127"/>
      <c r="DH1671" s="127"/>
      <c r="DI1671" s="127"/>
      <c r="DJ1671" s="127"/>
      <c r="DK1671" s="127"/>
      <c r="DL1671" s="127"/>
      <c r="DM1671" s="127"/>
      <c r="DN1671" s="127"/>
      <c r="DO1671" s="127"/>
      <c r="DP1671" s="127"/>
      <c r="DQ1671" s="127"/>
      <c r="DR1671" s="127"/>
      <c r="DS1671" s="127"/>
      <c r="DT1671" s="127"/>
      <c r="DU1671" s="127"/>
      <c r="DV1671" s="127"/>
      <c r="DW1671" s="127"/>
      <c r="DX1671" s="127"/>
      <c r="DY1671" s="127"/>
      <c r="DZ1671" s="127"/>
      <c r="EA1671" s="127"/>
      <c r="EB1671" s="127"/>
      <c r="EC1671" s="127"/>
      <c r="ED1671" s="127"/>
      <c r="EE1671" s="127"/>
      <c r="EF1671" s="127"/>
      <c r="EG1671" s="127"/>
      <c r="EH1671" s="127"/>
      <c r="EI1671" s="127"/>
      <c r="EJ1671" s="127"/>
      <c r="EK1671" s="127"/>
      <c r="EL1671" s="127"/>
      <c r="EM1671" s="127"/>
      <c r="EN1671" s="127"/>
      <c r="EO1671" s="127"/>
      <c r="EP1671" s="127"/>
      <c r="EQ1671" s="127"/>
      <c r="ER1671" s="127"/>
      <c r="ES1671" s="127"/>
      <c r="ET1671" s="127"/>
      <c r="EU1671" s="127"/>
      <c r="EV1671" s="127"/>
      <c r="EW1671" s="127"/>
      <c r="EX1671" s="127"/>
      <c r="EY1671" s="127"/>
      <c r="EZ1671" s="127"/>
      <c r="FA1671" s="127"/>
      <c r="FB1671" s="127"/>
      <c r="FC1671" s="127"/>
      <c r="FD1671" s="127"/>
      <c r="FE1671" s="127"/>
      <c r="FF1671" s="127"/>
      <c r="FG1671" s="127"/>
      <c r="FH1671" s="127"/>
      <c r="FI1671" s="127"/>
      <c r="FJ1671" s="127"/>
      <c r="FK1671" s="127"/>
      <c r="FL1671" s="127"/>
      <c r="FM1671" s="127"/>
      <c r="FN1671" s="127"/>
      <c r="FO1671" s="127"/>
      <c r="FP1671" s="127"/>
      <c r="FQ1671" s="127"/>
      <c r="FR1671" s="127"/>
      <c r="FS1671" s="127"/>
      <c r="FT1671" s="127"/>
      <c r="FU1671" s="127"/>
      <c r="FV1671" s="127"/>
      <c r="FW1671" s="127"/>
      <c r="FX1671" s="127"/>
      <c r="FY1671" s="127"/>
      <c r="FZ1671" s="127"/>
      <c r="GA1671" s="127"/>
      <c r="GB1671" s="127"/>
      <c r="GC1671" s="127"/>
      <c r="GD1671" s="127"/>
      <c r="GE1671" s="127"/>
      <c r="GF1671" s="127"/>
      <c r="GG1671" s="127"/>
      <c r="GH1671" s="127"/>
      <c r="GI1671" s="127"/>
      <c r="GJ1671" s="127"/>
      <c r="GK1671" s="127"/>
      <c r="GL1671" s="127"/>
      <c r="GM1671" s="127"/>
      <c r="GN1671" s="127"/>
      <c r="GO1671" s="127"/>
      <c r="GP1671" s="127"/>
      <c r="GQ1671" s="127"/>
      <c r="GR1671" s="127"/>
      <c r="GS1671" s="127"/>
      <c r="GT1671" s="127"/>
      <c r="GU1671" s="127"/>
      <c r="GV1671" s="127"/>
      <c r="GW1671" s="127"/>
      <c r="GX1671" s="127"/>
      <c r="GY1671" s="127"/>
      <c r="GZ1671" s="127"/>
      <c r="HA1671" s="127"/>
      <c r="HB1671" s="127"/>
      <c r="HC1671" s="127"/>
      <c r="HD1671" s="127"/>
      <c r="HE1671" s="127"/>
      <c r="HF1671" s="127"/>
      <c r="HG1671" s="127"/>
      <c r="HH1671" s="127"/>
      <c r="HI1671" s="127"/>
      <c r="HJ1671" s="127"/>
      <c r="HK1671" s="127"/>
      <c r="HL1671" s="127"/>
      <c r="HM1671" s="127"/>
      <c r="HN1671" s="127"/>
      <c r="HO1671" s="127"/>
      <c r="HP1671" s="127"/>
      <c r="HQ1671" s="127"/>
      <c r="HR1671" s="127"/>
      <c r="HS1671" s="127"/>
      <c r="HT1671" s="127"/>
      <c r="HU1671" s="127"/>
      <c r="HV1671" s="127"/>
      <c r="HW1671" s="127"/>
      <c r="HX1671" s="127"/>
      <c r="HY1671" s="127"/>
      <c r="HZ1671" s="127"/>
      <c r="IA1671" s="127"/>
      <c r="IB1671" s="127"/>
      <c r="IC1671" s="127"/>
      <c r="ID1671" s="127"/>
      <c r="IE1671" s="127"/>
      <c r="IF1671" s="127"/>
      <c r="IG1671" s="127"/>
      <c r="IH1671" s="127"/>
      <c r="II1671" s="127"/>
      <c r="IJ1671" s="127"/>
    </row>
    <row r="1672" spans="1:244" ht="12.75" customHeight="1">
      <c r="A1672" s="118">
        <v>1671</v>
      </c>
      <c r="B1672" s="128">
        <v>19</v>
      </c>
      <c r="C1672" s="156">
        <v>38047</v>
      </c>
      <c r="D1672" s="157" t="s">
        <v>46</v>
      </c>
      <c r="E1672" s="8">
        <v>2004</v>
      </c>
      <c r="F1672" s="196" t="s">
        <v>41</v>
      </c>
      <c r="G1672" s="158">
        <v>2</v>
      </c>
      <c r="H1672" s="11" t="s">
        <v>9</v>
      </c>
      <c r="I1672" s="194">
        <v>37831</v>
      </c>
      <c r="J1672" s="15">
        <v>0.1</v>
      </c>
      <c r="K1672" s="15">
        <v>0.8</v>
      </c>
      <c r="L1672" s="15">
        <v>0.4</v>
      </c>
      <c r="M1672" s="174">
        <v>0</v>
      </c>
      <c r="O1672" s="15">
        <v>0.4</v>
      </c>
      <c r="Q1672" s="11">
        <v>7.55</v>
      </c>
      <c r="R1672" s="11">
        <v>32</v>
      </c>
      <c r="T1672" s="161">
        <f t="shared" si="433"/>
        <v>30264.800000000003</v>
      </c>
      <c r="U1672" s="161">
        <f t="shared" si="430"/>
        <v>15132.400000000001</v>
      </c>
      <c r="V1672" s="161">
        <f t="shared" si="431"/>
        <v>15132.400000000001</v>
      </c>
      <c r="W1672" s="161">
        <f t="shared" si="432"/>
        <v>6052.9600000000009</v>
      </c>
      <c r="X1672" s="127"/>
      <c r="Y1672" s="127"/>
      <c r="Z1672" s="127"/>
      <c r="AA1672" s="127"/>
      <c r="AB1672" s="127"/>
      <c r="AC1672" s="127"/>
      <c r="AD1672" s="127"/>
      <c r="AE1672" s="127"/>
      <c r="AF1672" s="127"/>
      <c r="AG1672" s="127"/>
      <c r="AH1672" s="127"/>
      <c r="AI1672" s="127"/>
      <c r="AJ1672" s="127"/>
      <c r="AK1672" s="127"/>
      <c r="AL1672" s="127"/>
      <c r="AM1672" s="127"/>
      <c r="AN1672" s="127"/>
      <c r="AO1672" s="127"/>
      <c r="AP1672" s="127"/>
      <c r="AQ1672" s="127"/>
      <c r="AR1672" s="127"/>
      <c r="AS1672" s="127"/>
      <c r="AT1672" s="127"/>
      <c r="AU1672" s="127"/>
      <c r="AV1672" s="127"/>
      <c r="AW1672" s="127"/>
      <c r="AX1672" s="127"/>
      <c r="AY1672" s="127"/>
      <c r="AZ1672" s="127"/>
      <c r="BA1672" s="127"/>
      <c r="BB1672" s="127"/>
      <c r="BC1672" s="127"/>
      <c r="BD1672" s="127"/>
      <c r="BE1672" s="127"/>
      <c r="BF1672" s="127"/>
      <c r="BG1672" s="127"/>
      <c r="BH1672" s="127"/>
      <c r="BI1672" s="127"/>
      <c r="BJ1672" s="127"/>
      <c r="BK1672" s="127"/>
      <c r="BL1672" s="127"/>
      <c r="BM1672" s="127"/>
      <c r="BN1672" s="127"/>
      <c r="BO1672" s="127"/>
      <c r="BP1672" s="127"/>
      <c r="BQ1672" s="127"/>
      <c r="BR1672" s="127"/>
      <c r="BS1672" s="127"/>
      <c r="BT1672" s="127"/>
      <c r="BU1672" s="127"/>
      <c r="BV1672" s="127"/>
      <c r="BW1672" s="127"/>
      <c r="BX1672" s="127"/>
      <c r="BY1672" s="127"/>
      <c r="BZ1672" s="127"/>
      <c r="CA1672" s="127"/>
      <c r="CB1672" s="127"/>
      <c r="CC1672" s="127"/>
      <c r="CD1672" s="127"/>
      <c r="CE1672" s="127"/>
      <c r="CF1672" s="127"/>
      <c r="CG1672" s="127"/>
      <c r="CH1672" s="127"/>
      <c r="CI1672" s="127"/>
      <c r="CJ1672" s="127"/>
      <c r="CK1672" s="127"/>
      <c r="CL1672" s="127"/>
      <c r="CM1672" s="127"/>
      <c r="CN1672" s="127"/>
      <c r="CO1672" s="127"/>
      <c r="CP1672" s="127"/>
      <c r="CQ1672" s="127"/>
      <c r="CR1672" s="127"/>
      <c r="CS1672" s="127"/>
      <c r="CT1672" s="127"/>
      <c r="CU1672" s="127"/>
      <c r="CV1672" s="127"/>
      <c r="CW1672" s="127"/>
      <c r="CX1672" s="127"/>
      <c r="CY1672" s="127"/>
      <c r="CZ1672" s="127"/>
      <c r="DA1672" s="127"/>
      <c r="DB1672" s="127"/>
      <c r="DC1672" s="127"/>
      <c r="DD1672" s="127"/>
      <c r="DE1672" s="127"/>
      <c r="DF1672" s="127"/>
      <c r="DG1672" s="127"/>
      <c r="DH1672" s="127"/>
      <c r="DI1672" s="127"/>
      <c r="DJ1672" s="127"/>
      <c r="DK1672" s="127"/>
      <c r="DL1672" s="127"/>
      <c r="DM1672" s="127"/>
      <c r="DN1672" s="127"/>
      <c r="DO1672" s="127"/>
      <c r="DP1672" s="127"/>
      <c r="DQ1672" s="127"/>
      <c r="DR1672" s="127"/>
      <c r="DS1672" s="127"/>
      <c r="DT1672" s="127"/>
      <c r="DU1672" s="127"/>
      <c r="DV1672" s="127"/>
      <c r="DW1672" s="127"/>
      <c r="DX1672" s="127"/>
      <c r="DY1672" s="127"/>
      <c r="DZ1672" s="127"/>
      <c r="EA1672" s="127"/>
      <c r="EB1672" s="127"/>
      <c r="EC1672" s="127"/>
      <c r="ED1672" s="127"/>
      <c r="EE1672" s="127"/>
      <c r="EF1672" s="127"/>
      <c r="EG1672" s="127"/>
      <c r="EH1672" s="127"/>
      <c r="EI1672" s="127"/>
      <c r="EJ1672" s="127"/>
      <c r="EK1672" s="127"/>
      <c r="EL1672" s="127"/>
      <c r="EM1672" s="127"/>
      <c r="EN1672" s="127"/>
      <c r="EO1672" s="127"/>
      <c r="EP1672" s="127"/>
      <c r="EQ1672" s="127"/>
      <c r="ER1672" s="127"/>
      <c r="ES1672" s="127"/>
      <c r="ET1672" s="127"/>
      <c r="EU1672" s="127"/>
      <c r="EV1672" s="127"/>
      <c r="EW1672" s="127"/>
      <c r="EX1672" s="127"/>
      <c r="EY1672" s="127"/>
      <c r="EZ1672" s="127"/>
      <c r="FA1672" s="127"/>
      <c r="FB1672" s="127"/>
      <c r="FC1672" s="127"/>
      <c r="FD1672" s="127"/>
      <c r="FE1672" s="127"/>
      <c r="FF1672" s="127"/>
      <c r="FG1672" s="127"/>
      <c r="FH1672" s="127"/>
      <c r="FI1672" s="127"/>
      <c r="FJ1672" s="127"/>
      <c r="FK1672" s="127"/>
      <c r="FL1672" s="127"/>
      <c r="FM1672" s="127"/>
      <c r="FN1672" s="127"/>
      <c r="FO1672" s="127"/>
      <c r="FP1672" s="127"/>
      <c r="FQ1672" s="127"/>
      <c r="FR1672" s="127"/>
      <c r="FS1672" s="127"/>
      <c r="FT1672" s="127"/>
      <c r="FU1672" s="127"/>
      <c r="FV1672" s="127"/>
      <c r="FW1672" s="127"/>
      <c r="FX1672" s="127"/>
      <c r="FY1672" s="127"/>
      <c r="FZ1672" s="127"/>
      <c r="GA1672" s="127"/>
      <c r="GB1672" s="127"/>
      <c r="GC1672" s="127"/>
      <c r="GD1672" s="127"/>
      <c r="GE1672" s="127"/>
      <c r="GF1672" s="127"/>
      <c r="GG1672" s="127"/>
      <c r="GH1672" s="127"/>
      <c r="GI1672" s="127"/>
      <c r="GJ1672" s="127"/>
      <c r="GK1672" s="127"/>
      <c r="GL1672" s="127"/>
      <c r="GM1672" s="127"/>
      <c r="GN1672" s="127"/>
      <c r="GO1672" s="127"/>
      <c r="GP1672" s="127"/>
      <c r="GQ1672" s="127"/>
      <c r="GR1672" s="127"/>
      <c r="GS1672" s="127"/>
      <c r="GT1672" s="127"/>
      <c r="GU1672" s="127"/>
      <c r="GV1672" s="127"/>
      <c r="GW1672" s="127"/>
      <c r="GX1672" s="127"/>
      <c r="GY1672" s="127"/>
      <c r="GZ1672" s="127"/>
      <c r="HA1672" s="127"/>
      <c r="HB1672" s="127"/>
      <c r="HC1672" s="127"/>
      <c r="HD1672" s="127"/>
      <c r="HE1672" s="127"/>
      <c r="HF1672" s="127"/>
      <c r="HG1672" s="127"/>
      <c r="HH1672" s="127"/>
      <c r="HI1672" s="127"/>
      <c r="HJ1672" s="127"/>
      <c r="HK1672" s="127"/>
      <c r="HL1672" s="127"/>
      <c r="HM1672" s="127"/>
      <c r="HN1672" s="127"/>
      <c r="HO1672" s="127"/>
      <c r="HP1672" s="127"/>
      <c r="HQ1672" s="127"/>
      <c r="HR1672" s="127"/>
      <c r="HS1672" s="127"/>
      <c r="HT1672" s="127"/>
      <c r="HU1672" s="127"/>
      <c r="HV1672" s="127"/>
      <c r="HW1672" s="127"/>
      <c r="HX1672" s="127"/>
      <c r="HY1672" s="127"/>
      <c r="HZ1672" s="127"/>
      <c r="IA1672" s="127"/>
      <c r="IB1672" s="127"/>
      <c r="IC1672" s="127"/>
      <c r="ID1672" s="127"/>
      <c r="IE1672" s="127"/>
      <c r="IF1672" s="127"/>
      <c r="IG1672" s="127"/>
      <c r="IH1672" s="127"/>
      <c r="II1672" s="127"/>
      <c r="IJ1672" s="127"/>
    </row>
    <row r="1673" spans="1:244" ht="12.75" customHeight="1">
      <c r="A1673" s="118">
        <v>1672</v>
      </c>
      <c r="B1673" s="128">
        <v>19</v>
      </c>
      <c r="C1673" s="156">
        <v>38078</v>
      </c>
      <c r="D1673" s="157" t="s">
        <v>47</v>
      </c>
      <c r="E1673" s="8">
        <v>2004</v>
      </c>
      <c r="F1673" s="196" t="s">
        <v>41</v>
      </c>
      <c r="G1673" s="158">
        <v>2</v>
      </c>
      <c r="H1673" s="11" t="s">
        <v>9</v>
      </c>
      <c r="I1673" s="194">
        <v>37283</v>
      </c>
      <c r="J1673" s="15">
        <v>0</v>
      </c>
      <c r="K1673" s="15">
        <v>0.09</v>
      </c>
      <c r="L1673" s="15">
        <v>7.0000000000000007E-2</v>
      </c>
      <c r="M1673" s="174">
        <v>2</v>
      </c>
      <c r="O1673" s="15">
        <v>0.05</v>
      </c>
      <c r="Q1673" s="11">
        <v>8.3000000000000007</v>
      </c>
      <c r="R1673" s="11">
        <v>32</v>
      </c>
      <c r="T1673" s="161">
        <f t="shared" si="433"/>
        <v>3355.47</v>
      </c>
      <c r="U1673" s="161">
        <f t="shared" si="430"/>
        <v>2609.8100000000004</v>
      </c>
      <c r="V1673" s="161">
        <f t="shared" si="431"/>
        <v>1864.15</v>
      </c>
      <c r="W1673" s="161">
        <f t="shared" si="432"/>
        <v>745.66000000000008</v>
      </c>
      <c r="X1673" s="127"/>
      <c r="Y1673" s="127"/>
      <c r="Z1673" s="127"/>
      <c r="AA1673" s="127"/>
      <c r="AB1673" s="127"/>
      <c r="AC1673" s="127"/>
      <c r="AD1673" s="127"/>
      <c r="AE1673" s="127"/>
      <c r="AF1673" s="127"/>
      <c r="AG1673" s="127"/>
      <c r="AH1673" s="127"/>
      <c r="AI1673" s="127"/>
      <c r="AJ1673" s="127"/>
      <c r="AK1673" s="127"/>
      <c r="AL1673" s="127"/>
      <c r="AM1673" s="127"/>
      <c r="AN1673" s="127"/>
      <c r="AO1673" s="127"/>
      <c r="AP1673" s="127"/>
      <c r="AQ1673" s="127"/>
      <c r="AR1673" s="127"/>
      <c r="AS1673" s="127"/>
      <c r="AT1673" s="127"/>
      <c r="AU1673" s="127"/>
      <c r="AV1673" s="127"/>
      <c r="AW1673" s="127"/>
      <c r="AX1673" s="127"/>
      <c r="AY1673" s="127"/>
      <c r="AZ1673" s="127"/>
      <c r="BA1673" s="127"/>
      <c r="BB1673" s="127"/>
      <c r="BC1673" s="127"/>
      <c r="BD1673" s="127"/>
      <c r="BE1673" s="127"/>
      <c r="BF1673" s="127"/>
      <c r="BG1673" s="127"/>
      <c r="BH1673" s="127"/>
      <c r="BI1673" s="127"/>
      <c r="BJ1673" s="127"/>
      <c r="BK1673" s="127"/>
      <c r="BL1673" s="127"/>
      <c r="BM1673" s="127"/>
      <c r="BN1673" s="127"/>
      <c r="BO1673" s="127"/>
      <c r="BP1673" s="127"/>
      <c r="BQ1673" s="127"/>
      <c r="BR1673" s="127"/>
      <c r="BS1673" s="127"/>
      <c r="BT1673" s="127"/>
      <c r="BU1673" s="127"/>
      <c r="BV1673" s="127"/>
      <c r="BW1673" s="127"/>
      <c r="BX1673" s="127"/>
      <c r="BY1673" s="127"/>
      <c r="BZ1673" s="127"/>
      <c r="CA1673" s="127"/>
      <c r="CB1673" s="127"/>
      <c r="CC1673" s="127"/>
      <c r="CD1673" s="127"/>
      <c r="CE1673" s="127"/>
      <c r="CF1673" s="127"/>
      <c r="CG1673" s="127"/>
      <c r="CH1673" s="127"/>
      <c r="CI1673" s="127"/>
      <c r="CJ1673" s="127"/>
      <c r="CK1673" s="127"/>
      <c r="CL1673" s="127"/>
      <c r="CM1673" s="127"/>
      <c r="CN1673" s="127"/>
      <c r="CO1673" s="127"/>
      <c r="CP1673" s="127"/>
      <c r="CQ1673" s="127"/>
      <c r="CR1673" s="127"/>
      <c r="CS1673" s="127"/>
      <c r="CT1673" s="127"/>
      <c r="CU1673" s="127"/>
      <c r="CV1673" s="127"/>
      <c r="CW1673" s="127"/>
      <c r="CX1673" s="127"/>
      <c r="CY1673" s="127"/>
      <c r="CZ1673" s="127"/>
      <c r="DA1673" s="127"/>
      <c r="DB1673" s="127"/>
      <c r="DC1673" s="127"/>
      <c r="DD1673" s="127"/>
      <c r="DE1673" s="127"/>
      <c r="DF1673" s="127"/>
      <c r="DG1673" s="127"/>
      <c r="DH1673" s="127"/>
      <c r="DI1673" s="127"/>
      <c r="DJ1673" s="127"/>
      <c r="DK1673" s="127"/>
      <c r="DL1673" s="127"/>
      <c r="DM1673" s="127"/>
      <c r="DN1673" s="127"/>
      <c r="DO1673" s="127"/>
      <c r="DP1673" s="127"/>
      <c r="DQ1673" s="127"/>
      <c r="DR1673" s="127"/>
      <c r="DS1673" s="127"/>
      <c r="DT1673" s="127"/>
      <c r="DU1673" s="127"/>
      <c r="DV1673" s="127"/>
      <c r="DW1673" s="127"/>
      <c r="DX1673" s="127"/>
      <c r="DY1673" s="127"/>
      <c r="DZ1673" s="127"/>
      <c r="EA1673" s="127"/>
      <c r="EB1673" s="127"/>
      <c r="EC1673" s="127"/>
      <c r="ED1673" s="127"/>
      <c r="EE1673" s="127"/>
      <c r="EF1673" s="127"/>
      <c r="EG1673" s="127"/>
      <c r="EH1673" s="127"/>
      <c r="EI1673" s="127"/>
      <c r="EJ1673" s="127"/>
      <c r="EK1673" s="127"/>
      <c r="EL1673" s="127"/>
      <c r="EM1673" s="127"/>
      <c r="EN1673" s="127"/>
      <c r="EO1673" s="127"/>
      <c r="EP1673" s="127"/>
      <c r="EQ1673" s="127"/>
      <c r="ER1673" s="127"/>
      <c r="ES1673" s="127"/>
      <c r="ET1673" s="127"/>
      <c r="EU1673" s="127"/>
      <c r="EV1673" s="127"/>
      <c r="EW1673" s="127"/>
      <c r="EX1673" s="127"/>
      <c r="EY1673" s="127"/>
      <c r="EZ1673" s="127"/>
      <c r="FA1673" s="127"/>
      <c r="FB1673" s="127"/>
      <c r="FC1673" s="127"/>
      <c r="FD1673" s="127"/>
      <c r="FE1673" s="127"/>
      <c r="FF1673" s="127"/>
      <c r="FG1673" s="127"/>
      <c r="FH1673" s="127"/>
      <c r="FI1673" s="127"/>
      <c r="FJ1673" s="127"/>
      <c r="FK1673" s="127"/>
      <c r="FL1673" s="127"/>
      <c r="FM1673" s="127"/>
      <c r="FN1673" s="127"/>
      <c r="FO1673" s="127"/>
      <c r="FP1673" s="127"/>
      <c r="FQ1673" s="127"/>
      <c r="FR1673" s="127"/>
      <c r="FS1673" s="127"/>
      <c r="FT1673" s="127"/>
      <c r="FU1673" s="127"/>
      <c r="FV1673" s="127"/>
      <c r="FW1673" s="127"/>
      <c r="FX1673" s="127"/>
      <c r="FY1673" s="127"/>
      <c r="FZ1673" s="127"/>
      <c r="GA1673" s="127"/>
      <c r="GB1673" s="127"/>
      <c r="GC1673" s="127"/>
      <c r="GD1673" s="127"/>
      <c r="GE1673" s="127"/>
      <c r="GF1673" s="127"/>
      <c r="GG1673" s="127"/>
      <c r="GH1673" s="127"/>
      <c r="GI1673" s="127"/>
      <c r="GJ1673" s="127"/>
      <c r="GK1673" s="127"/>
      <c r="GL1673" s="127"/>
      <c r="GM1673" s="127"/>
      <c r="GN1673" s="127"/>
      <c r="GO1673" s="127"/>
      <c r="GP1673" s="127"/>
      <c r="GQ1673" s="127"/>
      <c r="GR1673" s="127"/>
      <c r="GS1673" s="127"/>
      <c r="GT1673" s="127"/>
      <c r="GU1673" s="127"/>
      <c r="GV1673" s="127"/>
      <c r="GW1673" s="127"/>
      <c r="GX1673" s="127"/>
      <c r="GY1673" s="127"/>
      <c r="GZ1673" s="127"/>
      <c r="HA1673" s="127"/>
      <c r="HB1673" s="127"/>
      <c r="HC1673" s="127"/>
      <c r="HD1673" s="127"/>
      <c r="HE1673" s="127"/>
      <c r="HF1673" s="127"/>
      <c r="HG1673" s="127"/>
      <c r="HH1673" s="127"/>
      <c r="HI1673" s="127"/>
      <c r="HJ1673" s="127"/>
      <c r="HK1673" s="127"/>
      <c r="HL1673" s="127"/>
      <c r="HM1673" s="127"/>
      <c r="HN1673" s="127"/>
      <c r="HO1673" s="127"/>
      <c r="HP1673" s="127"/>
      <c r="HQ1673" s="127"/>
      <c r="HR1673" s="127"/>
      <c r="HS1673" s="127"/>
      <c r="HT1673" s="127"/>
      <c r="HU1673" s="127"/>
      <c r="HV1673" s="127"/>
      <c r="HW1673" s="127"/>
      <c r="HX1673" s="127"/>
      <c r="HY1673" s="127"/>
      <c r="HZ1673" s="127"/>
      <c r="IA1673" s="127"/>
      <c r="IB1673" s="127"/>
      <c r="IC1673" s="127"/>
      <c r="ID1673" s="127"/>
      <c r="IE1673" s="127"/>
      <c r="IF1673" s="127"/>
      <c r="IG1673" s="127"/>
      <c r="IH1673" s="127"/>
      <c r="II1673" s="127"/>
      <c r="IJ1673" s="127"/>
    </row>
    <row r="1674" spans="1:244" s="11" customFormat="1" ht="12.75" customHeight="1">
      <c r="A1674" s="118">
        <v>1673</v>
      </c>
      <c r="B1674" s="128">
        <v>19</v>
      </c>
      <c r="C1674" s="156">
        <v>38108</v>
      </c>
      <c r="D1674" s="157" t="s">
        <v>48</v>
      </c>
      <c r="E1674" s="8">
        <v>2004</v>
      </c>
      <c r="F1674" s="196" t="s">
        <v>41</v>
      </c>
      <c r="G1674" s="158">
        <v>2</v>
      </c>
      <c r="H1674" s="11" t="s">
        <v>9</v>
      </c>
      <c r="I1674" s="194">
        <v>37253</v>
      </c>
      <c r="J1674" s="15">
        <v>0.2</v>
      </c>
      <c r="K1674" s="15">
        <v>0.45</v>
      </c>
      <c r="L1674" s="15">
        <v>0.2</v>
      </c>
      <c r="M1674" s="174">
        <v>1</v>
      </c>
      <c r="N1674" s="528"/>
      <c r="O1674" s="15">
        <v>0.1</v>
      </c>
      <c r="P1674" s="8"/>
      <c r="Q1674" s="11">
        <v>8.9499999999999993</v>
      </c>
      <c r="R1674" s="11">
        <v>32</v>
      </c>
      <c r="S1674" s="155"/>
      <c r="T1674" s="161">
        <f t="shared" si="433"/>
        <v>16763.850000000002</v>
      </c>
      <c r="U1674" s="161">
        <f t="shared" si="430"/>
        <v>7450.6</v>
      </c>
      <c r="V1674" s="161">
        <f t="shared" si="431"/>
        <v>3725.3</v>
      </c>
      <c r="W1674" s="161">
        <f t="shared" si="432"/>
        <v>1490.1200000000001</v>
      </c>
      <c r="X1674" s="127"/>
      <c r="Y1674" s="127"/>
      <c r="Z1674" s="127"/>
      <c r="AA1674" s="127"/>
      <c r="AB1674" s="127"/>
      <c r="AC1674" s="127"/>
      <c r="AD1674" s="127"/>
      <c r="AE1674" s="127"/>
      <c r="AF1674" s="127"/>
      <c r="AG1674" s="127"/>
      <c r="AH1674" s="127"/>
      <c r="AI1674" s="127"/>
      <c r="AJ1674" s="127"/>
      <c r="AK1674" s="127"/>
      <c r="AL1674" s="127"/>
      <c r="AM1674" s="127"/>
      <c r="AN1674" s="127"/>
      <c r="AO1674" s="127"/>
      <c r="AP1674" s="127"/>
      <c r="AQ1674" s="127"/>
      <c r="AR1674" s="127"/>
      <c r="AS1674" s="127"/>
      <c r="AT1674" s="127"/>
      <c r="AU1674" s="127"/>
      <c r="AV1674" s="127"/>
      <c r="AW1674" s="127"/>
      <c r="AX1674" s="127"/>
      <c r="AY1674" s="127"/>
      <c r="AZ1674" s="127"/>
      <c r="BA1674" s="127"/>
      <c r="BB1674" s="127"/>
      <c r="BC1674" s="127"/>
      <c r="BD1674" s="127"/>
      <c r="BE1674" s="127"/>
      <c r="BF1674" s="127"/>
      <c r="BG1674" s="127"/>
      <c r="BH1674" s="127"/>
      <c r="BI1674" s="127"/>
      <c r="BJ1674" s="127"/>
      <c r="BK1674" s="127"/>
      <c r="BL1674" s="127"/>
      <c r="BM1674" s="127"/>
      <c r="BN1674" s="127"/>
      <c r="BO1674" s="127"/>
      <c r="BP1674" s="127"/>
      <c r="BQ1674" s="127"/>
      <c r="BR1674" s="127"/>
      <c r="BS1674" s="127"/>
      <c r="BT1674" s="127"/>
      <c r="BU1674" s="127"/>
      <c r="BV1674" s="127"/>
      <c r="BW1674" s="127"/>
      <c r="BX1674" s="127"/>
      <c r="BY1674" s="127"/>
      <c r="BZ1674" s="127"/>
      <c r="CA1674" s="127"/>
      <c r="CB1674" s="127"/>
      <c r="CC1674" s="127"/>
      <c r="CD1674" s="127"/>
      <c r="CE1674" s="127"/>
      <c r="CF1674" s="127"/>
      <c r="CG1674" s="127"/>
      <c r="CH1674" s="127"/>
      <c r="CI1674" s="127"/>
      <c r="CJ1674" s="127"/>
      <c r="CK1674" s="127"/>
      <c r="CL1674" s="127"/>
      <c r="CM1674" s="127"/>
      <c r="CN1674" s="127"/>
      <c r="CO1674" s="127"/>
      <c r="CP1674" s="127"/>
      <c r="CQ1674" s="127"/>
      <c r="CR1674" s="127"/>
      <c r="CS1674" s="127"/>
      <c r="CT1674" s="127"/>
      <c r="CU1674" s="127"/>
      <c r="CV1674" s="127"/>
      <c r="CW1674" s="127"/>
      <c r="CX1674" s="127"/>
      <c r="CY1674" s="127"/>
      <c r="CZ1674" s="127"/>
      <c r="DA1674" s="127"/>
      <c r="DB1674" s="127"/>
      <c r="DC1674" s="127"/>
      <c r="DD1674" s="127"/>
      <c r="DE1674" s="127"/>
      <c r="DF1674" s="127"/>
      <c r="DG1674" s="127"/>
      <c r="DH1674" s="127"/>
      <c r="DI1674" s="127"/>
      <c r="DJ1674" s="127"/>
      <c r="DK1674" s="127"/>
      <c r="DL1674" s="127"/>
      <c r="DM1674" s="127"/>
      <c r="DN1674" s="127"/>
      <c r="DO1674" s="127"/>
      <c r="DP1674" s="127"/>
      <c r="DQ1674" s="127"/>
      <c r="DR1674" s="127"/>
      <c r="DS1674" s="127"/>
      <c r="DT1674" s="127"/>
      <c r="DU1674" s="127"/>
      <c r="DV1674" s="127"/>
      <c r="DW1674" s="127"/>
      <c r="DX1674" s="127"/>
      <c r="DY1674" s="127"/>
      <c r="DZ1674" s="127"/>
      <c r="EA1674" s="127"/>
      <c r="EB1674" s="127"/>
      <c r="EC1674" s="127"/>
      <c r="ED1674" s="127"/>
      <c r="EE1674" s="127"/>
      <c r="EF1674" s="127"/>
      <c r="EG1674" s="127"/>
      <c r="EH1674" s="127"/>
      <c r="EI1674" s="127"/>
      <c r="EJ1674" s="127"/>
      <c r="EK1674" s="127"/>
      <c r="EL1674" s="127"/>
      <c r="EM1674" s="127"/>
      <c r="EN1674" s="127"/>
      <c r="EO1674" s="127"/>
      <c r="EP1674" s="127"/>
      <c r="EQ1674" s="127"/>
      <c r="ER1674" s="127"/>
      <c r="ES1674" s="127"/>
      <c r="ET1674" s="127"/>
      <c r="EU1674" s="127"/>
      <c r="EV1674" s="127"/>
      <c r="EW1674" s="127"/>
      <c r="EX1674" s="127"/>
      <c r="EY1674" s="127"/>
      <c r="EZ1674" s="127"/>
      <c r="FA1674" s="127"/>
      <c r="FB1674" s="127"/>
      <c r="FC1674" s="127"/>
      <c r="FD1674" s="127"/>
      <c r="FE1674" s="127"/>
      <c r="FF1674" s="127"/>
      <c r="FG1674" s="127"/>
      <c r="FH1674" s="127"/>
      <c r="FI1674" s="127"/>
      <c r="FJ1674" s="127"/>
      <c r="FK1674" s="127"/>
      <c r="FL1674" s="127"/>
      <c r="FM1674" s="127"/>
      <c r="FN1674" s="127"/>
      <c r="FO1674" s="127"/>
      <c r="FP1674" s="127"/>
      <c r="FQ1674" s="127"/>
      <c r="FR1674" s="127"/>
      <c r="FS1674" s="127"/>
      <c r="FT1674" s="127"/>
      <c r="FU1674" s="127"/>
      <c r="FV1674" s="127"/>
      <c r="FW1674" s="127"/>
      <c r="FX1674" s="127"/>
      <c r="FY1674" s="127"/>
      <c r="FZ1674" s="127"/>
      <c r="GA1674" s="127"/>
      <c r="GB1674" s="127"/>
      <c r="GC1674" s="127"/>
      <c r="GD1674" s="127"/>
      <c r="GE1674" s="127"/>
      <c r="GF1674" s="127"/>
      <c r="GG1674" s="127"/>
      <c r="GH1674" s="127"/>
      <c r="GI1674" s="127"/>
      <c r="GJ1674" s="127"/>
      <c r="GK1674" s="127"/>
      <c r="GL1674" s="127"/>
      <c r="GM1674" s="127"/>
      <c r="GN1674" s="127"/>
      <c r="GO1674" s="127"/>
      <c r="GP1674" s="127"/>
      <c r="GQ1674" s="127"/>
      <c r="GR1674" s="127"/>
      <c r="GS1674" s="127"/>
      <c r="GT1674" s="127"/>
      <c r="GU1674" s="127"/>
      <c r="GV1674" s="127"/>
      <c r="GW1674" s="127"/>
      <c r="GX1674" s="127"/>
      <c r="GY1674" s="127"/>
      <c r="GZ1674" s="127"/>
      <c r="HA1674" s="127"/>
      <c r="HB1674" s="127"/>
      <c r="HC1674" s="127"/>
      <c r="HD1674" s="127"/>
      <c r="HE1674" s="127"/>
      <c r="HF1674" s="127"/>
      <c r="HG1674" s="127"/>
      <c r="HH1674" s="127"/>
      <c r="HI1674" s="127"/>
      <c r="HJ1674" s="127"/>
      <c r="HK1674" s="127"/>
      <c r="HL1674" s="127"/>
      <c r="HM1674" s="127"/>
      <c r="HN1674" s="127"/>
      <c r="HO1674" s="127"/>
      <c r="HP1674" s="127"/>
      <c r="HQ1674" s="127"/>
      <c r="HR1674" s="127"/>
      <c r="HS1674" s="127"/>
      <c r="HT1674" s="127"/>
      <c r="HU1674" s="127"/>
      <c r="HV1674" s="127"/>
      <c r="HW1674" s="127"/>
      <c r="HX1674" s="127"/>
      <c r="HY1674" s="127"/>
      <c r="HZ1674" s="127"/>
      <c r="IA1674" s="127"/>
      <c r="IB1674" s="127"/>
      <c r="IC1674" s="127"/>
      <c r="ID1674" s="127"/>
      <c r="IE1674" s="127"/>
      <c r="IF1674" s="127"/>
      <c r="IG1674" s="127"/>
      <c r="IH1674" s="127"/>
      <c r="II1674" s="127"/>
      <c r="IJ1674" s="127"/>
    </row>
    <row r="1675" spans="1:244" s="11" customFormat="1" ht="12.75" customHeight="1">
      <c r="A1675" s="118">
        <v>1674</v>
      </c>
      <c r="B1675" s="128">
        <v>19</v>
      </c>
      <c r="C1675" s="156">
        <v>38139</v>
      </c>
      <c r="D1675" s="157" t="s">
        <v>49</v>
      </c>
      <c r="E1675" s="8">
        <v>2004</v>
      </c>
      <c r="F1675" s="196" t="s">
        <v>41</v>
      </c>
      <c r="G1675" s="158">
        <v>2</v>
      </c>
      <c r="H1675" s="11" t="s">
        <v>9</v>
      </c>
      <c r="I1675" s="194">
        <v>15803</v>
      </c>
      <c r="J1675" s="15">
        <v>0.3</v>
      </c>
      <c r="K1675" s="15">
        <v>0.55000000000000004</v>
      </c>
      <c r="L1675" s="15">
        <v>0.05</v>
      </c>
      <c r="M1675" s="174">
        <v>0</v>
      </c>
      <c r="N1675" s="528"/>
      <c r="O1675" s="15">
        <v>0</v>
      </c>
      <c r="P1675" s="8"/>
      <c r="Q1675" s="11">
        <v>9.4</v>
      </c>
      <c r="R1675" s="11">
        <v>32</v>
      </c>
      <c r="S1675" s="155"/>
      <c r="T1675" s="161">
        <f t="shared" si="433"/>
        <v>8691.6500000000015</v>
      </c>
      <c r="U1675" s="161">
        <f t="shared" si="430"/>
        <v>790.15000000000009</v>
      </c>
      <c r="V1675" s="161">
        <f t="shared" si="431"/>
        <v>0</v>
      </c>
      <c r="W1675" s="161">
        <f t="shared" si="432"/>
        <v>0</v>
      </c>
      <c r="X1675" s="118"/>
      <c r="Y1675" s="118"/>
      <c r="Z1675" s="118"/>
      <c r="AA1675" s="118"/>
      <c r="AB1675" s="118"/>
      <c r="AC1675" s="118"/>
      <c r="AD1675" s="118"/>
      <c r="AE1675" s="118"/>
      <c r="AF1675" s="118"/>
      <c r="AG1675" s="118"/>
      <c r="AH1675" s="118"/>
      <c r="AI1675" s="118"/>
      <c r="AJ1675" s="118"/>
      <c r="AK1675" s="118"/>
      <c r="AL1675" s="118"/>
      <c r="AM1675" s="118"/>
      <c r="AN1675" s="118"/>
      <c r="AO1675" s="118"/>
      <c r="AP1675" s="118"/>
      <c r="AQ1675" s="118"/>
      <c r="AR1675" s="118"/>
      <c r="AS1675" s="118"/>
      <c r="AT1675" s="118"/>
      <c r="AU1675" s="118"/>
      <c r="AV1675" s="118"/>
      <c r="AW1675" s="118"/>
      <c r="AX1675" s="118"/>
      <c r="AY1675" s="118"/>
      <c r="AZ1675" s="118"/>
      <c r="BA1675" s="118"/>
      <c r="BB1675" s="118"/>
      <c r="BC1675" s="118"/>
      <c r="BD1675" s="118"/>
      <c r="BE1675" s="118"/>
      <c r="BF1675" s="118"/>
      <c r="BG1675" s="118"/>
      <c r="BH1675" s="118"/>
      <c r="BI1675" s="118"/>
      <c r="BJ1675" s="118"/>
      <c r="BK1675" s="118"/>
      <c r="BL1675" s="118"/>
      <c r="BM1675" s="118"/>
      <c r="BN1675" s="118"/>
      <c r="BO1675" s="118"/>
      <c r="BP1675" s="118"/>
      <c r="BQ1675" s="118"/>
      <c r="BR1675" s="118"/>
      <c r="BS1675" s="118"/>
      <c r="BT1675" s="118"/>
      <c r="BU1675" s="118"/>
      <c r="BV1675" s="118"/>
      <c r="BW1675" s="118"/>
      <c r="BX1675" s="118"/>
      <c r="BY1675" s="118"/>
      <c r="BZ1675" s="118"/>
      <c r="CA1675" s="118"/>
      <c r="CB1675" s="118"/>
      <c r="CC1675" s="118"/>
      <c r="CD1675" s="118"/>
      <c r="CE1675" s="118"/>
      <c r="CF1675" s="118"/>
      <c r="CG1675" s="118"/>
      <c r="CH1675" s="118"/>
      <c r="CI1675" s="118"/>
      <c r="CJ1675" s="118"/>
      <c r="CK1675" s="118"/>
      <c r="CL1675" s="118"/>
      <c r="CM1675" s="118"/>
      <c r="CN1675" s="118"/>
      <c r="CO1675" s="118"/>
      <c r="CP1675" s="118"/>
      <c r="CQ1675" s="118"/>
      <c r="CR1675" s="118"/>
      <c r="CS1675" s="118"/>
      <c r="CT1675" s="118"/>
      <c r="CU1675" s="118"/>
      <c r="CV1675" s="118"/>
      <c r="CW1675" s="118"/>
      <c r="CX1675" s="118"/>
      <c r="CY1675" s="118"/>
      <c r="CZ1675" s="118"/>
      <c r="DA1675" s="118"/>
      <c r="DB1675" s="118"/>
      <c r="DC1675" s="118"/>
      <c r="DD1675" s="118"/>
      <c r="DE1675" s="118"/>
      <c r="DF1675" s="118"/>
      <c r="DG1675" s="118"/>
      <c r="DH1675" s="118"/>
      <c r="DI1675" s="118"/>
      <c r="DJ1675" s="118"/>
      <c r="DK1675" s="118"/>
      <c r="DL1675" s="118"/>
      <c r="DM1675" s="118"/>
      <c r="DN1675" s="118"/>
      <c r="DO1675" s="118"/>
      <c r="DP1675" s="118"/>
      <c r="DQ1675" s="118"/>
      <c r="DR1675" s="118"/>
      <c r="DS1675" s="118"/>
      <c r="DT1675" s="118"/>
      <c r="DU1675" s="118"/>
      <c r="DV1675" s="118"/>
      <c r="DW1675" s="118"/>
      <c r="DX1675" s="118"/>
      <c r="DY1675" s="118"/>
      <c r="DZ1675" s="118"/>
      <c r="EA1675" s="118"/>
      <c r="EB1675" s="118"/>
      <c r="EC1675" s="118"/>
      <c r="ED1675" s="118"/>
      <c r="EE1675" s="118"/>
      <c r="EF1675" s="118"/>
      <c r="EG1675" s="118"/>
      <c r="EH1675" s="118"/>
      <c r="EI1675" s="118"/>
      <c r="EJ1675" s="118"/>
      <c r="EK1675" s="118"/>
      <c r="EL1675" s="118"/>
      <c r="EM1675" s="118"/>
      <c r="EN1675" s="118"/>
      <c r="EO1675" s="118"/>
      <c r="EP1675" s="118"/>
      <c r="EQ1675" s="118"/>
      <c r="ER1675" s="118"/>
      <c r="ES1675" s="118"/>
      <c r="ET1675" s="118"/>
      <c r="EU1675" s="118"/>
      <c r="EV1675" s="118"/>
      <c r="EW1675" s="118"/>
      <c r="EX1675" s="118"/>
      <c r="EY1675" s="118"/>
      <c r="EZ1675" s="118"/>
      <c r="FA1675" s="118"/>
      <c r="FB1675" s="118"/>
      <c r="FC1675" s="118"/>
      <c r="FD1675" s="118"/>
      <c r="FE1675" s="118"/>
      <c r="FF1675" s="118"/>
      <c r="FG1675" s="118"/>
      <c r="FH1675" s="118"/>
      <c r="FI1675" s="118"/>
      <c r="FJ1675" s="118"/>
      <c r="FK1675" s="118"/>
      <c r="FL1675" s="118"/>
      <c r="FM1675" s="118"/>
      <c r="FN1675" s="118"/>
      <c r="FO1675" s="118"/>
      <c r="FP1675" s="118"/>
      <c r="FQ1675" s="118"/>
      <c r="FR1675" s="118"/>
      <c r="FS1675" s="118"/>
      <c r="FT1675" s="118"/>
      <c r="FU1675" s="118"/>
      <c r="FV1675" s="118"/>
      <c r="FW1675" s="118"/>
      <c r="FX1675" s="118"/>
      <c r="FY1675" s="118"/>
      <c r="FZ1675" s="118"/>
      <c r="GA1675" s="118"/>
      <c r="GB1675" s="118"/>
      <c r="GC1675" s="118"/>
      <c r="GD1675" s="118"/>
      <c r="GE1675" s="118"/>
      <c r="GF1675" s="118"/>
      <c r="GG1675" s="118"/>
      <c r="GH1675" s="118"/>
      <c r="GI1675" s="118"/>
      <c r="GJ1675" s="118"/>
      <c r="GK1675" s="118"/>
      <c r="GL1675" s="118"/>
      <c r="GM1675" s="118"/>
      <c r="GN1675" s="118"/>
      <c r="GO1675" s="118"/>
      <c r="GP1675" s="118"/>
      <c r="GQ1675" s="118"/>
      <c r="GR1675" s="118"/>
      <c r="GS1675" s="118"/>
      <c r="GT1675" s="118"/>
      <c r="GU1675" s="118"/>
      <c r="GV1675" s="118"/>
      <c r="GW1675" s="118"/>
      <c r="GX1675" s="118"/>
      <c r="GY1675" s="118"/>
      <c r="GZ1675" s="118"/>
      <c r="HA1675" s="118"/>
      <c r="HB1675" s="118"/>
      <c r="HC1675" s="118"/>
      <c r="HD1675" s="118"/>
      <c r="HE1675" s="118"/>
      <c r="HF1675" s="118"/>
      <c r="HG1675" s="118"/>
      <c r="HH1675" s="118"/>
      <c r="HI1675" s="118"/>
      <c r="HJ1675" s="118"/>
      <c r="HK1675" s="118"/>
      <c r="HL1675" s="118"/>
      <c r="HM1675" s="118"/>
      <c r="HN1675" s="118"/>
      <c r="HO1675" s="118"/>
      <c r="HP1675" s="118"/>
      <c r="HQ1675" s="118"/>
      <c r="HR1675" s="118"/>
      <c r="HS1675" s="118"/>
      <c r="HT1675" s="118"/>
      <c r="HU1675" s="118"/>
      <c r="HV1675" s="118"/>
      <c r="HW1675" s="118"/>
      <c r="HX1675" s="118"/>
      <c r="HY1675" s="118"/>
      <c r="HZ1675" s="118"/>
      <c r="IA1675" s="118"/>
      <c r="IB1675" s="118"/>
      <c r="IC1675" s="118"/>
      <c r="ID1675" s="118"/>
      <c r="IE1675" s="118"/>
      <c r="IF1675" s="118"/>
      <c r="IG1675" s="118"/>
      <c r="IH1675" s="118"/>
      <c r="II1675" s="118"/>
      <c r="IJ1675" s="118"/>
    </row>
    <row r="1676" spans="1:244" s="11" customFormat="1" ht="12.75" customHeight="1">
      <c r="A1676" s="118">
        <v>1675</v>
      </c>
      <c r="B1676" s="128">
        <v>19</v>
      </c>
      <c r="C1676" s="156">
        <v>38169</v>
      </c>
      <c r="D1676" s="157" t="s">
        <v>50</v>
      </c>
      <c r="E1676" s="8">
        <v>2004</v>
      </c>
      <c r="F1676" s="196" t="s">
        <v>41</v>
      </c>
      <c r="G1676" s="158">
        <v>2</v>
      </c>
      <c r="H1676" s="11" t="s">
        <v>9</v>
      </c>
      <c r="I1676" s="194">
        <v>5669</v>
      </c>
      <c r="J1676" s="15">
        <v>0.8</v>
      </c>
      <c r="K1676" s="15">
        <v>1.5</v>
      </c>
      <c r="L1676" s="15">
        <v>0.5</v>
      </c>
      <c r="M1676" s="174">
        <v>1</v>
      </c>
      <c r="N1676" s="528"/>
      <c r="O1676" s="15">
        <v>0</v>
      </c>
      <c r="P1676" s="8"/>
      <c r="Q1676" s="11">
        <v>9.8000000000000007</v>
      </c>
      <c r="R1676" s="11">
        <v>32</v>
      </c>
      <c r="S1676" s="155"/>
      <c r="T1676" s="161">
        <f t="shared" si="433"/>
        <v>8503.5</v>
      </c>
      <c r="U1676" s="161">
        <f t="shared" si="430"/>
        <v>2834.5</v>
      </c>
      <c r="V1676" s="161">
        <f t="shared" si="431"/>
        <v>0</v>
      </c>
      <c r="W1676" s="161">
        <f t="shared" si="432"/>
        <v>0</v>
      </c>
      <c r="X1676" s="118"/>
      <c r="Y1676" s="118"/>
      <c r="Z1676" s="118"/>
      <c r="AA1676" s="118"/>
      <c r="AB1676" s="118"/>
      <c r="AC1676" s="118"/>
      <c r="AD1676" s="118"/>
      <c r="AE1676" s="118"/>
      <c r="AF1676" s="118"/>
      <c r="AG1676" s="118"/>
      <c r="AH1676" s="118"/>
      <c r="AI1676" s="118"/>
      <c r="AJ1676" s="118"/>
      <c r="AK1676" s="118"/>
      <c r="AL1676" s="118"/>
      <c r="AM1676" s="118"/>
      <c r="AN1676" s="118"/>
      <c r="AO1676" s="118"/>
      <c r="AP1676" s="118"/>
      <c r="AQ1676" s="118"/>
      <c r="AR1676" s="118"/>
      <c r="AS1676" s="118"/>
      <c r="AT1676" s="118"/>
      <c r="AU1676" s="118"/>
      <c r="AV1676" s="118"/>
      <c r="AW1676" s="118"/>
      <c r="AX1676" s="118"/>
      <c r="AY1676" s="118"/>
      <c r="AZ1676" s="118"/>
      <c r="BA1676" s="118"/>
      <c r="BB1676" s="118"/>
      <c r="BC1676" s="118"/>
      <c r="BD1676" s="118"/>
      <c r="BE1676" s="118"/>
      <c r="BF1676" s="118"/>
      <c r="BG1676" s="118"/>
      <c r="BH1676" s="118"/>
      <c r="BI1676" s="118"/>
      <c r="BJ1676" s="118"/>
      <c r="BK1676" s="118"/>
      <c r="BL1676" s="118"/>
      <c r="BM1676" s="118"/>
      <c r="BN1676" s="118"/>
      <c r="BO1676" s="118"/>
      <c r="BP1676" s="118"/>
      <c r="BQ1676" s="118"/>
      <c r="BR1676" s="118"/>
      <c r="BS1676" s="118"/>
      <c r="BT1676" s="118"/>
      <c r="BU1676" s="118"/>
      <c r="BV1676" s="118"/>
      <c r="BW1676" s="118"/>
      <c r="BX1676" s="118"/>
      <c r="BY1676" s="118"/>
      <c r="BZ1676" s="118"/>
      <c r="CA1676" s="118"/>
      <c r="CB1676" s="118"/>
      <c r="CC1676" s="118"/>
      <c r="CD1676" s="118"/>
      <c r="CE1676" s="118"/>
      <c r="CF1676" s="118"/>
      <c r="CG1676" s="118"/>
      <c r="CH1676" s="118"/>
      <c r="CI1676" s="118"/>
      <c r="CJ1676" s="118"/>
      <c r="CK1676" s="118"/>
      <c r="CL1676" s="118"/>
      <c r="CM1676" s="118"/>
      <c r="CN1676" s="118"/>
      <c r="CO1676" s="118"/>
      <c r="CP1676" s="118"/>
      <c r="CQ1676" s="118"/>
      <c r="CR1676" s="118"/>
      <c r="CS1676" s="118"/>
      <c r="CT1676" s="118"/>
      <c r="CU1676" s="118"/>
      <c r="CV1676" s="118"/>
      <c r="CW1676" s="118"/>
      <c r="CX1676" s="118"/>
      <c r="CY1676" s="118"/>
      <c r="CZ1676" s="118"/>
      <c r="DA1676" s="118"/>
      <c r="DB1676" s="118"/>
      <c r="DC1676" s="118"/>
      <c r="DD1676" s="118"/>
      <c r="DE1676" s="118"/>
      <c r="DF1676" s="118"/>
      <c r="DG1676" s="118"/>
      <c r="DH1676" s="118"/>
      <c r="DI1676" s="118"/>
      <c r="DJ1676" s="118"/>
      <c r="DK1676" s="118"/>
      <c r="DL1676" s="118"/>
      <c r="DM1676" s="118"/>
      <c r="DN1676" s="118"/>
      <c r="DO1676" s="118"/>
      <c r="DP1676" s="118"/>
      <c r="DQ1676" s="118"/>
      <c r="DR1676" s="118"/>
      <c r="DS1676" s="118"/>
      <c r="DT1676" s="118"/>
      <c r="DU1676" s="118"/>
      <c r="DV1676" s="118"/>
      <c r="DW1676" s="118"/>
      <c r="DX1676" s="118"/>
      <c r="DY1676" s="118"/>
      <c r="DZ1676" s="118"/>
      <c r="EA1676" s="118"/>
      <c r="EB1676" s="118"/>
      <c r="EC1676" s="118"/>
      <c r="ED1676" s="118"/>
      <c r="EE1676" s="118"/>
      <c r="EF1676" s="118"/>
      <c r="EG1676" s="118"/>
      <c r="EH1676" s="118"/>
      <c r="EI1676" s="118"/>
      <c r="EJ1676" s="118"/>
      <c r="EK1676" s="118"/>
      <c r="EL1676" s="118"/>
      <c r="EM1676" s="118"/>
      <c r="EN1676" s="118"/>
      <c r="EO1676" s="118"/>
      <c r="EP1676" s="118"/>
      <c r="EQ1676" s="118"/>
      <c r="ER1676" s="118"/>
      <c r="ES1676" s="118"/>
      <c r="ET1676" s="118"/>
      <c r="EU1676" s="118"/>
      <c r="EV1676" s="118"/>
      <c r="EW1676" s="118"/>
      <c r="EX1676" s="118"/>
      <c r="EY1676" s="118"/>
      <c r="EZ1676" s="118"/>
      <c r="FA1676" s="118"/>
      <c r="FB1676" s="118"/>
      <c r="FC1676" s="118"/>
      <c r="FD1676" s="118"/>
      <c r="FE1676" s="118"/>
      <c r="FF1676" s="118"/>
      <c r="FG1676" s="118"/>
      <c r="FH1676" s="118"/>
      <c r="FI1676" s="118"/>
      <c r="FJ1676" s="118"/>
      <c r="FK1676" s="118"/>
      <c r="FL1676" s="118"/>
      <c r="FM1676" s="118"/>
      <c r="FN1676" s="118"/>
      <c r="FO1676" s="118"/>
      <c r="FP1676" s="118"/>
      <c r="FQ1676" s="118"/>
      <c r="FR1676" s="118"/>
      <c r="FS1676" s="118"/>
      <c r="FT1676" s="118"/>
      <c r="FU1676" s="118"/>
      <c r="FV1676" s="118"/>
      <c r="FW1676" s="118"/>
      <c r="FX1676" s="118"/>
      <c r="FY1676" s="118"/>
      <c r="FZ1676" s="118"/>
      <c r="GA1676" s="118"/>
      <c r="GB1676" s="118"/>
      <c r="GC1676" s="118"/>
      <c r="GD1676" s="118"/>
      <c r="GE1676" s="118"/>
      <c r="GF1676" s="118"/>
      <c r="GG1676" s="118"/>
      <c r="GH1676" s="118"/>
      <c r="GI1676" s="118"/>
      <c r="GJ1676" s="118"/>
      <c r="GK1676" s="118"/>
      <c r="GL1676" s="118"/>
      <c r="GM1676" s="118"/>
      <c r="GN1676" s="118"/>
      <c r="GO1676" s="118"/>
      <c r="GP1676" s="118"/>
      <c r="GQ1676" s="118"/>
      <c r="GR1676" s="118"/>
      <c r="GS1676" s="118"/>
      <c r="GT1676" s="118"/>
      <c r="GU1676" s="118"/>
      <c r="GV1676" s="118"/>
      <c r="GW1676" s="118"/>
      <c r="GX1676" s="118"/>
      <c r="GY1676" s="118"/>
      <c r="GZ1676" s="118"/>
      <c r="HA1676" s="118"/>
      <c r="HB1676" s="118"/>
      <c r="HC1676" s="118"/>
      <c r="HD1676" s="118"/>
      <c r="HE1676" s="118"/>
      <c r="HF1676" s="118"/>
      <c r="HG1676" s="118"/>
      <c r="HH1676" s="118"/>
      <c r="HI1676" s="118"/>
      <c r="HJ1676" s="118"/>
      <c r="HK1676" s="118"/>
      <c r="HL1676" s="118"/>
      <c r="HM1676" s="118"/>
      <c r="HN1676" s="118"/>
      <c r="HO1676" s="118"/>
      <c r="HP1676" s="118"/>
      <c r="HQ1676" s="118"/>
      <c r="HR1676" s="118"/>
      <c r="HS1676" s="118"/>
      <c r="HT1676" s="118"/>
      <c r="HU1676" s="118"/>
      <c r="HV1676" s="118"/>
      <c r="HW1676" s="118"/>
      <c r="HX1676" s="118"/>
      <c r="HY1676" s="118"/>
      <c r="HZ1676" s="118"/>
      <c r="IA1676" s="118"/>
      <c r="IB1676" s="118"/>
      <c r="IC1676" s="118"/>
      <c r="ID1676" s="118"/>
      <c r="IE1676" s="118"/>
      <c r="IF1676" s="118"/>
      <c r="IG1676" s="118"/>
      <c r="IH1676" s="118"/>
      <c r="II1676" s="118"/>
      <c r="IJ1676" s="118"/>
    </row>
    <row r="1677" spans="1:244" s="11" customFormat="1" ht="12.75" customHeight="1">
      <c r="A1677" s="118">
        <v>1676</v>
      </c>
      <c r="B1677" s="128">
        <v>19</v>
      </c>
      <c r="C1677" s="156">
        <v>38200</v>
      </c>
      <c r="D1677" s="157" t="s">
        <v>51</v>
      </c>
      <c r="E1677" s="8">
        <v>2004</v>
      </c>
      <c r="F1677" s="196" t="s">
        <v>41</v>
      </c>
      <c r="G1677" s="158">
        <v>2</v>
      </c>
      <c r="H1677" s="11" t="s">
        <v>9</v>
      </c>
      <c r="I1677" s="198">
        <v>5000</v>
      </c>
      <c r="J1677" s="15">
        <v>0.47</v>
      </c>
      <c r="K1677" s="15">
        <v>0.8</v>
      </c>
      <c r="L1677" s="15">
        <v>0.2</v>
      </c>
      <c r="M1677" s="174">
        <v>1</v>
      </c>
      <c r="N1677" s="528"/>
      <c r="O1677" s="15">
        <v>0</v>
      </c>
      <c r="P1677" s="8"/>
      <c r="Q1677" s="11">
        <v>10.1</v>
      </c>
      <c r="R1677" s="11">
        <v>32</v>
      </c>
      <c r="S1677" s="155"/>
      <c r="T1677" s="161">
        <f t="shared" si="433"/>
        <v>4000</v>
      </c>
      <c r="U1677" s="161">
        <f t="shared" si="430"/>
        <v>1000</v>
      </c>
      <c r="V1677" s="161">
        <f t="shared" si="431"/>
        <v>0</v>
      </c>
      <c r="W1677" s="161">
        <f t="shared" si="432"/>
        <v>0</v>
      </c>
      <c r="X1677" s="118"/>
      <c r="Y1677" s="118"/>
      <c r="Z1677" s="118"/>
      <c r="AA1677" s="118"/>
      <c r="AB1677" s="118"/>
      <c r="AC1677" s="118"/>
      <c r="AD1677" s="118"/>
      <c r="AE1677" s="118"/>
      <c r="AF1677" s="118"/>
      <c r="AG1677" s="118"/>
      <c r="AH1677" s="118"/>
      <c r="AI1677" s="118"/>
      <c r="AJ1677" s="118"/>
      <c r="AK1677" s="118"/>
      <c r="AL1677" s="118"/>
      <c r="AM1677" s="118"/>
      <c r="AN1677" s="118"/>
      <c r="AO1677" s="118"/>
      <c r="AP1677" s="118"/>
      <c r="AQ1677" s="118"/>
      <c r="AR1677" s="118"/>
      <c r="AS1677" s="118"/>
      <c r="AT1677" s="118"/>
      <c r="AU1677" s="118"/>
      <c r="AV1677" s="118"/>
      <c r="AW1677" s="118"/>
      <c r="AX1677" s="118"/>
      <c r="AY1677" s="118"/>
      <c r="AZ1677" s="118"/>
      <c r="BA1677" s="118"/>
      <c r="BB1677" s="118"/>
      <c r="BC1677" s="118"/>
      <c r="BD1677" s="118"/>
      <c r="BE1677" s="118"/>
      <c r="BF1677" s="118"/>
      <c r="BG1677" s="118"/>
      <c r="BH1677" s="118"/>
      <c r="BI1677" s="118"/>
      <c r="BJ1677" s="118"/>
      <c r="BK1677" s="118"/>
      <c r="BL1677" s="118"/>
      <c r="BM1677" s="118"/>
      <c r="BN1677" s="118"/>
      <c r="BO1677" s="118"/>
      <c r="BP1677" s="118"/>
      <c r="BQ1677" s="118"/>
      <c r="BR1677" s="118"/>
      <c r="BS1677" s="118"/>
      <c r="BT1677" s="118"/>
      <c r="BU1677" s="118"/>
      <c r="BV1677" s="118"/>
      <c r="BW1677" s="118"/>
      <c r="BX1677" s="118"/>
      <c r="BY1677" s="118"/>
      <c r="BZ1677" s="118"/>
      <c r="CA1677" s="118"/>
      <c r="CB1677" s="118"/>
      <c r="CC1677" s="118"/>
      <c r="CD1677" s="118"/>
      <c r="CE1677" s="118"/>
      <c r="CF1677" s="118"/>
      <c r="CG1677" s="118"/>
      <c r="CH1677" s="118"/>
      <c r="CI1677" s="118"/>
      <c r="CJ1677" s="118"/>
      <c r="CK1677" s="118"/>
      <c r="CL1677" s="118"/>
      <c r="CM1677" s="118"/>
      <c r="CN1677" s="118"/>
      <c r="CO1677" s="118"/>
      <c r="CP1677" s="118"/>
      <c r="CQ1677" s="118"/>
      <c r="CR1677" s="118"/>
      <c r="CS1677" s="118"/>
      <c r="CT1677" s="118"/>
      <c r="CU1677" s="118"/>
      <c r="CV1677" s="118"/>
      <c r="CW1677" s="118"/>
      <c r="CX1677" s="118"/>
      <c r="CY1677" s="118"/>
      <c r="CZ1677" s="118"/>
      <c r="DA1677" s="118"/>
      <c r="DB1677" s="118"/>
      <c r="DC1677" s="118"/>
      <c r="DD1677" s="118"/>
      <c r="DE1677" s="118"/>
      <c r="DF1677" s="118"/>
      <c r="DG1677" s="118"/>
      <c r="DH1677" s="118"/>
      <c r="DI1677" s="118"/>
      <c r="DJ1677" s="118"/>
      <c r="DK1677" s="118"/>
      <c r="DL1677" s="118"/>
      <c r="DM1677" s="118"/>
      <c r="DN1677" s="118"/>
      <c r="DO1677" s="118"/>
      <c r="DP1677" s="118"/>
      <c r="DQ1677" s="118"/>
      <c r="DR1677" s="118"/>
      <c r="DS1677" s="118"/>
      <c r="DT1677" s="118"/>
      <c r="DU1677" s="118"/>
      <c r="DV1677" s="118"/>
      <c r="DW1677" s="118"/>
      <c r="DX1677" s="118"/>
      <c r="DY1677" s="118"/>
      <c r="DZ1677" s="118"/>
      <c r="EA1677" s="118"/>
      <c r="EB1677" s="118"/>
      <c r="EC1677" s="118"/>
      <c r="ED1677" s="118"/>
      <c r="EE1677" s="118"/>
      <c r="EF1677" s="118"/>
      <c r="EG1677" s="118"/>
      <c r="EH1677" s="118"/>
      <c r="EI1677" s="118"/>
      <c r="EJ1677" s="118"/>
      <c r="EK1677" s="118"/>
      <c r="EL1677" s="118"/>
      <c r="EM1677" s="118"/>
      <c r="EN1677" s="118"/>
      <c r="EO1677" s="118"/>
      <c r="EP1677" s="118"/>
      <c r="EQ1677" s="118"/>
      <c r="ER1677" s="118"/>
      <c r="ES1677" s="118"/>
      <c r="ET1677" s="118"/>
      <c r="EU1677" s="118"/>
      <c r="EV1677" s="118"/>
      <c r="EW1677" s="118"/>
      <c r="EX1677" s="118"/>
      <c r="EY1677" s="118"/>
      <c r="EZ1677" s="118"/>
      <c r="FA1677" s="118"/>
      <c r="FB1677" s="118"/>
      <c r="FC1677" s="118"/>
      <c r="FD1677" s="118"/>
      <c r="FE1677" s="118"/>
      <c r="FF1677" s="118"/>
      <c r="FG1677" s="118"/>
      <c r="FH1677" s="118"/>
      <c r="FI1677" s="118"/>
      <c r="FJ1677" s="118"/>
      <c r="FK1677" s="118"/>
      <c r="FL1677" s="118"/>
      <c r="FM1677" s="118"/>
      <c r="FN1677" s="118"/>
      <c r="FO1677" s="118"/>
      <c r="FP1677" s="118"/>
      <c r="FQ1677" s="118"/>
      <c r="FR1677" s="118"/>
      <c r="FS1677" s="118"/>
      <c r="FT1677" s="118"/>
      <c r="FU1677" s="118"/>
      <c r="FV1677" s="118"/>
      <c r="FW1677" s="118"/>
      <c r="FX1677" s="118"/>
      <c r="FY1677" s="118"/>
      <c r="FZ1677" s="118"/>
      <c r="GA1677" s="118"/>
      <c r="GB1677" s="118"/>
      <c r="GC1677" s="118"/>
      <c r="GD1677" s="118"/>
      <c r="GE1677" s="118"/>
      <c r="GF1677" s="118"/>
      <c r="GG1677" s="118"/>
      <c r="GH1677" s="118"/>
      <c r="GI1677" s="118"/>
      <c r="GJ1677" s="118"/>
      <c r="GK1677" s="118"/>
      <c r="GL1677" s="118"/>
      <c r="GM1677" s="118"/>
      <c r="GN1677" s="118"/>
      <c r="GO1677" s="118"/>
      <c r="GP1677" s="118"/>
      <c r="GQ1677" s="118"/>
      <c r="GR1677" s="118"/>
      <c r="GS1677" s="118"/>
      <c r="GT1677" s="118"/>
      <c r="GU1677" s="118"/>
      <c r="GV1677" s="118"/>
      <c r="GW1677" s="118"/>
      <c r="GX1677" s="118"/>
      <c r="GY1677" s="118"/>
      <c r="GZ1677" s="118"/>
      <c r="HA1677" s="118"/>
      <c r="HB1677" s="118"/>
      <c r="HC1677" s="118"/>
      <c r="HD1677" s="118"/>
      <c r="HE1677" s="118"/>
      <c r="HF1677" s="118"/>
      <c r="HG1677" s="118"/>
      <c r="HH1677" s="118"/>
      <c r="HI1677" s="118"/>
      <c r="HJ1677" s="118"/>
      <c r="HK1677" s="118"/>
      <c r="HL1677" s="118"/>
      <c r="HM1677" s="118"/>
      <c r="HN1677" s="118"/>
      <c r="HO1677" s="118"/>
      <c r="HP1677" s="118"/>
      <c r="HQ1677" s="118"/>
      <c r="HR1677" s="118"/>
      <c r="HS1677" s="118"/>
      <c r="HT1677" s="118"/>
      <c r="HU1677" s="118"/>
      <c r="HV1677" s="118"/>
      <c r="HW1677" s="118"/>
      <c r="HX1677" s="118"/>
      <c r="HY1677" s="118"/>
      <c r="HZ1677" s="118"/>
      <c r="IA1677" s="118"/>
      <c r="IB1677" s="118"/>
      <c r="IC1677" s="118"/>
      <c r="ID1677" s="118"/>
      <c r="IE1677" s="118"/>
      <c r="IF1677" s="118"/>
      <c r="IG1677" s="118"/>
      <c r="IH1677" s="118"/>
      <c r="II1677" s="118"/>
      <c r="IJ1677" s="118"/>
    </row>
    <row r="1678" spans="1:244" s="11" customFormat="1">
      <c r="A1678" s="118">
        <v>1677</v>
      </c>
      <c r="B1678" s="128">
        <v>19</v>
      </c>
      <c r="C1678" s="156">
        <v>38231</v>
      </c>
      <c r="D1678" s="157" t="s">
        <v>52</v>
      </c>
      <c r="E1678" s="8">
        <v>2004</v>
      </c>
      <c r="F1678" s="196" t="s">
        <v>41</v>
      </c>
      <c r="G1678" s="158">
        <v>2</v>
      </c>
      <c r="H1678" s="11" t="s">
        <v>9</v>
      </c>
      <c r="I1678" s="198">
        <v>4000</v>
      </c>
      <c r="J1678" s="15">
        <v>0.6</v>
      </c>
      <c r="K1678" s="15">
        <v>2.2000000000000002</v>
      </c>
      <c r="L1678" s="15">
        <v>1</v>
      </c>
      <c r="M1678" s="174">
        <v>0</v>
      </c>
      <c r="N1678" s="528"/>
      <c r="O1678" s="15">
        <v>0.1</v>
      </c>
      <c r="P1678" s="8"/>
      <c r="Q1678" s="11">
        <v>9.5</v>
      </c>
      <c r="R1678" s="11">
        <v>31.5</v>
      </c>
      <c r="S1678" s="155"/>
      <c r="T1678" s="161">
        <f t="shared" si="433"/>
        <v>8800</v>
      </c>
      <c r="U1678" s="161">
        <f t="shared" si="430"/>
        <v>4000</v>
      </c>
      <c r="V1678" s="161">
        <f t="shared" si="431"/>
        <v>400</v>
      </c>
      <c r="W1678" s="161">
        <f t="shared" si="432"/>
        <v>160</v>
      </c>
      <c r="X1678" s="118"/>
      <c r="Y1678" s="118"/>
      <c r="Z1678" s="118"/>
      <c r="AA1678" s="118"/>
      <c r="AB1678" s="118"/>
      <c r="AC1678" s="118"/>
      <c r="AD1678" s="118"/>
      <c r="AE1678" s="118"/>
      <c r="AF1678" s="118"/>
      <c r="AG1678" s="118"/>
      <c r="AH1678" s="118"/>
      <c r="AI1678" s="118"/>
      <c r="AJ1678" s="118"/>
      <c r="AK1678" s="118"/>
      <c r="AL1678" s="118"/>
      <c r="AM1678" s="118"/>
      <c r="AN1678" s="118"/>
      <c r="AO1678" s="118"/>
      <c r="AP1678" s="118"/>
      <c r="AQ1678" s="118"/>
      <c r="AR1678" s="118"/>
      <c r="AS1678" s="118"/>
      <c r="AT1678" s="118"/>
      <c r="AU1678" s="118"/>
      <c r="AV1678" s="118"/>
      <c r="AW1678" s="118"/>
      <c r="AX1678" s="118"/>
      <c r="AY1678" s="118"/>
      <c r="AZ1678" s="118"/>
      <c r="BA1678" s="118"/>
      <c r="BB1678" s="118"/>
      <c r="BC1678" s="118"/>
      <c r="BD1678" s="118"/>
      <c r="BE1678" s="118"/>
      <c r="BF1678" s="118"/>
      <c r="BG1678" s="118"/>
      <c r="BH1678" s="118"/>
      <c r="BI1678" s="118"/>
      <c r="BJ1678" s="118"/>
      <c r="BK1678" s="118"/>
      <c r="BL1678" s="118"/>
      <c r="BM1678" s="118"/>
      <c r="BN1678" s="118"/>
      <c r="BO1678" s="118"/>
      <c r="BP1678" s="118"/>
      <c r="BQ1678" s="118"/>
      <c r="BR1678" s="118"/>
      <c r="BS1678" s="118"/>
      <c r="BT1678" s="118"/>
      <c r="BU1678" s="118"/>
      <c r="BV1678" s="118"/>
      <c r="BW1678" s="118"/>
      <c r="BX1678" s="118"/>
      <c r="BY1678" s="118"/>
      <c r="BZ1678" s="118"/>
      <c r="CA1678" s="118"/>
      <c r="CB1678" s="118"/>
      <c r="CC1678" s="118"/>
      <c r="CD1678" s="118"/>
      <c r="CE1678" s="118"/>
      <c r="CF1678" s="118"/>
      <c r="CG1678" s="118"/>
      <c r="CH1678" s="118"/>
      <c r="CI1678" s="118"/>
      <c r="CJ1678" s="118"/>
      <c r="CK1678" s="118"/>
      <c r="CL1678" s="118"/>
      <c r="CM1678" s="118"/>
      <c r="CN1678" s="118"/>
      <c r="CO1678" s="118"/>
      <c r="CP1678" s="118"/>
      <c r="CQ1678" s="118"/>
      <c r="CR1678" s="118"/>
      <c r="CS1678" s="118"/>
      <c r="CT1678" s="118"/>
      <c r="CU1678" s="118"/>
      <c r="CV1678" s="118"/>
      <c r="CW1678" s="118"/>
      <c r="CX1678" s="118"/>
      <c r="CY1678" s="118"/>
      <c r="CZ1678" s="118"/>
      <c r="DA1678" s="118"/>
      <c r="DB1678" s="118"/>
      <c r="DC1678" s="118"/>
      <c r="DD1678" s="118"/>
      <c r="DE1678" s="118"/>
      <c r="DF1678" s="118"/>
      <c r="DG1678" s="118"/>
      <c r="DH1678" s="118"/>
      <c r="DI1678" s="118"/>
      <c r="DJ1678" s="118"/>
      <c r="DK1678" s="118"/>
      <c r="DL1678" s="118"/>
      <c r="DM1678" s="118"/>
      <c r="DN1678" s="118"/>
      <c r="DO1678" s="118"/>
      <c r="DP1678" s="118"/>
      <c r="DQ1678" s="118"/>
      <c r="DR1678" s="118"/>
      <c r="DS1678" s="118"/>
      <c r="DT1678" s="118"/>
      <c r="DU1678" s="118"/>
      <c r="DV1678" s="118"/>
      <c r="DW1678" s="118"/>
      <c r="DX1678" s="118"/>
      <c r="DY1678" s="118"/>
      <c r="DZ1678" s="118"/>
      <c r="EA1678" s="118"/>
      <c r="EB1678" s="118"/>
      <c r="EC1678" s="118"/>
      <c r="ED1678" s="118"/>
      <c r="EE1678" s="118"/>
      <c r="EF1678" s="118"/>
      <c r="EG1678" s="118"/>
      <c r="EH1678" s="118"/>
      <c r="EI1678" s="118"/>
      <c r="EJ1678" s="118"/>
      <c r="EK1678" s="118"/>
      <c r="EL1678" s="118"/>
      <c r="EM1678" s="118"/>
      <c r="EN1678" s="118"/>
      <c r="EO1678" s="118"/>
      <c r="EP1678" s="118"/>
      <c r="EQ1678" s="118"/>
      <c r="ER1678" s="118"/>
      <c r="ES1678" s="118"/>
      <c r="ET1678" s="118"/>
      <c r="EU1678" s="118"/>
      <c r="EV1678" s="118"/>
      <c r="EW1678" s="118"/>
      <c r="EX1678" s="118"/>
      <c r="EY1678" s="118"/>
      <c r="EZ1678" s="118"/>
      <c r="FA1678" s="118"/>
      <c r="FB1678" s="118"/>
      <c r="FC1678" s="118"/>
      <c r="FD1678" s="118"/>
      <c r="FE1678" s="118"/>
      <c r="FF1678" s="118"/>
      <c r="FG1678" s="118"/>
      <c r="FH1678" s="118"/>
      <c r="FI1678" s="118"/>
      <c r="FJ1678" s="118"/>
      <c r="FK1678" s="118"/>
      <c r="FL1678" s="118"/>
      <c r="FM1678" s="118"/>
      <c r="FN1678" s="118"/>
      <c r="FO1678" s="118"/>
      <c r="FP1678" s="118"/>
      <c r="FQ1678" s="118"/>
      <c r="FR1678" s="118"/>
      <c r="FS1678" s="118"/>
      <c r="FT1678" s="118"/>
      <c r="FU1678" s="118"/>
      <c r="FV1678" s="118"/>
      <c r="FW1678" s="118"/>
      <c r="FX1678" s="118"/>
      <c r="FY1678" s="118"/>
      <c r="FZ1678" s="118"/>
      <c r="GA1678" s="118"/>
      <c r="GB1678" s="118"/>
      <c r="GC1678" s="118"/>
      <c r="GD1678" s="118"/>
      <c r="GE1678" s="118"/>
      <c r="GF1678" s="118"/>
      <c r="GG1678" s="118"/>
      <c r="GH1678" s="118"/>
      <c r="GI1678" s="118"/>
      <c r="GJ1678" s="118"/>
      <c r="GK1678" s="118"/>
      <c r="GL1678" s="118"/>
      <c r="GM1678" s="118"/>
      <c r="GN1678" s="118"/>
      <c r="GO1678" s="118"/>
      <c r="GP1678" s="118"/>
      <c r="GQ1678" s="118"/>
      <c r="GR1678" s="118"/>
      <c r="GS1678" s="118"/>
      <c r="GT1678" s="118"/>
      <c r="GU1678" s="118"/>
      <c r="GV1678" s="118"/>
      <c r="GW1678" s="118"/>
      <c r="GX1678" s="118"/>
      <c r="GY1678" s="118"/>
      <c r="GZ1678" s="118"/>
      <c r="HA1678" s="118"/>
      <c r="HB1678" s="118"/>
      <c r="HC1678" s="118"/>
      <c r="HD1678" s="118"/>
      <c r="HE1678" s="118"/>
      <c r="HF1678" s="118"/>
      <c r="HG1678" s="118"/>
      <c r="HH1678" s="118"/>
      <c r="HI1678" s="118"/>
      <c r="HJ1678" s="118"/>
      <c r="HK1678" s="118"/>
      <c r="HL1678" s="118"/>
      <c r="HM1678" s="118"/>
      <c r="HN1678" s="118"/>
      <c r="HO1678" s="118"/>
      <c r="HP1678" s="118"/>
      <c r="HQ1678" s="118"/>
      <c r="HR1678" s="118"/>
      <c r="HS1678" s="118"/>
      <c r="HT1678" s="118"/>
      <c r="HU1678" s="118"/>
      <c r="HV1678" s="118"/>
      <c r="HW1678" s="118"/>
      <c r="HX1678" s="118"/>
      <c r="HY1678" s="118"/>
      <c r="HZ1678" s="118"/>
      <c r="IA1678" s="118"/>
      <c r="IB1678" s="118"/>
      <c r="IC1678" s="118"/>
      <c r="ID1678" s="118"/>
      <c r="IE1678" s="118"/>
      <c r="IF1678" s="118"/>
      <c r="IG1678" s="118"/>
      <c r="IH1678" s="118"/>
      <c r="II1678" s="118"/>
      <c r="IJ1678" s="118"/>
    </row>
    <row r="1679" spans="1:244" s="11" customFormat="1" ht="12.75" customHeight="1">
      <c r="A1679" s="118">
        <v>1678</v>
      </c>
      <c r="B1679" s="128">
        <v>19</v>
      </c>
      <c r="C1679" s="156">
        <v>38261</v>
      </c>
      <c r="D1679" s="157" t="s">
        <v>53</v>
      </c>
      <c r="E1679" s="8">
        <v>2004</v>
      </c>
      <c r="F1679" s="196" t="s">
        <v>41</v>
      </c>
      <c r="G1679" s="158">
        <v>2</v>
      </c>
      <c r="H1679" s="11" t="s">
        <v>9</v>
      </c>
      <c r="I1679" s="198">
        <v>3000</v>
      </c>
      <c r="J1679" s="15">
        <v>0</v>
      </c>
      <c r="K1679" s="15">
        <v>9.4499999999999993</v>
      </c>
      <c r="L1679" s="15">
        <v>5.7</v>
      </c>
      <c r="M1679" s="174">
        <v>0</v>
      </c>
      <c r="N1679" s="528"/>
      <c r="O1679" s="15">
        <v>2.95</v>
      </c>
      <c r="P1679" s="8"/>
      <c r="Q1679" s="11">
        <v>9.1</v>
      </c>
      <c r="R1679" s="11">
        <v>31.8</v>
      </c>
      <c r="S1679" s="155"/>
      <c r="T1679" s="161">
        <f t="shared" si="433"/>
        <v>28349.999999999996</v>
      </c>
      <c r="U1679" s="161">
        <f t="shared" si="430"/>
        <v>17100</v>
      </c>
      <c r="V1679" s="161">
        <f t="shared" si="431"/>
        <v>8850</v>
      </c>
      <c r="W1679" s="161">
        <f t="shared" si="432"/>
        <v>3540</v>
      </c>
      <c r="X1679" s="118"/>
      <c r="Y1679" s="118"/>
      <c r="Z1679" s="118"/>
      <c r="AA1679" s="118"/>
      <c r="AB1679" s="118"/>
      <c r="AC1679" s="118"/>
      <c r="AD1679" s="118"/>
      <c r="AE1679" s="118"/>
      <c r="AF1679" s="118"/>
      <c r="AG1679" s="118"/>
      <c r="AH1679" s="118"/>
      <c r="AI1679" s="118"/>
      <c r="AJ1679" s="118"/>
      <c r="AK1679" s="118"/>
      <c r="AL1679" s="118"/>
      <c r="AM1679" s="118"/>
      <c r="AN1679" s="118"/>
      <c r="AO1679" s="118"/>
      <c r="AP1679" s="118"/>
      <c r="AQ1679" s="118"/>
      <c r="AR1679" s="118"/>
      <c r="AS1679" s="118"/>
      <c r="AT1679" s="118"/>
      <c r="AU1679" s="118"/>
      <c r="AV1679" s="118"/>
      <c r="AW1679" s="118"/>
      <c r="AX1679" s="118"/>
      <c r="AY1679" s="118"/>
      <c r="AZ1679" s="118"/>
      <c r="BA1679" s="118"/>
      <c r="BB1679" s="118"/>
      <c r="BC1679" s="118"/>
      <c r="BD1679" s="118"/>
      <c r="BE1679" s="118"/>
      <c r="BF1679" s="118"/>
      <c r="BG1679" s="118"/>
      <c r="BH1679" s="118"/>
      <c r="BI1679" s="118"/>
      <c r="BJ1679" s="118"/>
      <c r="BK1679" s="118"/>
      <c r="BL1679" s="118"/>
      <c r="BM1679" s="118"/>
      <c r="BN1679" s="118"/>
      <c r="BO1679" s="118"/>
      <c r="BP1679" s="118"/>
      <c r="BQ1679" s="118"/>
      <c r="BR1679" s="118"/>
      <c r="BS1679" s="118"/>
      <c r="BT1679" s="118"/>
      <c r="BU1679" s="118"/>
      <c r="BV1679" s="118"/>
      <c r="BW1679" s="118"/>
      <c r="BX1679" s="118"/>
      <c r="BY1679" s="118"/>
      <c r="BZ1679" s="118"/>
      <c r="CA1679" s="118"/>
      <c r="CB1679" s="118"/>
      <c r="CC1679" s="118"/>
      <c r="CD1679" s="118"/>
      <c r="CE1679" s="118"/>
      <c r="CF1679" s="118"/>
      <c r="CG1679" s="118"/>
      <c r="CH1679" s="118"/>
      <c r="CI1679" s="118"/>
      <c r="CJ1679" s="118"/>
      <c r="CK1679" s="118"/>
      <c r="CL1679" s="118"/>
      <c r="CM1679" s="118"/>
      <c r="CN1679" s="118"/>
      <c r="CO1679" s="118"/>
      <c r="CP1679" s="118"/>
      <c r="CQ1679" s="118"/>
      <c r="CR1679" s="118"/>
      <c r="CS1679" s="118"/>
      <c r="CT1679" s="118"/>
      <c r="CU1679" s="118"/>
      <c r="CV1679" s="118"/>
      <c r="CW1679" s="118"/>
      <c r="CX1679" s="118"/>
      <c r="CY1679" s="118"/>
      <c r="CZ1679" s="118"/>
      <c r="DA1679" s="118"/>
      <c r="DB1679" s="118"/>
      <c r="DC1679" s="118"/>
      <c r="DD1679" s="118"/>
      <c r="DE1679" s="118"/>
      <c r="DF1679" s="118"/>
      <c r="DG1679" s="118"/>
      <c r="DH1679" s="118"/>
      <c r="DI1679" s="118"/>
      <c r="DJ1679" s="118"/>
      <c r="DK1679" s="118"/>
      <c r="DL1679" s="118"/>
      <c r="DM1679" s="118"/>
      <c r="DN1679" s="118"/>
      <c r="DO1679" s="118"/>
      <c r="DP1679" s="118"/>
      <c r="DQ1679" s="118"/>
      <c r="DR1679" s="118"/>
      <c r="DS1679" s="118"/>
      <c r="DT1679" s="118"/>
      <c r="DU1679" s="118"/>
      <c r="DV1679" s="118"/>
      <c r="DW1679" s="118"/>
      <c r="DX1679" s="118"/>
      <c r="DY1679" s="118"/>
      <c r="DZ1679" s="118"/>
      <c r="EA1679" s="118"/>
      <c r="EB1679" s="118"/>
      <c r="EC1679" s="118"/>
      <c r="ED1679" s="118"/>
      <c r="EE1679" s="118"/>
      <c r="EF1679" s="118"/>
      <c r="EG1679" s="118"/>
      <c r="EH1679" s="118"/>
      <c r="EI1679" s="118"/>
      <c r="EJ1679" s="118"/>
      <c r="EK1679" s="118"/>
      <c r="EL1679" s="118"/>
      <c r="EM1679" s="118"/>
      <c r="EN1679" s="118"/>
      <c r="EO1679" s="118"/>
      <c r="EP1679" s="118"/>
      <c r="EQ1679" s="118"/>
      <c r="ER1679" s="118"/>
      <c r="ES1679" s="118"/>
      <c r="ET1679" s="118"/>
      <c r="EU1679" s="118"/>
      <c r="EV1679" s="118"/>
      <c r="EW1679" s="118"/>
      <c r="EX1679" s="118"/>
      <c r="EY1679" s="118"/>
      <c r="EZ1679" s="118"/>
      <c r="FA1679" s="118"/>
      <c r="FB1679" s="118"/>
      <c r="FC1679" s="118"/>
      <c r="FD1679" s="118"/>
      <c r="FE1679" s="118"/>
      <c r="FF1679" s="118"/>
      <c r="FG1679" s="118"/>
      <c r="FH1679" s="118"/>
      <c r="FI1679" s="118"/>
      <c r="FJ1679" s="118"/>
      <c r="FK1679" s="118"/>
      <c r="FL1679" s="118"/>
      <c r="FM1679" s="118"/>
      <c r="FN1679" s="118"/>
      <c r="FO1679" s="118"/>
      <c r="FP1679" s="118"/>
      <c r="FQ1679" s="118"/>
      <c r="FR1679" s="118"/>
      <c r="FS1679" s="118"/>
      <c r="FT1679" s="118"/>
      <c r="FU1679" s="118"/>
      <c r="FV1679" s="118"/>
      <c r="FW1679" s="118"/>
      <c r="FX1679" s="118"/>
      <c r="FY1679" s="118"/>
      <c r="FZ1679" s="118"/>
      <c r="GA1679" s="118"/>
      <c r="GB1679" s="118"/>
      <c r="GC1679" s="118"/>
      <c r="GD1679" s="118"/>
      <c r="GE1679" s="118"/>
      <c r="GF1679" s="118"/>
      <c r="GG1679" s="118"/>
      <c r="GH1679" s="118"/>
      <c r="GI1679" s="118"/>
      <c r="GJ1679" s="118"/>
      <c r="GK1679" s="118"/>
      <c r="GL1679" s="118"/>
      <c r="GM1679" s="118"/>
      <c r="GN1679" s="118"/>
      <c r="GO1679" s="118"/>
      <c r="GP1679" s="118"/>
      <c r="GQ1679" s="118"/>
      <c r="GR1679" s="118"/>
      <c r="GS1679" s="118"/>
      <c r="GT1679" s="118"/>
      <c r="GU1679" s="118"/>
      <c r="GV1679" s="118"/>
      <c r="GW1679" s="118"/>
      <c r="GX1679" s="118"/>
      <c r="GY1679" s="118"/>
      <c r="GZ1679" s="118"/>
      <c r="HA1679" s="118"/>
      <c r="HB1679" s="118"/>
      <c r="HC1679" s="118"/>
      <c r="HD1679" s="118"/>
      <c r="HE1679" s="118"/>
      <c r="HF1679" s="118"/>
      <c r="HG1679" s="118"/>
      <c r="HH1679" s="118"/>
      <c r="HI1679" s="118"/>
      <c r="HJ1679" s="118"/>
      <c r="HK1679" s="118"/>
      <c r="HL1679" s="118"/>
      <c r="HM1679" s="118"/>
      <c r="HN1679" s="118"/>
      <c r="HO1679" s="118"/>
      <c r="HP1679" s="118"/>
      <c r="HQ1679" s="118"/>
      <c r="HR1679" s="118"/>
      <c r="HS1679" s="118"/>
      <c r="HT1679" s="118"/>
      <c r="HU1679" s="118"/>
      <c r="HV1679" s="118"/>
      <c r="HW1679" s="118"/>
      <c r="HX1679" s="118"/>
      <c r="HY1679" s="118"/>
      <c r="HZ1679" s="118"/>
      <c r="IA1679" s="118"/>
      <c r="IB1679" s="118"/>
      <c r="IC1679" s="118"/>
      <c r="ID1679" s="118"/>
      <c r="IE1679" s="118"/>
      <c r="IF1679" s="118"/>
      <c r="IG1679" s="118"/>
      <c r="IH1679" s="118"/>
      <c r="II1679" s="118"/>
      <c r="IJ1679" s="118"/>
    </row>
    <row r="1680" spans="1:244" s="11" customFormat="1">
      <c r="A1680" s="118">
        <v>1679</v>
      </c>
      <c r="B1680" s="128">
        <v>19</v>
      </c>
      <c r="C1680" s="156">
        <v>38292</v>
      </c>
      <c r="D1680" s="157" t="s">
        <v>54</v>
      </c>
      <c r="E1680" s="8">
        <v>2004</v>
      </c>
      <c r="F1680" s="196" t="s">
        <v>41</v>
      </c>
      <c r="G1680" s="158">
        <v>2</v>
      </c>
      <c r="H1680" s="11" t="s">
        <v>9</v>
      </c>
      <c r="I1680" s="198">
        <v>2000</v>
      </c>
      <c r="J1680" s="15">
        <v>3.3</v>
      </c>
      <c r="K1680" s="15">
        <v>7.07</v>
      </c>
      <c r="L1680" s="15">
        <v>4.13</v>
      </c>
      <c r="M1680" s="174">
        <v>0</v>
      </c>
      <c r="N1680" s="528"/>
      <c r="O1680" s="15">
        <v>0</v>
      </c>
      <c r="P1680" s="8"/>
      <c r="Q1680" s="11">
        <v>8.5</v>
      </c>
      <c r="R1680" s="11">
        <v>32</v>
      </c>
      <c r="S1680" s="155"/>
      <c r="T1680" s="161">
        <f t="shared" si="433"/>
        <v>14140</v>
      </c>
      <c r="U1680" s="161">
        <f t="shared" si="430"/>
        <v>8260</v>
      </c>
      <c r="V1680" s="161">
        <f t="shared" si="431"/>
        <v>0</v>
      </c>
      <c r="W1680" s="161">
        <f t="shared" si="432"/>
        <v>0</v>
      </c>
      <c r="X1680" s="118"/>
      <c r="Y1680" s="118"/>
      <c r="Z1680" s="118"/>
      <c r="AA1680" s="118"/>
      <c r="AB1680" s="118"/>
      <c r="AC1680" s="118"/>
      <c r="AD1680" s="118"/>
      <c r="AE1680" s="118"/>
      <c r="AF1680" s="118"/>
      <c r="AG1680" s="118"/>
      <c r="AH1680" s="118"/>
      <c r="AI1680" s="118"/>
      <c r="AJ1680" s="118"/>
      <c r="AK1680" s="118"/>
      <c r="AL1680" s="118"/>
      <c r="AM1680" s="118"/>
      <c r="AN1680" s="118"/>
      <c r="AO1680" s="118"/>
      <c r="AP1680" s="118"/>
      <c r="AQ1680" s="118"/>
      <c r="AR1680" s="118"/>
      <c r="AS1680" s="118"/>
      <c r="AT1680" s="118"/>
      <c r="AU1680" s="118"/>
      <c r="AV1680" s="118"/>
      <c r="AW1680" s="118"/>
      <c r="AX1680" s="118"/>
      <c r="AY1680" s="118"/>
      <c r="AZ1680" s="118"/>
      <c r="BA1680" s="118"/>
      <c r="BB1680" s="118"/>
      <c r="BC1680" s="118"/>
      <c r="BD1680" s="118"/>
      <c r="BE1680" s="118"/>
      <c r="BF1680" s="118"/>
      <c r="BG1680" s="118"/>
      <c r="BH1680" s="118"/>
      <c r="BI1680" s="118"/>
      <c r="BJ1680" s="118"/>
      <c r="BK1680" s="118"/>
      <c r="BL1680" s="118"/>
      <c r="BM1680" s="118"/>
      <c r="BN1680" s="118"/>
      <c r="BO1680" s="118"/>
      <c r="BP1680" s="118"/>
      <c r="BQ1680" s="118"/>
      <c r="BR1680" s="118"/>
      <c r="BS1680" s="118"/>
      <c r="BT1680" s="118"/>
      <c r="BU1680" s="118"/>
      <c r="BV1680" s="118"/>
      <c r="BW1680" s="118"/>
      <c r="BX1680" s="118"/>
      <c r="BY1680" s="118"/>
      <c r="BZ1680" s="118"/>
      <c r="CA1680" s="118"/>
      <c r="CB1680" s="118"/>
      <c r="CC1680" s="118"/>
      <c r="CD1680" s="118"/>
      <c r="CE1680" s="118"/>
      <c r="CF1680" s="118"/>
      <c r="CG1680" s="118"/>
      <c r="CH1680" s="118"/>
      <c r="CI1680" s="118"/>
      <c r="CJ1680" s="118"/>
      <c r="CK1680" s="118"/>
      <c r="CL1680" s="118"/>
      <c r="CM1680" s="118"/>
      <c r="CN1680" s="118"/>
      <c r="CO1680" s="118"/>
      <c r="CP1680" s="118"/>
      <c r="CQ1680" s="118"/>
      <c r="CR1680" s="118"/>
      <c r="CS1680" s="118"/>
      <c r="CT1680" s="118"/>
      <c r="CU1680" s="118"/>
      <c r="CV1680" s="118"/>
      <c r="CW1680" s="118"/>
      <c r="CX1680" s="118"/>
      <c r="CY1680" s="118"/>
      <c r="CZ1680" s="118"/>
      <c r="DA1680" s="118"/>
      <c r="DB1680" s="118"/>
      <c r="DC1680" s="118"/>
      <c r="DD1680" s="118"/>
      <c r="DE1680" s="118"/>
      <c r="DF1680" s="118"/>
      <c r="DG1680" s="118"/>
      <c r="DH1680" s="118"/>
      <c r="DI1680" s="118"/>
      <c r="DJ1680" s="118"/>
      <c r="DK1680" s="118"/>
      <c r="DL1680" s="118"/>
      <c r="DM1680" s="118"/>
      <c r="DN1680" s="118"/>
      <c r="DO1680" s="118"/>
      <c r="DP1680" s="118"/>
      <c r="DQ1680" s="118"/>
      <c r="DR1680" s="118"/>
      <c r="DS1680" s="118"/>
      <c r="DT1680" s="118"/>
      <c r="DU1680" s="118"/>
      <c r="DV1680" s="118"/>
      <c r="DW1680" s="118"/>
      <c r="DX1680" s="118"/>
      <c r="DY1680" s="118"/>
      <c r="DZ1680" s="118"/>
      <c r="EA1680" s="118"/>
      <c r="EB1680" s="118"/>
      <c r="EC1680" s="118"/>
      <c r="ED1680" s="118"/>
      <c r="EE1680" s="118"/>
      <c r="EF1680" s="118"/>
      <c r="EG1680" s="118"/>
      <c r="EH1680" s="118"/>
      <c r="EI1680" s="118"/>
      <c r="EJ1680" s="118"/>
      <c r="EK1680" s="118"/>
      <c r="EL1680" s="118"/>
      <c r="EM1680" s="118"/>
      <c r="EN1680" s="118"/>
      <c r="EO1680" s="118"/>
      <c r="EP1680" s="118"/>
      <c r="EQ1680" s="118"/>
      <c r="ER1680" s="118"/>
      <c r="ES1680" s="118"/>
      <c r="ET1680" s="118"/>
      <c r="EU1680" s="118"/>
      <c r="EV1680" s="118"/>
      <c r="EW1680" s="118"/>
      <c r="EX1680" s="118"/>
      <c r="EY1680" s="118"/>
      <c r="EZ1680" s="118"/>
      <c r="FA1680" s="118"/>
      <c r="FB1680" s="118"/>
      <c r="FC1680" s="118"/>
      <c r="FD1680" s="118"/>
      <c r="FE1680" s="118"/>
      <c r="FF1680" s="118"/>
      <c r="FG1680" s="118"/>
      <c r="FH1680" s="118"/>
      <c r="FI1680" s="118"/>
      <c r="FJ1680" s="118"/>
      <c r="FK1680" s="118"/>
      <c r="FL1680" s="118"/>
      <c r="FM1680" s="118"/>
      <c r="FN1680" s="118"/>
      <c r="FO1680" s="118"/>
      <c r="FP1680" s="118"/>
      <c r="FQ1680" s="118"/>
      <c r="FR1680" s="118"/>
      <c r="FS1680" s="118"/>
      <c r="FT1680" s="118"/>
      <c r="FU1680" s="118"/>
      <c r="FV1680" s="118"/>
      <c r="FW1680" s="118"/>
      <c r="FX1680" s="118"/>
      <c r="FY1680" s="118"/>
      <c r="FZ1680" s="118"/>
      <c r="GA1680" s="118"/>
      <c r="GB1680" s="118"/>
      <c r="GC1680" s="118"/>
      <c r="GD1680" s="118"/>
      <c r="GE1680" s="118"/>
      <c r="GF1680" s="118"/>
      <c r="GG1680" s="118"/>
      <c r="GH1680" s="118"/>
      <c r="GI1680" s="118"/>
      <c r="GJ1680" s="118"/>
      <c r="GK1680" s="118"/>
      <c r="GL1680" s="118"/>
      <c r="GM1680" s="118"/>
      <c r="GN1680" s="118"/>
      <c r="GO1680" s="118"/>
      <c r="GP1680" s="118"/>
      <c r="GQ1680" s="118"/>
      <c r="GR1680" s="118"/>
      <c r="GS1680" s="118"/>
      <c r="GT1680" s="118"/>
      <c r="GU1680" s="118"/>
      <c r="GV1680" s="118"/>
      <c r="GW1680" s="118"/>
      <c r="GX1680" s="118"/>
      <c r="GY1680" s="118"/>
      <c r="GZ1680" s="118"/>
      <c r="HA1680" s="118"/>
      <c r="HB1680" s="118"/>
      <c r="HC1680" s="118"/>
      <c r="HD1680" s="118"/>
      <c r="HE1680" s="118"/>
      <c r="HF1680" s="118"/>
      <c r="HG1680" s="118"/>
      <c r="HH1680" s="118"/>
      <c r="HI1680" s="118"/>
      <c r="HJ1680" s="118"/>
      <c r="HK1680" s="118"/>
      <c r="HL1680" s="118"/>
      <c r="HM1680" s="118"/>
      <c r="HN1680" s="118"/>
      <c r="HO1680" s="118"/>
      <c r="HP1680" s="118"/>
      <c r="HQ1680" s="118"/>
      <c r="HR1680" s="118"/>
      <c r="HS1680" s="118"/>
      <c r="HT1680" s="118"/>
      <c r="HU1680" s="118"/>
      <c r="HV1680" s="118"/>
      <c r="HW1680" s="118"/>
      <c r="HX1680" s="118"/>
      <c r="HY1680" s="118"/>
      <c r="HZ1680" s="118"/>
      <c r="IA1680" s="118"/>
      <c r="IB1680" s="118"/>
      <c r="IC1680" s="118"/>
      <c r="ID1680" s="118"/>
      <c r="IE1680" s="118"/>
      <c r="IF1680" s="118"/>
      <c r="IG1680" s="118"/>
      <c r="IH1680" s="118"/>
      <c r="II1680" s="118"/>
      <c r="IJ1680" s="118"/>
    </row>
    <row r="1681" spans="1:244" s="11" customFormat="1">
      <c r="A1681" s="118">
        <v>1680</v>
      </c>
      <c r="B1681" s="128">
        <v>19</v>
      </c>
      <c r="C1681" s="156">
        <v>38322</v>
      </c>
      <c r="D1681" s="157" t="s">
        <v>55</v>
      </c>
      <c r="E1681" s="8">
        <v>2004</v>
      </c>
      <c r="F1681" s="196" t="s">
        <v>41</v>
      </c>
      <c r="G1681" s="158">
        <v>2</v>
      </c>
      <c r="H1681" s="11" t="s">
        <v>9</v>
      </c>
      <c r="I1681" s="198">
        <v>1000</v>
      </c>
      <c r="J1681" s="15">
        <v>0.73</v>
      </c>
      <c r="K1681" s="15">
        <v>3.15</v>
      </c>
      <c r="L1681" s="15">
        <v>1.8</v>
      </c>
      <c r="M1681" s="174">
        <v>1</v>
      </c>
      <c r="N1681" s="528"/>
      <c r="O1681" s="15">
        <v>0</v>
      </c>
      <c r="P1681" s="8"/>
      <c r="Q1681" s="11">
        <v>8</v>
      </c>
      <c r="R1681" s="11">
        <v>32</v>
      </c>
      <c r="S1681" s="155"/>
      <c r="T1681" s="161">
        <f t="shared" si="433"/>
        <v>3150</v>
      </c>
      <c r="U1681" s="161">
        <f t="shared" si="430"/>
        <v>1800</v>
      </c>
      <c r="V1681" s="161">
        <f t="shared" si="431"/>
        <v>0</v>
      </c>
      <c r="W1681" s="161">
        <f t="shared" si="432"/>
        <v>0</v>
      </c>
      <c r="X1681" s="118"/>
      <c r="Y1681" s="118"/>
      <c r="Z1681" s="118"/>
      <c r="AA1681" s="118"/>
      <c r="AB1681" s="118"/>
      <c r="AC1681" s="118"/>
      <c r="AD1681" s="118"/>
      <c r="AE1681" s="118"/>
      <c r="AF1681" s="118"/>
      <c r="AG1681" s="118"/>
      <c r="AH1681" s="118"/>
      <c r="AI1681" s="118"/>
      <c r="AJ1681" s="118"/>
      <c r="AK1681" s="118"/>
      <c r="AL1681" s="118"/>
      <c r="AM1681" s="118"/>
      <c r="AN1681" s="118"/>
      <c r="AO1681" s="118"/>
      <c r="AP1681" s="118"/>
      <c r="AQ1681" s="118"/>
      <c r="AR1681" s="118"/>
      <c r="AS1681" s="118"/>
      <c r="AT1681" s="118"/>
      <c r="AU1681" s="118"/>
      <c r="AV1681" s="118"/>
      <c r="AW1681" s="118"/>
      <c r="AX1681" s="118"/>
      <c r="AY1681" s="118"/>
      <c r="AZ1681" s="118"/>
      <c r="BA1681" s="118"/>
      <c r="BB1681" s="118"/>
      <c r="BC1681" s="118"/>
      <c r="BD1681" s="118"/>
      <c r="BE1681" s="118"/>
      <c r="BF1681" s="118"/>
      <c r="BG1681" s="118"/>
      <c r="BH1681" s="118"/>
      <c r="BI1681" s="118"/>
      <c r="BJ1681" s="118"/>
      <c r="BK1681" s="118"/>
      <c r="BL1681" s="118"/>
      <c r="BM1681" s="118"/>
      <c r="BN1681" s="118"/>
      <c r="BO1681" s="118"/>
      <c r="BP1681" s="118"/>
      <c r="BQ1681" s="118"/>
      <c r="BR1681" s="118"/>
      <c r="BS1681" s="118"/>
      <c r="BT1681" s="118"/>
      <c r="BU1681" s="118"/>
      <c r="BV1681" s="118"/>
      <c r="BW1681" s="118"/>
      <c r="BX1681" s="118"/>
      <c r="BY1681" s="118"/>
      <c r="BZ1681" s="118"/>
      <c r="CA1681" s="118"/>
      <c r="CB1681" s="118"/>
      <c r="CC1681" s="118"/>
      <c r="CD1681" s="118"/>
      <c r="CE1681" s="118"/>
      <c r="CF1681" s="118"/>
      <c r="CG1681" s="118"/>
      <c r="CH1681" s="118"/>
      <c r="CI1681" s="118"/>
      <c r="CJ1681" s="118"/>
      <c r="CK1681" s="118"/>
      <c r="CL1681" s="118"/>
      <c r="CM1681" s="118"/>
      <c r="CN1681" s="118"/>
      <c r="CO1681" s="118"/>
      <c r="CP1681" s="118"/>
      <c r="CQ1681" s="118"/>
      <c r="CR1681" s="118"/>
      <c r="CS1681" s="118"/>
      <c r="CT1681" s="118"/>
      <c r="CU1681" s="118"/>
      <c r="CV1681" s="118"/>
      <c r="CW1681" s="118"/>
      <c r="CX1681" s="118"/>
      <c r="CY1681" s="118"/>
      <c r="CZ1681" s="118"/>
      <c r="DA1681" s="118"/>
      <c r="DB1681" s="118"/>
      <c r="DC1681" s="118"/>
      <c r="DD1681" s="118"/>
      <c r="DE1681" s="118"/>
      <c r="DF1681" s="118"/>
      <c r="DG1681" s="118"/>
      <c r="DH1681" s="118"/>
      <c r="DI1681" s="118"/>
      <c r="DJ1681" s="118"/>
      <c r="DK1681" s="118"/>
      <c r="DL1681" s="118"/>
      <c r="DM1681" s="118"/>
      <c r="DN1681" s="118"/>
      <c r="DO1681" s="118"/>
      <c r="DP1681" s="118"/>
      <c r="DQ1681" s="118"/>
      <c r="DR1681" s="118"/>
      <c r="DS1681" s="118"/>
      <c r="DT1681" s="118"/>
      <c r="DU1681" s="118"/>
      <c r="DV1681" s="118"/>
      <c r="DW1681" s="118"/>
      <c r="DX1681" s="118"/>
      <c r="DY1681" s="118"/>
      <c r="DZ1681" s="118"/>
      <c r="EA1681" s="118"/>
      <c r="EB1681" s="118"/>
      <c r="EC1681" s="118"/>
      <c r="ED1681" s="118"/>
      <c r="EE1681" s="118"/>
      <c r="EF1681" s="118"/>
      <c r="EG1681" s="118"/>
      <c r="EH1681" s="118"/>
      <c r="EI1681" s="118"/>
      <c r="EJ1681" s="118"/>
      <c r="EK1681" s="118"/>
      <c r="EL1681" s="118"/>
      <c r="EM1681" s="118"/>
      <c r="EN1681" s="118"/>
      <c r="EO1681" s="118"/>
      <c r="EP1681" s="118"/>
      <c r="EQ1681" s="118"/>
      <c r="ER1681" s="118"/>
      <c r="ES1681" s="118"/>
      <c r="ET1681" s="118"/>
      <c r="EU1681" s="118"/>
      <c r="EV1681" s="118"/>
      <c r="EW1681" s="118"/>
      <c r="EX1681" s="118"/>
      <c r="EY1681" s="118"/>
      <c r="EZ1681" s="118"/>
      <c r="FA1681" s="118"/>
      <c r="FB1681" s="118"/>
      <c r="FC1681" s="118"/>
      <c r="FD1681" s="118"/>
      <c r="FE1681" s="118"/>
      <c r="FF1681" s="118"/>
      <c r="FG1681" s="118"/>
      <c r="FH1681" s="118"/>
      <c r="FI1681" s="118"/>
      <c r="FJ1681" s="118"/>
      <c r="FK1681" s="118"/>
      <c r="FL1681" s="118"/>
      <c r="FM1681" s="118"/>
      <c r="FN1681" s="118"/>
      <c r="FO1681" s="118"/>
      <c r="FP1681" s="118"/>
      <c r="FQ1681" s="118"/>
      <c r="FR1681" s="118"/>
      <c r="FS1681" s="118"/>
      <c r="FT1681" s="118"/>
      <c r="FU1681" s="118"/>
      <c r="FV1681" s="118"/>
      <c r="FW1681" s="118"/>
      <c r="FX1681" s="118"/>
      <c r="FY1681" s="118"/>
      <c r="FZ1681" s="118"/>
      <c r="GA1681" s="118"/>
      <c r="GB1681" s="118"/>
      <c r="GC1681" s="118"/>
      <c r="GD1681" s="118"/>
      <c r="GE1681" s="118"/>
      <c r="GF1681" s="118"/>
      <c r="GG1681" s="118"/>
      <c r="GH1681" s="118"/>
      <c r="GI1681" s="118"/>
      <c r="GJ1681" s="118"/>
      <c r="GK1681" s="118"/>
      <c r="GL1681" s="118"/>
      <c r="GM1681" s="118"/>
      <c r="GN1681" s="118"/>
      <c r="GO1681" s="118"/>
      <c r="GP1681" s="118"/>
      <c r="GQ1681" s="118"/>
      <c r="GR1681" s="118"/>
      <c r="GS1681" s="118"/>
      <c r="GT1681" s="118"/>
      <c r="GU1681" s="118"/>
      <c r="GV1681" s="118"/>
      <c r="GW1681" s="118"/>
      <c r="GX1681" s="118"/>
      <c r="GY1681" s="118"/>
      <c r="GZ1681" s="118"/>
      <c r="HA1681" s="118"/>
      <c r="HB1681" s="118"/>
      <c r="HC1681" s="118"/>
      <c r="HD1681" s="118"/>
      <c r="HE1681" s="118"/>
      <c r="HF1681" s="118"/>
      <c r="HG1681" s="118"/>
      <c r="HH1681" s="118"/>
      <c r="HI1681" s="118"/>
      <c r="HJ1681" s="118"/>
      <c r="HK1681" s="118"/>
      <c r="HL1681" s="118"/>
      <c r="HM1681" s="118"/>
      <c r="HN1681" s="118"/>
      <c r="HO1681" s="118"/>
      <c r="HP1681" s="118"/>
      <c r="HQ1681" s="118"/>
      <c r="HR1681" s="118"/>
      <c r="HS1681" s="118"/>
      <c r="HT1681" s="118"/>
      <c r="HU1681" s="118"/>
      <c r="HV1681" s="118"/>
      <c r="HW1681" s="118"/>
      <c r="HX1681" s="118"/>
      <c r="HY1681" s="118"/>
      <c r="HZ1681" s="118"/>
      <c r="IA1681" s="118"/>
      <c r="IB1681" s="118"/>
      <c r="IC1681" s="118"/>
      <c r="ID1681" s="118"/>
      <c r="IE1681" s="118"/>
      <c r="IF1681" s="118"/>
      <c r="IG1681" s="118"/>
      <c r="IH1681" s="118"/>
      <c r="II1681" s="118"/>
      <c r="IJ1681" s="118"/>
    </row>
    <row r="1682" spans="1:244" s="11" customFormat="1">
      <c r="A1682" s="118">
        <v>1681</v>
      </c>
      <c r="B1682" s="128">
        <v>19</v>
      </c>
      <c r="C1682" s="156">
        <v>38353</v>
      </c>
      <c r="D1682" s="157" t="s">
        <v>44</v>
      </c>
      <c r="E1682" s="8">
        <v>2005</v>
      </c>
      <c r="F1682" s="196" t="s">
        <v>41</v>
      </c>
      <c r="G1682" s="158">
        <v>2</v>
      </c>
      <c r="H1682" s="11" t="s">
        <v>9</v>
      </c>
      <c r="I1682" s="198">
        <v>1000</v>
      </c>
      <c r="J1682" s="15">
        <v>1.85</v>
      </c>
      <c r="K1682" s="15">
        <v>20.7</v>
      </c>
      <c r="L1682" s="15">
        <v>14.9</v>
      </c>
      <c r="M1682" s="174"/>
      <c r="N1682" s="528"/>
      <c r="O1682" s="15">
        <v>0.6</v>
      </c>
      <c r="P1682" s="8">
        <v>1</v>
      </c>
      <c r="Q1682" s="11">
        <v>8</v>
      </c>
      <c r="R1682" s="11">
        <v>32</v>
      </c>
      <c r="S1682" s="155"/>
      <c r="T1682" s="161">
        <f t="shared" si="433"/>
        <v>20700</v>
      </c>
      <c r="U1682" s="161">
        <f t="shared" si="430"/>
        <v>14900</v>
      </c>
      <c r="V1682" s="161">
        <f t="shared" si="431"/>
        <v>600</v>
      </c>
      <c r="W1682" s="161">
        <f t="shared" si="432"/>
        <v>240</v>
      </c>
      <c r="X1682" s="118"/>
      <c r="Y1682" s="118"/>
      <c r="Z1682" s="118"/>
      <c r="AA1682" s="118"/>
      <c r="AB1682" s="118"/>
      <c r="AC1682" s="118"/>
      <c r="AD1682" s="118"/>
      <c r="AE1682" s="118"/>
      <c r="AF1682" s="118"/>
      <c r="AG1682" s="118"/>
      <c r="AH1682" s="118"/>
      <c r="AI1682" s="118"/>
      <c r="AJ1682" s="118"/>
      <c r="AK1682" s="118"/>
      <c r="AL1682" s="118"/>
      <c r="AM1682" s="118"/>
      <c r="AN1682" s="118"/>
      <c r="AO1682" s="118"/>
      <c r="AP1682" s="118"/>
      <c r="AQ1682" s="118"/>
      <c r="AR1682" s="118"/>
      <c r="AS1682" s="118"/>
      <c r="AT1682" s="118"/>
      <c r="AU1682" s="118"/>
      <c r="AV1682" s="118"/>
      <c r="AW1682" s="118"/>
      <c r="AX1682" s="118"/>
      <c r="AY1682" s="118"/>
      <c r="AZ1682" s="118"/>
      <c r="BA1682" s="118"/>
      <c r="BB1682" s="118"/>
      <c r="BC1682" s="118"/>
      <c r="BD1682" s="118"/>
      <c r="BE1682" s="118"/>
      <c r="BF1682" s="118"/>
      <c r="BG1682" s="118"/>
      <c r="BH1682" s="118"/>
      <c r="BI1682" s="118"/>
      <c r="BJ1682" s="118"/>
      <c r="BK1682" s="118"/>
      <c r="BL1682" s="118"/>
      <c r="BM1682" s="118"/>
      <c r="BN1682" s="118"/>
      <c r="BO1682" s="118"/>
      <c r="BP1682" s="118"/>
      <c r="BQ1682" s="118"/>
      <c r="BR1682" s="118"/>
      <c r="BS1682" s="118"/>
      <c r="BT1682" s="118"/>
      <c r="BU1682" s="118"/>
      <c r="BV1682" s="118"/>
      <c r="BW1682" s="118"/>
      <c r="BX1682" s="118"/>
      <c r="BY1682" s="118"/>
      <c r="BZ1682" s="118"/>
      <c r="CA1682" s="118"/>
      <c r="CB1682" s="118"/>
      <c r="CC1682" s="118"/>
      <c r="CD1682" s="118"/>
      <c r="CE1682" s="118"/>
      <c r="CF1682" s="118"/>
      <c r="CG1682" s="118"/>
      <c r="CH1682" s="118"/>
      <c r="CI1682" s="118"/>
      <c r="CJ1682" s="118"/>
      <c r="CK1682" s="118"/>
      <c r="CL1682" s="118"/>
      <c r="CM1682" s="118"/>
      <c r="CN1682" s="118"/>
      <c r="CO1682" s="118"/>
      <c r="CP1682" s="118"/>
      <c r="CQ1682" s="118"/>
      <c r="CR1682" s="118"/>
      <c r="CS1682" s="118"/>
      <c r="CT1682" s="118"/>
      <c r="CU1682" s="118"/>
      <c r="CV1682" s="118"/>
      <c r="CW1682" s="118"/>
      <c r="CX1682" s="118"/>
      <c r="CY1682" s="118"/>
      <c r="CZ1682" s="118"/>
      <c r="DA1682" s="118"/>
      <c r="DB1682" s="118"/>
      <c r="DC1682" s="118"/>
      <c r="DD1682" s="118"/>
      <c r="DE1682" s="118"/>
      <c r="DF1682" s="118"/>
      <c r="DG1682" s="118"/>
      <c r="DH1682" s="118"/>
      <c r="DI1682" s="118"/>
      <c r="DJ1682" s="118"/>
      <c r="DK1682" s="118"/>
      <c r="DL1682" s="118"/>
      <c r="DM1682" s="118"/>
      <c r="DN1682" s="118"/>
      <c r="DO1682" s="118"/>
      <c r="DP1682" s="118"/>
      <c r="DQ1682" s="118"/>
      <c r="DR1682" s="118"/>
      <c r="DS1682" s="118"/>
      <c r="DT1682" s="118"/>
      <c r="DU1682" s="118"/>
      <c r="DV1682" s="118"/>
      <c r="DW1682" s="118"/>
      <c r="DX1682" s="118"/>
      <c r="DY1682" s="118"/>
      <c r="DZ1682" s="118"/>
      <c r="EA1682" s="118"/>
      <c r="EB1682" s="118"/>
      <c r="EC1682" s="118"/>
      <c r="ED1682" s="118"/>
      <c r="EE1682" s="118"/>
      <c r="EF1682" s="118"/>
      <c r="EG1682" s="118"/>
      <c r="EH1682" s="118"/>
      <c r="EI1682" s="118"/>
      <c r="EJ1682" s="118"/>
      <c r="EK1682" s="118"/>
      <c r="EL1682" s="118"/>
      <c r="EM1682" s="118"/>
      <c r="EN1682" s="118"/>
      <c r="EO1682" s="118"/>
      <c r="EP1682" s="118"/>
      <c r="EQ1682" s="118"/>
      <c r="ER1682" s="118"/>
      <c r="ES1682" s="118"/>
      <c r="ET1682" s="118"/>
      <c r="EU1682" s="118"/>
      <c r="EV1682" s="118"/>
      <c r="EW1682" s="118"/>
      <c r="EX1682" s="118"/>
      <c r="EY1682" s="118"/>
      <c r="EZ1682" s="118"/>
      <c r="FA1682" s="118"/>
      <c r="FB1682" s="118"/>
      <c r="FC1682" s="118"/>
      <c r="FD1682" s="118"/>
      <c r="FE1682" s="118"/>
      <c r="FF1682" s="118"/>
      <c r="FG1682" s="118"/>
      <c r="FH1682" s="118"/>
      <c r="FI1682" s="118"/>
      <c r="FJ1682" s="118"/>
      <c r="FK1682" s="118"/>
      <c r="FL1682" s="118"/>
      <c r="FM1682" s="118"/>
      <c r="FN1682" s="118"/>
      <c r="FO1682" s="118"/>
      <c r="FP1682" s="118"/>
      <c r="FQ1682" s="118"/>
      <c r="FR1682" s="118"/>
      <c r="FS1682" s="118"/>
      <c r="FT1682" s="118"/>
      <c r="FU1682" s="118"/>
      <c r="FV1682" s="118"/>
      <c r="FW1682" s="118"/>
      <c r="FX1682" s="118"/>
      <c r="FY1682" s="118"/>
      <c r="FZ1682" s="118"/>
      <c r="GA1682" s="118"/>
      <c r="GB1682" s="118"/>
      <c r="GC1682" s="118"/>
      <c r="GD1682" s="118"/>
      <c r="GE1682" s="118"/>
      <c r="GF1682" s="118"/>
      <c r="GG1682" s="118"/>
      <c r="GH1682" s="118"/>
      <c r="GI1682" s="118"/>
      <c r="GJ1682" s="118"/>
      <c r="GK1682" s="118"/>
      <c r="GL1682" s="118"/>
      <c r="GM1682" s="118"/>
      <c r="GN1682" s="118"/>
      <c r="GO1682" s="118"/>
      <c r="GP1682" s="118"/>
      <c r="GQ1682" s="118"/>
      <c r="GR1682" s="118"/>
      <c r="GS1682" s="118"/>
      <c r="GT1682" s="118"/>
      <c r="GU1682" s="118"/>
      <c r="GV1682" s="118"/>
      <c r="GW1682" s="118"/>
      <c r="GX1682" s="118"/>
      <c r="GY1682" s="118"/>
      <c r="GZ1682" s="118"/>
      <c r="HA1682" s="118"/>
      <c r="HB1682" s="118"/>
      <c r="HC1682" s="118"/>
      <c r="HD1682" s="118"/>
      <c r="HE1682" s="118"/>
      <c r="HF1682" s="118"/>
      <c r="HG1682" s="118"/>
      <c r="HH1682" s="118"/>
      <c r="HI1682" s="118"/>
      <c r="HJ1682" s="118"/>
      <c r="HK1682" s="118"/>
      <c r="HL1682" s="118"/>
      <c r="HM1682" s="118"/>
      <c r="HN1682" s="118"/>
      <c r="HO1682" s="118"/>
      <c r="HP1682" s="118"/>
      <c r="HQ1682" s="118"/>
      <c r="HR1682" s="118"/>
      <c r="HS1682" s="118"/>
      <c r="HT1682" s="118"/>
      <c r="HU1682" s="118"/>
      <c r="HV1682" s="118"/>
      <c r="HW1682" s="118"/>
      <c r="HX1682" s="118"/>
      <c r="HY1682" s="118"/>
      <c r="HZ1682" s="118"/>
      <c r="IA1682" s="118"/>
      <c r="IB1682" s="118"/>
      <c r="IC1682" s="118"/>
      <c r="ID1682" s="118"/>
      <c r="IE1682" s="118"/>
      <c r="IF1682" s="118"/>
      <c r="IG1682" s="118"/>
      <c r="IH1682" s="118"/>
      <c r="II1682" s="118"/>
      <c r="IJ1682" s="118"/>
    </row>
    <row r="1683" spans="1:244" s="11" customFormat="1">
      <c r="A1683" s="118">
        <v>1682</v>
      </c>
      <c r="B1683" s="128">
        <v>19</v>
      </c>
      <c r="C1683" s="156">
        <v>38384</v>
      </c>
      <c r="D1683" s="157" t="s">
        <v>45</v>
      </c>
      <c r="E1683" s="8">
        <v>2005</v>
      </c>
      <c r="F1683" s="196" t="s">
        <v>41</v>
      </c>
      <c r="G1683" s="158">
        <v>2</v>
      </c>
      <c r="I1683" s="194"/>
      <c r="J1683" s="15"/>
      <c r="K1683" s="15"/>
      <c r="L1683" s="15"/>
      <c r="M1683" s="174"/>
      <c r="N1683" s="528"/>
      <c r="O1683" s="15"/>
      <c r="P1683" s="8"/>
      <c r="S1683" s="155"/>
      <c r="T1683" s="15"/>
      <c r="U1683" s="161"/>
      <c r="V1683" s="15"/>
      <c r="W1683" s="15"/>
      <c r="X1683" s="118"/>
      <c r="Y1683" s="118"/>
      <c r="Z1683" s="118"/>
      <c r="AA1683" s="118"/>
      <c r="AB1683" s="118"/>
      <c r="AC1683" s="118"/>
      <c r="AD1683" s="118"/>
      <c r="AE1683" s="118"/>
      <c r="AF1683" s="118"/>
      <c r="AG1683" s="118"/>
      <c r="AH1683" s="118"/>
      <c r="AI1683" s="118"/>
      <c r="AJ1683" s="118"/>
      <c r="AK1683" s="118"/>
      <c r="AL1683" s="118"/>
      <c r="AM1683" s="118"/>
      <c r="AN1683" s="118"/>
      <c r="AO1683" s="118"/>
      <c r="AP1683" s="118"/>
      <c r="AQ1683" s="118"/>
      <c r="AR1683" s="118"/>
      <c r="AS1683" s="118"/>
      <c r="AT1683" s="118"/>
      <c r="AU1683" s="118"/>
      <c r="AV1683" s="118"/>
      <c r="AW1683" s="118"/>
      <c r="AX1683" s="118"/>
      <c r="AY1683" s="118"/>
      <c r="AZ1683" s="118"/>
      <c r="BA1683" s="118"/>
      <c r="BB1683" s="118"/>
      <c r="BC1683" s="118"/>
      <c r="BD1683" s="118"/>
      <c r="BE1683" s="118"/>
      <c r="BF1683" s="118"/>
      <c r="BG1683" s="118"/>
      <c r="BH1683" s="118"/>
      <c r="BI1683" s="118"/>
      <c r="BJ1683" s="118"/>
      <c r="BK1683" s="118"/>
      <c r="BL1683" s="118"/>
      <c r="BM1683" s="118"/>
      <c r="BN1683" s="118"/>
      <c r="BO1683" s="118"/>
      <c r="BP1683" s="118"/>
      <c r="BQ1683" s="118"/>
      <c r="BR1683" s="118"/>
      <c r="BS1683" s="118"/>
      <c r="BT1683" s="118"/>
      <c r="BU1683" s="118"/>
      <c r="BV1683" s="118"/>
      <c r="BW1683" s="118"/>
      <c r="BX1683" s="118"/>
      <c r="BY1683" s="118"/>
      <c r="BZ1683" s="118"/>
      <c r="CA1683" s="118"/>
      <c r="CB1683" s="118"/>
      <c r="CC1683" s="118"/>
      <c r="CD1683" s="118"/>
      <c r="CE1683" s="118"/>
      <c r="CF1683" s="118"/>
      <c r="CG1683" s="118"/>
      <c r="CH1683" s="118"/>
      <c r="CI1683" s="118"/>
      <c r="CJ1683" s="118"/>
      <c r="CK1683" s="118"/>
      <c r="CL1683" s="118"/>
      <c r="CM1683" s="118"/>
      <c r="CN1683" s="118"/>
      <c r="CO1683" s="118"/>
      <c r="CP1683" s="118"/>
      <c r="CQ1683" s="118"/>
      <c r="CR1683" s="118"/>
      <c r="CS1683" s="118"/>
      <c r="CT1683" s="118"/>
      <c r="CU1683" s="118"/>
      <c r="CV1683" s="118"/>
      <c r="CW1683" s="118"/>
      <c r="CX1683" s="118"/>
      <c r="CY1683" s="118"/>
      <c r="CZ1683" s="118"/>
      <c r="DA1683" s="118"/>
      <c r="DB1683" s="118"/>
      <c r="DC1683" s="118"/>
      <c r="DD1683" s="118"/>
      <c r="DE1683" s="118"/>
      <c r="DF1683" s="118"/>
      <c r="DG1683" s="118"/>
      <c r="DH1683" s="118"/>
      <c r="DI1683" s="118"/>
      <c r="DJ1683" s="118"/>
      <c r="DK1683" s="118"/>
      <c r="DL1683" s="118"/>
      <c r="DM1683" s="118"/>
      <c r="DN1683" s="118"/>
      <c r="DO1683" s="118"/>
      <c r="DP1683" s="118"/>
      <c r="DQ1683" s="118"/>
      <c r="DR1683" s="118"/>
      <c r="DS1683" s="118"/>
      <c r="DT1683" s="118"/>
      <c r="DU1683" s="118"/>
      <c r="DV1683" s="118"/>
      <c r="DW1683" s="118"/>
      <c r="DX1683" s="118"/>
      <c r="DY1683" s="118"/>
      <c r="DZ1683" s="118"/>
      <c r="EA1683" s="118"/>
      <c r="EB1683" s="118"/>
      <c r="EC1683" s="118"/>
      <c r="ED1683" s="118"/>
      <c r="EE1683" s="118"/>
      <c r="EF1683" s="118"/>
      <c r="EG1683" s="118"/>
      <c r="EH1683" s="118"/>
      <c r="EI1683" s="118"/>
      <c r="EJ1683" s="118"/>
      <c r="EK1683" s="118"/>
      <c r="EL1683" s="118"/>
      <c r="EM1683" s="118"/>
      <c r="EN1683" s="118"/>
      <c r="EO1683" s="118"/>
      <c r="EP1683" s="118"/>
      <c r="EQ1683" s="118"/>
      <c r="ER1683" s="118"/>
      <c r="ES1683" s="118"/>
      <c r="ET1683" s="118"/>
      <c r="EU1683" s="118"/>
      <c r="EV1683" s="118"/>
      <c r="EW1683" s="118"/>
      <c r="EX1683" s="118"/>
      <c r="EY1683" s="118"/>
      <c r="EZ1683" s="118"/>
      <c r="FA1683" s="118"/>
      <c r="FB1683" s="118"/>
      <c r="FC1683" s="118"/>
      <c r="FD1683" s="118"/>
      <c r="FE1683" s="118"/>
      <c r="FF1683" s="118"/>
      <c r="FG1683" s="118"/>
      <c r="FH1683" s="118"/>
      <c r="FI1683" s="118"/>
      <c r="FJ1683" s="118"/>
      <c r="FK1683" s="118"/>
      <c r="FL1683" s="118"/>
      <c r="FM1683" s="118"/>
      <c r="FN1683" s="118"/>
      <c r="FO1683" s="118"/>
      <c r="FP1683" s="118"/>
      <c r="FQ1683" s="118"/>
      <c r="FR1683" s="118"/>
      <c r="FS1683" s="118"/>
      <c r="FT1683" s="118"/>
      <c r="FU1683" s="118"/>
      <c r="FV1683" s="118"/>
      <c r="FW1683" s="118"/>
      <c r="FX1683" s="118"/>
      <c r="FY1683" s="118"/>
      <c r="FZ1683" s="118"/>
      <c r="GA1683" s="118"/>
      <c r="GB1683" s="118"/>
      <c r="GC1683" s="118"/>
      <c r="GD1683" s="118"/>
      <c r="GE1683" s="118"/>
      <c r="GF1683" s="118"/>
      <c r="GG1683" s="118"/>
      <c r="GH1683" s="118"/>
      <c r="GI1683" s="118"/>
      <c r="GJ1683" s="118"/>
      <c r="GK1683" s="118"/>
      <c r="GL1683" s="118"/>
      <c r="GM1683" s="118"/>
      <c r="GN1683" s="118"/>
      <c r="GO1683" s="118"/>
      <c r="GP1683" s="118"/>
      <c r="GQ1683" s="118"/>
      <c r="GR1683" s="118"/>
      <c r="GS1683" s="118"/>
      <c r="GT1683" s="118"/>
      <c r="GU1683" s="118"/>
      <c r="GV1683" s="118"/>
      <c r="GW1683" s="118"/>
      <c r="GX1683" s="118"/>
      <c r="GY1683" s="118"/>
      <c r="GZ1683" s="118"/>
      <c r="HA1683" s="118"/>
      <c r="HB1683" s="118"/>
      <c r="HC1683" s="118"/>
      <c r="HD1683" s="118"/>
      <c r="HE1683" s="118"/>
      <c r="HF1683" s="118"/>
      <c r="HG1683" s="118"/>
      <c r="HH1683" s="118"/>
      <c r="HI1683" s="118"/>
      <c r="HJ1683" s="118"/>
      <c r="HK1683" s="118"/>
      <c r="HL1683" s="118"/>
      <c r="HM1683" s="118"/>
      <c r="HN1683" s="118"/>
      <c r="HO1683" s="118"/>
      <c r="HP1683" s="118"/>
      <c r="HQ1683" s="118"/>
      <c r="HR1683" s="118"/>
      <c r="HS1683" s="118"/>
      <c r="HT1683" s="118"/>
      <c r="HU1683" s="118"/>
      <c r="HV1683" s="118"/>
      <c r="HW1683" s="118"/>
      <c r="HX1683" s="118"/>
      <c r="HY1683" s="118"/>
      <c r="HZ1683" s="118"/>
      <c r="IA1683" s="118"/>
      <c r="IB1683" s="118"/>
      <c r="IC1683" s="118"/>
      <c r="ID1683" s="118"/>
      <c r="IE1683" s="118"/>
      <c r="IF1683" s="118"/>
      <c r="IG1683" s="118"/>
      <c r="IH1683" s="118"/>
      <c r="II1683" s="118"/>
      <c r="IJ1683" s="118"/>
    </row>
    <row r="1684" spans="1:244" s="11" customFormat="1">
      <c r="A1684" s="118">
        <v>1683</v>
      </c>
      <c r="B1684" s="128">
        <v>19</v>
      </c>
      <c r="C1684" s="156">
        <v>38412</v>
      </c>
      <c r="D1684" s="157" t="s">
        <v>46</v>
      </c>
      <c r="E1684" s="8">
        <v>2005</v>
      </c>
      <c r="F1684" s="196" t="s">
        <v>41</v>
      </c>
      <c r="G1684" s="158">
        <v>2</v>
      </c>
      <c r="H1684" s="11" t="s">
        <v>9</v>
      </c>
      <c r="I1684" s="194">
        <v>26728</v>
      </c>
      <c r="J1684" s="15">
        <v>0</v>
      </c>
      <c r="K1684" s="15">
        <v>3.85</v>
      </c>
      <c r="L1684" s="15">
        <v>3.35</v>
      </c>
      <c r="M1684" s="174"/>
      <c r="N1684" s="528"/>
      <c r="O1684" s="15">
        <v>0</v>
      </c>
      <c r="P1684" s="8"/>
      <c r="Q1684" s="11">
        <v>7.5</v>
      </c>
      <c r="R1684" s="11">
        <v>32</v>
      </c>
      <c r="S1684" s="155"/>
      <c r="T1684" s="161">
        <f t="shared" ref="T1684:T1698" si="434">$I1684*K1684</f>
        <v>102902.8</v>
      </c>
      <c r="U1684" s="161">
        <f t="shared" ref="U1684:U1698" si="435">$I1684*L1684</f>
        <v>89538.8</v>
      </c>
      <c r="V1684" s="161">
        <f t="shared" ref="V1684:V1717" si="436">$I1684*O1684</f>
        <v>0</v>
      </c>
      <c r="W1684" s="161">
        <f t="shared" ref="W1684:W1717" si="437">V1684*0.4</f>
        <v>0</v>
      </c>
      <c r="X1684" s="118"/>
      <c r="Y1684" s="118"/>
      <c r="Z1684" s="118"/>
      <c r="AA1684" s="118"/>
      <c r="AB1684" s="118"/>
      <c r="AC1684" s="118"/>
      <c r="AD1684" s="118"/>
      <c r="AE1684" s="118"/>
      <c r="AF1684" s="118"/>
      <c r="AG1684" s="118"/>
      <c r="AH1684" s="118"/>
      <c r="AI1684" s="118"/>
      <c r="AJ1684" s="118"/>
      <c r="AK1684" s="118"/>
      <c r="AL1684" s="118"/>
      <c r="AM1684" s="118"/>
      <c r="AN1684" s="118"/>
      <c r="AO1684" s="118"/>
      <c r="AP1684" s="118"/>
      <c r="AQ1684" s="118"/>
      <c r="AR1684" s="118"/>
      <c r="AS1684" s="118"/>
      <c r="AT1684" s="118"/>
      <c r="AU1684" s="118"/>
      <c r="AV1684" s="118"/>
      <c r="AW1684" s="118"/>
      <c r="AX1684" s="118"/>
      <c r="AY1684" s="118"/>
      <c r="AZ1684" s="118"/>
      <c r="BA1684" s="118"/>
      <c r="BB1684" s="118"/>
      <c r="BC1684" s="118"/>
      <c r="BD1684" s="118"/>
      <c r="BE1684" s="118"/>
      <c r="BF1684" s="118"/>
      <c r="BG1684" s="118"/>
      <c r="BH1684" s="118"/>
      <c r="BI1684" s="118"/>
      <c r="BJ1684" s="118"/>
      <c r="BK1684" s="118"/>
      <c r="BL1684" s="118"/>
      <c r="BM1684" s="118"/>
      <c r="BN1684" s="118"/>
      <c r="BO1684" s="118"/>
      <c r="BP1684" s="118"/>
      <c r="BQ1684" s="118"/>
      <c r="BR1684" s="118"/>
      <c r="BS1684" s="118"/>
      <c r="BT1684" s="118"/>
      <c r="BU1684" s="118"/>
      <c r="BV1684" s="118"/>
      <c r="BW1684" s="118"/>
      <c r="BX1684" s="118"/>
      <c r="BY1684" s="118"/>
      <c r="BZ1684" s="118"/>
      <c r="CA1684" s="118"/>
      <c r="CB1684" s="118"/>
      <c r="CC1684" s="118"/>
      <c r="CD1684" s="118"/>
      <c r="CE1684" s="118"/>
      <c r="CF1684" s="118"/>
      <c r="CG1684" s="118"/>
      <c r="CH1684" s="118"/>
      <c r="CI1684" s="118"/>
      <c r="CJ1684" s="118"/>
      <c r="CK1684" s="118"/>
      <c r="CL1684" s="118"/>
      <c r="CM1684" s="118"/>
      <c r="CN1684" s="118"/>
      <c r="CO1684" s="118"/>
      <c r="CP1684" s="118"/>
      <c r="CQ1684" s="118"/>
      <c r="CR1684" s="118"/>
      <c r="CS1684" s="118"/>
      <c r="CT1684" s="118"/>
      <c r="CU1684" s="118"/>
      <c r="CV1684" s="118"/>
      <c r="CW1684" s="118"/>
      <c r="CX1684" s="118"/>
      <c r="CY1684" s="118"/>
      <c r="CZ1684" s="118"/>
      <c r="DA1684" s="118"/>
      <c r="DB1684" s="118"/>
      <c r="DC1684" s="118"/>
      <c r="DD1684" s="118"/>
      <c r="DE1684" s="118"/>
      <c r="DF1684" s="118"/>
      <c r="DG1684" s="118"/>
      <c r="DH1684" s="118"/>
      <c r="DI1684" s="118"/>
      <c r="DJ1684" s="118"/>
      <c r="DK1684" s="118"/>
      <c r="DL1684" s="118"/>
      <c r="DM1684" s="118"/>
      <c r="DN1684" s="118"/>
      <c r="DO1684" s="118"/>
      <c r="DP1684" s="118"/>
      <c r="DQ1684" s="118"/>
      <c r="DR1684" s="118"/>
      <c r="DS1684" s="118"/>
      <c r="DT1684" s="118"/>
      <c r="DU1684" s="118"/>
      <c r="DV1684" s="118"/>
      <c r="DW1684" s="118"/>
      <c r="DX1684" s="118"/>
      <c r="DY1684" s="118"/>
      <c r="DZ1684" s="118"/>
      <c r="EA1684" s="118"/>
      <c r="EB1684" s="118"/>
      <c r="EC1684" s="118"/>
      <c r="ED1684" s="118"/>
      <c r="EE1684" s="118"/>
      <c r="EF1684" s="118"/>
      <c r="EG1684" s="118"/>
      <c r="EH1684" s="118"/>
      <c r="EI1684" s="118"/>
      <c r="EJ1684" s="118"/>
      <c r="EK1684" s="118"/>
      <c r="EL1684" s="118"/>
      <c r="EM1684" s="118"/>
      <c r="EN1684" s="118"/>
      <c r="EO1684" s="118"/>
      <c r="EP1684" s="118"/>
      <c r="EQ1684" s="118"/>
      <c r="ER1684" s="118"/>
      <c r="ES1684" s="118"/>
      <c r="ET1684" s="118"/>
      <c r="EU1684" s="118"/>
      <c r="EV1684" s="118"/>
      <c r="EW1684" s="118"/>
      <c r="EX1684" s="118"/>
      <c r="EY1684" s="118"/>
      <c r="EZ1684" s="118"/>
      <c r="FA1684" s="118"/>
      <c r="FB1684" s="118"/>
      <c r="FC1684" s="118"/>
      <c r="FD1684" s="118"/>
      <c r="FE1684" s="118"/>
      <c r="FF1684" s="118"/>
      <c r="FG1684" s="118"/>
      <c r="FH1684" s="118"/>
      <c r="FI1684" s="118"/>
      <c r="FJ1684" s="118"/>
      <c r="FK1684" s="118"/>
      <c r="FL1684" s="118"/>
      <c r="FM1684" s="118"/>
      <c r="FN1684" s="118"/>
      <c r="FO1684" s="118"/>
      <c r="FP1684" s="118"/>
      <c r="FQ1684" s="118"/>
      <c r="FR1684" s="118"/>
      <c r="FS1684" s="118"/>
      <c r="FT1684" s="118"/>
      <c r="FU1684" s="118"/>
      <c r="FV1684" s="118"/>
      <c r="FW1684" s="118"/>
      <c r="FX1684" s="118"/>
      <c r="FY1684" s="118"/>
      <c r="FZ1684" s="118"/>
      <c r="GA1684" s="118"/>
      <c r="GB1684" s="118"/>
      <c r="GC1684" s="118"/>
      <c r="GD1684" s="118"/>
      <c r="GE1684" s="118"/>
      <c r="GF1684" s="118"/>
      <c r="GG1684" s="118"/>
      <c r="GH1684" s="118"/>
      <c r="GI1684" s="118"/>
      <c r="GJ1684" s="118"/>
      <c r="GK1684" s="118"/>
      <c r="GL1684" s="118"/>
      <c r="GM1684" s="118"/>
      <c r="GN1684" s="118"/>
      <c r="GO1684" s="118"/>
      <c r="GP1684" s="118"/>
      <c r="GQ1684" s="118"/>
      <c r="GR1684" s="118"/>
      <c r="GS1684" s="118"/>
      <c r="GT1684" s="118"/>
      <c r="GU1684" s="118"/>
      <c r="GV1684" s="118"/>
      <c r="GW1684" s="118"/>
      <c r="GX1684" s="118"/>
      <c r="GY1684" s="118"/>
      <c r="GZ1684" s="118"/>
      <c r="HA1684" s="118"/>
      <c r="HB1684" s="118"/>
      <c r="HC1684" s="118"/>
      <c r="HD1684" s="118"/>
      <c r="HE1684" s="118"/>
      <c r="HF1684" s="118"/>
      <c r="HG1684" s="118"/>
      <c r="HH1684" s="118"/>
      <c r="HI1684" s="118"/>
      <c r="HJ1684" s="118"/>
      <c r="HK1684" s="118"/>
      <c r="HL1684" s="118"/>
      <c r="HM1684" s="118"/>
      <c r="HN1684" s="118"/>
      <c r="HO1684" s="118"/>
      <c r="HP1684" s="118"/>
      <c r="HQ1684" s="118"/>
      <c r="HR1684" s="118"/>
      <c r="HS1684" s="118"/>
      <c r="HT1684" s="118"/>
      <c r="HU1684" s="118"/>
      <c r="HV1684" s="118"/>
      <c r="HW1684" s="118"/>
      <c r="HX1684" s="118"/>
      <c r="HY1684" s="118"/>
      <c r="HZ1684" s="118"/>
      <c r="IA1684" s="118"/>
      <c r="IB1684" s="118"/>
      <c r="IC1684" s="118"/>
      <c r="ID1684" s="118"/>
      <c r="IE1684" s="118"/>
      <c r="IF1684" s="118"/>
      <c r="IG1684" s="118"/>
      <c r="IH1684" s="118"/>
      <c r="II1684" s="118"/>
      <c r="IJ1684" s="118"/>
    </row>
    <row r="1685" spans="1:244" s="11" customFormat="1">
      <c r="A1685" s="118">
        <v>1684</v>
      </c>
      <c r="B1685" s="128">
        <v>19</v>
      </c>
      <c r="C1685" s="156">
        <v>38443</v>
      </c>
      <c r="D1685" s="157" t="s">
        <v>47</v>
      </c>
      <c r="E1685" s="8">
        <v>2005</v>
      </c>
      <c r="F1685" s="196" t="s">
        <v>41</v>
      </c>
      <c r="G1685" s="158">
        <v>2</v>
      </c>
      <c r="H1685" s="11" t="s">
        <v>9</v>
      </c>
      <c r="I1685" s="198">
        <v>20000</v>
      </c>
      <c r="J1685" s="173"/>
      <c r="K1685" s="165">
        <f>(K1684+K1686)/2</f>
        <v>1.99</v>
      </c>
      <c r="L1685" s="165">
        <f>(L1684+L1686)/2</f>
        <v>1.7</v>
      </c>
      <c r="M1685" s="174"/>
      <c r="N1685" s="528">
        <v>1</v>
      </c>
      <c r="O1685" s="165">
        <f>(O1684+O1686)/2</f>
        <v>0</v>
      </c>
      <c r="P1685" s="8"/>
      <c r="S1685" s="155"/>
      <c r="T1685" s="161">
        <f t="shared" si="434"/>
        <v>39800</v>
      </c>
      <c r="U1685" s="161">
        <f t="shared" si="435"/>
        <v>34000</v>
      </c>
      <c r="V1685" s="161">
        <f t="shared" si="436"/>
        <v>0</v>
      </c>
      <c r="W1685" s="161">
        <f t="shared" si="437"/>
        <v>0</v>
      </c>
      <c r="X1685" s="118"/>
      <c r="Y1685" s="118"/>
      <c r="Z1685" s="118"/>
      <c r="AA1685" s="118"/>
      <c r="AB1685" s="118"/>
      <c r="AC1685" s="118"/>
      <c r="AD1685" s="118"/>
      <c r="AE1685" s="118"/>
      <c r="AF1685" s="118"/>
      <c r="AG1685" s="118"/>
      <c r="AH1685" s="118"/>
      <c r="AI1685" s="118"/>
      <c r="AJ1685" s="118"/>
      <c r="AK1685" s="118"/>
      <c r="AL1685" s="118"/>
      <c r="AM1685" s="118"/>
      <c r="AN1685" s="118"/>
      <c r="AO1685" s="118"/>
      <c r="AP1685" s="118"/>
      <c r="AQ1685" s="118"/>
      <c r="AR1685" s="118"/>
      <c r="AS1685" s="118"/>
      <c r="AT1685" s="118"/>
      <c r="AU1685" s="118"/>
      <c r="AV1685" s="118"/>
      <c r="AW1685" s="118"/>
      <c r="AX1685" s="118"/>
      <c r="AY1685" s="118"/>
      <c r="AZ1685" s="118"/>
      <c r="BA1685" s="118"/>
      <c r="BB1685" s="118"/>
      <c r="BC1685" s="118"/>
      <c r="BD1685" s="118"/>
      <c r="BE1685" s="118"/>
      <c r="BF1685" s="118"/>
      <c r="BG1685" s="118"/>
      <c r="BH1685" s="118"/>
      <c r="BI1685" s="118"/>
      <c r="BJ1685" s="118"/>
      <c r="BK1685" s="118"/>
      <c r="BL1685" s="118"/>
      <c r="BM1685" s="118"/>
      <c r="BN1685" s="118"/>
      <c r="BO1685" s="118"/>
      <c r="BP1685" s="118"/>
      <c r="BQ1685" s="118"/>
      <c r="BR1685" s="118"/>
      <c r="BS1685" s="118"/>
      <c r="BT1685" s="118"/>
      <c r="BU1685" s="118"/>
      <c r="BV1685" s="118"/>
      <c r="BW1685" s="118"/>
      <c r="BX1685" s="118"/>
      <c r="BY1685" s="118"/>
      <c r="BZ1685" s="118"/>
      <c r="CA1685" s="118"/>
      <c r="CB1685" s="118"/>
      <c r="CC1685" s="118"/>
      <c r="CD1685" s="118"/>
      <c r="CE1685" s="118"/>
      <c r="CF1685" s="118"/>
      <c r="CG1685" s="118"/>
      <c r="CH1685" s="118"/>
      <c r="CI1685" s="118"/>
      <c r="CJ1685" s="118"/>
      <c r="CK1685" s="118"/>
      <c r="CL1685" s="118"/>
      <c r="CM1685" s="118"/>
      <c r="CN1685" s="118"/>
      <c r="CO1685" s="118"/>
      <c r="CP1685" s="118"/>
      <c r="CQ1685" s="118"/>
      <c r="CR1685" s="118"/>
      <c r="CS1685" s="118"/>
      <c r="CT1685" s="118"/>
      <c r="CU1685" s="118"/>
      <c r="CV1685" s="118"/>
      <c r="CW1685" s="118"/>
      <c r="CX1685" s="118"/>
      <c r="CY1685" s="118"/>
      <c r="CZ1685" s="118"/>
      <c r="DA1685" s="118"/>
      <c r="DB1685" s="118"/>
      <c r="DC1685" s="118"/>
      <c r="DD1685" s="118"/>
      <c r="DE1685" s="118"/>
      <c r="DF1685" s="118"/>
      <c r="DG1685" s="118"/>
      <c r="DH1685" s="118"/>
      <c r="DI1685" s="118"/>
      <c r="DJ1685" s="118"/>
      <c r="DK1685" s="118"/>
      <c r="DL1685" s="118"/>
      <c r="DM1685" s="118"/>
      <c r="DN1685" s="118"/>
      <c r="DO1685" s="118"/>
      <c r="DP1685" s="118"/>
      <c r="DQ1685" s="118"/>
      <c r="DR1685" s="118"/>
      <c r="DS1685" s="118"/>
      <c r="DT1685" s="118"/>
      <c r="DU1685" s="118"/>
      <c r="DV1685" s="118"/>
      <c r="DW1685" s="118"/>
      <c r="DX1685" s="118"/>
      <c r="DY1685" s="118"/>
      <c r="DZ1685" s="118"/>
      <c r="EA1685" s="118"/>
      <c r="EB1685" s="118"/>
      <c r="EC1685" s="118"/>
      <c r="ED1685" s="118"/>
      <c r="EE1685" s="118"/>
      <c r="EF1685" s="118"/>
      <c r="EG1685" s="118"/>
      <c r="EH1685" s="118"/>
      <c r="EI1685" s="118"/>
      <c r="EJ1685" s="118"/>
      <c r="EK1685" s="118"/>
      <c r="EL1685" s="118"/>
      <c r="EM1685" s="118"/>
      <c r="EN1685" s="118"/>
      <c r="EO1685" s="118"/>
      <c r="EP1685" s="118"/>
      <c r="EQ1685" s="118"/>
      <c r="ER1685" s="118"/>
      <c r="ES1685" s="118"/>
      <c r="ET1685" s="118"/>
      <c r="EU1685" s="118"/>
      <c r="EV1685" s="118"/>
      <c r="EW1685" s="118"/>
      <c r="EX1685" s="118"/>
      <c r="EY1685" s="118"/>
      <c r="EZ1685" s="118"/>
      <c r="FA1685" s="118"/>
      <c r="FB1685" s="118"/>
      <c r="FC1685" s="118"/>
      <c r="FD1685" s="118"/>
      <c r="FE1685" s="118"/>
      <c r="FF1685" s="118"/>
      <c r="FG1685" s="118"/>
      <c r="FH1685" s="118"/>
      <c r="FI1685" s="118"/>
      <c r="FJ1685" s="118"/>
      <c r="FK1685" s="118"/>
      <c r="FL1685" s="118"/>
      <c r="FM1685" s="118"/>
      <c r="FN1685" s="118"/>
      <c r="FO1685" s="118"/>
      <c r="FP1685" s="118"/>
      <c r="FQ1685" s="118"/>
      <c r="FR1685" s="118"/>
      <c r="FS1685" s="118"/>
      <c r="FT1685" s="118"/>
      <c r="FU1685" s="118"/>
      <c r="FV1685" s="118"/>
      <c r="FW1685" s="118"/>
      <c r="FX1685" s="118"/>
      <c r="FY1685" s="118"/>
      <c r="FZ1685" s="118"/>
      <c r="GA1685" s="118"/>
      <c r="GB1685" s="118"/>
      <c r="GC1685" s="118"/>
      <c r="GD1685" s="118"/>
      <c r="GE1685" s="118"/>
      <c r="GF1685" s="118"/>
      <c r="GG1685" s="118"/>
      <c r="GH1685" s="118"/>
      <c r="GI1685" s="118"/>
      <c r="GJ1685" s="118"/>
      <c r="GK1685" s="118"/>
      <c r="GL1685" s="118"/>
      <c r="GM1685" s="118"/>
      <c r="GN1685" s="118"/>
      <c r="GO1685" s="118"/>
      <c r="GP1685" s="118"/>
      <c r="GQ1685" s="118"/>
      <c r="GR1685" s="118"/>
      <c r="GS1685" s="118"/>
      <c r="GT1685" s="118"/>
      <c r="GU1685" s="118"/>
      <c r="GV1685" s="118"/>
      <c r="GW1685" s="118"/>
      <c r="GX1685" s="118"/>
      <c r="GY1685" s="118"/>
      <c r="GZ1685" s="118"/>
      <c r="HA1685" s="118"/>
      <c r="HB1685" s="118"/>
      <c r="HC1685" s="118"/>
      <c r="HD1685" s="118"/>
      <c r="HE1685" s="118"/>
      <c r="HF1685" s="118"/>
      <c r="HG1685" s="118"/>
      <c r="HH1685" s="118"/>
      <c r="HI1685" s="118"/>
      <c r="HJ1685" s="118"/>
      <c r="HK1685" s="118"/>
      <c r="HL1685" s="118"/>
      <c r="HM1685" s="118"/>
      <c r="HN1685" s="118"/>
      <c r="HO1685" s="118"/>
      <c r="HP1685" s="118"/>
      <c r="HQ1685" s="118"/>
      <c r="HR1685" s="118"/>
      <c r="HS1685" s="118"/>
      <c r="HT1685" s="118"/>
      <c r="HU1685" s="118"/>
      <c r="HV1685" s="118"/>
      <c r="HW1685" s="118"/>
      <c r="HX1685" s="118"/>
      <c r="HY1685" s="118"/>
      <c r="HZ1685" s="118"/>
      <c r="IA1685" s="118"/>
      <c r="IB1685" s="118"/>
      <c r="IC1685" s="118"/>
      <c r="ID1685" s="118"/>
      <c r="IE1685" s="118"/>
      <c r="IF1685" s="118"/>
      <c r="IG1685" s="118"/>
      <c r="IH1685" s="118"/>
      <c r="II1685" s="118"/>
      <c r="IJ1685" s="118"/>
    </row>
    <row r="1686" spans="1:244">
      <c r="A1686" s="118">
        <v>1685</v>
      </c>
      <c r="B1686" s="128">
        <v>19</v>
      </c>
      <c r="C1686" s="156">
        <v>38473</v>
      </c>
      <c r="D1686" s="157" t="s">
        <v>48</v>
      </c>
      <c r="E1686" s="8">
        <v>2005</v>
      </c>
      <c r="F1686" s="196" t="s">
        <v>41</v>
      </c>
      <c r="G1686" s="158">
        <v>2</v>
      </c>
      <c r="H1686" s="11" t="s">
        <v>9</v>
      </c>
      <c r="I1686" s="194">
        <v>10140</v>
      </c>
      <c r="J1686" s="15">
        <v>0.1</v>
      </c>
      <c r="K1686" s="15">
        <v>0.13</v>
      </c>
      <c r="L1686" s="15">
        <v>0.05</v>
      </c>
      <c r="O1686" s="15">
        <v>0</v>
      </c>
      <c r="Q1686" s="11">
        <v>9</v>
      </c>
      <c r="R1686" s="11">
        <v>32</v>
      </c>
      <c r="T1686" s="161">
        <f t="shared" si="434"/>
        <v>1318.2</v>
      </c>
      <c r="U1686" s="161">
        <f t="shared" si="435"/>
        <v>507</v>
      </c>
      <c r="V1686" s="161">
        <f t="shared" si="436"/>
        <v>0</v>
      </c>
      <c r="W1686" s="161">
        <f t="shared" si="437"/>
        <v>0</v>
      </c>
    </row>
    <row r="1687" spans="1:244">
      <c r="A1687" s="118">
        <v>1686</v>
      </c>
      <c r="B1687" s="128">
        <v>19</v>
      </c>
      <c r="C1687" s="156">
        <v>38504</v>
      </c>
      <c r="D1687" s="157" t="s">
        <v>49</v>
      </c>
      <c r="E1687" s="8">
        <v>2005</v>
      </c>
      <c r="F1687" s="196" t="s">
        <v>41</v>
      </c>
      <c r="G1687" s="158">
        <v>2</v>
      </c>
      <c r="H1687" s="11" t="s">
        <v>9</v>
      </c>
      <c r="I1687" s="198">
        <v>20000</v>
      </c>
      <c r="J1687" s="173"/>
      <c r="K1687" s="165">
        <f>(K1686+K1688)/2</f>
        <v>0.4</v>
      </c>
      <c r="L1687" s="165">
        <f>(L1686+L1688)/2</f>
        <v>0.1</v>
      </c>
      <c r="N1687" s="528">
        <v>1</v>
      </c>
      <c r="O1687" s="165">
        <f>(O1686+O1688)/2</f>
        <v>0.01</v>
      </c>
      <c r="T1687" s="161">
        <f t="shared" si="434"/>
        <v>8000</v>
      </c>
      <c r="U1687" s="161">
        <f t="shared" si="435"/>
        <v>2000</v>
      </c>
      <c r="V1687" s="161">
        <f t="shared" si="436"/>
        <v>200</v>
      </c>
      <c r="W1687" s="161">
        <f t="shared" si="437"/>
        <v>80</v>
      </c>
    </row>
    <row r="1688" spans="1:244">
      <c r="A1688" s="118">
        <v>1687</v>
      </c>
      <c r="B1688" s="128">
        <v>19</v>
      </c>
      <c r="C1688" s="156">
        <v>38534</v>
      </c>
      <c r="D1688" s="157" t="s">
        <v>50</v>
      </c>
      <c r="E1688" s="8">
        <v>2005</v>
      </c>
      <c r="F1688" s="196" t="s">
        <v>41</v>
      </c>
      <c r="G1688" s="158">
        <v>2</v>
      </c>
      <c r="H1688" s="11" t="s">
        <v>9</v>
      </c>
      <c r="I1688" s="198">
        <v>20000</v>
      </c>
      <c r="J1688" s="15">
        <v>0.88</v>
      </c>
      <c r="K1688" s="15">
        <v>0.67</v>
      </c>
      <c r="L1688" s="15">
        <v>0.15</v>
      </c>
      <c r="O1688" s="15">
        <v>0.02</v>
      </c>
      <c r="Q1688" s="11">
        <v>10</v>
      </c>
      <c r="R1688" s="11">
        <v>32</v>
      </c>
      <c r="T1688" s="161">
        <f t="shared" si="434"/>
        <v>13400</v>
      </c>
      <c r="U1688" s="161">
        <f t="shared" si="435"/>
        <v>3000</v>
      </c>
      <c r="V1688" s="161">
        <f t="shared" si="436"/>
        <v>400</v>
      </c>
      <c r="W1688" s="161">
        <f t="shared" si="437"/>
        <v>160</v>
      </c>
    </row>
    <row r="1689" spans="1:244">
      <c r="A1689" s="118">
        <v>1688</v>
      </c>
      <c r="B1689" s="128">
        <v>19</v>
      </c>
      <c r="C1689" s="156">
        <v>38565</v>
      </c>
      <c r="D1689" s="157" t="s">
        <v>51</v>
      </c>
      <c r="E1689" s="8">
        <v>2005</v>
      </c>
      <c r="F1689" s="196" t="s">
        <v>41</v>
      </c>
      <c r="G1689" s="158">
        <v>2</v>
      </c>
      <c r="H1689" s="11" t="s">
        <v>9</v>
      </c>
      <c r="I1689" s="198">
        <v>20000</v>
      </c>
      <c r="J1689" s="15">
        <v>2.4500000000000002</v>
      </c>
      <c r="K1689" s="15">
        <v>4.55</v>
      </c>
      <c r="L1689" s="15">
        <v>0.8</v>
      </c>
      <c r="M1689" s="174">
        <v>2</v>
      </c>
      <c r="O1689" s="15">
        <v>0.1</v>
      </c>
      <c r="P1689" s="8">
        <v>1</v>
      </c>
      <c r="Q1689" s="11">
        <v>10</v>
      </c>
      <c r="R1689" s="11">
        <v>32</v>
      </c>
      <c r="T1689" s="161">
        <f t="shared" si="434"/>
        <v>91000</v>
      </c>
      <c r="U1689" s="161">
        <f t="shared" si="435"/>
        <v>16000</v>
      </c>
      <c r="V1689" s="161">
        <f t="shared" si="436"/>
        <v>2000</v>
      </c>
      <c r="W1689" s="161">
        <f t="shared" si="437"/>
        <v>800</v>
      </c>
    </row>
    <row r="1690" spans="1:244">
      <c r="A1690" s="118">
        <v>1689</v>
      </c>
      <c r="B1690" s="128">
        <v>19</v>
      </c>
      <c r="C1690" s="156">
        <v>38596</v>
      </c>
      <c r="D1690" s="157" t="s">
        <v>52</v>
      </c>
      <c r="E1690" s="8">
        <v>2005</v>
      </c>
      <c r="F1690" s="196" t="s">
        <v>41</v>
      </c>
      <c r="G1690" s="158">
        <v>2</v>
      </c>
      <c r="H1690" s="11" t="s">
        <v>9</v>
      </c>
      <c r="I1690" s="198">
        <v>20000</v>
      </c>
      <c r="J1690" s="15">
        <v>0.15</v>
      </c>
      <c r="K1690" s="15">
        <v>0.1</v>
      </c>
      <c r="L1690" s="15">
        <v>0</v>
      </c>
      <c r="O1690" s="15">
        <v>0</v>
      </c>
      <c r="Q1690" s="11">
        <v>10</v>
      </c>
      <c r="R1690" s="11">
        <v>32</v>
      </c>
      <c r="T1690" s="161">
        <f t="shared" si="434"/>
        <v>2000</v>
      </c>
      <c r="U1690" s="161">
        <f t="shared" si="435"/>
        <v>0</v>
      </c>
      <c r="V1690" s="161">
        <f t="shared" si="436"/>
        <v>0</v>
      </c>
      <c r="W1690" s="161">
        <f t="shared" si="437"/>
        <v>0</v>
      </c>
    </row>
    <row r="1691" spans="1:244">
      <c r="A1691" s="118">
        <v>1690</v>
      </c>
      <c r="B1691" s="128">
        <v>19</v>
      </c>
      <c r="C1691" s="156">
        <v>38626</v>
      </c>
      <c r="D1691" s="157" t="s">
        <v>53</v>
      </c>
      <c r="E1691" s="8">
        <v>2005</v>
      </c>
      <c r="F1691" s="196" t="s">
        <v>41</v>
      </c>
      <c r="G1691" s="158">
        <v>2</v>
      </c>
      <c r="H1691" s="11" t="s">
        <v>9</v>
      </c>
      <c r="I1691" s="198">
        <v>20000</v>
      </c>
      <c r="J1691" s="173"/>
      <c r="K1691" s="165">
        <f>(K1690+K1692)/2</f>
        <v>1.175</v>
      </c>
      <c r="L1691" s="165">
        <f>(L1690+L1692)/2</f>
        <v>0</v>
      </c>
      <c r="N1691" s="528">
        <v>1</v>
      </c>
      <c r="O1691" s="165">
        <f>(O1690+O1692)/2</f>
        <v>0.82499999999999996</v>
      </c>
      <c r="T1691" s="161">
        <f t="shared" si="434"/>
        <v>23500</v>
      </c>
      <c r="U1691" s="161">
        <f t="shared" si="435"/>
        <v>0</v>
      </c>
      <c r="V1691" s="161">
        <f t="shared" si="436"/>
        <v>16500</v>
      </c>
      <c r="W1691" s="161">
        <f t="shared" si="437"/>
        <v>6600</v>
      </c>
    </row>
    <row r="1692" spans="1:244" ht="12.75" customHeight="1">
      <c r="A1692" s="118">
        <v>1691</v>
      </c>
      <c r="B1692" s="128">
        <v>19</v>
      </c>
      <c r="C1692" s="156">
        <v>38657</v>
      </c>
      <c r="D1692" s="157" t="s">
        <v>54</v>
      </c>
      <c r="E1692" s="8">
        <v>2005</v>
      </c>
      <c r="F1692" s="196" t="s">
        <v>41</v>
      </c>
      <c r="G1692" s="158">
        <v>2</v>
      </c>
      <c r="H1692" s="11" t="s">
        <v>9</v>
      </c>
      <c r="I1692" s="198">
        <v>20000</v>
      </c>
      <c r="J1692" s="15">
        <v>19</v>
      </c>
      <c r="K1692" s="15">
        <v>2.25</v>
      </c>
      <c r="L1692" s="15">
        <v>0</v>
      </c>
      <c r="O1692" s="15">
        <v>1.65</v>
      </c>
      <c r="Q1692" s="11">
        <v>8</v>
      </c>
      <c r="R1692" s="11">
        <v>32</v>
      </c>
      <c r="T1692" s="161">
        <f t="shared" si="434"/>
        <v>45000</v>
      </c>
      <c r="U1692" s="161">
        <f t="shared" si="435"/>
        <v>0</v>
      </c>
      <c r="V1692" s="161">
        <f t="shared" si="436"/>
        <v>33000</v>
      </c>
      <c r="W1692" s="161">
        <f t="shared" si="437"/>
        <v>13200</v>
      </c>
    </row>
    <row r="1693" spans="1:244" ht="12.75" customHeight="1">
      <c r="A1693" s="118">
        <v>1692</v>
      </c>
      <c r="B1693" s="128">
        <v>19</v>
      </c>
      <c r="C1693" s="156">
        <v>38687</v>
      </c>
      <c r="D1693" s="157" t="s">
        <v>55</v>
      </c>
      <c r="E1693" s="8">
        <v>2005</v>
      </c>
      <c r="F1693" s="196" t="s">
        <v>41</v>
      </c>
      <c r="G1693" s="158">
        <v>2</v>
      </c>
      <c r="H1693" s="11" t="s">
        <v>9</v>
      </c>
      <c r="I1693" s="198">
        <v>20000</v>
      </c>
      <c r="J1693" s="173"/>
      <c r="K1693" s="165">
        <f>(K1692+K1694)/2</f>
        <v>8.4149999999999991</v>
      </c>
      <c r="L1693" s="165">
        <f>(L1692+L1694)/2</f>
        <v>1.75</v>
      </c>
      <c r="N1693" s="528">
        <v>1</v>
      </c>
      <c r="O1693" s="165">
        <f>(O1692+O1694)/2</f>
        <v>2.4500000000000002</v>
      </c>
      <c r="T1693" s="161">
        <f t="shared" si="434"/>
        <v>168299.99999999997</v>
      </c>
      <c r="U1693" s="161">
        <f t="shared" si="435"/>
        <v>35000</v>
      </c>
      <c r="V1693" s="161">
        <f t="shared" si="436"/>
        <v>49000</v>
      </c>
      <c r="W1693" s="161">
        <f t="shared" si="437"/>
        <v>19600</v>
      </c>
    </row>
    <row r="1694" spans="1:244" ht="12.75" customHeight="1">
      <c r="A1694" s="118">
        <v>1693</v>
      </c>
      <c r="B1694" s="128">
        <v>19</v>
      </c>
      <c r="C1694" s="156">
        <v>38718</v>
      </c>
      <c r="D1694" s="157" t="s">
        <v>44</v>
      </c>
      <c r="E1694" s="8">
        <v>2006</v>
      </c>
      <c r="F1694" s="196" t="s">
        <v>41</v>
      </c>
      <c r="G1694" s="158">
        <v>2</v>
      </c>
      <c r="H1694" s="11" t="s">
        <v>9</v>
      </c>
      <c r="I1694" s="198">
        <v>20000</v>
      </c>
      <c r="J1694" s="15">
        <v>28.92</v>
      </c>
      <c r="K1694" s="15">
        <v>14.58</v>
      </c>
      <c r="L1694" s="15">
        <v>3.5</v>
      </c>
      <c r="O1694" s="15">
        <v>3.25</v>
      </c>
      <c r="P1694" s="8">
        <v>1</v>
      </c>
      <c r="Q1694" s="11">
        <v>8</v>
      </c>
      <c r="R1694" s="11">
        <v>32</v>
      </c>
      <c r="T1694" s="161">
        <f t="shared" si="434"/>
        <v>291600</v>
      </c>
      <c r="U1694" s="161">
        <f t="shared" si="435"/>
        <v>70000</v>
      </c>
      <c r="V1694" s="161">
        <f t="shared" si="436"/>
        <v>65000</v>
      </c>
      <c r="W1694" s="161">
        <f t="shared" si="437"/>
        <v>26000</v>
      </c>
    </row>
    <row r="1695" spans="1:244" ht="12.75" customHeight="1">
      <c r="A1695" s="118">
        <v>1694</v>
      </c>
      <c r="B1695" s="128">
        <v>19</v>
      </c>
      <c r="C1695" s="156">
        <v>38749</v>
      </c>
      <c r="D1695" s="157" t="s">
        <v>45</v>
      </c>
      <c r="E1695" s="8">
        <v>2006</v>
      </c>
      <c r="F1695" s="196" t="s">
        <v>41</v>
      </c>
      <c r="G1695" s="158">
        <v>2</v>
      </c>
      <c r="H1695" s="11" t="s">
        <v>9</v>
      </c>
      <c r="I1695" s="198">
        <v>20000</v>
      </c>
      <c r="J1695" s="173"/>
      <c r="K1695" s="165">
        <f>(K1694+K1696)/2</f>
        <v>9.24</v>
      </c>
      <c r="L1695" s="165">
        <f>(L1694+L1696)/2</f>
        <v>2.9249999999999998</v>
      </c>
      <c r="N1695" s="528">
        <v>1</v>
      </c>
      <c r="O1695" s="165">
        <f>(O1694+O1696)/2</f>
        <v>1.625</v>
      </c>
      <c r="T1695" s="161">
        <f t="shared" si="434"/>
        <v>184800</v>
      </c>
      <c r="U1695" s="161">
        <f t="shared" si="435"/>
        <v>58500</v>
      </c>
      <c r="V1695" s="161">
        <f t="shared" si="436"/>
        <v>32500</v>
      </c>
      <c r="W1695" s="161">
        <f t="shared" si="437"/>
        <v>13000</v>
      </c>
    </row>
    <row r="1696" spans="1:244" ht="12.75" customHeight="1">
      <c r="A1696" s="118">
        <v>1695</v>
      </c>
      <c r="B1696" s="128">
        <v>19</v>
      </c>
      <c r="C1696" s="156">
        <v>38777</v>
      </c>
      <c r="D1696" s="157" t="s">
        <v>46</v>
      </c>
      <c r="E1696" s="8">
        <v>2006</v>
      </c>
      <c r="F1696" s="196" t="s">
        <v>41</v>
      </c>
      <c r="G1696" s="158">
        <v>2</v>
      </c>
      <c r="H1696" s="11" t="s">
        <v>9</v>
      </c>
      <c r="I1696" s="194">
        <v>28371</v>
      </c>
      <c r="J1696" s="15">
        <v>0.55000000000000004</v>
      </c>
      <c r="K1696" s="15">
        <v>3.9</v>
      </c>
      <c r="L1696" s="15">
        <v>2.35</v>
      </c>
      <c r="O1696" s="15">
        <v>0</v>
      </c>
      <c r="Q1696" s="11">
        <v>7</v>
      </c>
      <c r="R1696" s="11">
        <v>32</v>
      </c>
      <c r="T1696" s="161">
        <f t="shared" si="434"/>
        <v>110646.9</v>
      </c>
      <c r="U1696" s="161">
        <f t="shared" si="435"/>
        <v>66671.850000000006</v>
      </c>
      <c r="V1696" s="161">
        <f t="shared" si="436"/>
        <v>0</v>
      </c>
      <c r="W1696" s="161">
        <f t="shared" si="437"/>
        <v>0</v>
      </c>
    </row>
    <row r="1697" spans="1:244" ht="12.75" customHeight="1">
      <c r="A1697" s="118">
        <v>1696</v>
      </c>
      <c r="B1697" s="128">
        <v>19</v>
      </c>
      <c r="C1697" s="156">
        <v>38808</v>
      </c>
      <c r="D1697" s="157" t="s">
        <v>47</v>
      </c>
      <c r="E1697" s="8">
        <v>2006</v>
      </c>
      <c r="F1697" s="196" t="s">
        <v>41</v>
      </c>
      <c r="G1697" s="158">
        <v>2</v>
      </c>
      <c r="H1697" s="11" t="s">
        <v>9</v>
      </c>
      <c r="I1697" s="194">
        <v>27948</v>
      </c>
      <c r="J1697" s="15">
        <v>0</v>
      </c>
      <c r="K1697" s="15">
        <v>0.15</v>
      </c>
      <c r="L1697" s="15">
        <v>0.05</v>
      </c>
      <c r="M1697" s="174">
        <v>0</v>
      </c>
      <c r="O1697" s="15">
        <v>0</v>
      </c>
      <c r="Q1697" s="11">
        <v>8</v>
      </c>
      <c r="R1697" s="11">
        <v>32</v>
      </c>
      <c r="T1697" s="161">
        <f t="shared" si="434"/>
        <v>4192.2</v>
      </c>
      <c r="U1697" s="161">
        <f t="shared" si="435"/>
        <v>1397.4</v>
      </c>
      <c r="V1697" s="161">
        <f t="shared" si="436"/>
        <v>0</v>
      </c>
      <c r="W1697" s="161">
        <f t="shared" si="437"/>
        <v>0</v>
      </c>
    </row>
    <row r="1698" spans="1:244" ht="12.75" customHeight="1">
      <c r="A1698" s="118">
        <v>1697</v>
      </c>
      <c r="B1698" s="128">
        <v>19</v>
      </c>
      <c r="C1698" s="156">
        <v>38838</v>
      </c>
      <c r="D1698" s="157" t="s">
        <v>48</v>
      </c>
      <c r="E1698" s="8">
        <v>2006</v>
      </c>
      <c r="F1698" s="196" t="s">
        <v>41</v>
      </c>
      <c r="G1698" s="158">
        <v>2</v>
      </c>
      <c r="H1698" s="11" t="s">
        <v>9</v>
      </c>
      <c r="I1698" s="194">
        <v>22049</v>
      </c>
      <c r="J1698" s="15">
        <v>0.33</v>
      </c>
      <c r="K1698" s="15">
        <v>0.03</v>
      </c>
      <c r="L1698" s="15">
        <v>0.03</v>
      </c>
      <c r="O1698" s="15">
        <v>0</v>
      </c>
      <c r="Q1698" s="11">
        <v>9</v>
      </c>
      <c r="R1698" s="11">
        <v>32</v>
      </c>
      <c r="T1698" s="161">
        <f t="shared" si="434"/>
        <v>661.47</v>
      </c>
      <c r="U1698" s="161">
        <f t="shared" si="435"/>
        <v>661.47</v>
      </c>
      <c r="V1698" s="161">
        <f t="shared" si="436"/>
        <v>0</v>
      </c>
      <c r="W1698" s="161">
        <f t="shared" si="437"/>
        <v>0</v>
      </c>
      <c r="X1698" s="11"/>
      <c r="Y1698" s="11"/>
      <c r="Z1698" s="11"/>
      <c r="AA1698" s="11"/>
      <c r="AB1698" s="11"/>
      <c r="AC1698" s="11"/>
      <c r="AD1698" s="11"/>
      <c r="AE1698" s="11"/>
      <c r="AF1698" s="11"/>
      <c r="AG1698" s="11"/>
      <c r="AH1698" s="11"/>
      <c r="AI1698" s="11"/>
      <c r="AJ1698" s="11"/>
      <c r="AK1698" s="11"/>
      <c r="AL1698" s="11"/>
      <c r="AM1698" s="11"/>
      <c r="AN1698" s="11"/>
      <c r="AO1698" s="11"/>
      <c r="AP1698" s="11"/>
      <c r="AQ1698" s="11"/>
      <c r="AR1698" s="11"/>
      <c r="AS1698" s="11"/>
      <c r="AT1698" s="11"/>
      <c r="AU1698" s="11"/>
      <c r="AV1698" s="11"/>
      <c r="AW1698" s="11"/>
      <c r="AX1698" s="11"/>
      <c r="AY1698" s="11"/>
      <c r="AZ1698" s="11"/>
      <c r="BA1698" s="11"/>
      <c r="BB1698" s="11"/>
      <c r="BC1698" s="11"/>
      <c r="BD1698" s="11"/>
      <c r="BE1698" s="11"/>
      <c r="BF1698" s="11"/>
      <c r="BG1698" s="11"/>
      <c r="BH1698" s="11"/>
      <c r="BI1698" s="11"/>
      <c r="BJ1698" s="11"/>
      <c r="BK1698" s="11"/>
      <c r="BL1698" s="11"/>
      <c r="BM1698" s="11"/>
      <c r="BN1698" s="11"/>
      <c r="BO1698" s="11"/>
      <c r="BP1698" s="11"/>
      <c r="BQ1698" s="11"/>
      <c r="BR1698" s="11"/>
      <c r="BS1698" s="11"/>
      <c r="BT1698" s="11"/>
      <c r="BU1698" s="11"/>
      <c r="BV1698" s="11"/>
      <c r="BW1698" s="11"/>
      <c r="BX1698" s="11"/>
      <c r="BY1698" s="11"/>
      <c r="BZ1698" s="11"/>
      <c r="CA1698" s="11"/>
      <c r="CB1698" s="11"/>
      <c r="CC1698" s="11"/>
      <c r="CD1698" s="11"/>
      <c r="CE1698" s="11"/>
      <c r="CF1698" s="11"/>
      <c r="CG1698" s="11"/>
      <c r="CH1698" s="11"/>
      <c r="CI1698" s="11"/>
      <c r="CJ1698" s="11"/>
      <c r="CK1698" s="11"/>
      <c r="CL1698" s="11"/>
      <c r="CM1698" s="11"/>
      <c r="CN1698" s="11"/>
      <c r="CO1698" s="11"/>
      <c r="CP1698" s="11"/>
      <c r="CQ1698" s="11"/>
      <c r="CR1698" s="11"/>
      <c r="CS1698" s="11"/>
      <c r="CT1698" s="11"/>
      <c r="CU1698" s="11"/>
      <c r="CV1698" s="11"/>
      <c r="CW1698" s="11"/>
      <c r="CX1698" s="11"/>
      <c r="CY1698" s="11"/>
      <c r="CZ1698" s="11"/>
      <c r="DA1698" s="11"/>
      <c r="DB1698" s="11"/>
      <c r="DC1698" s="11"/>
      <c r="DD1698" s="11"/>
      <c r="DE1698" s="11"/>
      <c r="DF1698" s="11"/>
      <c r="DG1698" s="11"/>
      <c r="DH1698" s="11"/>
      <c r="DI1698" s="11"/>
      <c r="DJ1698" s="11"/>
      <c r="DK1698" s="11"/>
      <c r="DL1698" s="11"/>
      <c r="DM1698" s="11"/>
      <c r="DN1698" s="11"/>
      <c r="DO1698" s="11"/>
      <c r="DP1698" s="11"/>
      <c r="DQ1698" s="11"/>
      <c r="DR1698" s="11"/>
      <c r="DS1698" s="11"/>
      <c r="DT1698" s="11"/>
      <c r="DU1698" s="11"/>
      <c r="DV1698" s="11"/>
      <c r="DW1698" s="11"/>
      <c r="DX1698" s="11"/>
      <c r="DY1698" s="11"/>
      <c r="DZ1698" s="11"/>
      <c r="EA1698" s="11"/>
      <c r="EB1698" s="11"/>
      <c r="EC1698" s="11"/>
      <c r="ED1698" s="11"/>
      <c r="EE1698" s="11"/>
      <c r="EF1698" s="11"/>
      <c r="EG1698" s="11"/>
      <c r="EH1698" s="11"/>
      <c r="EI1698" s="11"/>
      <c r="EJ1698" s="11"/>
      <c r="EK1698" s="11"/>
      <c r="EL1698" s="11"/>
      <c r="EM1698" s="11"/>
      <c r="EN1698" s="11"/>
      <c r="EO1698" s="11"/>
      <c r="EP1698" s="11"/>
      <c r="EQ1698" s="11"/>
      <c r="ER1698" s="11"/>
      <c r="ES1698" s="11"/>
      <c r="ET1698" s="11"/>
      <c r="EU1698" s="11"/>
      <c r="EV1698" s="11"/>
      <c r="EW1698" s="11"/>
      <c r="EX1698" s="11"/>
      <c r="EY1698" s="11"/>
      <c r="EZ1698" s="11"/>
      <c r="FA1698" s="11"/>
      <c r="FB1698" s="11"/>
      <c r="FC1698" s="11"/>
      <c r="FD1698" s="11"/>
      <c r="FE1698" s="11"/>
      <c r="FF1698" s="11"/>
      <c r="FG1698" s="11"/>
      <c r="FH1698" s="11"/>
      <c r="FI1698" s="11"/>
      <c r="FJ1698" s="11"/>
      <c r="FK1698" s="11"/>
      <c r="FL1698" s="11"/>
      <c r="FM1698" s="11"/>
      <c r="FN1698" s="11"/>
      <c r="FO1698" s="11"/>
      <c r="FP1698" s="11"/>
      <c r="FQ1698" s="11"/>
      <c r="FR1698" s="11"/>
      <c r="FS1698" s="11"/>
      <c r="FT1698" s="11"/>
      <c r="FU1698" s="11"/>
      <c r="FV1698" s="11"/>
      <c r="FW1698" s="11"/>
      <c r="FX1698" s="11"/>
      <c r="FY1698" s="11"/>
      <c r="FZ1698" s="11"/>
      <c r="GA1698" s="11"/>
      <c r="GB1698" s="11"/>
      <c r="GC1698" s="11"/>
      <c r="GD1698" s="11"/>
      <c r="GE1698" s="11"/>
      <c r="GF1698" s="11"/>
      <c r="GG1698" s="11"/>
      <c r="GH1698" s="11"/>
      <c r="GI1698" s="11"/>
      <c r="GJ1698" s="11"/>
      <c r="GK1698" s="11"/>
      <c r="GL1698" s="11"/>
      <c r="GM1698" s="11"/>
      <c r="GN1698" s="11"/>
      <c r="GO1698" s="11"/>
      <c r="GP1698" s="11"/>
      <c r="GQ1698" s="11"/>
      <c r="GR1698" s="11"/>
      <c r="GS1698" s="11"/>
      <c r="GT1698" s="11"/>
      <c r="GU1698" s="11"/>
      <c r="GV1698" s="11"/>
      <c r="GW1698" s="11"/>
      <c r="GX1698" s="11"/>
      <c r="GY1698" s="11"/>
      <c r="GZ1698" s="11"/>
      <c r="HA1698" s="11"/>
      <c r="HB1698" s="11"/>
      <c r="HC1698" s="11"/>
      <c r="HD1698" s="11"/>
      <c r="HE1698" s="11"/>
      <c r="HF1698" s="11"/>
      <c r="HG1698" s="11"/>
      <c r="HH1698" s="11"/>
      <c r="HI1698" s="11"/>
      <c r="HJ1698" s="11"/>
      <c r="HK1698" s="11"/>
      <c r="HL1698" s="11"/>
      <c r="HM1698" s="11"/>
      <c r="HN1698" s="11"/>
      <c r="HO1698" s="11"/>
      <c r="HP1698" s="11"/>
      <c r="HQ1698" s="11"/>
      <c r="HR1698" s="11"/>
      <c r="HS1698" s="11"/>
      <c r="HT1698" s="11"/>
      <c r="HU1698" s="11"/>
      <c r="HV1698" s="11"/>
      <c r="HW1698" s="11"/>
      <c r="HX1698" s="11"/>
      <c r="HY1698" s="11"/>
      <c r="HZ1698" s="11"/>
      <c r="IA1698" s="11"/>
      <c r="IB1698" s="11"/>
      <c r="IC1698" s="11"/>
      <c r="ID1698" s="11"/>
      <c r="IE1698" s="11"/>
      <c r="IF1698" s="11"/>
      <c r="IG1698" s="11"/>
      <c r="IH1698" s="11"/>
      <c r="II1698" s="11"/>
      <c r="IJ1698" s="11"/>
    </row>
    <row r="1699" spans="1:244" ht="12.75" customHeight="1">
      <c r="A1699" s="118">
        <v>1698</v>
      </c>
      <c r="B1699" s="128">
        <v>19</v>
      </c>
      <c r="C1699" s="156">
        <v>38869</v>
      </c>
      <c r="D1699" s="157" t="s">
        <v>49</v>
      </c>
      <c r="E1699" s="8">
        <v>2006</v>
      </c>
      <c r="F1699" s="196" t="s">
        <v>41</v>
      </c>
      <c r="G1699" s="158">
        <v>2</v>
      </c>
      <c r="H1699" s="11" t="s">
        <v>9</v>
      </c>
      <c r="I1699" s="198">
        <v>20000</v>
      </c>
      <c r="L1699" s="165">
        <v>0.5</v>
      </c>
      <c r="N1699" s="528">
        <v>2</v>
      </c>
      <c r="O1699" s="165">
        <v>0.2</v>
      </c>
      <c r="U1699" s="161">
        <f t="shared" ref="U1699:U1717" si="438">$I1699*L1699</f>
        <v>10000</v>
      </c>
      <c r="V1699" s="161">
        <f t="shared" si="436"/>
        <v>4000</v>
      </c>
      <c r="W1699" s="161">
        <f t="shared" si="437"/>
        <v>1600</v>
      </c>
      <c r="X1699" s="11"/>
      <c r="Y1699" s="11"/>
      <c r="Z1699" s="11"/>
      <c r="AA1699" s="11"/>
      <c r="AB1699" s="11"/>
      <c r="AC1699" s="11"/>
      <c r="AD1699" s="11"/>
      <c r="AE1699" s="11"/>
      <c r="AF1699" s="11"/>
      <c r="AG1699" s="11"/>
      <c r="AH1699" s="11"/>
      <c r="AI1699" s="11"/>
      <c r="AJ1699" s="11"/>
      <c r="AK1699" s="11"/>
      <c r="AL1699" s="11"/>
      <c r="AM1699" s="11"/>
      <c r="AN1699" s="11"/>
      <c r="AO1699" s="11"/>
      <c r="AP1699" s="11"/>
      <c r="AQ1699" s="11"/>
      <c r="AR1699" s="11"/>
      <c r="AS1699" s="11"/>
      <c r="AT1699" s="11"/>
      <c r="AU1699" s="11"/>
      <c r="AV1699" s="11"/>
      <c r="AW1699" s="11"/>
      <c r="AX1699" s="11"/>
      <c r="AY1699" s="11"/>
      <c r="AZ1699" s="11"/>
      <c r="BA1699" s="11"/>
      <c r="BB1699" s="11"/>
      <c r="BC1699" s="11"/>
      <c r="BD1699" s="11"/>
      <c r="BE1699" s="11"/>
      <c r="BF1699" s="11"/>
      <c r="BG1699" s="11"/>
      <c r="BH1699" s="11"/>
      <c r="BI1699" s="11"/>
      <c r="BJ1699" s="11"/>
      <c r="BK1699" s="11"/>
      <c r="BL1699" s="11"/>
      <c r="BM1699" s="11"/>
      <c r="BN1699" s="11"/>
      <c r="BO1699" s="11"/>
      <c r="BP1699" s="11"/>
      <c r="BQ1699" s="11"/>
      <c r="BR1699" s="11"/>
      <c r="BS1699" s="11"/>
      <c r="BT1699" s="11"/>
      <c r="BU1699" s="11"/>
      <c r="BV1699" s="11"/>
      <c r="BW1699" s="11"/>
      <c r="BX1699" s="11"/>
      <c r="BY1699" s="11"/>
      <c r="BZ1699" s="11"/>
      <c r="CA1699" s="11"/>
      <c r="CB1699" s="11"/>
      <c r="CC1699" s="11"/>
      <c r="CD1699" s="11"/>
      <c r="CE1699" s="11"/>
      <c r="CF1699" s="11"/>
      <c r="CG1699" s="11"/>
      <c r="CH1699" s="11"/>
      <c r="CI1699" s="11"/>
      <c r="CJ1699" s="11"/>
      <c r="CK1699" s="11"/>
      <c r="CL1699" s="11"/>
      <c r="CM1699" s="11"/>
      <c r="CN1699" s="11"/>
      <c r="CO1699" s="11"/>
      <c r="CP1699" s="11"/>
      <c r="CQ1699" s="11"/>
      <c r="CR1699" s="11"/>
      <c r="CS1699" s="11"/>
      <c r="CT1699" s="11"/>
      <c r="CU1699" s="11"/>
      <c r="CV1699" s="11"/>
      <c r="CW1699" s="11"/>
      <c r="CX1699" s="11"/>
      <c r="CY1699" s="11"/>
      <c r="CZ1699" s="11"/>
      <c r="DA1699" s="11"/>
      <c r="DB1699" s="11"/>
      <c r="DC1699" s="11"/>
      <c r="DD1699" s="11"/>
      <c r="DE1699" s="11"/>
      <c r="DF1699" s="11"/>
      <c r="DG1699" s="11"/>
      <c r="DH1699" s="11"/>
      <c r="DI1699" s="11"/>
      <c r="DJ1699" s="11"/>
      <c r="DK1699" s="11"/>
      <c r="DL1699" s="11"/>
      <c r="DM1699" s="11"/>
      <c r="DN1699" s="11"/>
      <c r="DO1699" s="11"/>
      <c r="DP1699" s="11"/>
      <c r="DQ1699" s="11"/>
      <c r="DR1699" s="11"/>
      <c r="DS1699" s="11"/>
      <c r="DT1699" s="11"/>
      <c r="DU1699" s="11"/>
      <c r="DV1699" s="11"/>
      <c r="DW1699" s="11"/>
      <c r="DX1699" s="11"/>
      <c r="DY1699" s="11"/>
      <c r="DZ1699" s="11"/>
      <c r="EA1699" s="11"/>
      <c r="EB1699" s="11"/>
      <c r="EC1699" s="11"/>
      <c r="ED1699" s="11"/>
      <c r="EE1699" s="11"/>
      <c r="EF1699" s="11"/>
      <c r="EG1699" s="11"/>
      <c r="EH1699" s="11"/>
      <c r="EI1699" s="11"/>
      <c r="EJ1699" s="11"/>
      <c r="EK1699" s="11"/>
      <c r="EL1699" s="11"/>
      <c r="EM1699" s="11"/>
      <c r="EN1699" s="11"/>
      <c r="EO1699" s="11"/>
      <c r="EP1699" s="11"/>
      <c r="EQ1699" s="11"/>
      <c r="ER1699" s="11"/>
      <c r="ES1699" s="11"/>
      <c r="ET1699" s="11"/>
      <c r="EU1699" s="11"/>
      <c r="EV1699" s="11"/>
      <c r="EW1699" s="11"/>
      <c r="EX1699" s="11"/>
      <c r="EY1699" s="11"/>
      <c r="EZ1699" s="11"/>
      <c r="FA1699" s="11"/>
      <c r="FB1699" s="11"/>
      <c r="FC1699" s="11"/>
      <c r="FD1699" s="11"/>
      <c r="FE1699" s="11"/>
      <c r="FF1699" s="11"/>
      <c r="FG1699" s="11"/>
      <c r="FH1699" s="11"/>
      <c r="FI1699" s="11"/>
      <c r="FJ1699" s="11"/>
      <c r="FK1699" s="11"/>
      <c r="FL1699" s="11"/>
      <c r="FM1699" s="11"/>
      <c r="FN1699" s="11"/>
      <c r="FO1699" s="11"/>
      <c r="FP1699" s="11"/>
      <c r="FQ1699" s="11"/>
      <c r="FR1699" s="11"/>
      <c r="FS1699" s="11"/>
      <c r="FT1699" s="11"/>
      <c r="FU1699" s="11"/>
      <c r="FV1699" s="11"/>
      <c r="FW1699" s="11"/>
      <c r="FX1699" s="11"/>
      <c r="FY1699" s="11"/>
      <c r="FZ1699" s="11"/>
      <c r="GA1699" s="11"/>
      <c r="GB1699" s="11"/>
      <c r="GC1699" s="11"/>
      <c r="GD1699" s="11"/>
      <c r="GE1699" s="11"/>
      <c r="GF1699" s="11"/>
      <c r="GG1699" s="11"/>
      <c r="GH1699" s="11"/>
      <c r="GI1699" s="11"/>
      <c r="GJ1699" s="11"/>
      <c r="GK1699" s="11"/>
      <c r="GL1699" s="11"/>
      <c r="GM1699" s="11"/>
      <c r="GN1699" s="11"/>
      <c r="GO1699" s="11"/>
      <c r="GP1699" s="11"/>
      <c r="GQ1699" s="11"/>
      <c r="GR1699" s="11"/>
      <c r="GS1699" s="11"/>
      <c r="GT1699" s="11"/>
      <c r="GU1699" s="11"/>
      <c r="GV1699" s="11"/>
      <c r="GW1699" s="11"/>
      <c r="GX1699" s="11"/>
      <c r="GY1699" s="11"/>
      <c r="GZ1699" s="11"/>
      <c r="HA1699" s="11"/>
      <c r="HB1699" s="11"/>
      <c r="HC1699" s="11"/>
      <c r="HD1699" s="11"/>
      <c r="HE1699" s="11"/>
      <c r="HF1699" s="11"/>
      <c r="HG1699" s="11"/>
      <c r="HH1699" s="11"/>
      <c r="HI1699" s="11"/>
      <c r="HJ1699" s="11"/>
      <c r="HK1699" s="11"/>
      <c r="HL1699" s="11"/>
      <c r="HM1699" s="11"/>
      <c r="HN1699" s="11"/>
      <c r="HO1699" s="11"/>
      <c r="HP1699" s="11"/>
      <c r="HQ1699" s="11"/>
      <c r="HR1699" s="11"/>
      <c r="HS1699" s="11"/>
      <c r="HT1699" s="11"/>
      <c r="HU1699" s="11"/>
      <c r="HV1699" s="11"/>
      <c r="HW1699" s="11"/>
      <c r="HX1699" s="11"/>
      <c r="HY1699" s="11"/>
      <c r="HZ1699" s="11"/>
      <c r="IA1699" s="11"/>
      <c r="IB1699" s="11"/>
      <c r="IC1699" s="11"/>
      <c r="ID1699" s="11"/>
      <c r="IE1699" s="11"/>
      <c r="IF1699" s="11"/>
      <c r="IG1699" s="11"/>
      <c r="IH1699" s="11"/>
      <c r="II1699" s="11"/>
      <c r="IJ1699" s="11"/>
    </row>
    <row r="1700" spans="1:244" ht="12.75" customHeight="1">
      <c r="A1700" s="118">
        <v>1699</v>
      </c>
      <c r="B1700" s="128">
        <v>19</v>
      </c>
      <c r="C1700" s="156">
        <v>38899</v>
      </c>
      <c r="D1700" s="157" t="s">
        <v>50</v>
      </c>
      <c r="E1700" s="8">
        <v>2006</v>
      </c>
      <c r="F1700" s="196" t="s">
        <v>41</v>
      </c>
      <c r="G1700" s="158">
        <v>2</v>
      </c>
      <c r="H1700" s="11" t="s">
        <v>9</v>
      </c>
      <c r="I1700" s="198">
        <v>20000</v>
      </c>
      <c r="L1700" s="165">
        <v>1</v>
      </c>
      <c r="N1700" s="528">
        <v>2</v>
      </c>
      <c r="O1700" s="165">
        <v>0.4</v>
      </c>
      <c r="U1700" s="161">
        <f t="shared" si="438"/>
        <v>20000</v>
      </c>
      <c r="V1700" s="161">
        <f t="shared" si="436"/>
        <v>8000</v>
      </c>
      <c r="W1700" s="161">
        <f t="shared" si="437"/>
        <v>3200</v>
      </c>
      <c r="X1700" s="11"/>
      <c r="Y1700" s="11"/>
      <c r="Z1700" s="11"/>
      <c r="AA1700" s="11"/>
      <c r="AB1700" s="11"/>
      <c r="AC1700" s="11"/>
      <c r="AD1700" s="11"/>
      <c r="AE1700" s="11"/>
      <c r="AF1700" s="11"/>
      <c r="AG1700" s="11"/>
      <c r="AH1700" s="11"/>
      <c r="AI1700" s="11"/>
      <c r="AJ1700" s="11"/>
      <c r="AK1700" s="11"/>
      <c r="AL1700" s="11"/>
      <c r="AM1700" s="11"/>
      <c r="AN1700" s="11"/>
      <c r="AO1700" s="11"/>
      <c r="AP1700" s="11"/>
      <c r="AQ1700" s="11"/>
      <c r="AR1700" s="11"/>
      <c r="AS1700" s="11"/>
      <c r="AT1700" s="11"/>
      <c r="AU1700" s="11"/>
      <c r="AV1700" s="11"/>
      <c r="AW1700" s="11"/>
      <c r="AX1700" s="11"/>
      <c r="AY1700" s="11"/>
      <c r="AZ1700" s="11"/>
      <c r="BA1700" s="11"/>
      <c r="BB1700" s="11"/>
      <c r="BC1700" s="11"/>
      <c r="BD1700" s="11"/>
      <c r="BE1700" s="11"/>
      <c r="BF1700" s="11"/>
      <c r="BG1700" s="11"/>
      <c r="BH1700" s="11"/>
      <c r="BI1700" s="11"/>
      <c r="BJ1700" s="11"/>
      <c r="BK1700" s="11"/>
      <c r="BL1700" s="11"/>
      <c r="BM1700" s="11"/>
      <c r="BN1700" s="11"/>
      <c r="BO1700" s="11"/>
      <c r="BP1700" s="11"/>
      <c r="BQ1700" s="11"/>
      <c r="BR1700" s="11"/>
      <c r="BS1700" s="11"/>
      <c r="BT1700" s="11"/>
      <c r="BU1700" s="11"/>
      <c r="BV1700" s="11"/>
      <c r="BW1700" s="11"/>
      <c r="BX1700" s="11"/>
      <c r="BY1700" s="11"/>
      <c r="BZ1700" s="11"/>
      <c r="CA1700" s="11"/>
      <c r="CB1700" s="11"/>
      <c r="CC1700" s="11"/>
      <c r="CD1700" s="11"/>
      <c r="CE1700" s="11"/>
      <c r="CF1700" s="11"/>
      <c r="CG1700" s="11"/>
      <c r="CH1700" s="11"/>
      <c r="CI1700" s="11"/>
      <c r="CJ1700" s="11"/>
      <c r="CK1700" s="11"/>
      <c r="CL1700" s="11"/>
      <c r="CM1700" s="11"/>
      <c r="CN1700" s="11"/>
      <c r="CO1700" s="11"/>
      <c r="CP1700" s="11"/>
      <c r="CQ1700" s="11"/>
      <c r="CR1700" s="11"/>
      <c r="CS1700" s="11"/>
      <c r="CT1700" s="11"/>
      <c r="CU1700" s="11"/>
      <c r="CV1700" s="11"/>
      <c r="CW1700" s="11"/>
      <c r="CX1700" s="11"/>
      <c r="CY1700" s="11"/>
      <c r="CZ1700" s="11"/>
      <c r="DA1700" s="11"/>
      <c r="DB1700" s="11"/>
      <c r="DC1700" s="11"/>
      <c r="DD1700" s="11"/>
      <c r="DE1700" s="11"/>
      <c r="DF1700" s="11"/>
      <c r="DG1700" s="11"/>
      <c r="DH1700" s="11"/>
      <c r="DI1700" s="11"/>
      <c r="DJ1700" s="11"/>
      <c r="DK1700" s="11"/>
      <c r="DL1700" s="11"/>
      <c r="DM1700" s="11"/>
      <c r="DN1700" s="11"/>
      <c r="DO1700" s="11"/>
      <c r="DP1700" s="11"/>
      <c r="DQ1700" s="11"/>
      <c r="DR1700" s="11"/>
      <c r="DS1700" s="11"/>
      <c r="DT1700" s="11"/>
      <c r="DU1700" s="11"/>
      <c r="DV1700" s="11"/>
      <c r="DW1700" s="11"/>
      <c r="DX1700" s="11"/>
      <c r="DY1700" s="11"/>
      <c r="DZ1700" s="11"/>
      <c r="EA1700" s="11"/>
      <c r="EB1700" s="11"/>
      <c r="EC1700" s="11"/>
      <c r="ED1700" s="11"/>
      <c r="EE1700" s="11"/>
      <c r="EF1700" s="11"/>
      <c r="EG1700" s="11"/>
      <c r="EH1700" s="11"/>
      <c r="EI1700" s="11"/>
      <c r="EJ1700" s="11"/>
      <c r="EK1700" s="11"/>
      <c r="EL1700" s="11"/>
      <c r="EM1700" s="11"/>
      <c r="EN1700" s="11"/>
      <c r="EO1700" s="11"/>
      <c r="EP1700" s="11"/>
      <c r="EQ1700" s="11"/>
      <c r="ER1700" s="11"/>
      <c r="ES1700" s="11"/>
      <c r="ET1700" s="11"/>
      <c r="EU1700" s="11"/>
      <c r="EV1700" s="11"/>
      <c r="EW1700" s="11"/>
      <c r="EX1700" s="11"/>
      <c r="EY1700" s="11"/>
      <c r="EZ1700" s="11"/>
      <c r="FA1700" s="11"/>
      <c r="FB1700" s="11"/>
      <c r="FC1700" s="11"/>
      <c r="FD1700" s="11"/>
      <c r="FE1700" s="11"/>
      <c r="FF1700" s="11"/>
      <c r="FG1700" s="11"/>
      <c r="FH1700" s="11"/>
      <c r="FI1700" s="11"/>
      <c r="FJ1700" s="11"/>
      <c r="FK1700" s="11"/>
      <c r="FL1700" s="11"/>
      <c r="FM1700" s="11"/>
      <c r="FN1700" s="11"/>
      <c r="FO1700" s="11"/>
      <c r="FP1700" s="11"/>
      <c r="FQ1700" s="11"/>
      <c r="FR1700" s="11"/>
      <c r="FS1700" s="11"/>
      <c r="FT1700" s="11"/>
      <c r="FU1700" s="11"/>
      <c r="FV1700" s="11"/>
      <c r="FW1700" s="11"/>
      <c r="FX1700" s="11"/>
      <c r="FY1700" s="11"/>
      <c r="FZ1700" s="11"/>
      <c r="GA1700" s="11"/>
      <c r="GB1700" s="11"/>
      <c r="GC1700" s="11"/>
      <c r="GD1700" s="11"/>
      <c r="GE1700" s="11"/>
      <c r="GF1700" s="11"/>
      <c r="GG1700" s="11"/>
      <c r="GH1700" s="11"/>
      <c r="GI1700" s="11"/>
      <c r="GJ1700" s="11"/>
      <c r="GK1700" s="11"/>
      <c r="GL1700" s="11"/>
      <c r="GM1700" s="11"/>
      <c r="GN1700" s="11"/>
      <c r="GO1700" s="11"/>
      <c r="GP1700" s="11"/>
      <c r="GQ1700" s="11"/>
      <c r="GR1700" s="11"/>
      <c r="GS1700" s="11"/>
      <c r="GT1700" s="11"/>
      <c r="GU1700" s="11"/>
      <c r="GV1700" s="11"/>
      <c r="GW1700" s="11"/>
      <c r="GX1700" s="11"/>
      <c r="GY1700" s="11"/>
      <c r="GZ1700" s="11"/>
      <c r="HA1700" s="11"/>
      <c r="HB1700" s="11"/>
      <c r="HC1700" s="11"/>
      <c r="HD1700" s="11"/>
      <c r="HE1700" s="11"/>
      <c r="HF1700" s="11"/>
      <c r="HG1700" s="11"/>
      <c r="HH1700" s="11"/>
      <c r="HI1700" s="11"/>
      <c r="HJ1700" s="11"/>
      <c r="HK1700" s="11"/>
      <c r="HL1700" s="11"/>
      <c r="HM1700" s="11"/>
      <c r="HN1700" s="11"/>
      <c r="HO1700" s="11"/>
      <c r="HP1700" s="11"/>
      <c r="HQ1700" s="11"/>
      <c r="HR1700" s="11"/>
      <c r="HS1700" s="11"/>
      <c r="HT1700" s="11"/>
      <c r="HU1700" s="11"/>
      <c r="HV1700" s="11"/>
      <c r="HW1700" s="11"/>
      <c r="HX1700" s="11"/>
      <c r="HY1700" s="11"/>
      <c r="HZ1700" s="11"/>
      <c r="IA1700" s="11"/>
      <c r="IB1700" s="11"/>
      <c r="IC1700" s="11"/>
      <c r="ID1700" s="11"/>
      <c r="IE1700" s="11"/>
      <c r="IF1700" s="11"/>
      <c r="IG1700" s="11"/>
      <c r="IH1700" s="11"/>
      <c r="II1700" s="11"/>
      <c r="IJ1700" s="11"/>
    </row>
    <row r="1701" spans="1:244" ht="12.75" customHeight="1">
      <c r="A1701" s="118">
        <v>1700</v>
      </c>
      <c r="B1701" s="128">
        <v>19</v>
      </c>
      <c r="C1701" s="156">
        <v>38930</v>
      </c>
      <c r="D1701" s="157" t="s">
        <v>51</v>
      </c>
      <c r="E1701" s="8">
        <v>2006</v>
      </c>
      <c r="F1701" s="196" t="s">
        <v>41</v>
      </c>
      <c r="G1701" s="158">
        <v>2</v>
      </c>
      <c r="H1701" s="11" t="s">
        <v>9</v>
      </c>
      <c r="I1701" s="198">
        <v>20000</v>
      </c>
      <c r="J1701" s="15">
        <v>11.6</v>
      </c>
      <c r="K1701" s="15">
        <v>3.95</v>
      </c>
      <c r="L1701" s="15">
        <v>1.575</v>
      </c>
      <c r="O1701" s="15">
        <v>0.6</v>
      </c>
      <c r="Q1701" s="11">
        <v>10</v>
      </c>
      <c r="R1701" s="11">
        <v>32</v>
      </c>
      <c r="T1701" s="161">
        <f t="shared" ref="T1701:T1709" si="439">$I1701*K1701</f>
        <v>79000</v>
      </c>
      <c r="U1701" s="161">
        <f t="shared" si="438"/>
        <v>31500</v>
      </c>
      <c r="V1701" s="161">
        <f t="shared" si="436"/>
        <v>12000</v>
      </c>
      <c r="W1701" s="161">
        <f t="shared" si="437"/>
        <v>4800</v>
      </c>
      <c r="X1701" s="11"/>
      <c r="Y1701" s="11"/>
      <c r="Z1701" s="11"/>
      <c r="AA1701" s="11"/>
      <c r="AB1701" s="11"/>
      <c r="AC1701" s="11"/>
      <c r="AD1701" s="11"/>
      <c r="AE1701" s="11"/>
      <c r="AF1701" s="11"/>
      <c r="AG1701" s="11"/>
      <c r="AH1701" s="11"/>
      <c r="AI1701" s="11"/>
      <c r="AJ1701" s="11"/>
      <c r="AK1701" s="11"/>
      <c r="AL1701" s="11"/>
      <c r="AM1701" s="11"/>
      <c r="AN1701" s="11"/>
      <c r="AO1701" s="11"/>
      <c r="AP1701" s="11"/>
      <c r="AQ1701" s="11"/>
      <c r="AR1701" s="11"/>
      <c r="AS1701" s="11"/>
      <c r="AT1701" s="11"/>
      <c r="AU1701" s="11"/>
      <c r="AV1701" s="11"/>
      <c r="AW1701" s="11"/>
      <c r="AX1701" s="11"/>
      <c r="AY1701" s="11"/>
      <c r="AZ1701" s="11"/>
      <c r="BA1701" s="11"/>
      <c r="BB1701" s="11"/>
      <c r="BC1701" s="11"/>
      <c r="BD1701" s="11"/>
      <c r="BE1701" s="11"/>
      <c r="BF1701" s="11"/>
      <c r="BG1701" s="11"/>
      <c r="BH1701" s="11"/>
      <c r="BI1701" s="11"/>
      <c r="BJ1701" s="11"/>
      <c r="BK1701" s="11"/>
      <c r="BL1701" s="11"/>
      <c r="BM1701" s="11"/>
      <c r="BN1701" s="11"/>
      <c r="BO1701" s="11"/>
      <c r="BP1701" s="11"/>
      <c r="BQ1701" s="11"/>
      <c r="BR1701" s="11"/>
      <c r="BS1701" s="11"/>
      <c r="BT1701" s="11"/>
      <c r="BU1701" s="11"/>
      <c r="BV1701" s="11"/>
      <c r="BW1701" s="11"/>
      <c r="BX1701" s="11"/>
      <c r="BY1701" s="11"/>
      <c r="BZ1701" s="11"/>
      <c r="CA1701" s="11"/>
      <c r="CB1701" s="11"/>
      <c r="CC1701" s="11"/>
      <c r="CD1701" s="11"/>
      <c r="CE1701" s="11"/>
      <c r="CF1701" s="11"/>
      <c r="CG1701" s="11"/>
      <c r="CH1701" s="11"/>
      <c r="CI1701" s="11"/>
      <c r="CJ1701" s="11"/>
      <c r="CK1701" s="11"/>
      <c r="CL1701" s="11"/>
      <c r="CM1701" s="11"/>
      <c r="CN1701" s="11"/>
      <c r="CO1701" s="11"/>
      <c r="CP1701" s="11"/>
      <c r="CQ1701" s="11"/>
      <c r="CR1701" s="11"/>
      <c r="CS1701" s="11"/>
      <c r="CT1701" s="11"/>
      <c r="CU1701" s="11"/>
      <c r="CV1701" s="11"/>
      <c r="CW1701" s="11"/>
      <c r="CX1701" s="11"/>
      <c r="CY1701" s="11"/>
      <c r="CZ1701" s="11"/>
      <c r="DA1701" s="11"/>
      <c r="DB1701" s="11"/>
      <c r="DC1701" s="11"/>
      <c r="DD1701" s="11"/>
      <c r="DE1701" s="11"/>
      <c r="DF1701" s="11"/>
      <c r="DG1701" s="11"/>
      <c r="DH1701" s="11"/>
      <c r="DI1701" s="11"/>
      <c r="DJ1701" s="11"/>
      <c r="DK1701" s="11"/>
      <c r="DL1701" s="11"/>
      <c r="DM1701" s="11"/>
      <c r="DN1701" s="11"/>
      <c r="DO1701" s="11"/>
      <c r="DP1701" s="11"/>
      <c r="DQ1701" s="11"/>
      <c r="DR1701" s="11"/>
      <c r="DS1701" s="11"/>
      <c r="DT1701" s="11"/>
      <c r="DU1701" s="11"/>
      <c r="DV1701" s="11"/>
      <c r="DW1701" s="11"/>
      <c r="DX1701" s="11"/>
      <c r="DY1701" s="11"/>
      <c r="DZ1701" s="11"/>
      <c r="EA1701" s="11"/>
      <c r="EB1701" s="11"/>
      <c r="EC1701" s="11"/>
      <c r="ED1701" s="11"/>
      <c r="EE1701" s="11"/>
      <c r="EF1701" s="11"/>
      <c r="EG1701" s="11"/>
      <c r="EH1701" s="11"/>
      <c r="EI1701" s="11"/>
      <c r="EJ1701" s="11"/>
      <c r="EK1701" s="11"/>
      <c r="EL1701" s="11"/>
      <c r="EM1701" s="11"/>
      <c r="EN1701" s="11"/>
      <c r="EO1701" s="11"/>
      <c r="EP1701" s="11"/>
      <c r="EQ1701" s="11"/>
      <c r="ER1701" s="11"/>
      <c r="ES1701" s="11"/>
      <c r="ET1701" s="11"/>
      <c r="EU1701" s="11"/>
      <c r="EV1701" s="11"/>
      <c r="EW1701" s="11"/>
      <c r="EX1701" s="11"/>
      <c r="EY1701" s="11"/>
      <c r="EZ1701" s="11"/>
      <c r="FA1701" s="11"/>
      <c r="FB1701" s="11"/>
      <c r="FC1701" s="11"/>
      <c r="FD1701" s="11"/>
      <c r="FE1701" s="11"/>
      <c r="FF1701" s="11"/>
      <c r="FG1701" s="11"/>
      <c r="FH1701" s="11"/>
      <c r="FI1701" s="11"/>
      <c r="FJ1701" s="11"/>
      <c r="FK1701" s="11"/>
      <c r="FL1701" s="11"/>
      <c r="FM1701" s="11"/>
      <c r="FN1701" s="11"/>
      <c r="FO1701" s="11"/>
      <c r="FP1701" s="11"/>
      <c r="FQ1701" s="11"/>
      <c r="FR1701" s="11"/>
      <c r="FS1701" s="11"/>
      <c r="FT1701" s="11"/>
      <c r="FU1701" s="11"/>
      <c r="FV1701" s="11"/>
      <c r="FW1701" s="11"/>
      <c r="FX1701" s="11"/>
      <c r="FY1701" s="11"/>
      <c r="FZ1701" s="11"/>
      <c r="GA1701" s="11"/>
      <c r="GB1701" s="11"/>
      <c r="GC1701" s="11"/>
      <c r="GD1701" s="11"/>
      <c r="GE1701" s="11"/>
      <c r="GF1701" s="11"/>
      <c r="GG1701" s="11"/>
      <c r="GH1701" s="11"/>
      <c r="GI1701" s="11"/>
      <c r="GJ1701" s="11"/>
      <c r="GK1701" s="11"/>
      <c r="GL1701" s="11"/>
      <c r="GM1701" s="11"/>
      <c r="GN1701" s="11"/>
      <c r="GO1701" s="11"/>
      <c r="GP1701" s="11"/>
      <c r="GQ1701" s="11"/>
      <c r="GR1701" s="11"/>
      <c r="GS1701" s="11"/>
      <c r="GT1701" s="11"/>
      <c r="GU1701" s="11"/>
      <c r="GV1701" s="11"/>
      <c r="GW1701" s="11"/>
      <c r="GX1701" s="11"/>
      <c r="GY1701" s="11"/>
      <c r="GZ1701" s="11"/>
      <c r="HA1701" s="11"/>
      <c r="HB1701" s="11"/>
      <c r="HC1701" s="11"/>
      <c r="HD1701" s="11"/>
      <c r="HE1701" s="11"/>
      <c r="HF1701" s="11"/>
      <c r="HG1701" s="11"/>
      <c r="HH1701" s="11"/>
      <c r="HI1701" s="11"/>
      <c r="HJ1701" s="11"/>
      <c r="HK1701" s="11"/>
      <c r="HL1701" s="11"/>
      <c r="HM1701" s="11"/>
      <c r="HN1701" s="11"/>
      <c r="HO1701" s="11"/>
      <c r="HP1701" s="11"/>
      <c r="HQ1701" s="11"/>
      <c r="HR1701" s="11"/>
      <c r="HS1701" s="11"/>
      <c r="HT1701" s="11"/>
      <c r="HU1701" s="11"/>
      <c r="HV1701" s="11"/>
      <c r="HW1701" s="11"/>
      <c r="HX1701" s="11"/>
      <c r="HY1701" s="11"/>
      <c r="HZ1701" s="11"/>
      <c r="IA1701" s="11"/>
      <c r="IB1701" s="11"/>
      <c r="IC1701" s="11"/>
      <c r="ID1701" s="11"/>
      <c r="IE1701" s="11"/>
      <c r="IF1701" s="11"/>
      <c r="IG1701" s="11"/>
      <c r="IH1701" s="11"/>
      <c r="II1701" s="11"/>
      <c r="IJ1701" s="11"/>
    </row>
    <row r="1702" spans="1:244" ht="12.75" customHeight="1">
      <c r="A1702" s="118">
        <v>1701</v>
      </c>
      <c r="B1702" s="128">
        <v>19</v>
      </c>
      <c r="C1702" s="156">
        <v>38961</v>
      </c>
      <c r="D1702" s="157" t="s">
        <v>52</v>
      </c>
      <c r="E1702" s="8">
        <v>2006</v>
      </c>
      <c r="F1702" s="196" t="s">
        <v>41</v>
      </c>
      <c r="G1702" s="158">
        <v>2</v>
      </c>
      <c r="H1702" s="11" t="s">
        <v>9</v>
      </c>
      <c r="I1702" s="198">
        <v>20000</v>
      </c>
      <c r="J1702" s="173"/>
      <c r="K1702" s="165">
        <f>(K1701+K1703)/2</f>
        <v>5.95</v>
      </c>
      <c r="L1702" s="165">
        <f>(L1701+L1703)/2</f>
        <v>2.6524999999999999</v>
      </c>
      <c r="N1702" s="528">
        <v>1</v>
      </c>
      <c r="O1702" s="165">
        <f>(O1701+O1703)/2</f>
        <v>2.8649999999999998</v>
      </c>
      <c r="T1702" s="161">
        <f t="shared" si="439"/>
        <v>119000</v>
      </c>
      <c r="U1702" s="161">
        <f t="shared" si="438"/>
        <v>53050</v>
      </c>
      <c r="V1702" s="161">
        <f t="shared" si="436"/>
        <v>57299.999999999993</v>
      </c>
      <c r="W1702" s="161">
        <f t="shared" si="437"/>
        <v>22920</v>
      </c>
      <c r="X1702" s="11"/>
      <c r="Y1702" s="11"/>
      <c r="Z1702" s="11"/>
      <c r="AA1702" s="11"/>
      <c r="AB1702" s="11"/>
      <c r="AC1702" s="11"/>
      <c r="AD1702" s="11"/>
      <c r="AE1702" s="11"/>
      <c r="AF1702" s="11"/>
      <c r="AG1702" s="11"/>
      <c r="AH1702" s="11"/>
      <c r="AI1702" s="11"/>
      <c r="AJ1702" s="11"/>
      <c r="AK1702" s="11"/>
      <c r="AL1702" s="11"/>
      <c r="AM1702" s="11"/>
      <c r="AN1702" s="11"/>
      <c r="AO1702" s="11"/>
      <c r="AP1702" s="11"/>
      <c r="AQ1702" s="11"/>
      <c r="AR1702" s="11"/>
      <c r="AS1702" s="11"/>
      <c r="AT1702" s="11"/>
      <c r="AU1702" s="11"/>
      <c r="AV1702" s="11"/>
      <c r="AW1702" s="11"/>
      <c r="AX1702" s="11"/>
      <c r="AY1702" s="11"/>
      <c r="AZ1702" s="11"/>
      <c r="BA1702" s="11"/>
      <c r="BB1702" s="11"/>
      <c r="BC1702" s="11"/>
      <c r="BD1702" s="11"/>
      <c r="BE1702" s="11"/>
      <c r="BF1702" s="11"/>
      <c r="BG1702" s="11"/>
      <c r="BH1702" s="11"/>
      <c r="BI1702" s="11"/>
      <c r="BJ1702" s="11"/>
      <c r="BK1702" s="11"/>
      <c r="BL1702" s="11"/>
      <c r="BM1702" s="11"/>
      <c r="BN1702" s="11"/>
      <c r="BO1702" s="11"/>
      <c r="BP1702" s="11"/>
      <c r="BQ1702" s="11"/>
      <c r="BR1702" s="11"/>
      <c r="BS1702" s="11"/>
      <c r="BT1702" s="11"/>
      <c r="BU1702" s="11"/>
      <c r="BV1702" s="11"/>
      <c r="BW1702" s="11"/>
      <c r="BX1702" s="11"/>
      <c r="BY1702" s="11"/>
      <c r="BZ1702" s="11"/>
      <c r="CA1702" s="11"/>
      <c r="CB1702" s="11"/>
      <c r="CC1702" s="11"/>
      <c r="CD1702" s="11"/>
      <c r="CE1702" s="11"/>
      <c r="CF1702" s="11"/>
      <c r="CG1702" s="11"/>
      <c r="CH1702" s="11"/>
      <c r="CI1702" s="11"/>
      <c r="CJ1702" s="11"/>
      <c r="CK1702" s="11"/>
      <c r="CL1702" s="11"/>
      <c r="CM1702" s="11"/>
      <c r="CN1702" s="11"/>
      <c r="CO1702" s="11"/>
      <c r="CP1702" s="11"/>
      <c r="CQ1702" s="11"/>
      <c r="CR1702" s="11"/>
      <c r="CS1702" s="11"/>
      <c r="CT1702" s="11"/>
      <c r="CU1702" s="11"/>
      <c r="CV1702" s="11"/>
      <c r="CW1702" s="11"/>
      <c r="CX1702" s="11"/>
      <c r="CY1702" s="11"/>
      <c r="CZ1702" s="11"/>
      <c r="DA1702" s="11"/>
      <c r="DB1702" s="11"/>
      <c r="DC1702" s="11"/>
      <c r="DD1702" s="11"/>
      <c r="DE1702" s="11"/>
      <c r="DF1702" s="11"/>
      <c r="DG1702" s="11"/>
      <c r="DH1702" s="11"/>
      <c r="DI1702" s="11"/>
      <c r="DJ1702" s="11"/>
      <c r="DK1702" s="11"/>
      <c r="DL1702" s="11"/>
      <c r="DM1702" s="11"/>
      <c r="DN1702" s="11"/>
      <c r="DO1702" s="11"/>
      <c r="DP1702" s="11"/>
      <c r="DQ1702" s="11"/>
      <c r="DR1702" s="11"/>
      <c r="DS1702" s="11"/>
      <c r="DT1702" s="11"/>
      <c r="DU1702" s="11"/>
      <c r="DV1702" s="11"/>
      <c r="DW1702" s="11"/>
      <c r="DX1702" s="11"/>
      <c r="DY1702" s="11"/>
      <c r="DZ1702" s="11"/>
      <c r="EA1702" s="11"/>
      <c r="EB1702" s="11"/>
      <c r="EC1702" s="11"/>
      <c r="ED1702" s="11"/>
      <c r="EE1702" s="11"/>
      <c r="EF1702" s="11"/>
      <c r="EG1702" s="11"/>
      <c r="EH1702" s="11"/>
      <c r="EI1702" s="11"/>
      <c r="EJ1702" s="11"/>
      <c r="EK1702" s="11"/>
      <c r="EL1702" s="11"/>
      <c r="EM1702" s="11"/>
      <c r="EN1702" s="11"/>
      <c r="EO1702" s="11"/>
      <c r="EP1702" s="11"/>
      <c r="EQ1702" s="11"/>
      <c r="ER1702" s="11"/>
      <c r="ES1702" s="11"/>
      <c r="ET1702" s="11"/>
      <c r="EU1702" s="11"/>
      <c r="EV1702" s="11"/>
      <c r="EW1702" s="11"/>
      <c r="EX1702" s="11"/>
      <c r="EY1702" s="11"/>
      <c r="EZ1702" s="11"/>
      <c r="FA1702" s="11"/>
      <c r="FB1702" s="11"/>
      <c r="FC1702" s="11"/>
      <c r="FD1702" s="11"/>
      <c r="FE1702" s="11"/>
      <c r="FF1702" s="11"/>
      <c r="FG1702" s="11"/>
      <c r="FH1702" s="11"/>
      <c r="FI1702" s="11"/>
      <c r="FJ1702" s="11"/>
      <c r="FK1702" s="11"/>
      <c r="FL1702" s="11"/>
      <c r="FM1702" s="11"/>
      <c r="FN1702" s="11"/>
      <c r="FO1702" s="11"/>
      <c r="FP1702" s="11"/>
      <c r="FQ1702" s="11"/>
      <c r="FR1702" s="11"/>
      <c r="FS1702" s="11"/>
      <c r="FT1702" s="11"/>
      <c r="FU1702" s="11"/>
      <c r="FV1702" s="11"/>
      <c r="FW1702" s="11"/>
      <c r="FX1702" s="11"/>
      <c r="FY1702" s="11"/>
      <c r="FZ1702" s="11"/>
      <c r="GA1702" s="11"/>
      <c r="GB1702" s="11"/>
      <c r="GC1702" s="11"/>
      <c r="GD1702" s="11"/>
      <c r="GE1702" s="11"/>
      <c r="GF1702" s="11"/>
      <c r="GG1702" s="11"/>
      <c r="GH1702" s="11"/>
      <c r="GI1702" s="11"/>
      <c r="GJ1702" s="11"/>
      <c r="GK1702" s="11"/>
      <c r="GL1702" s="11"/>
      <c r="GM1702" s="11"/>
      <c r="GN1702" s="11"/>
      <c r="GO1702" s="11"/>
      <c r="GP1702" s="11"/>
      <c r="GQ1702" s="11"/>
      <c r="GR1702" s="11"/>
      <c r="GS1702" s="11"/>
      <c r="GT1702" s="11"/>
      <c r="GU1702" s="11"/>
      <c r="GV1702" s="11"/>
      <c r="GW1702" s="11"/>
      <c r="GX1702" s="11"/>
      <c r="GY1702" s="11"/>
      <c r="GZ1702" s="11"/>
      <c r="HA1702" s="11"/>
      <c r="HB1702" s="11"/>
      <c r="HC1702" s="11"/>
      <c r="HD1702" s="11"/>
      <c r="HE1702" s="11"/>
      <c r="HF1702" s="11"/>
      <c r="HG1702" s="11"/>
      <c r="HH1702" s="11"/>
      <c r="HI1702" s="11"/>
      <c r="HJ1702" s="11"/>
      <c r="HK1702" s="11"/>
      <c r="HL1702" s="11"/>
      <c r="HM1702" s="11"/>
      <c r="HN1702" s="11"/>
      <c r="HO1702" s="11"/>
      <c r="HP1702" s="11"/>
      <c r="HQ1702" s="11"/>
      <c r="HR1702" s="11"/>
      <c r="HS1702" s="11"/>
      <c r="HT1702" s="11"/>
      <c r="HU1702" s="11"/>
      <c r="HV1702" s="11"/>
      <c r="HW1702" s="11"/>
      <c r="HX1702" s="11"/>
      <c r="HY1702" s="11"/>
      <c r="HZ1702" s="11"/>
      <c r="IA1702" s="11"/>
      <c r="IB1702" s="11"/>
      <c r="IC1702" s="11"/>
      <c r="ID1702" s="11"/>
      <c r="IE1702" s="11"/>
      <c r="IF1702" s="11"/>
      <c r="IG1702" s="11"/>
      <c r="IH1702" s="11"/>
      <c r="II1702" s="11"/>
      <c r="IJ1702" s="11"/>
    </row>
    <row r="1703" spans="1:244" ht="12.75" customHeight="1">
      <c r="A1703" s="118">
        <v>1702</v>
      </c>
      <c r="B1703" s="128">
        <v>19</v>
      </c>
      <c r="C1703" s="156">
        <v>38991</v>
      </c>
      <c r="D1703" s="157" t="s">
        <v>53</v>
      </c>
      <c r="E1703" s="8">
        <v>2006</v>
      </c>
      <c r="F1703" s="196" t="s">
        <v>41</v>
      </c>
      <c r="G1703" s="158">
        <v>2</v>
      </c>
      <c r="H1703" s="11" t="s">
        <v>9</v>
      </c>
      <c r="I1703" s="198">
        <v>20000</v>
      </c>
      <c r="J1703" s="15">
        <v>23.48</v>
      </c>
      <c r="K1703" s="15">
        <v>7.95</v>
      </c>
      <c r="L1703" s="15">
        <v>3.73</v>
      </c>
      <c r="O1703" s="15">
        <v>5.13</v>
      </c>
      <c r="T1703" s="161">
        <f t="shared" si="439"/>
        <v>159000</v>
      </c>
      <c r="U1703" s="161">
        <f t="shared" si="438"/>
        <v>74600</v>
      </c>
      <c r="V1703" s="161">
        <f t="shared" si="436"/>
        <v>102600</v>
      </c>
      <c r="W1703" s="161">
        <f t="shared" si="437"/>
        <v>41040</v>
      </c>
      <c r="X1703" s="11"/>
      <c r="Y1703" s="11"/>
      <c r="Z1703" s="11"/>
      <c r="AA1703" s="11"/>
      <c r="AB1703" s="11"/>
      <c r="AC1703" s="11"/>
      <c r="AD1703" s="11"/>
      <c r="AE1703" s="11"/>
      <c r="AF1703" s="11"/>
      <c r="AG1703" s="11"/>
      <c r="AH1703" s="11"/>
      <c r="AI1703" s="11"/>
      <c r="AJ1703" s="11"/>
      <c r="AK1703" s="11"/>
      <c r="AL1703" s="11"/>
      <c r="AM1703" s="11"/>
      <c r="AN1703" s="11"/>
      <c r="AO1703" s="11"/>
      <c r="AP1703" s="11"/>
      <c r="AQ1703" s="11"/>
      <c r="AR1703" s="11"/>
      <c r="AS1703" s="11"/>
      <c r="AT1703" s="11"/>
      <c r="AU1703" s="11"/>
      <c r="AV1703" s="11"/>
      <c r="AW1703" s="11"/>
      <c r="AX1703" s="11"/>
      <c r="AY1703" s="11"/>
      <c r="AZ1703" s="11"/>
      <c r="BA1703" s="11"/>
      <c r="BB1703" s="11"/>
      <c r="BC1703" s="11"/>
      <c r="BD1703" s="11"/>
      <c r="BE1703" s="11"/>
      <c r="BF1703" s="11"/>
      <c r="BG1703" s="11"/>
      <c r="BH1703" s="11"/>
      <c r="BI1703" s="11"/>
      <c r="BJ1703" s="11"/>
      <c r="BK1703" s="11"/>
      <c r="BL1703" s="11"/>
      <c r="BM1703" s="11"/>
      <c r="BN1703" s="11"/>
      <c r="BO1703" s="11"/>
      <c r="BP1703" s="11"/>
      <c r="BQ1703" s="11"/>
      <c r="BR1703" s="11"/>
      <c r="BS1703" s="11"/>
      <c r="BT1703" s="11"/>
      <c r="BU1703" s="11"/>
      <c r="BV1703" s="11"/>
      <c r="BW1703" s="11"/>
      <c r="BX1703" s="11"/>
      <c r="BY1703" s="11"/>
      <c r="BZ1703" s="11"/>
      <c r="CA1703" s="11"/>
      <c r="CB1703" s="11"/>
      <c r="CC1703" s="11"/>
      <c r="CD1703" s="11"/>
      <c r="CE1703" s="11"/>
      <c r="CF1703" s="11"/>
      <c r="CG1703" s="11"/>
      <c r="CH1703" s="11"/>
      <c r="CI1703" s="11"/>
      <c r="CJ1703" s="11"/>
      <c r="CK1703" s="11"/>
      <c r="CL1703" s="11"/>
      <c r="CM1703" s="11"/>
      <c r="CN1703" s="11"/>
      <c r="CO1703" s="11"/>
      <c r="CP1703" s="11"/>
      <c r="CQ1703" s="11"/>
      <c r="CR1703" s="11"/>
      <c r="CS1703" s="11"/>
      <c r="CT1703" s="11"/>
      <c r="CU1703" s="11"/>
      <c r="CV1703" s="11"/>
      <c r="CW1703" s="11"/>
      <c r="CX1703" s="11"/>
      <c r="CY1703" s="11"/>
      <c r="CZ1703" s="11"/>
      <c r="DA1703" s="11"/>
      <c r="DB1703" s="11"/>
      <c r="DC1703" s="11"/>
      <c r="DD1703" s="11"/>
      <c r="DE1703" s="11"/>
      <c r="DF1703" s="11"/>
      <c r="DG1703" s="11"/>
      <c r="DH1703" s="11"/>
      <c r="DI1703" s="11"/>
      <c r="DJ1703" s="11"/>
      <c r="DK1703" s="11"/>
      <c r="DL1703" s="11"/>
      <c r="DM1703" s="11"/>
      <c r="DN1703" s="11"/>
      <c r="DO1703" s="11"/>
      <c r="DP1703" s="11"/>
      <c r="DQ1703" s="11"/>
      <c r="DR1703" s="11"/>
      <c r="DS1703" s="11"/>
      <c r="DT1703" s="11"/>
      <c r="DU1703" s="11"/>
      <c r="DV1703" s="11"/>
      <c r="DW1703" s="11"/>
      <c r="DX1703" s="11"/>
      <c r="DY1703" s="11"/>
      <c r="DZ1703" s="11"/>
      <c r="EA1703" s="11"/>
      <c r="EB1703" s="11"/>
      <c r="EC1703" s="11"/>
      <c r="ED1703" s="11"/>
      <c r="EE1703" s="11"/>
      <c r="EF1703" s="11"/>
      <c r="EG1703" s="11"/>
      <c r="EH1703" s="11"/>
      <c r="EI1703" s="11"/>
      <c r="EJ1703" s="11"/>
      <c r="EK1703" s="11"/>
      <c r="EL1703" s="11"/>
      <c r="EM1703" s="11"/>
      <c r="EN1703" s="11"/>
      <c r="EO1703" s="11"/>
      <c r="EP1703" s="11"/>
      <c r="EQ1703" s="11"/>
      <c r="ER1703" s="11"/>
      <c r="ES1703" s="11"/>
      <c r="ET1703" s="11"/>
      <c r="EU1703" s="11"/>
      <c r="EV1703" s="11"/>
      <c r="EW1703" s="11"/>
      <c r="EX1703" s="11"/>
      <c r="EY1703" s="11"/>
      <c r="EZ1703" s="11"/>
      <c r="FA1703" s="11"/>
      <c r="FB1703" s="11"/>
      <c r="FC1703" s="11"/>
      <c r="FD1703" s="11"/>
      <c r="FE1703" s="11"/>
      <c r="FF1703" s="11"/>
      <c r="FG1703" s="11"/>
      <c r="FH1703" s="11"/>
      <c r="FI1703" s="11"/>
      <c r="FJ1703" s="11"/>
      <c r="FK1703" s="11"/>
      <c r="FL1703" s="11"/>
      <c r="FM1703" s="11"/>
      <c r="FN1703" s="11"/>
      <c r="FO1703" s="11"/>
      <c r="FP1703" s="11"/>
      <c r="FQ1703" s="11"/>
      <c r="FR1703" s="11"/>
      <c r="FS1703" s="11"/>
      <c r="FT1703" s="11"/>
      <c r="FU1703" s="11"/>
      <c r="FV1703" s="11"/>
      <c r="FW1703" s="11"/>
      <c r="FX1703" s="11"/>
      <c r="FY1703" s="11"/>
      <c r="FZ1703" s="11"/>
      <c r="GA1703" s="11"/>
      <c r="GB1703" s="11"/>
      <c r="GC1703" s="11"/>
      <c r="GD1703" s="11"/>
      <c r="GE1703" s="11"/>
      <c r="GF1703" s="11"/>
      <c r="GG1703" s="11"/>
      <c r="GH1703" s="11"/>
      <c r="GI1703" s="11"/>
      <c r="GJ1703" s="11"/>
      <c r="GK1703" s="11"/>
      <c r="GL1703" s="11"/>
      <c r="GM1703" s="11"/>
      <c r="GN1703" s="11"/>
      <c r="GO1703" s="11"/>
      <c r="GP1703" s="11"/>
      <c r="GQ1703" s="11"/>
      <c r="GR1703" s="11"/>
      <c r="GS1703" s="11"/>
      <c r="GT1703" s="11"/>
      <c r="GU1703" s="11"/>
      <c r="GV1703" s="11"/>
      <c r="GW1703" s="11"/>
      <c r="GX1703" s="11"/>
      <c r="GY1703" s="11"/>
      <c r="GZ1703" s="11"/>
      <c r="HA1703" s="11"/>
      <c r="HB1703" s="11"/>
      <c r="HC1703" s="11"/>
      <c r="HD1703" s="11"/>
      <c r="HE1703" s="11"/>
      <c r="HF1703" s="11"/>
      <c r="HG1703" s="11"/>
      <c r="HH1703" s="11"/>
      <c r="HI1703" s="11"/>
      <c r="HJ1703" s="11"/>
      <c r="HK1703" s="11"/>
      <c r="HL1703" s="11"/>
      <c r="HM1703" s="11"/>
      <c r="HN1703" s="11"/>
      <c r="HO1703" s="11"/>
      <c r="HP1703" s="11"/>
      <c r="HQ1703" s="11"/>
      <c r="HR1703" s="11"/>
      <c r="HS1703" s="11"/>
      <c r="HT1703" s="11"/>
      <c r="HU1703" s="11"/>
      <c r="HV1703" s="11"/>
      <c r="HW1703" s="11"/>
      <c r="HX1703" s="11"/>
      <c r="HY1703" s="11"/>
      <c r="HZ1703" s="11"/>
      <c r="IA1703" s="11"/>
      <c r="IB1703" s="11"/>
      <c r="IC1703" s="11"/>
      <c r="ID1703" s="11"/>
      <c r="IE1703" s="11"/>
      <c r="IF1703" s="11"/>
      <c r="IG1703" s="11"/>
      <c r="IH1703" s="11"/>
      <c r="II1703" s="11"/>
      <c r="IJ1703" s="11"/>
    </row>
    <row r="1704" spans="1:244" ht="12.75" customHeight="1">
      <c r="A1704" s="118">
        <v>1703</v>
      </c>
      <c r="B1704" s="128">
        <v>19</v>
      </c>
      <c r="C1704" s="156">
        <v>39022</v>
      </c>
      <c r="D1704" s="157" t="s">
        <v>54</v>
      </c>
      <c r="E1704" s="8">
        <v>2006</v>
      </c>
      <c r="F1704" s="196" t="s">
        <v>41</v>
      </c>
      <c r="G1704" s="158">
        <v>2</v>
      </c>
      <c r="H1704" s="11" t="s">
        <v>9</v>
      </c>
      <c r="I1704" s="198">
        <v>20000</v>
      </c>
      <c r="J1704" s="173"/>
      <c r="K1704" s="165">
        <f>(K1703+K1705)/2</f>
        <v>9.2750000000000004</v>
      </c>
      <c r="L1704" s="165">
        <f>(L1703+L1705)/2</f>
        <v>4.9800000000000004</v>
      </c>
      <c r="N1704" s="528">
        <v>1</v>
      </c>
      <c r="O1704" s="165">
        <f>(O1703+O1705)/2</f>
        <v>2.58</v>
      </c>
      <c r="T1704" s="161">
        <f t="shared" si="439"/>
        <v>185500</v>
      </c>
      <c r="U1704" s="161">
        <f t="shared" si="438"/>
        <v>99600.000000000015</v>
      </c>
      <c r="V1704" s="161">
        <f t="shared" si="436"/>
        <v>51600</v>
      </c>
      <c r="W1704" s="161">
        <f t="shared" si="437"/>
        <v>20640</v>
      </c>
      <c r="X1704" s="11"/>
      <c r="Y1704" s="11"/>
      <c r="Z1704" s="11"/>
      <c r="AA1704" s="11"/>
      <c r="AB1704" s="11"/>
      <c r="AC1704" s="11"/>
      <c r="AD1704" s="11"/>
      <c r="AE1704" s="11"/>
      <c r="AF1704" s="11"/>
      <c r="AG1704" s="11"/>
      <c r="AH1704" s="11"/>
      <c r="AI1704" s="11"/>
      <c r="AJ1704" s="11"/>
      <c r="AK1704" s="11"/>
      <c r="AL1704" s="11"/>
      <c r="AM1704" s="11"/>
      <c r="AN1704" s="11"/>
      <c r="AO1704" s="11"/>
      <c r="AP1704" s="11"/>
      <c r="AQ1704" s="11"/>
      <c r="AR1704" s="11"/>
      <c r="AS1704" s="11"/>
      <c r="AT1704" s="11"/>
      <c r="AU1704" s="11"/>
      <c r="AV1704" s="11"/>
      <c r="AW1704" s="11"/>
      <c r="AX1704" s="11"/>
      <c r="AY1704" s="11"/>
      <c r="AZ1704" s="11"/>
      <c r="BA1704" s="11"/>
      <c r="BB1704" s="11"/>
      <c r="BC1704" s="11"/>
      <c r="BD1704" s="11"/>
      <c r="BE1704" s="11"/>
      <c r="BF1704" s="11"/>
      <c r="BG1704" s="11"/>
      <c r="BH1704" s="11"/>
      <c r="BI1704" s="11"/>
      <c r="BJ1704" s="11"/>
      <c r="BK1704" s="11"/>
      <c r="BL1704" s="11"/>
      <c r="BM1704" s="11"/>
      <c r="BN1704" s="11"/>
      <c r="BO1704" s="11"/>
      <c r="BP1704" s="11"/>
      <c r="BQ1704" s="11"/>
      <c r="BR1704" s="11"/>
      <c r="BS1704" s="11"/>
      <c r="BT1704" s="11"/>
      <c r="BU1704" s="11"/>
      <c r="BV1704" s="11"/>
      <c r="BW1704" s="11"/>
      <c r="BX1704" s="11"/>
      <c r="BY1704" s="11"/>
      <c r="BZ1704" s="11"/>
      <c r="CA1704" s="11"/>
      <c r="CB1704" s="11"/>
      <c r="CC1704" s="11"/>
      <c r="CD1704" s="11"/>
      <c r="CE1704" s="11"/>
      <c r="CF1704" s="11"/>
      <c r="CG1704" s="11"/>
      <c r="CH1704" s="11"/>
      <c r="CI1704" s="11"/>
      <c r="CJ1704" s="11"/>
      <c r="CK1704" s="11"/>
      <c r="CL1704" s="11"/>
      <c r="CM1704" s="11"/>
      <c r="CN1704" s="11"/>
      <c r="CO1704" s="11"/>
      <c r="CP1704" s="11"/>
      <c r="CQ1704" s="11"/>
      <c r="CR1704" s="11"/>
      <c r="CS1704" s="11"/>
      <c r="CT1704" s="11"/>
      <c r="CU1704" s="11"/>
      <c r="CV1704" s="11"/>
      <c r="CW1704" s="11"/>
      <c r="CX1704" s="11"/>
      <c r="CY1704" s="11"/>
      <c r="CZ1704" s="11"/>
      <c r="DA1704" s="11"/>
      <c r="DB1704" s="11"/>
      <c r="DC1704" s="11"/>
      <c r="DD1704" s="11"/>
      <c r="DE1704" s="11"/>
      <c r="DF1704" s="11"/>
      <c r="DG1704" s="11"/>
      <c r="DH1704" s="11"/>
      <c r="DI1704" s="11"/>
      <c r="DJ1704" s="11"/>
      <c r="DK1704" s="11"/>
      <c r="DL1704" s="11"/>
      <c r="DM1704" s="11"/>
      <c r="DN1704" s="11"/>
      <c r="DO1704" s="11"/>
      <c r="DP1704" s="11"/>
      <c r="DQ1704" s="11"/>
      <c r="DR1704" s="11"/>
      <c r="DS1704" s="11"/>
      <c r="DT1704" s="11"/>
      <c r="DU1704" s="11"/>
      <c r="DV1704" s="11"/>
      <c r="DW1704" s="11"/>
      <c r="DX1704" s="11"/>
      <c r="DY1704" s="11"/>
      <c r="DZ1704" s="11"/>
      <c r="EA1704" s="11"/>
      <c r="EB1704" s="11"/>
      <c r="EC1704" s="11"/>
      <c r="ED1704" s="11"/>
      <c r="EE1704" s="11"/>
      <c r="EF1704" s="11"/>
      <c r="EG1704" s="11"/>
      <c r="EH1704" s="11"/>
      <c r="EI1704" s="11"/>
      <c r="EJ1704" s="11"/>
      <c r="EK1704" s="11"/>
      <c r="EL1704" s="11"/>
      <c r="EM1704" s="11"/>
      <c r="EN1704" s="11"/>
      <c r="EO1704" s="11"/>
      <c r="EP1704" s="11"/>
      <c r="EQ1704" s="11"/>
      <c r="ER1704" s="11"/>
      <c r="ES1704" s="11"/>
      <c r="ET1704" s="11"/>
      <c r="EU1704" s="11"/>
      <c r="EV1704" s="11"/>
      <c r="EW1704" s="11"/>
      <c r="EX1704" s="11"/>
      <c r="EY1704" s="11"/>
      <c r="EZ1704" s="11"/>
      <c r="FA1704" s="11"/>
      <c r="FB1704" s="11"/>
      <c r="FC1704" s="11"/>
      <c r="FD1704" s="11"/>
      <c r="FE1704" s="11"/>
      <c r="FF1704" s="11"/>
      <c r="FG1704" s="11"/>
      <c r="FH1704" s="11"/>
      <c r="FI1704" s="11"/>
      <c r="FJ1704" s="11"/>
      <c r="FK1704" s="11"/>
      <c r="FL1704" s="11"/>
      <c r="FM1704" s="11"/>
      <c r="FN1704" s="11"/>
      <c r="FO1704" s="11"/>
      <c r="FP1704" s="11"/>
      <c r="FQ1704" s="11"/>
      <c r="FR1704" s="11"/>
      <c r="FS1704" s="11"/>
      <c r="FT1704" s="11"/>
      <c r="FU1704" s="11"/>
      <c r="FV1704" s="11"/>
      <c r="FW1704" s="11"/>
      <c r="FX1704" s="11"/>
      <c r="FY1704" s="11"/>
      <c r="FZ1704" s="11"/>
      <c r="GA1704" s="11"/>
      <c r="GB1704" s="11"/>
      <c r="GC1704" s="11"/>
      <c r="GD1704" s="11"/>
      <c r="GE1704" s="11"/>
      <c r="GF1704" s="11"/>
      <c r="GG1704" s="11"/>
      <c r="GH1704" s="11"/>
      <c r="GI1704" s="11"/>
      <c r="GJ1704" s="11"/>
      <c r="GK1704" s="11"/>
      <c r="GL1704" s="11"/>
      <c r="GM1704" s="11"/>
      <c r="GN1704" s="11"/>
      <c r="GO1704" s="11"/>
      <c r="GP1704" s="11"/>
      <c r="GQ1704" s="11"/>
      <c r="GR1704" s="11"/>
      <c r="GS1704" s="11"/>
      <c r="GT1704" s="11"/>
      <c r="GU1704" s="11"/>
      <c r="GV1704" s="11"/>
      <c r="GW1704" s="11"/>
      <c r="GX1704" s="11"/>
      <c r="GY1704" s="11"/>
      <c r="GZ1704" s="11"/>
      <c r="HA1704" s="11"/>
      <c r="HB1704" s="11"/>
      <c r="HC1704" s="11"/>
      <c r="HD1704" s="11"/>
      <c r="HE1704" s="11"/>
      <c r="HF1704" s="11"/>
      <c r="HG1704" s="11"/>
      <c r="HH1704" s="11"/>
      <c r="HI1704" s="11"/>
      <c r="HJ1704" s="11"/>
      <c r="HK1704" s="11"/>
      <c r="HL1704" s="11"/>
      <c r="HM1704" s="11"/>
      <c r="HN1704" s="11"/>
      <c r="HO1704" s="11"/>
      <c r="HP1704" s="11"/>
      <c r="HQ1704" s="11"/>
      <c r="HR1704" s="11"/>
      <c r="HS1704" s="11"/>
      <c r="HT1704" s="11"/>
      <c r="HU1704" s="11"/>
      <c r="HV1704" s="11"/>
      <c r="HW1704" s="11"/>
      <c r="HX1704" s="11"/>
      <c r="HY1704" s="11"/>
      <c r="HZ1704" s="11"/>
      <c r="IA1704" s="11"/>
      <c r="IB1704" s="11"/>
      <c r="IC1704" s="11"/>
      <c r="ID1704" s="11"/>
      <c r="IE1704" s="11"/>
      <c r="IF1704" s="11"/>
      <c r="IG1704" s="11"/>
      <c r="IH1704" s="11"/>
      <c r="II1704" s="11"/>
      <c r="IJ1704" s="11"/>
    </row>
    <row r="1705" spans="1:244" ht="12.75" customHeight="1">
      <c r="A1705" s="118">
        <v>1704</v>
      </c>
      <c r="B1705" s="128">
        <v>19</v>
      </c>
      <c r="C1705" s="156">
        <v>39052</v>
      </c>
      <c r="D1705" s="157" t="s">
        <v>55</v>
      </c>
      <c r="E1705" s="8">
        <v>2006</v>
      </c>
      <c r="F1705" s="196" t="s">
        <v>41</v>
      </c>
      <c r="G1705" s="158">
        <v>2</v>
      </c>
      <c r="H1705" s="11" t="s">
        <v>9</v>
      </c>
      <c r="I1705" s="198">
        <v>20000</v>
      </c>
      <c r="J1705" s="15">
        <v>32.5</v>
      </c>
      <c r="K1705" s="15">
        <v>10.6</v>
      </c>
      <c r="L1705" s="15">
        <v>6.23</v>
      </c>
      <c r="O1705" s="15">
        <v>0.03</v>
      </c>
      <c r="Q1705" s="11">
        <v>7</v>
      </c>
      <c r="R1705" s="11">
        <v>32</v>
      </c>
      <c r="T1705" s="161">
        <f t="shared" si="439"/>
        <v>212000</v>
      </c>
      <c r="U1705" s="161">
        <f t="shared" si="438"/>
        <v>124600.00000000001</v>
      </c>
      <c r="V1705" s="161">
        <f t="shared" si="436"/>
        <v>600</v>
      </c>
      <c r="W1705" s="161">
        <f t="shared" si="437"/>
        <v>240</v>
      </c>
      <c r="X1705" s="11"/>
      <c r="Y1705" s="11"/>
      <c r="Z1705" s="11"/>
      <c r="AA1705" s="11"/>
      <c r="AB1705" s="11"/>
      <c r="AC1705" s="11"/>
      <c r="AD1705" s="11"/>
      <c r="AE1705" s="11"/>
      <c r="AF1705" s="11"/>
      <c r="AG1705" s="11"/>
      <c r="AH1705" s="11"/>
      <c r="AI1705" s="11"/>
      <c r="AJ1705" s="11"/>
      <c r="AK1705" s="11"/>
      <c r="AL1705" s="11"/>
      <c r="AM1705" s="11"/>
      <c r="AN1705" s="11"/>
      <c r="AO1705" s="11"/>
      <c r="AP1705" s="11"/>
      <c r="AQ1705" s="11"/>
      <c r="AR1705" s="11"/>
      <c r="AS1705" s="11"/>
      <c r="AT1705" s="11"/>
      <c r="AU1705" s="11"/>
      <c r="AV1705" s="11"/>
      <c r="AW1705" s="11"/>
      <c r="AX1705" s="11"/>
      <c r="AY1705" s="11"/>
      <c r="AZ1705" s="11"/>
      <c r="BA1705" s="11"/>
      <c r="BB1705" s="11"/>
      <c r="BC1705" s="11"/>
      <c r="BD1705" s="11"/>
      <c r="BE1705" s="11"/>
      <c r="BF1705" s="11"/>
      <c r="BG1705" s="11"/>
      <c r="BH1705" s="11"/>
      <c r="BI1705" s="11"/>
      <c r="BJ1705" s="11"/>
      <c r="BK1705" s="11"/>
      <c r="BL1705" s="11"/>
      <c r="BM1705" s="11"/>
      <c r="BN1705" s="11"/>
      <c r="BO1705" s="11"/>
      <c r="BP1705" s="11"/>
      <c r="BQ1705" s="11"/>
      <c r="BR1705" s="11"/>
      <c r="BS1705" s="11"/>
      <c r="BT1705" s="11"/>
      <c r="BU1705" s="11"/>
      <c r="BV1705" s="11"/>
      <c r="BW1705" s="11"/>
      <c r="BX1705" s="11"/>
      <c r="BY1705" s="11"/>
      <c r="BZ1705" s="11"/>
      <c r="CA1705" s="11"/>
      <c r="CB1705" s="11"/>
      <c r="CC1705" s="11"/>
      <c r="CD1705" s="11"/>
      <c r="CE1705" s="11"/>
      <c r="CF1705" s="11"/>
      <c r="CG1705" s="11"/>
      <c r="CH1705" s="11"/>
      <c r="CI1705" s="11"/>
      <c r="CJ1705" s="11"/>
      <c r="CK1705" s="11"/>
      <c r="CL1705" s="11"/>
      <c r="CM1705" s="11"/>
      <c r="CN1705" s="11"/>
      <c r="CO1705" s="11"/>
      <c r="CP1705" s="11"/>
      <c r="CQ1705" s="11"/>
      <c r="CR1705" s="11"/>
      <c r="CS1705" s="11"/>
      <c r="CT1705" s="11"/>
      <c r="CU1705" s="11"/>
      <c r="CV1705" s="11"/>
      <c r="CW1705" s="11"/>
      <c r="CX1705" s="11"/>
      <c r="CY1705" s="11"/>
      <c r="CZ1705" s="11"/>
      <c r="DA1705" s="11"/>
      <c r="DB1705" s="11"/>
      <c r="DC1705" s="11"/>
      <c r="DD1705" s="11"/>
      <c r="DE1705" s="11"/>
      <c r="DF1705" s="11"/>
      <c r="DG1705" s="11"/>
      <c r="DH1705" s="11"/>
      <c r="DI1705" s="11"/>
      <c r="DJ1705" s="11"/>
      <c r="DK1705" s="11"/>
      <c r="DL1705" s="11"/>
      <c r="DM1705" s="11"/>
      <c r="DN1705" s="11"/>
      <c r="DO1705" s="11"/>
      <c r="DP1705" s="11"/>
      <c r="DQ1705" s="11"/>
      <c r="DR1705" s="11"/>
      <c r="DS1705" s="11"/>
      <c r="DT1705" s="11"/>
      <c r="DU1705" s="11"/>
      <c r="DV1705" s="11"/>
      <c r="DW1705" s="11"/>
      <c r="DX1705" s="11"/>
      <c r="DY1705" s="11"/>
      <c r="DZ1705" s="11"/>
      <c r="EA1705" s="11"/>
      <c r="EB1705" s="11"/>
      <c r="EC1705" s="11"/>
      <c r="ED1705" s="11"/>
      <c r="EE1705" s="11"/>
      <c r="EF1705" s="11"/>
      <c r="EG1705" s="11"/>
      <c r="EH1705" s="11"/>
      <c r="EI1705" s="11"/>
      <c r="EJ1705" s="11"/>
      <c r="EK1705" s="11"/>
      <c r="EL1705" s="11"/>
      <c r="EM1705" s="11"/>
      <c r="EN1705" s="11"/>
      <c r="EO1705" s="11"/>
      <c r="EP1705" s="11"/>
      <c r="EQ1705" s="11"/>
      <c r="ER1705" s="11"/>
      <c r="ES1705" s="11"/>
      <c r="ET1705" s="11"/>
      <c r="EU1705" s="11"/>
      <c r="EV1705" s="11"/>
      <c r="EW1705" s="11"/>
      <c r="EX1705" s="11"/>
      <c r="EY1705" s="11"/>
      <c r="EZ1705" s="11"/>
      <c r="FA1705" s="11"/>
      <c r="FB1705" s="11"/>
      <c r="FC1705" s="11"/>
      <c r="FD1705" s="11"/>
      <c r="FE1705" s="11"/>
      <c r="FF1705" s="11"/>
      <c r="FG1705" s="11"/>
      <c r="FH1705" s="11"/>
      <c r="FI1705" s="11"/>
      <c r="FJ1705" s="11"/>
      <c r="FK1705" s="11"/>
      <c r="FL1705" s="11"/>
      <c r="FM1705" s="11"/>
      <c r="FN1705" s="11"/>
      <c r="FO1705" s="11"/>
      <c r="FP1705" s="11"/>
      <c r="FQ1705" s="11"/>
      <c r="FR1705" s="11"/>
      <c r="FS1705" s="11"/>
      <c r="FT1705" s="11"/>
      <c r="FU1705" s="11"/>
      <c r="FV1705" s="11"/>
      <c r="FW1705" s="11"/>
      <c r="FX1705" s="11"/>
      <c r="FY1705" s="11"/>
      <c r="FZ1705" s="11"/>
      <c r="GA1705" s="11"/>
      <c r="GB1705" s="11"/>
      <c r="GC1705" s="11"/>
      <c r="GD1705" s="11"/>
      <c r="GE1705" s="11"/>
      <c r="GF1705" s="11"/>
      <c r="GG1705" s="11"/>
      <c r="GH1705" s="11"/>
      <c r="GI1705" s="11"/>
      <c r="GJ1705" s="11"/>
      <c r="GK1705" s="11"/>
      <c r="GL1705" s="11"/>
      <c r="GM1705" s="11"/>
      <c r="GN1705" s="11"/>
      <c r="GO1705" s="11"/>
      <c r="GP1705" s="11"/>
      <c r="GQ1705" s="11"/>
      <c r="GR1705" s="11"/>
      <c r="GS1705" s="11"/>
      <c r="GT1705" s="11"/>
      <c r="GU1705" s="11"/>
      <c r="GV1705" s="11"/>
      <c r="GW1705" s="11"/>
      <c r="GX1705" s="11"/>
      <c r="GY1705" s="11"/>
      <c r="GZ1705" s="11"/>
      <c r="HA1705" s="11"/>
      <c r="HB1705" s="11"/>
      <c r="HC1705" s="11"/>
      <c r="HD1705" s="11"/>
      <c r="HE1705" s="11"/>
      <c r="HF1705" s="11"/>
      <c r="HG1705" s="11"/>
      <c r="HH1705" s="11"/>
      <c r="HI1705" s="11"/>
      <c r="HJ1705" s="11"/>
      <c r="HK1705" s="11"/>
      <c r="HL1705" s="11"/>
      <c r="HM1705" s="11"/>
      <c r="HN1705" s="11"/>
      <c r="HO1705" s="11"/>
      <c r="HP1705" s="11"/>
      <c r="HQ1705" s="11"/>
      <c r="HR1705" s="11"/>
      <c r="HS1705" s="11"/>
      <c r="HT1705" s="11"/>
      <c r="HU1705" s="11"/>
      <c r="HV1705" s="11"/>
      <c r="HW1705" s="11"/>
      <c r="HX1705" s="11"/>
      <c r="HY1705" s="11"/>
      <c r="HZ1705" s="11"/>
      <c r="IA1705" s="11"/>
      <c r="IB1705" s="11"/>
      <c r="IC1705" s="11"/>
      <c r="ID1705" s="11"/>
      <c r="IE1705" s="11"/>
      <c r="IF1705" s="11"/>
      <c r="IG1705" s="11"/>
      <c r="IH1705" s="11"/>
      <c r="II1705" s="11"/>
      <c r="IJ1705" s="11"/>
    </row>
    <row r="1706" spans="1:244" ht="12.75" customHeight="1">
      <c r="A1706" s="118">
        <v>1705</v>
      </c>
      <c r="B1706" s="128">
        <v>19</v>
      </c>
      <c r="C1706" s="156">
        <v>39083</v>
      </c>
      <c r="D1706" s="157" t="s">
        <v>44</v>
      </c>
      <c r="E1706" s="8">
        <v>2007</v>
      </c>
      <c r="H1706" s="11" t="s">
        <v>9</v>
      </c>
      <c r="I1706" s="194">
        <v>3066</v>
      </c>
      <c r="J1706" s="173"/>
      <c r="K1706" s="165">
        <v>12</v>
      </c>
      <c r="L1706" s="165">
        <v>7.5</v>
      </c>
      <c r="N1706" s="528">
        <v>1</v>
      </c>
      <c r="O1706" s="165">
        <f>(O1705+O1707)/2</f>
        <v>0.04</v>
      </c>
      <c r="P1706" s="8">
        <v>1</v>
      </c>
      <c r="T1706" s="161">
        <f t="shared" si="439"/>
        <v>36792</v>
      </c>
      <c r="U1706" s="161">
        <f t="shared" si="438"/>
        <v>22995</v>
      </c>
      <c r="V1706" s="161">
        <f t="shared" si="436"/>
        <v>122.64</v>
      </c>
      <c r="W1706" s="161">
        <f t="shared" si="437"/>
        <v>49.056000000000004</v>
      </c>
      <c r="X1706" s="11"/>
      <c r="Y1706" s="11"/>
      <c r="Z1706" s="11"/>
      <c r="AA1706" s="11"/>
      <c r="AB1706" s="11"/>
      <c r="AC1706" s="11"/>
      <c r="AD1706" s="11"/>
      <c r="AE1706" s="11"/>
      <c r="AF1706" s="11"/>
      <c r="AG1706" s="11"/>
      <c r="AH1706" s="11"/>
      <c r="AI1706" s="11"/>
      <c r="AJ1706" s="11"/>
      <c r="AK1706" s="11"/>
      <c r="AL1706" s="11"/>
      <c r="AM1706" s="11"/>
      <c r="AN1706" s="11"/>
      <c r="AO1706" s="11"/>
      <c r="AP1706" s="11"/>
      <c r="AQ1706" s="11"/>
      <c r="AR1706" s="11"/>
      <c r="AS1706" s="11"/>
      <c r="AT1706" s="11"/>
      <c r="AU1706" s="11"/>
      <c r="AV1706" s="11"/>
      <c r="AW1706" s="11"/>
      <c r="AX1706" s="11"/>
      <c r="AY1706" s="11"/>
      <c r="AZ1706" s="11"/>
      <c r="BA1706" s="11"/>
      <c r="BB1706" s="11"/>
      <c r="BC1706" s="11"/>
      <c r="BD1706" s="11"/>
      <c r="BE1706" s="11"/>
      <c r="BF1706" s="11"/>
      <c r="BG1706" s="11"/>
      <c r="BH1706" s="11"/>
      <c r="BI1706" s="11"/>
      <c r="BJ1706" s="11"/>
      <c r="BK1706" s="11"/>
      <c r="BL1706" s="11"/>
      <c r="BM1706" s="11"/>
      <c r="BN1706" s="11"/>
      <c r="BO1706" s="11"/>
      <c r="BP1706" s="11"/>
      <c r="BQ1706" s="11"/>
      <c r="BR1706" s="11"/>
      <c r="BS1706" s="11"/>
      <c r="BT1706" s="11"/>
      <c r="BU1706" s="11"/>
      <c r="BV1706" s="11"/>
      <c r="BW1706" s="11"/>
      <c r="BX1706" s="11"/>
      <c r="BY1706" s="11"/>
      <c r="BZ1706" s="11"/>
      <c r="CA1706" s="11"/>
      <c r="CB1706" s="11"/>
      <c r="CC1706" s="11"/>
      <c r="CD1706" s="11"/>
      <c r="CE1706" s="11"/>
      <c r="CF1706" s="11"/>
      <c r="CG1706" s="11"/>
      <c r="CH1706" s="11"/>
      <c r="CI1706" s="11"/>
      <c r="CJ1706" s="11"/>
      <c r="CK1706" s="11"/>
      <c r="CL1706" s="11"/>
      <c r="CM1706" s="11"/>
      <c r="CN1706" s="11"/>
      <c r="CO1706" s="11"/>
      <c r="CP1706" s="11"/>
      <c r="CQ1706" s="11"/>
      <c r="CR1706" s="11"/>
      <c r="CS1706" s="11"/>
      <c r="CT1706" s="11"/>
      <c r="CU1706" s="11"/>
      <c r="CV1706" s="11"/>
      <c r="CW1706" s="11"/>
      <c r="CX1706" s="11"/>
      <c r="CY1706" s="11"/>
      <c r="CZ1706" s="11"/>
      <c r="DA1706" s="11"/>
      <c r="DB1706" s="11"/>
      <c r="DC1706" s="11"/>
      <c r="DD1706" s="11"/>
      <c r="DE1706" s="11"/>
      <c r="DF1706" s="11"/>
      <c r="DG1706" s="11"/>
      <c r="DH1706" s="11"/>
      <c r="DI1706" s="11"/>
      <c r="DJ1706" s="11"/>
      <c r="DK1706" s="11"/>
      <c r="DL1706" s="11"/>
      <c r="DM1706" s="11"/>
      <c r="DN1706" s="11"/>
      <c r="DO1706" s="11"/>
      <c r="DP1706" s="11"/>
      <c r="DQ1706" s="11"/>
      <c r="DR1706" s="11"/>
      <c r="DS1706" s="11"/>
      <c r="DT1706" s="11"/>
      <c r="DU1706" s="11"/>
      <c r="DV1706" s="11"/>
      <c r="DW1706" s="11"/>
      <c r="DX1706" s="11"/>
      <c r="DY1706" s="11"/>
      <c r="DZ1706" s="11"/>
      <c r="EA1706" s="11"/>
      <c r="EB1706" s="11"/>
      <c r="EC1706" s="11"/>
      <c r="ED1706" s="11"/>
      <c r="EE1706" s="11"/>
      <c r="EF1706" s="11"/>
      <c r="EG1706" s="11"/>
      <c r="EH1706" s="11"/>
      <c r="EI1706" s="11"/>
      <c r="EJ1706" s="11"/>
      <c r="EK1706" s="11"/>
      <c r="EL1706" s="11"/>
      <c r="EM1706" s="11"/>
      <c r="EN1706" s="11"/>
      <c r="EO1706" s="11"/>
      <c r="EP1706" s="11"/>
      <c r="EQ1706" s="11"/>
      <c r="ER1706" s="11"/>
      <c r="ES1706" s="11"/>
      <c r="ET1706" s="11"/>
      <c r="EU1706" s="11"/>
      <c r="EV1706" s="11"/>
      <c r="EW1706" s="11"/>
      <c r="EX1706" s="11"/>
      <c r="EY1706" s="11"/>
      <c r="EZ1706" s="11"/>
      <c r="FA1706" s="11"/>
      <c r="FB1706" s="11"/>
      <c r="FC1706" s="11"/>
      <c r="FD1706" s="11"/>
      <c r="FE1706" s="11"/>
      <c r="FF1706" s="11"/>
      <c r="FG1706" s="11"/>
      <c r="FH1706" s="11"/>
      <c r="FI1706" s="11"/>
      <c r="FJ1706" s="11"/>
      <c r="FK1706" s="11"/>
      <c r="FL1706" s="11"/>
      <c r="FM1706" s="11"/>
      <c r="FN1706" s="11"/>
      <c r="FO1706" s="11"/>
      <c r="FP1706" s="11"/>
      <c r="FQ1706" s="11"/>
      <c r="FR1706" s="11"/>
      <c r="FS1706" s="11"/>
      <c r="FT1706" s="11"/>
      <c r="FU1706" s="11"/>
      <c r="FV1706" s="11"/>
      <c r="FW1706" s="11"/>
      <c r="FX1706" s="11"/>
      <c r="FY1706" s="11"/>
      <c r="FZ1706" s="11"/>
      <c r="GA1706" s="11"/>
      <c r="GB1706" s="11"/>
      <c r="GC1706" s="11"/>
      <c r="GD1706" s="11"/>
      <c r="GE1706" s="11"/>
      <c r="GF1706" s="11"/>
      <c r="GG1706" s="11"/>
      <c r="GH1706" s="11"/>
      <c r="GI1706" s="11"/>
      <c r="GJ1706" s="11"/>
      <c r="GK1706" s="11"/>
      <c r="GL1706" s="11"/>
      <c r="GM1706" s="11"/>
      <c r="GN1706" s="11"/>
      <c r="GO1706" s="11"/>
      <c r="GP1706" s="11"/>
      <c r="GQ1706" s="11"/>
      <c r="GR1706" s="11"/>
      <c r="GS1706" s="11"/>
      <c r="GT1706" s="11"/>
      <c r="GU1706" s="11"/>
      <c r="GV1706" s="11"/>
      <c r="GW1706" s="11"/>
      <c r="GX1706" s="11"/>
      <c r="GY1706" s="11"/>
      <c r="GZ1706" s="11"/>
      <c r="HA1706" s="11"/>
      <c r="HB1706" s="11"/>
      <c r="HC1706" s="11"/>
      <c r="HD1706" s="11"/>
      <c r="HE1706" s="11"/>
      <c r="HF1706" s="11"/>
      <c r="HG1706" s="11"/>
      <c r="HH1706" s="11"/>
      <c r="HI1706" s="11"/>
      <c r="HJ1706" s="11"/>
      <c r="HK1706" s="11"/>
      <c r="HL1706" s="11"/>
      <c r="HM1706" s="11"/>
      <c r="HN1706" s="11"/>
      <c r="HO1706" s="11"/>
      <c r="HP1706" s="11"/>
      <c r="HQ1706" s="11"/>
      <c r="HR1706" s="11"/>
      <c r="HS1706" s="11"/>
      <c r="HT1706" s="11"/>
      <c r="HU1706" s="11"/>
      <c r="HV1706" s="11"/>
      <c r="HW1706" s="11"/>
      <c r="HX1706" s="11"/>
      <c r="HY1706" s="11"/>
      <c r="HZ1706" s="11"/>
      <c r="IA1706" s="11"/>
      <c r="IB1706" s="11"/>
      <c r="IC1706" s="11"/>
      <c r="ID1706" s="11"/>
      <c r="IE1706" s="11"/>
      <c r="IF1706" s="11"/>
      <c r="IG1706" s="11"/>
      <c r="IH1706" s="11"/>
      <c r="II1706" s="11"/>
      <c r="IJ1706" s="11"/>
    </row>
    <row r="1707" spans="1:244" ht="12.75" customHeight="1">
      <c r="A1707" s="118">
        <v>1706</v>
      </c>
      <c r="B1707" s="128">
        <v>19</v>
      </c>
      <c r="C1707" s="156">
        <v>39114</v>
      </c>
      <c r="D1707" s="157" t="s">
        <v>45</v>
      </c>
      <c r="E1707" s="8">
        <v>2007</v>
      </c>
      <c r="H1707" s="11" t="s">
        <v>9</v>
      </c>
      <c r="I1707" s="194">
        <v>13983</v>
      </c>
      <c r="J1707" s="15">
        <v>0.15</v>
      </c>
      <c r="K1707" s="15">
        <v>3.4</v>
      </c>
      <c r="L1707" s="15">
        <v>2.4500000000000002</v>
      </c>
      <c r="O1707" s="15">
        <v>0.05</v>
      </c>
      <c r="Q1707" s="11">
        <v>7</v>
      </c>
      <c r="R1707" s="11">
        <v>32</v>
      </c>
      <c r="S1707" s="155" t="s">
        <v>378</v>
      </c>
      <c r="T1707" s="161">
        <f t="shared" si="439"/>
        <v>47542.2</v>
      </c>
      <c r="U1707" s="161">
        <f t="shared" si="438"/>
        <v>34258.350000000006</v>
      </c>
      <c r="V1707" s="161">
        <f t="shared" si="436"/>
        <v>699.15000000000009</v>
      </c>
      <c r="W1707" s="161">
        <f t="shared" si="437"/>
        <v>279.66000000000003</v>
      </c>
      <c r="X1707" s="11"/>
      <c r="Y1707" s="11"/>
      <c r="Z1707" s="11"/>
      <c r="AA1707" s="11"/>
      <c r="AB1707" s="11"/>
      <c r="AC1707" s="11"/>
      <c r="AD1707" s="11"/>
      <c r="AE1707" s="11"/>
      <c r="AF1707" s="11"/>
      <c r="AG1707" s="11"/>
      <c r="AH1707" s="11"/>
      <c r="AI1707" s="11"/>
      <c r="AJ1707" s="11"/>
      <c r="AK1707" s="11"/>
      <c r="AL1707" s="11"/>
      <c r="AM1707" s="11"/>
      <c r="AN1707" s="11"/>
      <c r="AO1707" s="11"/>
      <c r="AP1707" s="11"/>
      <c r="AQ1707" s="11"/>
      <c r="AR1707" s="11"/>
      <c r="AS1707" s="11"/>
      <c r="AT1707" s="11"/>
      <c r="AU1707" s="11"/>
      <c r="AV1707" s="11"/>
      <c r="AW1707" s="11"/>
      <c r="AX1707" s="11"/>
      <c r="AY1707" s="11"/>
      <c r="AZ1707" s="11"/>
      <c r="BA1707" s="11"/>
      <c r="BB1707" s="11"/>
      <c r="BC1707" s="11"/>
      <c r="BD1707" s="11"/>
      <c r="BE1707" s="11"/>
      <c r="BF1707" s="11"/>
      <c r="BG1707" s="11"/>
      <c r="BH1707" s="11"/>
      <c r="BI1707" s="11"/>
      <c r="BJ1707" s="11"/>
      <c r="BK1707" s="11"/>
      <c r="BL1707" s="11"/>
      <c r="BM1707" s="11"/>
      <c r="BN1707" s="11"/>
      <c r="BO1707" s="11"/>
      <c r="BP1707" s="11"/>
      <c r="BQ1707" s="11"/>
      <c r="BR1707" s="11"/>
      <c r="BS1707" s="11"/>
      <c r="BT1707" s="11"/>
      <c r="BU1707" s="11"/>
      <c r="BV1707" s="11"/>
      <c r="BW1707" s="11"/>
      <c r="BX1707" s="11"/>
      <c r="BY1707" s="11"/>
      <c r="BZ1707" s="11"/>
      <c r="CA1707" s="11"/>
      <c r="CB1707" s="11"/>
      <c r="CC1707" s="11"/>
      <c r="CD1707" s="11"/>
      <c r="CE1707" s="11"/>
      <c r="CF1707" s="11"/>
      <c r="CG1707" s="11"/>
      <c r="CH1707" s="11"/>
      <c r="CI1707" s="11"/>
      <c r="CJ1707" s="11"/>
      <c r="CK1707" s="11"/>
      <c r="CL1707" s="11"/>
      <c r="CM1707" s="11"/>
      <c r="CN1707" s="11"/>
      <c r="CO1707" s="11"/>
      <c r="CP1707" s="11"/>
      <c r="CQ1707" s="11"/>
      <c r="CR1707" s="11"/>
      <c r="CS1707" s="11"/>
      <c r="CT1707" s="11"/>
      <c r="CU1707" s="11"/>
      <c r="CV1707" s="11"/>
      <c r="CW1707" s="11"/>
      <c r="CX1707" s="11"/>
      <c r="CY1707" s="11"/>
      <c r="CZ1707" s="11"/>
      <c r="DA1707" s="11"/>
      <c r="DB1707" s="11"/>
      <c r="DC1707" s="11"/>
      <c r="DD1707" s="11"/>
      <c r="DE1707" s="11"/>
      <c r="DF1707" s="11"/>
      <c r="DG1707" s="11"/>
      <c r="DH1707" s="11"/>
      <c r="DI1707" s="11"/>
      <c r="DJ1707" s="11"/>
      <c r="DK1707" s="11"/>
      <c r="DL1707" s="11"/>
      <c r="DM1707" s="11"/>
      <c r="DN1707" s="11"/>
      <c r="DO1707" s="11"/>
      <c r="DP1707" s="11"/>
      <c r="DQ1707" s="11"/>
      <c r="DR1707" s="11"/>
      <c r="DS1707" s="11"/>
      <c r="DT1707" s="11"/>
      <c r="DU1707" s="11"/>
      <c r="DV1707" s="11"/>
      <c r="DW1707" s="11"/>
      <c r="DX1707" s="11"/>
      <c r="DY1707" s="11"/>
      <c r="DZ1707" s="11"/>
      <c r="EA1707" s="11"/>
      <c r="EB1707" s="11"/>
      <c r="EC1707" s="11"/>
      <c r="ED1707" s="11"/>
      <c r="EE1707" s="11"/>
      <c r="EF1707" s="11"/>
      <c r="EG1707" s="11"/>
      <c r="EH1707" s="11"/>
      <c r="EI1707" s="11"/>
      <c r="EJ1707" s="11"/>
      <c r="EK1707" s="11"/>
      <c r="EL1707" s="11"/>
      <c r="EM1707" s="11"/>
      <c r="EN1707" s="11"/>
      <c r="EO1707" s="11"/>
      <c r="EP1707" s="11"/>
      <c r="EQ1707" s="11"/>
      <c r="ER1707" s="11"/>
      <c r="ES1707" s="11"/>
      <c r="ET1707" s="11"/>
      <c r="EU1707" s="11"/>
      <c r="EV1707" s="11"/>
      <c r="EW1707" s="11"/>
      <c r="EX1707" s="11"/>
      <c r="EY1707" s="11"/>
      <c r="EZ1707" s="11"/>
      <c r="FA1707" s="11"/>
      <c r="FB1707" s="11"/>
      <c r="FC1707" s="11"/>
      <c r="FD1707" s="11"/>
      <c r="FE1707" s="11"/>
      <c r="FF1707" s="11"/>
      <c r="FG1707" s="11"/>
      <c r="FH1707" s="11"/>
      <c r="FI1707" s="11"/>
      <c r="FJ1707" s="11"/>
      <c r="FK1707" s="11"/>
      <c r="FL1707" s="11"/>
      <c r="FM1707" s="11"/>
      <c r="FN1707" s="11"/>
      <c r="FO1707" s="11"/>
      <c r="FP1707" s="11"/>
      <c r="FQ1707" s="11"/>
      <c r="FR1707" s="11"/>
      <c r="FS1707" s="11"/>
      <c r="FT1707" s="11"/>
      <c r="FU1707" s="11"/>
      <c r="FV1707" s="11"/>
      <c r="FW1707" s="11"/>
      <c r="FX1707" s="11"/>
      <c r="FY1707" s="11"/>
      <c r="FZ1707" s="11"/>
      <c r="GA1707" s="11"/>
      <c r="GB1707" s="11"/>
      <c r="GC1707" s="11"/>
      <c r="GD1707" s="11"/>
      <c r="GE1707" s="11"/>
      <c r="GF1707" s="11"/>
      <c r="GG1707" s="11"/>
      <c r="GH1707" s="11"/>
      <c r="GI1707" s="11"/>
      <c r="GJ1707" s="11"/>
      <c r="GK1707" s="11"/>
      <c r="GL1707" s="11"/>
      <c r="GM1707" s="11"/>
      <c r="GN1707" s="11"/>
      <c r="GO1707" s="11"/>
      <c r="GP1707" s="11"/>
      <c r="GQ1707" s="11"/>
      <c r="GR1707" s="11"/>
      <c r="GS1707" s="11"/>
      <c r="GT1707" s="11"/>
      <c r="GU1707" s="11"/>
      <c r="GV1707" s="11"/>
      <c r="GW1707" s="11"/>
      <c r="GX1707" s="11"/>
      <c r="GY1707" s="11"/>
      <c r="GZ1707" s="11"/>
      <c r="HA1707" s="11"/>
      <c r="HB1707" s="11"/>
      <c r="HC1707" s="11"/>
      <c r="HD1707" s="11"/>
      <c r="HE1707" s="11"/>
      <c r="HF1707" s="11"/>
      <c r="HG1707" s="11"/>
      <c r="HH1707" s="11"/>
      <c r="HI1707" s="11"/>
      <c r="HJ1707" s="11"/>
      <c r="HK1707" s="11"/>
      <c r="HL1707" s="11"/>
      <c r="HM1707" s="11"/>
      <c r="HN1707" s="11"/>
      <c r="HO1707" s="11"/>
      <c r="HP1707" s="11"/>
      <c r="HQ1707" s="11"/>
      <c r="HR1707" s="11"/>
      <c r="HS1707" s="11"/>
      <c r="HT1707" s="11"/>
      <c r="HU1707" s="11"/>
      <c r="HV1707" s="11"/>
      <c r="HW1707" s="11"/>
      <c r="HX1707" s="11"/>
      <c r="HY1707" s="11"/>
      <c r="HZ1707" s="11"/>
      <c r="IA1707" s="11"/>
      <c r="IB1707" s="11"/>
      <c r="IC1707" s="11"/>
      <c r="ID1707" s="11"/>
      <c r="IE1707" s="11"/>
      <c r="IF1707" s="11"/>
      <c r="IG1707" s="11"/>
      <c r="IH1707" s="11"/>
      <c r="II1707" s="11"/>
      <c r="IJ1707" s="11"/>
    </row>
    <row r="1708" spans="1:244" ht="12.75" customHeight="1">
      <c r="A1708" s="118">
        <v>1707</v>
      </c>
      <c r="B1708" s="128">
        <v>19</v>
      </c>
      <c r="C1708" s="156">
        <v>39142</v>
      </c>
      <c r="D1708" s="157" t="s">
        <v>46</v>
      </c>
      <c r="E1708" s="8">
        <v>2007</v>
      </c>
      <c r="H1708" s="11" t="s">
        <v>9</v>
      </c>
      <c r="I1708" s="194">
        <v>14179</v>
      </c>
      <c r="J1708" s="15">
        <v>0.45</v>
      </c>
      <c r="K1708" s="15">
        <v>0.55000000000000004</v>
      </c>
      <c r="L1708" s="15">
        <v>0.2</v>
      </c>
      <c r="M1708" s="174">
        <v>0</v>
      </c>
      <c r="O1708" s="15">
        <v>0.45</v>
      </c>
      <c r="Q1708" s="11">
        <v>7</v>
      </c>
      <c r="R1708" s="11">
        <v>32</v>
      </c>
      <c r="T1708" s="161">
        <f t="shared" si="439"/>
        <v>7798.4500000000007</v>
      </c>
      <c r="U1708" s="161">
        <f t="shared" si="438"/>
        <v>2835.8</v>
      </c>
      <c r="V1708" s="161">
        <f t="shared" si="436"/>
        <v>6380.55</v>
      </c>
      <c r="W1708" s="161">
        <f t="shared" si="437"/>
        <v>2552.2200000000003</v>
      </c>
      <c r="X1708" s="11"/>
      <c r="Y1708" s="11"/>
      <c r="Z1708" s="11"/>
      <c r="AA1708" s="11"/>
      <c r="AB1708" s="11"/>
      <c r="AC1708" s="11"/>
      <c r="AD1708" s="11"/>
      <c r="AE1708" s="11"/>
      <c r="AF1708" s="11"/>
      <c r="AG1708" s="11"/>
      <c r="AH1708" s="11"/>
      <c r="AI1708" s="11"/>
      <c r="AJ1708" s="11"/>
      <c r="AK1708" s="11"/>
      <c r="AL1708" s="11"/>
      <c r="AM1708" s="11"/>
      <c r="AN1708" s="11"/>
      <c r="AO1708" s="11"/>
      <c r="AP1708" s="11"/>
      <c r="AQ1708" s="11"/>
      <c r="AR1708" s="11"/>
      <c r="AS1708" s="11"/>
      <c r="AT1708" s="11"/>
      <c r="AU1708" s="11"/>
      <c r="AV1708" s="11"/>
      <c r="AW1708" s="11"/>
      <c r="AX1708" s="11"/>
      <c r="AY1708" s="11"/>
      <c r="AZ1708" s="11"/>
      <c r="BA1708" s="11"/>
      <c r="BB1708" s="11"/>
      <c r="BC1708" s="11"/>
      <c r="BD1708" s="11"/>
      <c r="BE1708" s="11"/>
      <c r="BF1708" s="11"/>
      <c r="BG1708" s="11"/>
      <c r="BH1708" s="11"/>
      <c r="BI1708" s="11"/>
      <c r="BJ1708" s="11"/>
      <c r="BK1708" s="11"/>
      <c r="BL1708" s="11"/>
      <c r="BM1708" s="11"/>
      <c r="BN1708" s="11"/>
      <c r="BO1708" s="11"/>
      <c r="BP1708" s="11"/>
      <c r="BQ1708" s="11"/>
      <c r="BR1708" s="11"/>
      <c r="BS1708" s="11"/>
      <c r="BT1708" s="11"/>
      <c r="BU1708" s="11"/>
      <c r="BV1708" s="11"/>
      <c r="BW1708" s="11"/>
      <c r="BX1708" s="11"/>
      <c r="BY1708" s="11"/>
      <c r="BZ1708" s="11"/>
      <c r="CA1708" s="11"/>
      <c r="CB1708" s="11"/>
      <c r="CC1708" s="11"/>
      <c r="CD1708" s="11"/>
      <c r="CE1708" s="11"/>
      <c r="CF1708" s="11"/>
      <c r="CG1708" s="11"/>
      <c r="CH1708" s="11"/>
      <c r="CI1708" s="11"/>
      <c r="CJ1708" s="11"/>
      <c r="CK1708" s="11"/>
      <c r="CL1708" s="11"/>
      <c r="CM1708" s="11"/>
      <c r="CN1708" s="11"/>
      <c r="CO1708" s="11"/>
      <c r="CP1708" s="11"/>
      <c r="CQ1708" s="11"/>
      <c r="CR1708" s="11"/>
      <c r="CS1708" s="11"/>
      <c r="CT1708" s="11"/>
      <c r="CU1708" s="11"/>
      <c r="CV1708" s="11"/>
      <c r="CW1708" s="11"/>
      <c r="CX1708" s="11"/>
      <c r="CY1708" s="11"/>
      <c r="CZ1708" s="11"/>
      <c r="DA1708" s="11"/>
      <c r="DB1708" s="11"/>
      <c r="DC1708" s="11"/>
      <c r="DD1708" s="11"/>
      <c r="DE1708" s="11"/>
      <c r="DF1708" s="11"/>
      <c r="DG1708" s="11"/>
      <c r="DH1708" s="11"/>
      <c r="DI1708" s="11"/>
      <c r="DJ1708" s="11"/>
      <c r="DK1708" s="11"/>
      <c r="DL1708" s="11"/>
      <c r="DM1708" s="11"/>
      <c r="DN1708" s="11"/>
      <c r="DO1708" s="11"/>
      <c r="DP1708" s="11"/>
      <c r="DQ1708" s="11"/>
      <c r="DR1708" s="11"/>
      <c r="DS1708" s="11"/>
      <c r="DT1708" s="11"/>
      <c r="DU1708" s="11"/>
      <c r="DV1708" s="11"/>
      <c r="DW1708" s="11"/>
      <c r="DX1708" s="11"/>
      <c r="DY1708" s="11"/>
      <c r="DZ1708" s="11"/>
      <c r="EA1708" s="11"/>
      <c r="EB1708" s="11"/>
      <c r="EC1708" s="11"/>
      <c r="ED1708" s="11"/>
      <c r="EE1708" s="11"/>
      <c r="EF1708" s="11"/>
      <c r="EG1708" s="11"/>
      <c r="EH1708" s="11"/>
      <c r="EI1708" s="11"/>
      <c r="EJ1708" s="11"/>
      <c r="EK1708" s="11"/>
      <c r="EL1708" s="11"/>
      <c r="EM1708" s="11"/>
      <c r="EN1708" s="11"/>
      <c r="EO1708" s="11"/>
      <c r="EP1708" s="11"/>
      <c r="EQ1708" s="11"/>
      <c r="ER1708" s="11"/>
      <c r="ES1708" s="11"/>
      <c r="ET1708" s="11"/>
      <c r="EU1708" s="11"/>
      <c r="EV1708" s="11"/>
      <c r="EW1708" s="11"/>
      <c r="EX1708" s="11"/>
      <c r="EY1708" s="11"/>
      <c r="EZ1708" s="11"/>
      <c r="FA1708" s="11"/>
      <c r="FB1708" s="11"/>
      <c r="FC1708" s="11"/>
      <c r="FD1708" s="11"/>
      <c r="FE1708" s="11"/>
      <c r="FF1708" s="11"/>
      <c r="FG1708" s="11"/>
      <c r="FH1708" s="11"/>
      <c r="FI1708" s="11"/>
      <c r="FJ1708" s="11"/>
      <c r="FK1708" s="11"/>
      <c r="FL1708" s="11"/>
      <c r="FM1708" s="11"/>
      <c r="FN1708" s="11"/>
      <c r="FO1708" s="11"/>
      <c r="FP1708" s="11"/>
      <c r="FQ1708" s="11"/>
      <c r="FR1708" s="11"/>
      <c r="FS1708" s="11"/>
      <c r="FT1708" s="11"/>
      <c r="FU1708" s="11"/>
      <c r="FV1708" s="11"/>
      <c r="FW1708" s="11"/>
      <c r="FX1708" s="11"/>
      <c r="FY1708" s="11"/>
      <c r="FZ1708" s="11"/>
      <c r="GA1708" s="11"/>
      <c r="GB1708" s="11"/>
      <c r="GC1708" s="11"/>
      <c r="GD1708" s="11"/>
      <c r="GE1708" s="11"/>
      <c r="GF1708" s="11"/>
      <c r="GG1708" s="11"/>
      <c r="GH1708" s="11"/>
      <c r="GI1708" s="11"/>
      <c r="GJ1708" s="11"/>
      <c r="GK1708" s="11"/>
      <c r="GL1708" s="11"/>
      <c r="GM1708" s="11"/>
      <c r="GN1708" s="11"/>
      <c r="GO1708" s="11"/>
      <c r="GP1708" s="11"/>
      <c r="GQ1708" s="11"/>
      <c r="GR1708" s="11"/>
      <c r="GS1708" s="11"/>
      <c r="GT1708" s="11"/>
      <c r="GU1708" s="11"/>
      <c r="GV1708" s="11"/>
      <c r="GW1708" s="11"/>
      <c r="GX1708" s="11"/>
      <c r="GY1708" s="11"/>
      <c r="GZ1708" s="11"/>
      <c r="HA1708" s="11"/>
      <c r="HB1708" s="11"/>
      <c r="HC1708" s="11"/>
      <c r="HD1708" s="11"/>
      <c r="HE1708" s="11"/>
      <c r="HF1708" s="11"/>
      <c r="HG1708" s="11"/>
      <c r="HH1708" s="11"/>
      <c r="HI1708" s="11"/>
      <c r="HJ1708" s="11"/>
      <c r="HK1708" s="11"/>
      <c r="HL1708" s="11"/>
      <c r="HM1708" s="11"/>
      <c r="HN1708" s="11"/>
      <c r="HO1708" s="11"/>
      <c r="HP1708" s="11"/>
      <c r="HQ1708" s="11"/>
      <c r="HR1708" s="11"/>
      <c r="HS1708" s="11"/>
      <c r="HT1708" s="11"/>
      <c r="HU1708" s="11"/>
      <c r="HV1708" s="11"/>
      <c r="HW1708" s="11"/>
      <c r="HX1708" s="11"/>
      <c r="HY1708" s="11"/>
      <c r="HZ1708" s="11"/>
      <c r="IA1708" s="11"/>
      <c r="IB1708" s="11"/>
      <c r="IC1708" s="11"/>
      <c r="ID1708" s="11"/>
      <c r="IE1708" s="11"/>
      <c r="IF1708" s="11"/>
      <c r="IG1708" s="11"/>
      <c r="IH1708" s="11"/>
      <c r="II1708" s="11"/>
      <c r="IJ1708" s="11"/>
    </row>
    <row r="1709" spans="1:244" ht="12.75" customHeight="1">
      <c r="A1709" s="118">
        <v>1708</v>
      </c>
      <c r="B1709" s="128">
        <v>19</v>
      </c>
      <c r="C1709" s="156">
        <v>39173</v>
      </c>
      <c r="D1709" s="157" t="s">
        <v>47</v>
      </c>
      <c r="E1709" s="8">
        <v>2007</v>
      </c>
      <c r="H1709" s="11" t="s">
        <v>9</v>
      </c>
      <c r="I1709" s="194">
        <v>14136</v>
      </c>
      <c r="J1709" s="15">
        <v>0.8</v>
      </c>
      <c r="K1709" s="15">
        <v>0</v>
      </c>
      <c r="L1709" s="15">
        <v>0</v>
      </c>
      <c r="O1709" s="15">
        <v>0.1</v>
      </c>
      <c r="Q1709" s="11">
        <v>8</v>
      </c>
      <c r="R1709" s="11">
        <v>32</v>
      </c>
      <c r="T1709" s="161">
        <f t="shared" si="439"/>
        <v>0</v>
      </c>
      <c r="U1709" s="161">
        <f t="shared" si="438"/>
        <v>0</v>
      </c>
      <c r="V1709" s="161">
        <f t="shared" si="436"/>
        <v>1413.6000000000001</v>
      </c>
      <c r="W1709" s="161">
        <f t="shared" si="437"/>
        <v>565.44000000000005</v>
      </c>
      <c r="X1709" s="11"/>
      <c r="Y1709" s="11"/>
      <c r="Z1709" s="11"/>
      <c r="AA1709" s="11"/>
      <c r="AB1709" s="11"/>
      <c r="AC1709" s="11"/>
      <c r="AD1709" s="11"/>
      <c r="AE1709" s="11"/>
      <c r="AF1709" s="11"/>
      <c r="AG1709" s="11"/>
      <c r="AH1709" s="11"/>
      <c r="AI1709" s="11"/>
      <c r="AJ1709" s="11"/>
      <c r="AK1709" s="11"/>
      <c r="AL1709" s="11"/>
      <c r="AM1709" s="11"/>
      <c r="AN1709" s="11"/>
      <c r="AO1709" s="11"/>
      <c r="AP1709" s="11"/>
      <c r="AQ1709" s="11"/>
      <c r="AR1709" s="11"/>
      <c r="AS1709" s="11"/>
      <c r="AT1709" s="11"/>
      <c r="AU1709" s="11"/>
      <c r="AV1709" s="11"/>
      <c r="AW1709" s="11"/>
      <c r="AX1709" s="11"/>
      <c r="AY1709" s="11"/>
      <c r="AZ1709" s="11"/>
      <c r="BA1709" s="11"/>
      <c r="BB1709" s="11"/>
      <c r="BC1709" s="11"/>
      <c r="BD1709" s="11"/>
      <c r="BE1709" s="11"/>
      <c r="BF1709" s="11"/>
      <c r="BG1709" s="11"/>
      <c r="BH1709" s="11"/>
      <c r="BI1709" s="11"/>
      <c r="BJ1709" s="11"/>
      <c r="BK1709" s="11"/>
      <c r="BL1709" s="11"/>
      <c r="BM1709" s="11"/>
      <c r="BN1709" s="11"/>
      <c r="BO1709" s="11"/>
      <c r="BP1709" s="11"/>
      <c r="BQ1709" s="11"/>
      <c r="BR1709" s="11"/>
      <c r="BS1709" s="11"/>
      <c r="BT1709" s="11"/>
      <c r="BU1709" s="11"/>
      <c r="BV1709" s="11"/>
      <c r="BW1709" s="11"/>
      <c r="BX1709" s="11"/>
      <c r="BY1709" s="11"/>
      <c r="BZ1709" s="11"/>
      <c r="CA1709" s="11"/>
      <c r="CB1709" s="11"/>
      <c r="CC1709" s="11"/>
      <c r="CD1709" s="11"/>
      <c r="CE1709" s="11"/>
      <c r="CF1709" s="11"/>
      <c r="CG1709" s="11"/>
      <c r="CH1709" s="11"/>
      <c r="CI1709" s="11"/>
      <c r="CJ1709" s="11"/>
      <c r="CK1709" s="11"/>
      <c r="CL1709" s="11"/>
      <c r="CM1709" s="11"/>
      <c r="CN1709" s="11"/>
      <c r="CO1709" s="11"/>
      <c r="CP1709" s="11"/>
      <c r="CQ1709" s="11"/>
      <c r="CR1709" s="11"/>
      <c r="CS1709" s="11"/>
      <c r="CT1709" s="11"/>
      <c r="CU1709" s="11"/>
      <c r="CV1709" s="11"/>
      <c r="CW1709" s="11"/>
      <c r="CX1709" s="11"/>
      <c r="CY1709" s="11"/>
      <c r="CZ1709" s="11"/>
      <c r="DA1709" s="11"/>
      <c r="DB1709" s="11"/>
      <c r="DC1709" s="11"/>
      <c r="DD1709" s="11"/>
      <c r="DE1709" s="11"/>
      <c r="DF1709" s="11"/>
      <c r="DG1709" s="11"/>
      <c r="DH1709" s="11"/>
      <c r="DI1709" s="11"/>
      <c r="DJ1709" s="11"/>
      <c r="DK1709" s="11"/>
      <c r="DL1709" s="11"/>
      <c r="DM1709" s="11"/>
      <c r="DN1709" s="11"/>
      <c r="DO1709" s="11"/>
      <c r="DP1709" s="11"/>
      <c r="DQ1709" s="11"/>
      <c r="DR1709" s="11"/>
      <c r="DS1709" s="11"/>
      <c r="DT1709" s="11"/>
      <c r="DU1709" s="11"/>
      <c r="DV1709" s="11"/>
      <c r="DW1709" s="11"/>
      <c r="DX1709" s="11"/>
      <c r="DY1709" s="11"/>
      <c r="DZ1709" s="11"/>
      <c r="EA1709" s="11"/>
      <c r="EB1709" s="11"/>
      <c r="EC1709" s="11"/>
      <c r="ED1709" s="11"/>
      <c r="EE1709" s="11"/>
      <c r="EF1709" s="11"/>
      <c r="EG1709" s="11"/>
      <c r="EH1709" s="11"/>
      <c r="EI1709" s="11"/>
      <c r="EJ1709" s="11"/>
      <c r="EK1709" s="11"/>
      <c r="EL1709" s="11"/>
      <c r="EM1709" s="11"/>
      <c r="EN1709" s="11"/>
      <c r="EO1709" s="11"/>
      <c r="EP1709" s="11"/>
      <c r="EQ1709" s="11"/>
      <c r="ER1709" s="11"/>
      <c r="ES1709" s="11"/>
      <c r="ET1709" s="11"/>
      <c r="EU1709" s="11"/>
      <c r="EV1709" s="11"/>
      <c r="EW1709" s="11"/>
      <c r="EX1709" s="11"/>
      <c r="EY1709" s="11"/>
      <c r="EZ1709" s="11"/>
      <c r="FA1709" s="11"/>
      <c r="FB1709" s="11"/>
      <c r="FC1709" s="11"/>
      <c r="FD1709" s="11"/>
      <c r="FE1709" s="11"/>
      <c r="FF1709" s="11"/>
      <c r="FG1709" s="11"/>
      <c r="FH1709" s="11"/>
      <c r="FI1709" s="11"/>
      <c r="FJ1709" s="11"/>
      <c r="FK1709" s="11"/>
      <c r="FL1709" s="11"/>
      <c r="FM1709" s="11"/>
      <c r="FN1709" s="11"/>
      <c r="FO1709" s="11"/>
      <c r="FP1709" s="11"/>
      <c r="FQ1709" s="11"/>
      <c r="FR1709" s="11"/>
      <c r="FS1709" s="11"/>
      <c r="FT1709" s="11"/>
      <c r="FU1709" s="11"/>
      <c r="FV1709" s="11"/>
      <c r="FW1709" s="11"/>
      <c r="FX1709" s="11"/>
      <c r="FY1709" s="11"/>
      <c r="FZ1709" s="11"/>
      <c r="GA1709" s="11"/>
      <c r="GB1709" s="11"/>
      <c r="GC1709" s="11"/>
      <c r="GD1709" s="11"/>
      <c r="GE1709" s="11"/>
      <c r="GF1709" s="11"/>
      <c r="GG1709" s="11"/>
      <c r="GH1709" s="11"/>
      <c r="GI1709" s="11"/>
      <c r="GJ1709" s="11"/>
      <c r="GK1709" s="11"/>
      <c r="GL1709" s="11"/>
      <c r="GM1709" s="11"/>
      <c r="GN1709" s="11"/>
      <c r="GO1709" s="11"/>
      <c r="GP1709" s="11"/>
      <c r="GQ1709" s="11"/>
      <c r="GR1709" s="11"/>
      <c r="GS1709" s="11"/>
      <c r="GT1709" s="11"/>
      <c r="GU1709" s="11"/>
      <c r="GV1709" s="11"/>
      <c r="GW1709" s="11"/>
      <c r="GX1709" s="11"/>
      <c r="GY1709" s="11"/>
      <c r="GZ1709" s="11"/>
      <c r="HA1709" s="11"/>
      <c r="HB1709" s="11"/>
      <c r="HC1709" s="11"/>
      <c r="HD1709" s="11"/>
      <c r="HE1709" s="11"/>
      <c r="HF1709" s="11"/>
      <c r="HG1709" s="11"/>
      <c r="HH1709" s="11"/>
      <c r="HI1709" s="11"/>
      <c r="HJ1709" s="11"/>
      <c r="HK1709" s="11"/>
      <c r="HL1709" s="11"/>
      <c r="HM1709" s="11"/>
      <c r="HN1709" s="11"/>
      <c r="HO1709" s="11"/>
      <c r="HP1709" s="11"/>
      <c r="HQ1709" s="11"/>
      <c r="HR1709" s="11"/>
      <c r="HS1709" s="11"/>
      <c r="HT1709" s="11"/>
      <c r="HU1709" s="11"/>
      <c r="HV1709" s="11"/>
      <c r="HW1709" s="11"/>
      <c r="HX1709" s="11"/>
      <c r="HY1709" s="11"/>
      <c r="HZ1709" s="11"/>
      <c r="IA1709" s="11"/>
      <c r="IB1709" s="11"/>
      <c r="IC1709" s="11"/>
      <c r="ID1709" s="11"/>
      <c r="IE1709" s="11"/>
      <c r="IF1709" s="11"/>
      <c r="IG1709" s="11"/>
      <c r="IH1709" s="11"/>
      <c r="II1709" s="11"/>
      <c r="IJ1709" s="11"/>
    </row>
    <row r="1710" spans="1:244" ht="12.75" customHeight="1">
      <c r="A1710" s="118">
        <v>1709</v>
      </c>
      <c r="B1710" s="128">
        <v>19</v>
      </c>
      <c r="C1710" s="156">
        <v>39203</v>
      </c>
      <c r="D1710" s="157" t="s">
        <v>48</v>
      </c>
      <c r="E1710" s="8">
        <v>2007</v>
      </c>
      <c r="H1710" s="11" t="s">
        <v>9</v>
      </c>
      <c r="I1710" s="194">
        <v>14027</v>
      </c>
      <c r="L1710" s="165">
        <v>0</v>
      </c>
      <c r="N1710" s="528">
        <v>2</v>
      </c>
      <c r="O1710" s="165">
        <v>0.6</v>
      </c>
      <c r="U1710" s="161">
        <f t="shared" si="438"/>
        <v>0</v>
      </c>
      <c r="V1710" s="15">
        <f t="shared" si="436"/>
        <v>8416.1999999999989</v>
      </c>
      <c r="W1710" s="161">
        <f t="shared" si="437"/>
        <v>3366.4799999999996</v>
      </c>
    </row>
    <row r="1711" spans="1:244" ht="12.75" customHeight="1">
      <c r="A1711" s="118">
        <v>1710</v>
      </c>
      <c r="B1711" s="128">
        <v>19</v>
      </c>
      <c r="C1711" s="156">
        <v>39234</v>
      </c>
      <c r="D1711" s="157" t="s">
        <v>49</v>
      </c>
      <c r="E1711" s="8">
        <v>2007</v>
      </c>
      <c r="H1711" s="11" t="s">
        <v>9</v>
      </c>
      <c r="I1711" s="194">
        <v>12020</v>
      </c>
      <c r="L1711" s="165">
        <v>0.05</v>
      </c>
      <c r="N1711" s="528">
        <v>2</v>
      </c>
      <c r="O1711" s="165">
        <v>1.2</v>
      </c>
      <c r="U1711" s="161">
        <f t="shared" si="438"/>
        <v>601</v>
      </c>
      <c r="V1711" s="15">
        <f t="shared" si="436"/>
        <v>14424</v>
      </c>
      <c r="W1711" s="161">
        <f t="shared" si="437"/>
        <v>5769.6</v>
      </c>
    </row>
    <row r="1712" spans="1:244" ht="12.75" customHeight="1">
      <c r="A1712" s="118">
        <v>1711</v>
      </c>
      <c r="B1712" s="128">
        <v>19</v>
      </c>
      <c r="C1712" s="156">
        <v>39264</v>
      </c>
      <c r="D1712" s="157" t="s">
        <v>50</v>
      </c>
      <c r="E1712" s="8">
        <v>2007</v>
      </c>
      <c r="H1712" s="11" t="s">
        <v>9</v>
      </c>
      <c r="I1712" s="194">
        <v>11117</v>
      </c>
      <c r="J1712" s="15">
        <v>3</v>
      </c>
      <c r="K1712" s="15">
        <v>0.35</v>
      </c>
      <c r="L1712" s="15">
        <v>0.1</v>
      </c>
      <c r="O1712" s="15">
        <v>1.9</v>
      </c>
      <c r="Q1712" s="11">
        <v>9</v>
      </c>
      <c r="R1712" s="11">
        <v>32</v>
      </c>
      <c r="T1712" s="161">
        <f t="shared" ref="T1712:T1717" si="440">$I1712*K1712</f>
        <v>3890.95</v>
      </c>
      <c r="U1712" s="161">
        <f t="shared" si="438"/>
        <v>1111.7</v>
      </c>
      <c r="V1712" s="161">
        <f t="shared" si="436"/>
        <v>21122.3</v>
      </c>
      <c r="W1712" s="161">
        <f t="shared" si="437"/>
        <v>8448.92</v>
      </c>
    </row>
    <row r="1713" spans="1:23" ht="12.75" customHeight="1">
      <c r="A1713" s="118">
        <v>1712</v>
      </c>
      <c r="B1713" s="128">
        <v>19</v>
      </c>
      <c r="C1713" s="156">
        <v>39295</v>
      </c>
      <c r="D1713" s="157" t="s">
        <v>51</v>
      </c>
      <c r="E1713" s="8">
        <v>2007</v>
      </c>
      <c r="H1713" s="11" t="s">
        <v>9</v>
      </c>
      <c r="I1713" s="194">
        <v>10140</v>
      </c>
      <c r="J1713" s="173"/>
      <c r="K1713" s="165">
        <f>(K1712+K1714)/2</f>
        <v>1.55</v>
      </c>
      <c r="L1713" s="165">
        <f>(L1712+L1714)/2</f>
        <v>0.65</v>
      </c>
      <c r="N1713" s="528">
        <v>1</v>
      </c>
      <c r="O1713" s="165">
        <f>(O1712+O1714)/2</f>
        <v>1</v>
      </c>
      <c r="T1713" s="161">
        <f t="shared" si="440"/>
        <v>15717</v>
      </c>
      <c r="U1713" s="161">
        <f t="shared" si="438"/>
        <v>6591</v>
      </c>
      <c r="V1713" s="161">
        <f t="shared" si="436"/>
        <v>10140</v>
      </c>
      <c r="W1713" s="161">
        <f t="shared" si="437"/>
        <v>4056</v>
      </c>
    </row>
    <row r="1714" spans="1:23" ht="12.75" customHeight="1">
      <c r="A1714" s="118">
        <v>1713</v>
      </c>
      <c r="B1714" s="128">
        <v>19</v>
      </c>
      <c r="C1714" s="156">
        <v>39326</v>
      </c>
      <c r="D1714" s="157" t="s">
        <v>52</v>
      </c>
      <c r="E1714" s="8">
        <v>2007</v>
      </c>
      <c r="H1714" s="11" t="s">
        <v>9</v>
      </c>
      <c r="I1714" s="194">
        <v>7571</v>
      </c>
      <c r="J1714" s="15">
        <v>0</v>
      </c>
      <c r="K1714" s="15">
        <v>2.75</v>
      </c>
      <c r="L1714" s="15">
        <v>1.2</v>
      </c>
      <c r="O1714" s="15">
        <v>0.1</v>
      </c>
      <c r="Q1714" s="11">
        <v>9</v>
      </c>
      <c r="R1714" s="11">
        <v>32</v>
      </c>
      <c r="T1714" s="161">
        <f t="shared" si="440"/>
        <v>20820.25</v>
      </c>
      <c r="U1714" s="161">
        <f t="shared" si="438"/>
        <v>9085.1999999999989</v>
      </c>
      <c r="V1714" s="161">
        <f t="shared" si="436"/>
        <v>757.1</v>
      </c>
      <c r="W1714" s="161">
        <f t="shared" si="437"/>
        <v>302.84000000000003</v>
      </c>
    </row>
    <row r="1715" spans="1:23" ht="12.75" customHeight="1">
      <c r="A1715" s="118">
        <v>1714</v>
      </c>
      <c r="B1715" s="128">
        <v>19</v>
      </c>
      <c r="C1715" s="156">
        <v>39356</v>
      </c>
      <c r="D1715" s="157" t="s">
        <v>53</v>
      </c>
      <c r="E1715" s="8">
        <v>2007</v>
      </c>
      <c r="H1715" s="11" t="s">
        <v>9</v>
      </c>
      <c r="I1715" s="194">
        <v>7429</v>
      </c>
      <c r="J1715" s="15">
        <v>0.9</v>
      </c>
      <c r="K1715" s="15">
        <v>2.2999999999999998</v>
      </c>
      <c r="L1715" s="15">
        <v>1.2</v>
      </c>
      <c r="M1715" s="174">
        <v>0</v>
      </c>
      <c r="O1715" s="15">
        <v>0</v>
      </c>
      <c r="Q1715" s="11">
        <v>9</v>
      </c>
      <c r="T1715" s="161">
        <f t="shared" si="440"/>
        <v>17086.699999999997</v>
      </c>
      <c r="U1715" s="161">
        <f t="shared" si="438"/>
        <v>8914.7999999999993</v>
      </c>
      <c r="V1715" s="161">
        <f t="shared" si="436"/>
        <v>0</v>
      </c>
      <c r="W1715" s="161">
        <f t="shared" si="437"/>
        <v>0</v>
      </c>
    </row>
    <row r="1716" spans="1:23" ht="12.75" customHeight="1">
      <c r="A1716" s="118">
        <v>1715</v>
      </c>
      <c r="B1716" s="128">
        <v>19</v>
      </c>
      <c r="C1716" s="156">
        <v>39387</v>
      </c>
      <c r="D1716" s="157" t="s">
        <v>54</v>
      </c>
      <c r="E1716" s="8">
        <v>2007</v>
      </c>
      <c r="H1716" s="11" t="s">
        <v>9</v>
      </c>
      <c r="I1716" s="194">
        <v>5312</v>
      </c>
      <c r="J1716" s="15">
        <v>3.65</v>
      </c>
      <c r="K1716" s="15">
        <v>1.4</v>
      </c>
      <c r="L1716" s="15">
        <v>0.3</v>
      </c>
      <c r="M1716" s="174">
        <v>1</v>
      </c>
      <c r="O1716" s="15">
        <v>0.25</v>
      </c>
      <c r="Q1716" s="11">
        <v>8</v>
      </c>
      <c r="T1716" s="161">
        <f t="shared" si="440"/>
        <v>7436.7999999999993</v>
      </c>
      <c r="U1716" s="161">
        <f t="shared" si="438"/>
        <v>1593.6</v>
      </c>
      <c r="V1716" s="161">
        <f t="shared" si="436"/>
        <v>1328</v>
      </c>
      <c r="W1716" s="161">
        <f t="shared" si="437"/>
        <v>531.20000000000005</v>
      </c>
    </row>
    <row r="1717" spans="1:23" ht="12.75" customHeight="1">
      <c r="A1717" s="118">
        <v>1716</v>
      </c>
      <c r="B1717" s="128">
        <v>19</v>
      </c>
      <c r="C1717" s="156">
        <v>39417</v>
      </c>
      <c r="D1717" s="157" t="s">
        <v>55</v>
      </c>
      <c r="E1717" s="8">
        <v>2007</v>
      </c>
      <c r="H1717" s="11" t="s">
        <v>9</v>
      </c>
      <c r="I1717" s="194">
        <v>2786</v>
      </c>
      <c r="J1717" s="15">
        <v>0.7</v>
      </c>
      <c r="K1717" s="15">
        <v>4.1500000000000004</v>
      </c>
      <c r="L1717" s="15">
        <v>3.2</v>
      </c>
      <c r="O1717" s="15">
        <v>0</v>
      </c>
      <c r="Q1717" s="11">
        <v>7</v>
      </c>
      <c r="T1717" s="161">
        <f t="shared" si="440"/>
        <v>11561.900000000001</v>
      </c>
      <c r="U1717" s="161">
        <f t="shared" si="438"/>
        <v>8915.2000000000007</v>
      </c>
      <c r="V1717" s="161">
        <f t="shared" si="436"/>
        <v>0</v>
      </c>
      <c r="W1717" s="161">
        <f t="shared" si="437"/>
        <v>0</v>
      </c>
    </row>
    <row r="1718" spans="1:23" ht="12.75" customHeight="1">
      <c r="A1718" s="118">
        <v>1717</v>
      </c>
      <c r="B1718" s="128">
        <v>19</v>
      </c>
      <c r="C1718" s="156">
        <v>39448</v>
      </c>
      <c r="D1718" s="157" t="s">
        <v>44</v>
      </c>
      <c r="E1718" s="127">
        <v>2008</v>
      </c>
      <c r="F1718" s="127"/>
      <c r="G1718" s="127"/>
      <c r="I1718" s="194"/>
      <c r="Q1718" s="158"/>
      <c r="R1718" s="158"/>
      <c r="T1718" s="128"/>
      <c r="U1718" s="118"/>
      <c r="V1718" s="118"/>
      <c r="W1718" s="118"/>
    </row>
    <row r="1719" spans="1:23" ht="12.75" customHeight="1">
      <c r="A1719" s="118">
        <v>1718</v>
      </c>
      <c r="B1719" s="128">
        <v>19</v>
      </c>
      <c r="C1719" s="156">
        <v>39479</v>
      </c>
      <c r="D1719" s="157" t="s">
        <v>45</v>
      </c>
      <c r="E1719" s="127">
        <v>2008</v>
      </c>
      <c r="F1719" s="127"/>
      <c r="G1719" s="127"/>
      <c r="I1719" s="194"/>
      <c r="Q1719" s="158"/>
      <c r="R1719" s="158"/>
      <c r="T1719" s="128"/>
      <c r="U1719" s="118"/>
      <c r="V1719" s="118"/>
      <c r="W1719" s="118"/>
    </row>
    <row r="1720" spans="1:23" ht="12.75" customHeight="1">
      <c r="A1720" s="118">
        <v>1719</v>
      </c>
      <c r="B1720" s="128">
        <v>19</v>
      </c>
      <c r="C1720" s="156">
        <v>39508</v>
      </c>
      <c r="D1720" s="157" t="s">
        <v>46</v>
      </c>
      <c r="E1720" s="127">
        <v>2008</v>
      </c>
      <c r="F1720" s="127"/>
      <c r="G1720" s="127"/>
      <c r="H1720" s="11" t="s">
        <v>9</v>
      </c>
      <c r="I1720" s="194">
        <v>35800</v>
      </c>
      <c r="J1720" s="118">
        <v>2.15</v>
      </c>
      <c r="K1720" s="118">
        <v>4.4000000000000004</v>
      </c>
      <c r="L1720" s="118">
        <v>3.1</v>
      </c>
      <c r="M1720" s="193"/>
      <c r="N1720" s="529"/>
      <c r="O1720" s="118">
        <v>0</v>
      </c>
      <c r="P1720" s="8">
        <v>1</v>
      </c>
      <c r="Q1720" s="158"/>
      <c r="R1720" s="158"/>
      <c r="T1720" s="161">
        <f t="shared" ref="T1720:T1735" si="441">$I1720*K1720</f>
        <v>157520</v>
      </c>
      <c r="U1720" s="161">
        <f t="shared" ref="U1720:U1735" si="442">$I1720*L1720</f>
        <v>110980</v>
      </c>
      <c r="V1720" s="161">
        <f t="shared" ref="V1720:V1735" si="443">$I1720*O1720</f>
        <v>0</v>
      </c>
      <c r="W1720" s="161">
        <f t="shared" ref="W1720:W1741" si="444">V1720*0.4</f>
        <v>0</v>
      </c>
    </row>
    <row r="1721" spans="1:23" ht="12.75" customHeight="1">
      <c r="A1721" s="118">
        <v>1720</v>
      </c>
      <c r="B1721" s="128">
        <v>19</v>
      </c>
      <c r="C1721" s="156">
        <v>39539</v>
      </c>
      <c r="D1721" s="157" t="s">
        <v>47</v>
      </c>
      <c r="E1721" s="127">
        <v>2008</v>
      </c>
      <c r="F1721" s="127"/>
      <c r="G1721" s="127"/>
      <c r="H1721" s="11" t="s">
        <v>9</v>
      </c>
      <c r="I1721" s="194">
        <v>35557</v>
      </c>
      <c r="J1721" s="118">
        <v>0.05</v>
      </c>
      <c r="K1721" s="118">
        <v>0.9</v>
      </c>
      <c r="L1721" s="118">
        <v>0.6</v>
      </c>
      <c r="M1721" s="193">
        <v>0</v>
      </c>
      <c r="N1721" s="529"/>
      <c r="O1721" s="118">
        <v>0</v>
      </c>
      <c r="Q1721" s="158"/>
      <c r="R1721" s="158"/>
      <c r="T1721" s="161">
        <f t="shared" si="441"/>
        <v>32001.3</v>
      </c>
      <c r="U1721" s="161">
        <f t="shared" si="442"/>
        <v>21334.2</v>
      </c>
      <c r="V1721" s="161">
        <f t="shared" si="443"/>
        <v>0</v>
      </c>
      <c r="W1721" s="161">
        <f t="shared" si="444"/>
        <v>0</v>
      </c>
    </row>
    <row r="1722" spans="1:23" ht="12.75" customHeight="1">
      <c r="A1722" s="118">
        <v>1721</v>
      </c>
      <c r="B1722" s="128">
        <v>19</v>
      </c>
      <c r="C1722" s="156">
        <v>39569</v>
      </c>
      <c r="D1722" s="157" t="s">
        <v>48</v>
      </c>
      <c r="E1722" s="127">
        <v>2008</v>
      </c>
      <c r="F1722" s="127"/>
      <c r="G1722" s="127"/>
      <c r="H1722" s="11" t="s">
        <v>9</v>
      </c>
      <c r="I1722" s="194">
        <v>35411</v>
      </c>
      <c r="J1722" s="15">
        <v>0.83</v>
      </c>
      <c r="K1722" s="15">
        <v>0.2</v>
      </c>
      <c r="L1722" s="15">
        <v>0.03</v>
      </c>
      <c r="M1722" s="174">
        <v>0</v>
      </c>
      <c r="O1722" s="15">
        <v>0.2</v>
      </c>
      <c r="Q1722" s="158"/>
      <c r="R1722" s="158"/>
      <c r="T1722" s="161">
        <f t="shared" si="441"/>
        <v>7082.2000000000007</v>
      </c>
      <c r="U1722" s="161">
        <f t="shared" si="442"/>
        <v>1062.33</v>
      </c>
      <c r="V1722" s="161">
        <f t="shared" si="443"/>
        <v>7082.2000000000007</v>
      </c>
      <c r="W1722" s="161">
        <f t="shared" si="444"/>
        <v>2832.8800000000006</v>
      </c>
    </row>
    <row r="1723" spans="1:23" ht="12.75" customHeight="1">
      <c r="A1723" s="118">
        <v>1722</v>
      </c>
      <c r="B1723" s="128">
        <v>19</v>
      </c>
      <c r="C1723" s="156">
        <v>39600</v>
      </c>
      <c r="D1723" s="157" t="s">
        <v>49</v>
      </c>
      <c r="E1723" s="127">
        <v>2008</v>
      </c>
      <c r="F1723" s="127"/>
      <c r="G1723" s="127"/>
      <c r="H1723" s="11" t="s">
        <v>9</v>
      </c>
      <c r="I1723" s="194">
        <v>30188</v>
      </c>
      <c r="J1723" s="15">
        <v>0.13</v>
      </c>
      <c r="K1723" s="15">
        <v>0.27</v>
      </c>
      <c r="L1723" s="15">
        <v>0.02</v>
      </c>
      <c r="M1723" s="174">
        <v>0</v>
      </c>
      <c r="O1723" s="15">
        <v>0.12</v>
      </c>
      <c r="Q1723" s="158"/>
      <c r="R1723" s="158"/>
      <c r="T1723" s="161">
        <f t="shared" si="441"/>
        <v>8150.76</v>
      </c>
      <c r="U1723" s="161">
        <f t="shared" si="442"/>
        <v>603.76</v>
      </c>
      <c r="V1723" s="161">
        <f t="shared" si="443"/>
        <v>3622.56</v>
      </c>
      <c r="W1723" s="161">
        <f t="shared" si="444"/>
        <v>1449.0240000000001</v>
      </c>
    </row>
    <row r="1724" spans="1:23">
      <c r="A1724" s="118">
        <v>1723</v>
      </c>
      <c r="B1724" s="128">
        <v>19</v>
      </c>
      <c r="C1724" s="156">
        <v>39630</v>
      </c>
      <c r="D1724" s="176" t="s">
        <v>50</v>
      </c>
      <c r="E1724" s="127">
        <v>2008</v>
      </c>
      <c r="F1724" s="127"/>
      <c r="G1724" s="127"/>
      <c r="H1724" s="11" t="s">
        <v>9</v>
      </c>
      <c r="I1724" s="194">
        <v>21000</v>
      </c>
      <c r="J1724" s="15">
        <v>0.08</v>
      </c>
      <c r="K1724" s="15">
        <v>0.15</v>
      </c>
      <c r="L1724" s="15">
        <v>7.0000000000000007E-2</v>
      </c>
      <c r="M1724" s="174">
        <v>0</v>
      </c>
      <c r="O1724" s="15">
        <v>0.03</v>
      </c>
      <c r="P1724" s="11"/>
      <c r="R1724" s="158"/>
      <c r="S1724" s="239"/>
      <c r="T1724" s="161">
        <f t="shared" si="441"/>
        <v>3150</v>
      </c>
      <c r="U1724" s="161">
        <f t="shared" si="442"/>
        <v>1470.0000000000002</v>
      </c>
      <c r="V1724" s="161">
        <f t="shared" si="443"/>
        <v>630</v>
      </c>
      <c r="W1724" s="161">
        <f t="shared" si="444"/>
        <v>252</v>
      </c>
    </row>
    <row r="1725" spans="1:23">
      <c r="A1725" s="118">
        <v>1724</v>
      </c>
      <c r="B1725" s="128">
        <v>19</v>
      </c>
      <c r="C1725" s="156">
        <v>39661</v>
      </c>
      <c r="D1725" s="176" t="s">
        <v>51</v>
      </c>
      <c r="E1725" s="127">
        <v>2008</v>
      </c>
      <c r="F1725" s="127"/>
      <c r="G1725" s="127"/>
      <c r="H1725" s="11" t="s">
        <v>9</v>
      </c>
      <c r="I1725" s="194">
        <v>20000</v>
      </c>
      <c r="J1725" s="15">
        <v>0.68</v>
      </c>
      <c r="K1725" s="15">
        <v>0.13</v>
      </c>
      <c r="L1725" s="15">
        <v>0</v>
      </c>
      <c r="M1725" s="174">
        <v>0</v>
      </c>
      <c r="O1725" s="15">
        <v>0.03</v>
      </c>
      <c r="P1725" s="11"/>
      <c r="R1725" s="158"/>
      <c r="S1725" s="239"/>
      <c r="T1725" s="161">
        <f t="shared" si="441"/>
        <v>2600</v>
      </c>
      <c r="U1725" s="161">
        <f t="shared" si="442"/>
        <v>0</v>
      </c>
      <c r="V1725" s="161">
        <f t="shared" si="443"/>
        <v>600</v>
      </c>
      <c r="W1725" s="161">
        <f t="shared" si="444"/>
        <v>240</v>
      </c>
    </row>
    <row r="1726" spans="1:23">
      <c r="A1726" s="118">
        <v>1725</v>
      </c>
      <c r="B1726" s="128">
        <v>19</v>
      </c>
      <c r="C1726" s="156">
        <v>39692</v>
      </c>
      <c r="D1726" s="176" t="s">
        <v>52</v>
      </c>
      <c r="E1726" s="127">
        <v>2008</v>
      </c>
      <c r="F1726" s="127"/>
      <c r="G1726" s="127"/>
      <c r="H1726" s="11" t="s">
        <v>9</v>
      </c>
      <c r="I1726" s="194">
        <v>17000</v>
      </c>
      <c r="J1726" s="15">
        <v>0.95</v>
      </c>
      <c r="K1726" s="15">
        <v>0.35</v>
      </c>
      <c r="L1726" s="15">
        <v>0.03</v>
      </c>
      <c r="M1726" s="174">
        <v>0</v>
      </c>
      <c r="O1726" s="15">
        <v>0.08</v>
      </c>
      <c r="P1726" s="11"/>
      <c r="R1726" s="158"/>
      <c r="S1726" s="239"/>
      <c r="T1726" s="161">
        <f t="shared" si="441"/>
        <v>5950</v>
      </c>
      <c r="U1726" s="161">
        <f t="shared" si="442"/>
        <v>510</v>
      </c>
      <c r="V1726" s="161">
        <f t="shared" si="443"/>
        <v>1360</v>
      </c>
      <c r="W1726" s="161">
        <f t="shared" si="444"/>
        <v>544</v>
      </c>
    </row>
    <row r="1727" spans="1:23">
      <c r="A1727" s="118">
        <v>1726</v>
      </c>
      <c r="B1727" s="128">
        <v>19</v>
      </c>
      <c r="C1727" s="156">
        <v>39722</v>
      </c>
      <c r="D1727" s="176" t="s">
        <v>53</v>
      </c>
      <c r="E1727" s="127">
        <v>2008</v>
      </c>
      <c r="F1727" s="127"/>
      <c r="G1727" s="127"/>
      <c r="H1727" s="11" t="s">
        <v>9</v>
      </c>
      <c r="I1727" s="194">
        <v>17000</v>
      </c>
      <c r="J1727" s="15">
        <v>0.88</v>
      </c>
      <c r="K1727" s="15">
        <v>0.85</v>
      </c>
      <c r="L1727" s="15">
        <v>0.38</v>
      </c>
      <c r="M1727" s="174">
        <v>0</v>
      </c>
      <c r="O1727" s="15">
        <v>0</v>
      </c>
      <c r="P1727" s="11"/>
      <c r="R1727" s="158"/>
      <c r="S1727" s="239"/>
      <c r="T1727" s="161">
        <f t="shared" si="441"/>
        <v>14450</v>
      </c>
      <c r="U1727" s="161">
        <f t="shared" si="442"/>
        <v>6460</v>
      </c>
      <c r="V1727" s="161">
        <f t="shared" si="443"/>
        <v>0</v>
      </c>
      <c r="W1727" s="161">
        <f t="shared" si="444"/>
        <v>0</v>
      </c>
    </row>
    <row r="1728" spans="1:23">
      <c r="A1728" s="118">
        <v>1727</v>
      </c>
      <c r="B1728" s="128">
        <v>19</v>
      </c>
      <c r="C1728" s="156">
        <v>39753</v>
      </c>
      <c r="D1728" s="176" t="s">
        <v>54</v>
      </c>
      <c r="E1728" s="127">
        <v>2008</v>
      </c>
      <c r="F1728" s="127"/>
      <c r="G1728" s="127"/>
      <c r="H1728" s="11" t="s">
        <v>9</v>
      </c>
      <c r="I1728" s="194">
        <v>16000</v>
      </c>
      <c r="J1728" s="15">
        <v>7.55</v>
      </c>
      <c r="K1728" s="15">
        <v>2.15</v>
      </c>
      <c r="L1728" s="15">
        <v>1.23</v>
      </c>
      <c r="O1728" s="15">
        <v>1.25</v>
      </c>
      <c r="P1728" s="11"/>
      <c r="R1728" s="158"/>
      <c r="S1728" s="239"/>
      <c r="T1728" s="161">
        <f t="shared" si="441"/>
        <v>34400</v>
      </c>
      <c r="U1728" s="161">
        <f t="shared" si="442"/>
        <v>19680</v>
      </c>
      <c r="V1728" s="161">
        <f t="shared" si="443"/>
        <v>20000</v>
      </c>
      <c r="W1728" s="161">
        <f t="shared" si="444"/>
        <v>8000</v>
      </c>
    </row>
    <row r="1729" spans="1:23">
      <c r="A1729" s="118">
        <v>1728</v>
      </c>
      <c r="B1729" s="128">
        <v>19</v>
      </c>
      <c r="C1729" s="156">
        <v>39783</v>
      </c>
      <c r="D1729" s="176" t="s">
        <v>55</v>
      </c>
      <c r="E1729" s="127">
        <v>2008</v>
      </c>
      <c r="F1729" s="127"/>
      <c r="G1729" s="127"/>
      <c r="H1729" s="11" t="s">
        <v>9</v>
      </c>
      <c r="I1729" s="250">
        <v>15000</v>
      </c>
      <c r="J1729" s="173"/>
      <c r="K1729" s="203">
        <v>3.45</v>
      </c>
      <c r="L1729" s="203">
        <v>2.08</v>
      </c>
      <c r="N1729" s="528">
        <v>2</v>
      </c>
      <c r="O1729" s="203">
        <v>2.5</v>
      </c>
      <c r="P1729" s="11"/>
      <c r="R1729" s="158"/>
      <c r="S1729" s="239"/>
      <c r="T1729" s="161">
        <f t="shared" si="441"/>
        <v>51750</v>
      </c>
      <c r="U1729" s="161">
        <f t="shared" si="442"/>
        <v>31200</v>
      </c>
      <c r="V1729" s="161">
        <f t="shared" si="443"/>
        <v>37500</v>
      </c>
      <c r="W1729" s="161">
        <f t="shared" si="444"/>
        <v>15000</v>
      </c>
    </row>
    <row r="1730" spans="1:23" ht="12.75" customHeight="1">
      <c r="A1730" s="118">
        <v>1729</v>
      </c>
      <c r="B1730" s="128">
        <v>19</v>
      </c>
      <c r="C1730" s="156">
        <v>39814</v>
      </c>
      <c r="D1730" s="157" t="s">
        <v>44</v>
      </c>
      <c r="E1730" s="127">
        <v>2009</v>
      </c>
      <c r="F1730" s="118"/>
      <c r="G1730" s="118"/>
      <c r="H1730" s="11" t="s">
        <v>9</v>
      </c>
      <c r="I1730" s="125">
        <v>23147</v>
      </c>
      <c r="J1730" s="173"/>
      <c r="K1730" s="203">
        <v>4</v>
      </c>
      <c r="L1730" s="203">
        <v>2.8</v>
      </c>
      <c r="N1730" s="528">
        <v>2</v>
      </c>
      <c r="O1730" s="203">
        <v>3.5</v>
      </c>
      <c r="P1730" s="118">
        <v>1</v>
      </c>
      <c r="Q1730" s="118"/>
      <c r="R1730" s="118"/>
      <c r="S1730" s="247"/>
      <c r="T1730" s="171">
        <f t="shared" si="441"/>
        <v>92588</v>
      </c>
      <c r="U1730" s="171">
        <f t="shared" si="442"/>
        <v>64811.6</v>
      </c>
      <c r="V1730" s="171">
        <f t="shared" si="443"/>
        <v>81014.5</v>
      </c>
      <c r="W1730" s="171">
        <f t="shared" si="444"/>
        <v>32405.800000000003</v>
      </c>
    </row>
    <row r="1731" spans="1:23" ht="12.75" customHeight="1">
      <c r="A1731" s="118">
        <v>1730</v>
      </c>
      <c r="B1731" s="128">
        <v>19</v>
      </c>
      <c r="C1731" s="156">
        <v>39845</v>
      </c>
      <c r="D1731" s="157" t="s">
        <v>45</v>
      </c>
      <c r="E1731" s="127">
        <v>2009</v>
      </c>
      <c r="F1731" s="118"/>
      <c r="G1731" s="118"/>
      <c r="H1731" s="11" t="s">
        <v>9</v>
      </c>
      <c r="I1731" s="125">
        <v>28173</v>
      </c>
      <c r="J1731" s="164">
        <v>0.15</v>
      </c>
      <c r="K1731" s="164">
        <v>0.53</v>
      </c>
      <c r="L1731" s="164">
        <v>0.1</v>
      </c>
      <c r="M1731" s="193"/>
      <c r="N1731" s="529"/>
      <c r="O1731" s="164">
        <v>0</v>
      </c>
      <c r="P1731" s="118"/>
      <c r="Q1731" s="118"/>
      <c r="R1731" s="118"/>
      <c r="S1731" s="221"/>
      <c r="T1731" s="161">
        <f t="shared" si="441"/>
        <v>14931.69</v>
      </c>
      <c r="U1731" s="161">
        <f t="shared" si="442"/>
        <v>2817.3</v>
      </c>
      <c r="V1731" s="161">
        <f t="shared" si="443"/>
        <v>0</v>
      </c>
      <c r="W1731" s="161">
        <f t="shared" si="444"/>
        <v>0</v>
      </c>
    </row>
    <row r="1732" spans="1:23" ht="12.75" customHeight="1">
      <c r="A1732" s="118">
        <v>1731</v>
      </c>
      <c r="B1732" s="128">
        <v>19</v>
      </c>
      <c r="C1732" s="156">
        <v>39873</v>
      </c>
      <c r="D1732" s="157" t="s">
        <v>46</v>
      </c>
      <c r="E1732" s="127">
        <v>2009</v>
      </c>
      <c r="F1732" s="118"/>
      <c r="G1732" s="118"/>
      <c r="H1732" s="11" t="s">
        <v>9</v>
      </c>
      <c r="I1732" s="125">
        <v>17554</v>
      </c>
      <c r="J1732" s="164">
        <v>0</v>
      </c>
      <c r="K1732" s="164">
        <v>0</v>
      </c>
      <c r="L1732" s="164">
        <v>0</v>
      </c>
      <c r="M1732" s="193">
        <v>0</v>
      </c>
      <c r="N1732" s="529"/>
      <c r="O1732" s="164">
        <v>0</v>
      </c>
      <c r="P1732" s="118"/>
      <c r="Q1732" s="118"/>
      <c r="R1732" s="118"/>
      <c r="S1732" s="221"/>
      <c r="T1732" s="161">
        <f t="shared" si="441"/>
        <v>0</v>
      </c>
      <c r="U1732" s="161">
        <f t="shared" si="442"/>
        <v>0</v>
      </c>
      <c r="V1732" s="161">
        <f t="shared" si="443"/>
        <v>0</v>
      </c>
      <c r="W1732" s="161">
        <f t="shared" si="444"/>
        <v>0</v>
      </c>
    </row>
    <row r="1733" spans="1:23" ht="12.75" customHeight="1">
      <c r="A1733" s="118">
        <v>1732</v>
      </c>
      <c r="B1733" s="128">
        <v>19</v>
      </c>
      <c r="C1733" s="156">
        <v>39904</v>
      </c>
      <c r="D1733" s="157" t="s">
        <v>47</v>
      </c>
      <c r="E1733" s="127">
        <v>2009</v>
      </c>
      <c r="F1733" s="118"/>
      <c r="G1733" s="118"/>
      <c r="H1733" s="11" t="s">
        <v>9</v>
      </c>
      <c r="I1733" s="125">
        <v>17526</v>
      </c>
      <c r="J1733" s="164">
        <v>0.12</v>
      </c>
      <c r="K1733" s="164">
        <v>0.15</v>
      </c>
      <c r="L1733" s="164">
        <v>0.04</v>
      </c>
      <c r="M1733" s="193">
        <v>0</v>
      </c>
      <c r="N1733" s="529"/>
      <c r="O1733" s="164">
        <v>0</v>
      </c>
      <c r="P1733" s="118"/>
      <c r="Q1733" s="118"/>
      <c r="R1733" s="118"/>
      <c r="S1733" s="221"/>
      <c r="T1733" s="161">
        <f t="shared" si="441"/>
        <v>2628.9</v>
      </c>
      <c r="U1733" s="161">
        <f t="shared" si="442"/>
        <v>701.04</v>
      </c>
      <c r="V1733" s="161">
        <f t="shared" si="443"/>
        <v>0</v>
      </c>
      <c r="W1733" s="161">
        <f t="shared" si="444"/>
        <v>0</v>
      </c>
    </row>
    <row r="1734" spans="1:23" ht="12.75" customHeight="1">
      <c r="A1734" s="118">
        <v>1733</v>
      </c>
      <c r="B1734" s="128">
        <v>19</v>
      </c>
      <c r="C1734" s="156">
        <v>39934</v>
      </c>
      <c r="D1734" s="157" t="s">
        <v>48</v>
      </c>
      <c r="E1734" s="127">
        <v>2009</v>
      </c>
      <c r="F1734" s="118"/>
      <c r="G1734" s="118"/>
      <c r="H1734" s="11" t="s">
        <v>9</v>
      </c>
      <c r="I1734" s="125">
        <v>16335</v>
      </c>
      <c r="J1734" s="164">
        <v>0</v>
      </c>
      <c r="K1734" s="164">
        <v>0</v>
      </c>
      <c r="L1734" s="164">
        <v>0</v>
      </c>
      <c r="M1734" s="193">
        <v>0</v>
      </c>
      <c r="N1734" s="529"/>
      <c r="O1734" s="164">
        <v>0</v>
      </c>
      <c r="P1734" s="118"/>
      <c r="Q1734" s="118"/>
      <c r="R1734" s="118"/>
      <c r="S1734" s="221"/>
      <c r="T1734" s="161">
        <f t="shared" si="441"/>
        <v>0</v>
      </c>
      <c r="U1734" s="161">
        <f t="shared" si="442"/>
        <v>0</v>
      </c>
      <c r="V1734" s="161">
        <f t="shared" si="443"/>
        <v>0</v>
      </c>
      <c r="W1734" s="161">
        <f t="shared" si="444"/>
        <v>0</v>
      </c>
    </row>
    <row r="1735" spans="1:23" ht="12.75" customHeight="1">
      <c r="A1735" s="118">
        <v>1734</v>
      </c>
      <c r="B1735" s="128">
        <v>19</v>
      </c>
      <c r="C1735" s="156">
        <v>39965</v>
      </c>
      <c r="D1735" s="157" t="s">
        <v>49</v>
      </c>
      <c r="E1735" s="127">
        <v>2009</v>
      </c>
      <c r="F1735" s="118"/>
      <c r="G1735" s="118"/>
      <c r="H1735" s="11" t="s">
        <v>9</v>
      </c>
      <c r="I1735" s="125">
        <v>16609</v>
      </c>
      <c r="J1735" s="164">
        <v>0.05</v>
      </c>
      <c r="K1735" s="164">
        <v>0.03</v>
      </c>
      <c r="L1735" s="164">
        <v>0</v>
      </c>
      <c r="M1735" s="193">
        <v>0</v>
      </c>
      <c r="N1735" s="529"/>
      <c r="O1735" s="164">
        <v>0</v>
      </c>
      <c r="P1735" s="118"/>
      <c r="Q1735" s="118"/>
      <c r="R1735" s="118"/>
      <c r="S1735" s="221"/>
      <c r="T1735" s="161">
        <f t="shared" si="441"/>
        <v>498.27</v>
      </c>
      <c r="U1735" s="161">
        <f t="shared" si="442"/>
        <v>0</v>
      </c>
      <c r="V1735" s="161">
        <f t="shared" si="443"/>
        <v>0</v>
      </c>
      <c r="W1735" s="161">
        <f t="shared" si="444"/>
        <v>0</v>
      </c>
    </row>
    <row r="1736" spans="1:23" ht="12.75" customHeight="1">
      <c r="A1736" s="118">
        <v>1735</v>
      </c>
      <c r="B1736" s="128">
        <v>19</v>
      </c>
      <c r="C1736" s="156">
        <v>39995</v>
      </c>
      <c r="D1736" s="157" t="s">
        <v>50</v>
      </c>
      <c r="E1736" s="127">
        <v>2009</v>
      </c>
      <c r="F1736" s="158">
        <f t="shared" ref="F1736:F1741" si="445">C1736-H1736</f>
        <v>456</v>
      </c>
      <c r="G1736" s="158">
        <f t="shared" ref="G1736:G1741" si="446">IF(F1736&lt;365,1,2)</f>
        <v>2</v>
      </c>
      <c r="H1736" s="175">
        <v>39539</v>
      </c>
      <c r="I1736" s="125">
        <v>13282</v>
      </c>
      <c r="J1736" s="191">
        <v>0.3</v>
      </c>
      <c r="K1736" s="191">
        <v>0.45</v>
      </c>
      <c r="L1736" s="191">
        <v>0.13</v>
      </c>
      <c r="M1736" s="193">
        <v>0</v>
      </c>
      <c r="N1736" s="529"/>
      <c r="O1736" s="191">
        <v>0.25</v>
      </c>
      <c r="P1736" s="127"/>
      <c r="Q1736" s="127"/>
      <c r="R1736" s="127"/>
      <c r="S1736" s="222"/>
      <c r="T1736" s="161">
        <f t="shared" ref="T1736:T1741" si="447">$I1736*K1736</f>
        <v>5976.9000000000005</v>
      </c>
      <c r="U1736" s="161">
        <f t="shared" ref="U1736:U1741" si="448">$I1736*L1736</f>
        <v>1726.66</v>
      </c>
      <c r="V1736" s="161">
        <f t="shared" ref="V1736:V1741" si="449">$I1736*O1736</f>
        <v>3320.5</v>
      </c>
      <c r="W1736" s="161">
        <f t="shared" si="444"/>
        <v>1328.2</v>
      </c>
    </row>
    <row r="1737" spans="1:23" ht="12.75" customHeight="1">
      <c r="A1737" s="118">
        <v>1736</v>
      </c>
      <c r="B1737" s="128">
        <v>19</v>
      </c>
      <c r="C1737" s="156">
        <v>40026</v>
      </c>
      <c r="D1737" s="157" t="s">
        <v>51</v>
      </c>
      <c r="E1737" s="127">
        <v>2009</v>
      </c>
      <c r="F1737" s="158">
        <f t="shared" si="445"/>
        <v>487</v>
      </c>
      <c r="G1737" s="158">
        <f t="shared" si="446"/>
        <v>2</v>
      </c>
      <c r="H1737" s="175">
        <v>39539</v>
      </c>
      <c r="I1737" s="205">
        <v>13265</v>
      </c>
      <c r="J1737" s="191">
        <v>1.7749999999999999</v>
      </c>
      <c r="K1737" s="191">
        <v>0.47499999999999998</v>
      </c>
      <c r="L1737" s="191">
        <v>0.1</v>
      </c>
      <c r="M1737" s="193"/>
      <c r="N1737" s="529"/>
      <c r="O1737" s="191">
        <v>0.1</v>
      </c>
      <c r="P1737" s="127"/>
      <c r="Q1737" s="127"/>
      <c r="R1737" s="127"/>
      <c r="S1737" s="140"/>
      <c r="T1737" s="161">
        <f t="shared" si="447"/>
        <v>6300.875</v>
      </c>
      <c r="U1737" s="161">
        <f t="shared" si="448"/>
        <v>1326.5</v>
      </c>
      <c r="V1737" s="161">
        <f t="shared" si="449"/>
        <v>1326.5</v>
      </c>
      <c r="W1737" s="161">
        <f t="shared" si="444"/>
        <v>530.6</v>
      </c>
    </row>
    <row r="1738" spans="1:23" ht="12.75" customHeight="1">
      <c r="A1738" s="118">
        <v>1737</v>
      </c>
      <c r="B1738" s="128">
        <v>19</v>
      </c>
      <c r="C1738" s="156">
        <v>40057</v>
      </c>
      <c r="D1738" s="157" t="s">
        <v>52</v>
      </c>
      <c r="E1738" s="127">
        <v>2009</v>
      </c>
      <c r="F1738" s="158">
        <f t="shared" si="445"/>
        <v>518</v>
      </c>
      <c r="G1738" s="158">
        <f t="shared" si="446"/>
        <v>2</v>
      </c>
      <c r="H1738" s="175">
        <v>39539</v>
      </c>
      <c r="I1738" s="212">
        <f>(I1737+I1739)/2</f>
        <v>13238.5</v>
      </c>
      <c r="J1738" s="191"/>
      <c r="K1738" s="213">
        <f t="shared" ref="K1738:O1738" si="450">(K1737+K1739)/2</f>
        <v>1.6625000000000001</v>
      </c>
      <c r="L1738" s="213">
        <f t="shared" si="450"/>
        <v>0.59000000000000008</v>
      </c>
      <c r="M1738" s="240"/>
      <c r="N1738" s="529">
        <v>1</v>
      </c>
      <c r="O1738" s="213">
        <f t="shared" si="450"/>
        <v>0.05</v>
      </c>
      <c r="P1738" s="127"/>
      <c r="Q1738" s="127"/>
      <c r="R1738" s="127"/>
      <c r="S1738" s="221" t="s">
        <v>285</v>
      </c>
      <c r="T1738" s="161">
        <f t="shared" si="447"/>
        <v>22009.006250000002</v>
      </c>
      <c r="U1738" s="161">
        <f t="shared" si="448"/>
        <v>7810.7150000000011</v>
      </c>
      <c r="V1738" s="161">
        <f t="shared" si="449"/>
        <v>661.92500000000007</v>
      </c>
      <c r="W1738" s="161">
        <f t="shared" si="444"/>
        <v>264.77000000000004</v>
      </c>
    </row>
    <row r="1739" spans="1:23" ht="12.75" customHeight="1">
      <c r="A1739" s="118">
        <v>1738</v>
      </c>
      <c r="B1739" s="128">
        <v>19</v>
      </c>
      <c r="C1739" s="156">
        <v>40087</v>
      </c>
      <c r="D1739" s="157" t="s">
        <v>53</v>
      </c>
      <c r="E1739" s="127">
        <v>2009</v>
      </c>
      <c r="F1739" s="158">
        <f t="shared" si="445"/>
        <v>548</v>
      </c>
      <c r="G1739" s="158">
        <f t="shared" si="446"/>
        <v>2</v>
      </c>
      <c r="H1739" s="175">
        <v>39539</v>
      </c>
      <c r="I1739" s="205">
        <v>13212</v>
      </c>
      <c r="J1739" s="191">
        <v>0.9</v>
      </c>
      <c r="K1739" s="191">
        <v>2.85</v>
      </c>
      <c r="L1739" s="191">
        <v>1.08</v>
      </c>
      <c r="M1739" s="193"/>
      <c r="N1739" s="529"/>
      <c r="O1739" s="191">
        <v>0</v>
      </c>
      <c r="P1739" s="127"/>
      <c r="Q1739" s="127"/>
      <c r="R1739" s="127"/>
      <c r="S1739" s="140"/>
      <c r="T1739" s="161">
        <f t="shared" si="447"/>
        <v>37654.200000000004</v>
      </c>
      <c r="U1739" s="161">
        <f t="shared" si="448"/>
        <v>14268.960000000001</v>
      </c>
      <c r="V1739" s="161">
        <f t="shared" si="449"/>
        <v>0</v>
      </c>
      <c r="W1739" s="161">
        <f t="shared" si="444"/>
        <v>0</v>
      </c>
    </row>
    <row r="1740" spans="1:23" ht="12.75" customHeight="1">
      <c r="A1740" s="118">
        <v>1739</v>
      </c>
      <c r="B1740" s="128">
        <v>19</v>
      </c>
      <c r="C1740" s="156">
        <v>40118</v>
      </c>
      <c r="D1740" s="157" t="s">
        <v>54</v>
      </c>
      <c r="E1740" s="127">
        <v>2009</v>
      </c>
      <c r="F1740" s="158">
        <f t="shared" si="445"/>
        <v>579</v>
      </c>
      <c r="G1740" s="158">
        <f t="shared" si="446"/>
        <v>2</v>
      </c>
      <c r="H1740" s="175">
        <v>39539</v>
      </c>
      <c r="I1740" s="205">
        <v>13107</v>
      </c>
      <c r="J1740" s="191">
        <v>1.65</v>
      </c>
      <c r="K1740" s="191">
        <v>7.95</v>
      </c>
      <c r="L1740" s="191">
        <v>6.0750000000000002</v>
      </c>
      <c r="M1740" s="193">
        <v>0</v>
      </c>
      <c r="N1740" s="529"/>
      <c r="O1740" s="191">
        <v>0.2</v>
      </c>
      <c r="P1740" s="127"/>
      <c r="Q1740" s="127"/>
      <c r="R1740" s="127"/>
      <c r="S1740" s="140"/>
      <c r="T1740" s="161">
        <f t="shared" si="447"/>
        <v>104200.65000000001</v>
      </c>
      <c r="U1740" s="161">
        <f t="shared" si="448"/>
        <v>79625.025000000009</v>
      </c>
      <c r="V1740" s="161">
        <f t="shared" si="449"/>
        <v>2621.4</v>
      </c>
      <c r="W1740" s="161">
        <f t="shared" si="444"/>
        <v>1048.5600000000002</v>
      </c>
    </row>
    <row r="1741" spans="1:23" ht="12.75" customHeight="1">
      <c r="A1741" s="118">
        <v>1740</v>
      </c>
      <c r="B1741" s="128">
        <v>19</v>
      </c>
      <c r="C1741" s="156">
        <v>40148</v>
      </c>
      <c r="D1741" s="157" t="s">
        <v>55</v>
      </c>
      <c r="E1741" s="127">
        <v>2009</v>
      </c>
      <c r="F1741" s="158">
        <f t="shared" si="445"/>
        <v>609</v>
      </c>
      <c r="G1741" s="158">
        <f t="shared" si="446"/>
        <v>2</v>
      </c>
      <c r="H1741" s="175">
        <v>39539</v>
      </c>
      <c r="I1741" s="205">
        <v>13071</v>
      </c>
      <c r="J1741" s="191">
        <v>10.7</v>
      </c>
      <c r="K1741" s="191">
        <v>22.55</v>
      </c>
      <c r="L1741" s="191">
        <v>7.75</v>
      </c>
      <c r="M1741" s="193"/>
      <c r="N1741" s="529"/>
      <c r="O1741" s="191">
        <v>4.2</v>
      </c>
      <c r="P1741" s="127">
        <v>1</v>
      </c>
      <c r="Q1741" s="127"/>
      <c r="R1741" s="127"/>
      <c r="S1741" s="244"/>
      <c r="T1741" s="161">
        <f t="shared" si="447"/>
        <v>294751.05</v>
      </c>
      <c r="U1741" s="161">
        <f t="shared" si="448"/>
        <v>101300.25</v>
      </c>
      <c r="V1741" s="161">
        <f t="shared" si="449"/>
        <v>54898.200000000004</v>
      </c>
      <c r="W1741" s="161">
        <f t="shared" si="444"/>
        <v>21959.280000000002</v>
      </c>
    </row>
    <row r="1742" spans="1:23" ht="12.75" customHeight="1">
      <c r="A1742" s="118">
        <v>1741</v>
      </c>
      <c r="B1742" s="128">
        <v>20</v>
      </c>
      <c r="C1742" s="156">
        <v>36526</v>
      </c>
      <c r="D1742" s="157" t="s">
        <v>44</v>
      </c>
      <c r="E1742" s="8">
        <v>2000</v>
      </c>
      <c r="F1742" s="158">
        <f>C1742-H1742</f>
        <v>671</v>
      </c>
      <c r="G1742" s="158">
        <v>2</v>
      </c>
      <c r="H1742" s="162">
        <v>35855</v>
      </c>
      <c r="I1742" s="163">
        <v>37959</v>
      </c>
      <c r="J1742" s="11"/>
      <c r="K1742" s="11"/>
      <c r="L1742" s="11"/>
      <c r="O1742" s="11"/>
      <c r="S1742" s="155" t="s">
        <v>7</v>
      </c>
      <c r="T1742" s="11"/>
      <c r="V1742" s="11"/>
      <c r="W1742" s="11"/>
    </row>
    <row r="1743" spans="1:23" ht="12.75" customHeight="1">
      <c r="A1743" s="118">
        <v>1742</v>
      </c>
      <c r="B1743" s="128">
        <v>20</v>
      </c>
      <c r="C1743" s="156">
        <v>36557</v>
      </c>
      <c r="D1743" s="157" t="s">
        <v>45</v>
      </c>
      <c r="E1743" s="8">
        <v>2000</v>
      </c>
      <c r="F1743" s="158"/>
      <c r="G1743" s="162"/>
      <c r="J1743" s="11"/>
      <c r="K1743" s="11"/>
      <c r="L1743" s="11"/>
      <c r="O1743" s="11"/>
      <c r="T1743" s="11"/>
      <c r="V1743" s="11"/>
      <c r="W1743" s="11"/>
    </row>
    <row r="1744" spans="1:23" ht="12.75" customHeight="1">
      <c r="A1744" s="118">
        <v>1743</v>
      </c>
      <c r="B1744" s="128">
        <v>20</v>
      </c>
      <c r="C1744" s="156">
        <v>36586</v>
      </c>
      <c r="D1744" s="157" t="s">
        <v>46</v>
      </c>
      <c r="E1744" s="8">
        <v>2000</v>
      </c>
      <c r="F1744" s="158"/>
      <c r="G1744" s="162"/>
      <c r="J1744" s="11"/>
      <c r="K1744" s="11"/>
      <c r="L1744" s="11"/>
      <c r="O1744" s="11"/>
      <c r="T1744" s="11"/>
      <c r="V1744" s="11"/>
      <c r="W1744" s="11"/>
    </row>
    <row r="1745" spans="1:23" ht="12.75" customHeight="1">
      <c r="A1745" s="118">
        <v>1744</v>
      </c>
      <c r="B1745" s="128">
        <v>20</v>
      </c>
      <c r="C1745" s="156">
        <v>36617</v>
      </c>
      <c r="D1745" s="157" t="s">
        <v>47</v>
      </c>
      <c r="E1745" s="8">
        <v>2000</v>
      </c>
      <c r="F1745" s="158"/>
      <c r="G1745" s="162"/>
      <c r="J1745" s="11"/>
      <c r="K1745" s="11"/>
      <c r="L1745" s="11"/>
      <c r="O1745" s="11"/>
      <c r="T1745" s="11"/>
      <c r="V1745" s="11"/>
      <c r="W1745" s="11"/>
    </row>
    <row r="1746" spans="1:23" ht="12.75" customHeight="1">
      <c r="A1746" s="118">
        <v>1745</v>
      </c>
      <c r="B1746" s="128">
        <v>20</v>
      </c>
      <c r="C1746" s="156">
        <v>36647</v>
      </c>
      <c r="D1746" s="157" t="s">
        <v>48</v>
      </c>
      <c r="E1746" s="8">
        <v>2000</v>
      </c>
      <c r="F1746" s="158"/>
      <c r="G1746" s="162"/>
      <c r="J1746" s="11"/>
      <c r="K1746" s="11"/>
      <c r="L1746" s="11"/>
      <c r="O1746" s="11"/>
      <c r="T1746" s="11"/>
      <c r="V1746" s="11"/>
      <c r="W1746" s="11"/>
    </row>
    <row r="1747" spans="1:23" ht="12.75" customHeight="1">
      <c r="A1747" s="118">
        <v>1746</v>
      </c>
      <c r="B1747" s="128">
        <v>20</v>
      </c>
      <c r="C1747" s="156">
        <v>36678</v>
      </c>
      <c r="D1747" s="157" t="s">
        <v>49</v>
      </c>
      <c r="E1747" s="8">
        <v>2000</v>
      </c>
      <c r="F1747" s="158"/>
      <c r="G1747" s="162"/>
      <c r="J1747" s="11"/>
      <c r="K1747" s="11"/>
      <c r="L1747" s="11"/>
      <c r="O1747" s="11"/>
      <c r="T1747" s="11"/>
      <c r="V1747" s="11"/>
      <c r="W1747" s="11"/>
    </row>
    <row r="1748" spans="1:23" ht="12.75" customHeight="1">
      <c r="A1748" s="118">
        <v>1747</v>
      </c>
      <c r="B1748" s="128">
        <v>20</v>
      </c>
      <c r="C1748" s="156">
        <v>36708</v>
      </c>
      <c r="D1748" s="157" t="s">
        <v>50</v>
      </c>
      <c r="E1748" s="8">
        <v>2000</v>
      </c>
      <c r="F1748" s="158"/>
      <c r="G1748" s="162"/>
      <c r="J1748" s="11"/>
      <c r="K1748" s="11"/>
      <c r="L1748" s="11"/>
      <c r="O1748" s="11"/>
      <c r="T1748" s="11"/>
      <c r="V1748" s="11"/>
      <c r="W1748" s="11"/>
    </row>
    <row r="1749" spans="1:23" ht="12.75" customHeight="1">
      <c r="A1749" s="118">
        <v>1748</v>
      </c>
      <c r="B1749" s="128">
        <v>20</v>
      </c>
      <c r="C1749" s="156">
        <v>36739</v>
      </c>
      <c r="D1749" s="157" t="s">
        <v>51</v>
      </c>
      <c r="E1749" s="8">
        <v>2000</v>
      </c>
      <c r="F1749" s="158"/>
      <c r="G1749" s="162"/>
      <c r="J1749" s="11"/>
      <c r="K1749" s="11"/>
      <c r="L1749" s="11"/>
      <c r="O1749" s="11"/>
      <c r="T1749" s="11"/>
      <c r="V1749" s="11"/>
      <c r="W1749" s="11"/>
    </row>
    <row r="1750" spans="1:23" ht="12.75" customHeight="1">
      <c r="A1750" s="118">
        <v>1749</v>
      </c>
      <c r="B1750" s="128">
        <v>20</v>
      </c>
      <c r="C1750" s="156">
        <v>36770</v>
      </c>
      <c r="D1750" s="157" t="s">
        <v>52</v>
      </c>
      <c r="E1750" s="8">
        <v>2000</v>
      </c>
      <c r="F1750" s="158">
        <f t="shared" ref="F1750:F1765" si="451">C1750-H1750</f>
        <v>153</v>
      </c>
      <c r="G1750" s="158">
        <f t="shared" ref="G1750:G1765" si="452">IF(F1750&lt;365,1,2)</f>
        <v>1</v>
      </c>
      <c r="H1750" s="162">
        <v>36617</v>
      </c>
      <c r="I1750" s="163">
        <v>397165</v>
      </c>
      <c r="J1750" s="11"/>
      <c r="K1750" s="11"/>
      <c r="L1750" s="11"/>
      <c r="O1750" s="11"/>
      <c r="S1750" s="155" t="s">
        <v>319</v>
      </c>
      <c r="T1750" s="11"/>
      <c r="V1750" s="11"/>
      <c r="W1750" s="11"/>
    </row>
    <row r="1751" spans="1:23" ht="12.75" customHeight="1">
      <c r="A1751" s="118">
        <v>1750</v>
      </c>
      <c r="B1751" s="128">
        <v>20</v>
      </c>
      <c r="C1751" s="156">
        <v>36800</v>
      </c>
      <c r="D1751" s="157" t="s">
        <v>53</v>
      </c>
      <c r="E1751" s="8">
        <v>2000</v>
      </c>
      <c r="F1751" s="158">
        <f t="shared" si="451"/>
        <v>183</v>
      </c>
      <c r="G1751" s="158">
        <f t="shared" si="452"/>
        <v>1</v>
      </c>
      <c r="H1751" s="162">
        <v>36617</v>
      </c>
      <c r="I1751" s="163">
        <v>396933</v>
      </c>
      <c r="J1751" s="11"/>
      <c r="K1751" s="11"/>
      <c r="L1751" s="11"/>
      <c r="O1751" s="11"/>
      <c r="T1751" s="11"/>
      <c r="V1751" s="11"/>
      <c r="W1751" s="11"/>
    </row>
    <row r="1752" spans="1:23" ht="12.75" customHeight="1">
      <c r="A1752" s="118">
        <v>1751</v>
      </c>
      <c r="B1752" s="128">
        <v>20</v>
      </c>
      <c r="C1752" s="156">
        <v>36831</v>
      </c>
      <c r="D1752" s="157" t="s">
        <v>54</v>
      </c>
      <c r="E1752" s="8">
        <v>2000</v>
      </c>
      <c r="F1752" s="158">
        <f t="shared" si="451"/>
        <v>214</v>
      </c>
      <c r="G1752" s="158">
        <f t="shared" si="452"/>
        <v>1</v>
      </c>
      <c r="H1752" s="162">
        <v>36617</v>
      </c>
      <c r="I1752" s="163">
        <v>396744</v>
      </c>
      <c r="J1752" s="11"/>
      <c r="K1752" s="11"/>
      <c r="L1752" s="11"/>
      <c r="O1752" s="11"/>
      <c r="T1752" s="11"/>
      <c r="V1752" s="11"/>
      <c r="W1752" s="11"/>
    </row>
    <row r="1753" spans="1:23" ht="12.75" customHeight="1">
      <c r="A1753" s="118">
        <v>1752</v>
      </c>
      <c r="B1753" s="128">
        <v>20</v>
      </c>
      <c r="C1753" s="156">
        <v>36861</v>
      </c>
      <c r="D1753" s="157" t="s">
        <v>55</v>
      </c>
      <c r="E1753" s="8">
        <v>2000</v>
      </c>
      <c r="F1753" s="158">
        <f t="shared" si="451"/>
        <v>244</v>
      </c>
      <c r="G1753" s="158">
        <f t="shared" si="452"/>
        <v>1</v>
      </c>
      <c r="H1753" s="162">
        <v>36617</v>
      </c>
      <c r="I1753" s="163">
        <v>396565</v>
      </c>
      <c r="J1753" s="11"/>
      <c r="K1753" s="11"/>
      <c r="L1753" s="11"/>
      <c r="O1753" s="11"/>
      <c r="T1753" s="11"/>
      <c r="V1753" s="11"/>
      <c r="W1753" s="11"/>
    </row>
    <row r="1754" spans="1:23" ht="12.75" customHeight="1">
      <c r="A1754" s="118">
        <v>1753</v>
      </c>
      <c r="B1754" s="128">
        <v>20</v>
      </c>
      <c r="C1754" s="156">
        <v>36892</v>
      </c>
      <c r="D1754" s="157" t="s">
        <v>44</v>
      </c>
      <c r="E1754" s="8">
        <v>2001</v>
      </c>
      <c r="F1754" s="158">
        <f t="shared" si="451"/>
        <v>275</v>
      </c>
      <c r="G1754" s="158">
        <f t="shared" si="452"/>
        <v>1</v>
      </c>
      <c r="H1754" s="162">
        <v>36617</v>
      </c>
      <c r="I1754" s="163">
        <v>396299</v>
      </c>
      <c r="J1754" s="11"/>
      <c r="K1754" s="11"/>
      <c r="L1754" s="11"/>
      <c r="O1754" s="11"/>
      <c r="Q1754" s="11">
        <v>8</v>
      </c>
      <c r="T1754" s="11"/>
      <c r="V1754" s="11"/>
      <c r="W1754" s="11"/>
    </row>
    <row r="1755" spans="1:23" ht="12.75" customHeight="1">
      <c r="A1755" s="118">
        <v>1754</v>
      </c>
      <c r="B1755" s="128">
        <v>20</v>
      </c>
      <c r="C1755" s="156">
        <v>36923</v>
      </c>
      <c r="D1755" s="157" t="s">
        <v>45</v>
      </c>
      <c r="E1755" s="8">
        <v>2001</v>
      </c>
      <c r="F1755" s="158">
        <f t="shared" si="451"/>
        <v>306</v>
      </c>
      <c r="G1755" s="158">
        <f t="shared" si="452"/>
        <v>1</v>
      </c>
      <c r="H1755" s="162">
        <v>36617</v>
      </c>
      <c r="I1755" s="163">
        <v>396293</v>
      </c>
      <c r="J1755" s="11"/>
      <c r="K1755" s="11"/>
      <c r="L1755" s="11"/>
      <c r="O1755" s="11"/>
      <c r="T1755" s="11"/>
      <c r="V1755" s="11"/>
      <c r="W1755" s="11"/>
    </row>
    <row r="1756" spans="1:23" ht="12.75" customHeight="1">
      <c r="A1756" s="118">
        <v>1755</v>
      </c>
      <c r="B1756" s="128">
        <v>20</v>
      </c>
      <c r="C1756" s="156">
        <v>36951</v>
      </c>
      <c r="D1756" s="157" t="s">
        <v>46</v>
      </c>
      <c r="E1756" s="8">
        <v>2001</v>
      </c>
      <c r="F1756" s="158">
        <f t="shared" si="451"/>
        <v>334</v>
      </c>
      <c r="G1756" s="158">
        <f t="shared" si="452"/>
        <v>1</v>
      </c>
      <c r="H1756" s="162">
        <v>36617</v>
      </c>
      <c r="I1756" s="163">
        <v>395945</v>
      </c>
      <c r="J1756" s="11"/>
      <c r="K1756" s="11"/>
      <c r="L1756" s="11"/>
      <c r="O1756" s="11"/>
      <c r="T1756" s="11"/>
      <c r="V1756" s="11"/>
      <c r="W1756" s="11"/>
    </row>
    <row r="1757" spans="1:23" ht="12.75" customHeight="1">
      <c r="A1757" s="118">
        <v>1756</v>
      </c>
      <c r="B1757" s="128">
        <v>20</v>
      </c>
      <c r="C1757" s="156">
        <v>36982</v>
      </c>
      <c r="D1757" s="157" t="s">
        <v>47</v>
      </c>
      <c r="E1757" s="8">
        <v>2001</v>
      </c>
      <c r="F1757" s="158">
        <f t="shared" si="451"/>
        <v>365</v>
      </c>
      <c r="G1757" s="158">
        <f t="shared" si="452"/>
        <v>2</v>
      </c>
      <c r="H1757" s="162">
        <v>36617</v>
      </c>
      <c r="I1757" s="163">
        <v>395728</v>
      </c>
      <c r="J1757" s="11"/>
      <c r="K1757" s="11"/>
      <c r="L1757" s="11"/>
      <c r="O1757" s="11"/>
      <c r="T1757" s="11"/>
      <c r="V1757" s="11"/>
      <c r="W1757" s="11"/>
    </row>
    <row r="1758" spans="1:23" ht="12.75" customHeight="1">
      <c r="A1758" s="118">
        <v>1757</v>
      </c>
      <c r="B1758" s="128">
        <v>20</v>
      </c>
      <c r="C1758" s="156">
        <v>37012</v>
      </c>
      <c r="D1758" s="157" t="s">
        <v>48</v>
      </c>
      <c r="E1758" s="8">
        <v>2001</v>
      </c>
      <c r="F1758" s="158">
        <f t="shared" si="451"/>
        <v>395</v>
      </c>
      <c r="G1758" s="158">
        <f t="shared" si="452"/>
        <v>2</v>
      </c>
      <c r="H1758" s="162">
        <v>36617</v>
      </c>
      <c r="I1758" s="163">
        <v>395539</v>
      </c>
      <c r="J1758" s="11"/>
      <c r="K1758" s="11"/>
      <c r="L1758" s="11"/>
      <c r="O1758" s="11"/>
      <c r="T1758" s="11"/>
      <c r="V1758" s="11"/>
      <c r="W1758" s="11"/>
    </row>
    <row r="1759" spans="1:23" ht="12.75" customHeight="1">
      <c r="A1759" s="118">
        <v>1758</v>
      </c>
      <c r="B1759" s="128">
        <v>20</v>
      </c>
      <c r="C1759" s="156">
        <v>37043</v>
      </c>
      <c r="D1759" s="157" t="s">
        <v>49</v>
      </c>
      <c r="E1759" s="8">
        <v>2001</v>
      </c>
      <c r="F1759" s="158">
        <f t="shared" si="451"/>
        <v>426</v>
      </c>
      <c r="G1759" s="158">
        <f t="shared" si="452"/>
        <v>2</v>
      </c>
      <c r="H1759" s="162">
        <v>36617</v>
      </c>
      <c r="I1759" s="163">
        <v>395311</v>
      </c>
      <c r="J1759" s="11"/>
      <c r="K1759" s="11"/>
      <c r="L1759" s="199">
        <v>7</v>
      </c>
      <c r="N1759" s="528" t="s">
        <v>796</v>
      </c>
      <c r="O1759" s="199">
        <v>0</v>
      </c>
      <c r="Q1759" s="11">
        <v>8.9</v>
      </c>
      <c r="T1759" s="11"/>
      <c r="U1759" s="161">
        <f t="shared" ref="U1759:U1765" si="453">$I1759*L1759</f>
        <v>2767177</v>
      </c>
      <c r="V1759" s="161">
        <f t="shared" ref="V1759:V1765" si="454">$I1759*O1759</f>
        <v>0</v>
      </c>
      <c r="W1759" s="161">
        <f t="shared" ref="W1759:W1765" si="455">V1759*0.4</f>
        <v>0</v>
      </c>
    </row>
    <row r="1760" spans="1:23" ht="12.75" customHeight="1">
      <c r="A1760" s="118">
        <v>1759</v>
      </c>
      <c r="B1760" s="128">
        <v>20</v>
      </c>
      <c r="C1760" s="156">
        <v>37073</v>
      </c>
      <c r="D1760" s="157" t="s">
        <v>50</v>
      </c>
      <c r="E1760" s="8">
        <v>2001</v>
      </c>
      <c r="F1760" s="158">
        <f t="shared" si="451"/>
        <v>456</v>
      </c>
      <c r="G1760" s="158">
        <f t="shared" si="452"/>
        <v>2</v>
      </c>
      <c r="H1760" s="162">
        <v>36617</v>
      </c>
      <c r="I1760" s="163">
        <v>392362</v>
      </c>
      <c r="J1760" s="11">
        <v>7.1</v>
      </c>
      <c r="K1760" s="11">
        <v>19.55</v>
      </c>
      <c r="L1760" s="11">
        <v>10</v>
      </c>
      <c r="O1760" s="11">
        <v>0</v>
      </c>
      <c r="T1760" s="161">
        <f>$I1760*K1760</f>
        <v>7670677.1000000006</v>
      </c>
      <c r="U1760" s="161">
        <f t="shared" si="453"/>
        <v>3923620</v>
      </c>
      <c r="V1760" s="161">
        <f t="shared" si="454"/>
        <v>0</v>
      </c>
      <c r="W1760" s="161">
        <f t="shared" si="455"/>
        <v>0</v>
      </c>
    </row>
    <row r="1761" spans="1:23" ht="12.75" customHeight="1">
      <c r="A1761" s="118">
        <v>1760</v>
      </c>
      <c r="B1761" s="128">
        <v>20</v>
      </c>
      <c r="C1761" s="156">
        <v>37104</v>
      </c>
      <c r="D1761" s="157" t="s">
        <v>51</v>
      </c>
      <c r="E1761" s="8">
        <v>2001</v>
      </c>
      <c r="F1761" s="158">
        <f t="shared" si="451"/>
        <v>487</v>
      </c>
      <c r="G1761" s="158">
        <f t="shared" si="452"/>
        <v>2</v>
      </c>
      <c r="H1761" s="162">
        <v>36617</v>
      </c>
      <c r="I1761" s="163">
        <v>389593</v>
      </c>
      <c r="J1761" s="11"/>
      <c r="K1761" s="11"/>
      <c r="L1761" s="199">
        <v>10</v>
      </c>
      <c r="N1761" s="528" t="s">
        <v>796</v>
      </c>
      <c r="O1761" s="199">
        <v>0</v>
      </c>
      <c r="Q1761" s="11">
        <v>11.7</v>
      </c>
      <c r="T1761" s="11"/>
      <c r="U1761" s="161">
        <f t="shared" si="453"/>
        <v>3895930</v>
      </c>
      <c r="V1761" s="161">
        <f t="shared" si="454"/>
        <v>0</v>
      </c>
      <c r="W1761" s="161">
        <f t="shared" si="455"/>
        <v>0</v>
      </c>
    </row>
    <row r="1762" spans="1:23" ht="12.75" customHeight="1">
      <c r="A1762" s="118">
        <v>1761</v>
      </c>
      <c r="B1762" s="128">
        <v>20</v>
      </c>
      <c r="C1762" s="156">
        <v>37135</v>
      </c>
      <c r="D1762" s="157" t="s">
        <v>52</v>
      </c>
      <c r="E1762" s="8">
        <v>2001</v>
      </c>
      <c r="F1762" s="158">
        <f t="shared" si="451"/>
        <v>518</v>
      </c>
      <c r="G1762" s="158">
        <f t="shared" si="452"/>
        <v>2</v>
      </c>
      <c r="H1762" s="162">
        <v>36617</v>
      </c>
      <c r="I1762" s="163">
        <v>290889</v>
      </c>
      <c r="J1762" s="11"/>
      <c r="K1762" s="11"/>
      <c r="L1762" s="199">
        <v>11</v>
      </c>
      <c r="N1762" s="528" t="s">
        <v>796</v>
      </c>
      <c r="O1762" s="199">
        <v>0</v>
      </c>
      <c r="Q1762" s="11">
        <v>10.7</v>
      </c>
      <c r="S1762" s="155" t="s">
        <v>31</v>
      </c>
      <c r="T1762" s="11"/>
      <c r="U1762" s="161">
        <f t="shared" si="453"/>
        <v>3199779</v>
      </c>
      <c r="V1762" s="161">
        <f t="shared" si="454"/>
        <v>0</v>
      </c>
      <c r="W1762" s="161">
        <f t="shared" si="455"/>
        <v>0</v>
      </c>
    </row>
    <row r="1763" spans="1:23" ht="12.75" customHeight="1">
      <c r="A1763" s="118">
        <v>1762</v>
      </c>
      <c r="B1763" s="128">
        <v>20</v>
      </c>
      <c r="C1763" s="156">
        <v>37165</v>
      </c>
      <c r="D1763" s="157" t="s">
        <v>53</v>
      </c>
      <c r="E1763" s="8">
        <v>2001</v>
      </c>
      <c r="F1763" s="158">
        <f t="shared" si="451"/>
        <v>548</v>
      </c>
      <c r="G1763" s="158">
        <f t="shared" si="452"/>
        <v>2</v>
      </c>
      <c r="H1763" s="162">
        <v>36617</v>
      </c>
      <c r="I1763" s="163">
        <v>219719</v>
      </c>
      <c r="J1763" s="11"/>
      <c r="K1763" s="11"/>
      <c r="L1763" s="199">
        <v>12</v>
      </c>
      <c r="N1763" s="528" t="s">
        <v>795</v>
      </c>
      <c r="O1763" s="199">
        <v>0</v>
      </c>
      <c r="Q1763" s="11">
        <v>8.8000000000000007</v>
      </c>
      <c r="T1763" s="11"/>
      <c r="U1763" s="161">
        <f t="shared" si="453"/>
        <v>2636628</v>
      </c>
      <c r="V1763" s="161">
        <f t="shared" si="454"/>
        <v>0</v>
      </c>
      <c r="W1763" s="161">
        <f t="shared" si="455"/>
        <v>0</v>
      </c>
    </row>
    <row r="1764" spans="1:23" ht="12.75" customHeight="1">
      <c r="A1764" s="118">
        <v>1763</v>
      </c>
      <c r="B1764" s="128">
        <v>20</v>
      </c>
      <c r="C1764" s="156">
        <v>37196</v>
      </c>
      <c r="D1764" s="157" t="s">
        <v>54</v>
      </c>
      <c r="E1764" s="8">
        <v>2001</v>
      </c>
      <c r="F1764" s="158">
        <f t="shared" si="451"/>
        <v>579</v>
      </c>
      <c r="G1764" s="158">
        <f t="shared" si="452"/>
        <v>2</v>
      </c>
      <c r="H1764" s="162">
        <v>36617</v>
      </c>
      <c r="I1764" s="163">
        <v>68112</v>
      </c>
      <c r="J1764" s="11"/>
      <c r="K1764" s="11"/>
      <c r="L1764" s="199">
        <v>13</v>
      </c>
      <c r="N1764" s="528" t="s">
        <v>795</v>
      </c>
      <c r="O1764" s="199">
        <v>0</v>
      </c>
      <c r="Q1764" s="11">
        <v>7.5</v>
      </c>
      <c r="T1764" s="11"/>
      <c r="U1764" s="161">
        <f t="shared" si="453"/>
        <v>885456</v>
      </c>
      <c r="V1764" s="161">
        <f t="shared" si="454"/>
        <v>0</v>
      </c>
      <c r="W1764" s="161">
        <f t="shared" si="455"/>
        <v>0</v>
      </c>
    </row>
    <row r="1765" spans="1:23" ht="12.75" customHeight="1">
      <c r="A1765" s="118">
        <v>1764</v>
      </c>
      <c r="B1765" s="128">
        <v>20</v>
      </c>
      <c r="C1765" s="156">
        <v>37226</v>
      </c>
      <c r="D1765" s="157" t="s">
        <v>55</v>
      </c>
      <c r="E1765" s="8">
        <v>2001</v>
      </c>
      <c r="F1765" s="158">
        <f t="shared" si="451"/>
        <v>609</v>
      </c>
      <c r="G1765" s="158">
        <f t="shared" si="452"/>
        <v>2</v>
      </c>
      <c r="H1765" s="162">
        <v>36617</v>
      </c>
      <c r="I1765" s="163">
        <v>8129</v>
      </c>
      <c r="J1765" s="11"/>
      <c r="K1765" s="11"/>
      <c r="L1765" s="199">
        <v>14</v>
      </c>
      <c r="N1765" s="528" t="s">
        <v>795</v>
      </c>
      <c r="O1765" s="199">
        <v>0</v>
      </c>
      <c r="Q1765" s="11">
        <v>6.8</v>
      </c>
      <c r="T1765" s="11"/>
      <c r="U1765" s="161">
        <f t="shared" si="453"/>
        <v>113806</v>
      </c>
      <c r="V1765" s="161">
        <f t="shared" si="454"/>
        <v>0</v>
      </c>
      <c r="W1765" s="161">
        <f t="shared" si="455"/>
        <v>0</v>
      </c>
    </row>
    <row r="1766" spans="1:23" ht="12.75" customHeight="1">
      <c r="A1766" s="118">
        <v>1765</v>
      </c>
      <c r="B1766" s="128">
        <v>20</v>
      </c>
      <c r="C1766" s="156">
        <v>37257</v>
      </c>
      <c r="D1766" s="157" t="s">
        <v>44</v>
      </c>
      <c r="E1766" s="8">
        <v>2002</v>
      </c>
      <c r="F1766" s="158"/>
      <c r="G1766" s="162"/>
      <c r="J1766" s="11"/>
      <c r="K1766" s="11"/>
      <c r="L1766" s="11"/>
      <c r="O1766" s="11"/>
      <c r="T1766" s="11"/>
      <c r="V1766" s="11"/>
      <c r="W1766" s="11"/>
    </row>
    <row r="1767" spans="1:23" ht="12.75" customHeight="1">
      <c r="A1767" s="118">
        <v>1766</v>
      </c>
      <c r="B1767" s="128">
        <v>20</v>
      </c>
      <c r="C1767" s="156">
        <v>37288</v>
      </c>
      <c r="D1767" s="157" t="s">
        <v>45</v>
      </c>
      <c r="E1767" s="8">
        <v>2002</v>
      </c>
      <c r="F1767" s="158"/>
      <c r="G1767" s="162"/>
      <c r="J1767" s="11"/>
      <c r="K1767" s="11"/>
      <c r="L1767" s="11"/>
      <c r="O1767" s="11"/>
      <c r="T1767" s="11"/>
      <c r="V1767" s="11"/>
      <c r="W1767" s="11"/>
    </row>
    <row r="1768" spans="1:23" ht="12.75" customHeight="1">
      <c r="A1768" s="118">
        <v>1767</v>
      </c>
      <c r="B1768" s="128">
        <v>20</v>
      </c>
      <c r="C1768" s="156">
        <v>37316</v>
      </c>
      <c r="D1768" s="157" t="s">
        <v>46</v>
      </c>
      <c r="E1768" s="8">
        <v>2002</v>
      </c>
      <c r="F1768" s="158"/>
      <c r="G1768" s="162"/>
      <c r="J1768" s="11"/>
      <c r="K1768" s="11"/>
      <c r="L1768" s="11"/>
      <c r="O1768" s="11"/>
      <c r="T1768" s="11"/>
      <c r="V1768" s="11"/>
      <c r="W1768" s="11"/>
    </row>
    <row r="1769" spans="1:23" ht="12.75" customHeight="1">
      <c r="A1769" s="118">
        <v>1768</v>
      </c>
      <c r="B1769" s="128">
        <v>20</v>
      </c>
      <c r="C1769" s="156">
        <v>37347</v>
      </c>
      <c r="D1769" s="157" t="s">
        <v>47</v>
      </c>
      <c r="E1769" s="8">
        <v>2002</v>
      </c>
      <c r="F1769" s="158">
        <f t="shared" ref="F1769:F1793" si="456">C1769-H1769</f>
        <v>0</v>
      </c>
      <c r="G1769" s="158">
        <f t="shared" ref="G1769:G1792" si="457">IF(F1769&lt;365,1,2)</f>
        <v>1</v>
      </c>
      <c r="H1769" s="162">
        <v>37347</v>
      </c>
      <c r="I1769" s="163">
        <v>962597</v>
      </c>
      <c r="J1769" s="11"/>
      <c r="K1769" s="11"/>
      <c r="L1769" s="11"/>
      <c r="O1769" s="11"/>
      <c r="Q1769" s="11">
        <v>8.4</v>
      </c>
      <c r="T1769" s="11"/>
      <c r="V1769" s="11"/>
      <c r="W1769" s="11"/>
    </row>
    <row r="1770" spans="1:23" ht="12.75" customHeight="1">
      <c r="A1770" s="118">
        <v>1769</v>
      </c>
      <c r="B1770" s="128">
        <v>20</v>
      </c>
      <c r="C1770" s="156">
        <v>37377</v>
      </c>
      <c r="D1770" s="157" t="s">
        <v>48</v>
      </c>
      <c r="E1770" s="8">
        <v>2002</v>
      </c>
      <c r="F1770" s="158">
        <f t="shared" si="456"/>
        <v>30</v>
      </c>
      <c r="G1770" s="158">
        <f t="shared" si="457"/>
        <v>1</v>
      </c>
      <c r="H1770" s="162">
        <v>37347</v>
      </c>
      <c r="I1770" s="163">
        <v>1276845</v>
      </c>
      <c r="J1770" s="11"/>
      <c r="K1770" s="11"/>
      <c r="L1770" s="11"/>
      <c r="O1770" s="11"/>
      <c r="Q1770" s="11">
        <v>9.1999999999999993</v>
      </c>
      <c r="T1770" s="11"/>
      <c r="V1770" s="11"/>
      <c r="W1770" s="11"/>
    </row>
    <row r="1771" spans="1:23" ht="12.75" customHeight="1">
      <c r="A1771" s="118">
        <v>1770</v>
      </c>
      <c r="B1771" s="128">
        <v>20</v>
      </c>
      <c r="C1771" s="156">
        <v>37408</v>
      </c>
      <c r="D1771" s="157" t="s">
        <v>49</v>
      </c>
      <c r="E1771" s="8">
        <v>2002</v>
      </c>
      <c r="F1771" s="158">
        <f t="shared" si="456"/>
        <v>61</v>
      </c>
      <c r="G1771" s="158">
        <f t="shared" si="457"/>
        <v>1</v>
      </c>
      <c r="H1771" s="162">
        <v>37347</v>
      </c>
      <c r="I1771" s="163">
        <v>1255645</v>
      </c>
      <c r="J1771" s="11"/>
      <c r="K1771" s="11"/>
      <c r="L1771" s="11"/>
      <c r="O1771" s="11"/>
      <c r="Q1771" s="11">
        <v>9.6</v>
      </c>
      <c r="T1771" s="11"/>
      <c r="V1771" s="11"/>
      <c r="W1771" s="11"/>
    </row>
    <row r="1772" spans="1:23" ht="12.75" customHeight="1">
      <c r="A1772" s="118">
        <v>1771</v>
      </c>
      <c r="B1772" s="128">
        <v>20</v>
      </c>
      <c r="C1772" s="156">
        <v>37438</v>
      </c>
      <c r="D1772" s="157" t="s">
        <v>50</v>
      </c>
      <c r="E1772" s="8">
        <v>2002</v>
      </c>
      <c r="F1772" s="158">
        <f t="shared" si="456"/>
        <v>91</v>
      </c>
      <c r="G1772" s="158">
        <f t="shared" si="457"/>
        <v>1</v>
      </c>
      <c r="H1772" s="162">
        <v>37347</v>
      </c>
      <c r="I1772" s="163">
        <v>1193270</v>
      </c>
      <c r="J1772" s="11"/>
      <c r="K1772" s="11"/>
      <c r="L1772" s="11"/>
      <c r="O1772" s="11"/>
      <c r="T1772" s="11"/>
      <c r="V1772" s="11"/>
      <c r="W1772" s="11"/>
    </row>
    <row r="1773" spans="1:23" ht="12.75" customHeight="1">
      <c r="A1773" s="118">
        <v>1772</v>
      </c>
      <c r="B1773" s="128">
        <v>20</v>
      </c>
      <c r="C1773" s="156">
        <v>37469</v>
      </c>
      <c r="D1773" s="157" t="s">
        <v>51</v>
      </c>
      <c r="E1773" s="8">
        <v>2002</v>
      </c>
      <c r="F1773" s="158">
        <f t="shared" si="456"/>
        <v>122</v>
      </c>
      <c r="G1773" s="158">
        <f t="shared" si="457"/>
        <v>1</v>
      </c>
      <c r="H1773" s="162">
        <v>37347</v>
      </c>
      <c r="I1773" s="163">
        <v>1139780</v>
      </c>
      <c r="J1773" s="11"/>
      <c r="K1773" s="11"/>
      <c r="L1773" s="11"/>
      <c r="O1773" s="11"/>
      <c r="Q1773" s="11">
        <v>11.3</v>
      </c>
      <c r="T1773" s="11"/>
      <c r="V1773" s="11"/>
      <c r="W1773" s="11"/>
    </row>
    <row r="1774" spans="1:23" ht="12.75" customHeight="1">
      <c r="A1774" s="118">
        <v>1773</v>
      </c>
      <c r="B1774" s="128">
        <v>20</v>
      </c>
      <c r="C1774" s="156">
        <v>37500</v>
      </c>
      <c r="D1774" s="157" t="s">
        <v>52</v>
      </c>
      <c r="E1774" s="8">
        <v>2002</v>
      </c>
      <c r="F1774" s="158">
        <f t="shared" si="456"/>
        <v>153</v>
      </c>
      <c r="G1774" s="158">
        <f t="shared" si="457"/>
        <v>1</v>
      </c>
      <c r="H1774" s="162">
        <v>37347</v>
      </c>
      <c r="I1774" s="179">
        <f>(I1773+I1775)/2</f>
        <v>1135008</v>
      </c>
      <c r="J1774" s="11"/>
      <c r="K1774" s="11"/>
      <c r="L1774" s="11"/>
      <c r="O1774" s="11"/>
      <c r="T1774" s="11"/>
      <c r="V1774" s="11"/>
      <c r="W1774" s="11"/>
    </row>
    <row r="1775" spans="1:23" ht="12.75" customHeight="1">
      <c r="A1775" s="118">
        <v>1774</v>
      </c>
      <c r="B1775" s="128">
        <v>20</v>
      </c>
      <c r="C1775" s="156">
        <v>37530</v>
      </c>
      <c r="D1775" s="157" t="s">
        <v>53</v>
      </c>
      <c r="E1775" s="8">
        <v>2002</v>
      </c>
      <c r="F1775" s="158">
        <f t="shared" si="456"/>
        <v>183</v>
      </c>
      <c r="G1775" s="158">
        <f t="shared" si="457"/>
        <v>1</v>
      </c>
      <c r="H1775" s="162">
        <v>37347</v>
      </c>
      <c r="I1775" s="163">
        <v>1130236</v>
      </c>
      <c r="J1775" s="11"/>
      <c r="K1775" s="11"/>
      <c r="L1775" s="11"/>
      <c r="O1775" s="11"/>
      <c r="T1775" s="11"/>
      <c r="V1775" s="11"/>
      <c r="W1775" s="11"/>
    </row>
    <row r="1776" spans="1:23" ht="12.75" customHeight="1">
      <c r="A1776" s="118">
        <v>1775</v>
      </c>
      <c r="B1776" s="128">
        <v>20</v>
      </c>
      <c r="C1776" s="156">
        <v>37561</v>
      </c>
      <c r="D1776" s="157" t="s">
        <v>54</v>
      </c>
      <c r="E1776" s="8">
        <v>2002</v>
      </c>
      <c r="F1776" s="158">
        <f t="shared" si="456"/>
        <v>214</v>
      </c>
      <c r="G1776" s="158">
        <f t="shared" si="457"/>
        <v>1</v>
      </c>
      <c r="H1776" s="162">
        <v>37347</v>
      </c>
      <c r="I1776" s="163">
        <v>1128871</v>
      </c>
      <c r="J1776" s="11"/>
      <c r="K1776" s="11"/>
      <c r="L1776" s="128"/>
      <c r="O1776" s="128"/>
      <c r="Q1776" s="11">
        <v>7.9</v>
      </c>
      <c r="T1776" s="11"/>
      <c r="V1776" s="161"/>
      <c r="W1776" s="161"/>
    </row>
    <row r="1777" spans="1:244" ht="12.75" customHeight="1">
      <c r="A1777" s="118">
        <v>1776</v>
      </c>
      <c r="B1777" s="128">
        <v>20</v>
      </c>
      <c r="C1777" s="156">
        <v>37591</v>
      </c>
      <c r="D1777" s="157" t="s">
        <v>55</v>
      </c>
      <c r="E1777" s="8">
        <v>2002</v>
      </c>
      <c r="F1777" s="158">
        <f t="shared" si="456"/>
        <v>244</v>
      </c>
      <c r="G1777" s="158">
        <f t="shared" si="457"/>
        <v>1</v>
      </c>
      <c r="H1777" s="162">
        <v>37347</v>
      </c>
      <c r="I1777" s="163">
        <v>605921</v>
      </c>
      <c r="J1777" s="11">
        <v>3.4</v>
      </c>
      <c r="K1777" s="11">
        <v>1.8</v>
      </c>
      <c r="L1777" s="11">
        <v>0.85</v>
      </c>
      <c r="O1777" s="11">
        <v>0</v>
      </c>
      <c r="Q1777" s="11">
        <v>7</v>
      </c>
      <c r="S1777" s="155" t="s">
        <v>341</v>
      </c>
      <c r="T1777" s="161">
        <f t="shared" ref="T1777:T1792" si="458">$I1777*K1777</f>
        <v>1090657.8</v>
      </c>
      <c r="U1777" s="161">
        <f t="shared" ref="U1777:U1792" si="459">$I1777*L1777</f>
        <v>515032.85</v>
      </c>
      <c r="V1777" s="161">
        <f t="shared" ref="V1777:V1793" si="460">$I1777*O1777</f>
        <v>0</v>
      </c>
      <c r="W1777" s="161">
        <f t="shared" ref="W1777:W1793" si="461">V1777*0.4</f>
        <v>0</v>
      </c>
    </row>
    <row r="1778" spans="1:244" ht="12.75" customHeight="1">
      <c r="A1778" s="118">
        <v>1777</v>
      </c>
      <c r="B1778" s="128">
        <v>20</v>
      </c>
      <c r="C1778" s="156">
        <v>37622</v>
      </c>
      <c r="D1778" s="157" t="s">
        <v>44</v>
      </c>
      <c r="E1778" s="8">
        <v>2003</v>
      </c>
      <c r="F1778" s="158">
        <f t="shared" si="456"/>
        <v>275</v>
      </c>
      <c r="G1778" s="158">
        <f t="shared" si="457"/>
        <v>1</v>
      </c>
      <c r="H1778" s="162">
        <v>37347</v>
      </c>
      <c r="I1778" s="163">
        <v>574017</v>
      </c>
      <c r="J1778" s="11">
        <v>4.5</v>
      </c>
      <c r="K1778" s="11">
        <v>1.6</v>
      </c>
      <c r="L1778" s="11">
        <v>0.6</v>
      </c>
      <c r="M1778" s="174">
        <v>0</v>
      </c>
      <c r="O1778" s="11">
        <v>0.2</v>
      </c>
      <c r="P1778" s="8">
        <v>1</v>
      </c>
      <c r="Q1778" s="11">
        <v>6.8</v>
      </c>
      <c r="T1778" s="161">
        <f t="shared" si="458"/>
        <v>918427.20000000007</v>
      </c>
      <c r="U1778" s="161">
        <f t="shared" si="459"/>
        <v>344410.2</v>
      </c>
      <c r="V1778" s="161">
        <f t="shared" si="460"/>
        <v>114803.40000000001</v>
      </c>
      <c r="W1778" s="161">
        <f t="shared" si="461"/>
        <v>45921.360000000008</v>
      </c>
    </row>
    <row r="1779" spans="1:244" ht="12.75" customHeight="1">
      <c r="A1779" s="118">
        <v>1778</v>
      </c>
      <c r="B1779" s="128">
        <v>20</v>
      </c>
      <c r="C1779" s="156">
        <v>37653</v>
      </c>
      <c r="D1779" s="157" t="s">
        <v>45</v>
      </c>
      <c r="E1779" s="8">
        <v>2003</v>
      </c>
      <c r="F1779" s="158">
        <f t="shared" si="456"/>
        <v>306</v>
      </c>
      <c r="G1779" s="158">
        <f t="shared" si="457"/>
        <v>1</v>
      </c>
      <c r="H1779" s="162">
        <v>37347</v>
      </c>
      <c r="I1779" s="163">
        <v>570726</v>
      </c>
      <c r="J1779" s="11">
        <v>0.1</v>
      </c>
      <c r="K1779" s="11">
        <v>0.1</v>
      </c>
      <c r="L1779" s="11">
        <v>0</v>
      </c>
      <c r="M1779" s="174">
        <v>0</v>
      </c>
      <c r="O1779" s="11">
        <v>0</v>
      </c>
      <c r="Q1779" s="11">
        <v>7.2</v>
      </c>
      <c r="T1779" s="161">
        <f t="shared" si="458"/>
        <v>57072.600000000006</v>
      </c>
      <c r="U1779" s="161">
        <f t="shared" si="459"/>
        <v>0</v>
      </c>
      <c r="V1779" s="161">
        <f t="shared" si="460"/>
        <v>0</v>
      </c>
      <c r="W1779" s="161">
        <f t="shared" si="461"/>
        <v>0</v>
      </c>
    </row>
    <row r="1780" spans="1:244" ht="12.75" customHeight="1">
      <c r="A1780" s="118">
        <v>1779</v>
      </c>
      <c r="B1780" s="128">
        <v>20</v>
      </c>
      <c r="C1780" s="156">
        <v>37681</v>
      </c>
      <c r="D1780" s="157" t="s">
        <v>46</v>
      </c>
      <c r="E1780" s="8">
        <v>2003</v>
      </c>
      <c r="F1780" s="158">
        <f t="shared" si="456"/>
        <v>334</v>
      </c>
      <c r="G1780" s="158">
        <f t="shared" si="457"/>
        <v>1</v>
      </c>
      <c r="H1780" s="162">
        <v>37347</v>
      </c>
      <c r="I1780" s="194">
        <v>577771</v>
      </c>
      <c r="J1780" s="15">
        <v>0.3</v>
      </c>
      <c r="K1780" s="15">
        <v>0</v>
      </c>
      <c r="L1780" s="15">
        <v>0</v>
      </c>
      <c r="M1780" s="174">
        <v>0</v>
      </c>
      <c r="O1780" s="15">
        <v>0</v>
      </c>
      <c r="Q1780" s="11">
        <v>7.4</v>
      </c>
      <c r="R1780" s="11">
        <v>30</v>
      </c>
      <c r="T1780" s="161">
        <f t="shared" si="458"/>
        <v>0</v>
      </c>
      <c r="U1780" s="161">
        <f t="shared" si="459"/>
        <v>0</v>
      </c>
      <c r="V1780" s="161">
        <f t="shared" si="460"/>
        <v>0</v>
      </c>
      <c r="W1780" s="161">
        <f t="shared" si="461"/>
        <v>0</v>
      </c>
    </row>
    <row r="1781" spans="1:244" ht="12.75" customHeight="1">
      <c r="A1781" s="118">
        <v>1780</v>
      </c>
      <c r="B1781" s="128">
        <v>20</v>
      </c>
      <c r="C1781" s="156">
        <v>37712</v>
      </c>
      <c r="D1781" s="157" t="s">
        <v>47</v>
      </c>
      <c r="E1781" s="8">
        <v>2003</v>
      </c>
      <c r="F1781" s="158">
        <f t="shared" si="456"/>
        <v>365</v>
      </c>
      <c r="G1781" s="158">
        <f t="shared" si="457"/>
        <v>2</v>
      </c>
      <c r="H1781" s="162">
        <v>37347</v>
      </c>
      <c r="I1781" s="194">
        <v>577271</v>
      </c>
      <c r="J1781" s="15">
        <v>0.2</v>
      </c>
      <c r="K1781" s="15">
        <v>0</v>
      </c>
      <c r="L1781" s="15">
        <v>0</v>
      </c>
      <c r="M1781" s="174">
        <v>0</v>
      </c>
      <c r="O1781" s="15">
        <v>0.05</v>
      </c>
      <c r="Q1781" s="11">
        <v>8.3000000000000007</v>
      </c>
      <c r="R1781" s="11">
        <v>30.5</v>
      </c>
      <c r="T1781" s="161">
        <f t="shared" si="458"/>
        <v>0</v>
      </c>
      <c r="U1781" s="161">
        <f t="shared" si="459"/>
        <v>0</v>
      </c>
      <c r="V1781" s="161">
        <f t="shared" si="460"/>
        <v>28863.550000000003</v>
      </c>
      <c r="W1781" s="161">
        <f t="shared" si="461"/>
        <v>11545.420000000002</v>
      </c>
    </row>
    <row r="1782" spans="1:244" ht="12.75" customHeight="1">
      <c r="A1782" s="118">
        <v>1781</v>
      </c>
      <c r="B1782" s="128">
        <v>20</v>
      </c>
      <c r="C1782" s="156">
        <v>37742</v>
      </c>
      <c r="D1782" s="157" t="s">
        <v>48</v>
      </c>
      <c r="E1782" s="8">
        <v>2003</v>
      </c>
      <c r="F1782" s="158">
        <f t="shared" si="456"/>
        <v>395</v>
      </c>
      <c r="G1782" s="158">
        <f t="shared" si="457"/>
        <v>2</v>
      </c>
      <c r="H1782" s="162">
        <v>37347</v>
      </c>
      <c r="I1782" s="194">
        <v>576797</v>
      </c>
      <c r="J1782" s="15">
        <v>0.77</v>
      </c>
      <c r="K1782" s="15">
        <v>0.13</v>
      </c>
      <c r="L1782" s="15">
        <v>0</v>
      </c>
      <c r="M1782" s="174">
        <v>0</v>
      </c>
      <c r="O1782" s="15">
        <v>1.47</v>
      </c>
      <c r="Q1782" s="11">
        <v>9.6</v>
      </c>
      <c r="R1782" s="11">
        <v>29.3</v>
      </c>
      <c r="T1782" s="161">
        <f t="shared" si="458"/>
        <v>74983.61</v>
      </c>
      <c r="U1782" s="161">
        <f t="shared" si="459"/>
        <v>0</v>
      </c>
      <c r="V1782" s="161">
        <f t="shared" si="460"/>
        <v>847891.59</v>
      </c>
      <c r="W1782" s="161">
        <f t="shared" si="461"/>
        <v>339156.636</v>
      </c>
    </row>
    <row r="1783" spans="1:244" ht="12.75" customHeight="1">
      <c r="A1783" s="118">
        <v>1782</v>
      </c>
      <c r="B1783" s="128">
        <v>20</v>
      </c>
      <c r="C1783" s="156">
        <v>37773</v>
      </c>
      <c r="D1783" s="157" t="s">
        <v>49</v>
      </c>
      <c r="E1783" s="8">
        <v>2003</v>
      </c>
      <c r="F1783" s="158">
        <f t="shared" si="456"/>
        <v>426</v>
      </c>
      <c r="G1783" s="158">
        <f t="shared" si="457"/>
        <v>2</v>
      </c>
      <c r="H1783" s="162">
        <v>37347</v>
      </c>
      <c r="I1783" s="194">
        <v>570480</v>
      </c>
      <c r="J1783" s="15">
        <v>1.1000000000000001</v>
      </c>
      <c r="K1783" s="15">
        <v>0.2</v>
      </c>
      <c r="L1783" s="15">
        <v>0.05</v>
      </c>
      <c r="M1783" s="174">
        <v>0</v>
      </c>
      <c r="O1783" s="15">
        <v>2.5</v>
      </c>
      <c r="Q1783" s="11">
        <v>10.9</v>
      </c>
      <c r="R1783" s="11">
        <v>29</v>
      </c>
      <c r="T1783" s="161">
        <f t="shared" si="458"/>
        <v>114096</v>
      </c>
      <c r="U1783" s="161">
        <f t="shared" si="459"/>
        <v>28524</v>
      </c>
      <c r="V1783" s="161">
        <f t="shared" si="460"/>
        <v>1426200</v>
      </c>
      <c r="W1783" s="161">
        <f t="shared" si="461"/>
        <v>570480</v>
      </c>
    </row>
    <row r="1784" spans="1:244" ht="12.75" customHeight="1">
      <c r="A1784" s="118">
        <v>1783</v>
      </c>
      <c r="B1784" s="128">
        <v>20</v>
      </c>
      <c r="C1784" s="156">
        <v>37803</v>
      </c>
      <c r="D1784" s="157" t="s">
        <v>50</v>
      </c>
      <c r="E1784" s="8">
        <v>2003</v>
      </c>
      <c r="F1784" s="158">
        <f t="shared" si="456"/>
        <v>456</v>
      </c>
      <c r="G1784" s="158">
        <f t="shared" si="457"/>
        <v>2</v>
      </c>
      <c r="H1784" s="162">
        <v>37347</v>
      </c>
      <c r="I1784" s="179">
        <f>(I1783+I1785)/2</f>
        <v>556691.5</v>
      </c>
      <c r="J1784" s="15">
        <v>0.1</v>
      </c>
      <c r="K1784" s="15">
        <v>0.2</v>
      </c>
      <c r="L1784" s="15">
        <v>0.1</v>
      </c>
      <c r="M1784" s="174">
        <v>0</v>
      </c>
      <c r="O1784" s="15">
        <v>1</v>
      </c>
      <c r="Q1784" s="11">
        <v>10.9</v>
      </c>
      <c r="R1784" s="11">
        <v>31</v>
      </c>
      <c r="T1784" s="161">
        <f t="shared" si="458"/>
        <v>111338.3</v>
      </c>
      <c r="U1784" s="161">
        <f t="shared" si="459"/>
        <v>55669.15</v>
      </c>
      <c r="V1784" s="161">
        <f t="shared" si="460"/>
        <v>556691.5</v>
      </c>
      <c r="W1784" s="161">
        <f t="shared" si="461"/>
        <v>222676.6</v>
      </c>
    </row>
    <row r="1785" spans="1:244" ht="12.75" customHeight="1">
      <c r="A1785" s="118">
        <v>1784</v>
      </c>
      <c r="B1785" s="128">
        <v>20</v>
      </c>
      <c r="C1785" s="156">
        <v>37834</v>
      </c>
      <c r="D1785" s="157" t="s">
        <v>51</v>
      </c>
      <c r="E1785" s="8">
        <v>2003</v>
      </c>
      <c r="F1785" s="158">
        <f t="shared" si="456"/>
        <v>487</v>
      </c>
      <c r="G1785" s="158">
        <f t="shared" si="457"/>
        <v>2</v>
      </c>
      <c r="H1785" s="162">
        <v>37347</v>
      </c>
      <c r="I1785" s="194">
        <v>542903</v>
      </c>
      <c r="J1785" s="15">
        <v>0.3</v>
      </c>
      <c r="K1785" s="15">
        <v>0.9</v>
      </c>
      <c r="L1785" s="15">
        <v>0.5</v>
      </c>
      <c r="M1785" s="174">
        <v>0</v>
      </c>
      <c r="O1785" s="15">
        <v>0.3</v>
      </c>
      <c r="Q1785" s="11">
        <v>13.2</v>
      </c>
      <c r="R1785" s="11">
        <v>29</v>
      </c>
      <c r="S1785" s="155" t="s">
        <v>7</v>
      </c>
      <c r="T1785" s="161">
        <f t="shared" si="458"/>
        <v>488612.7</v>
      </c>
      <c r="U1785" s="161">
        <f t="shared" si="459"/>
        <v>271451.5</v>
      </c>
      <c r="V1785" s="161">
        <f t="shared" si="460"/>
        <v>162870.9</v>
      </c>
      <c r="W1785" s="161">
        <f t="shared" si="461"/>
        <v>65148.36</v>
      </c>
    </row>
    <row r="1786" spans="1:244" ht="12.75" customHeight="1">
      <c r="A1786" s="118">
        <v>1785</v>
      </c>
      <c r="B1786" s="128">
        <v>20</v>
      </c>
      <c r="C1786" s="156">
        <v>37865</v>
      </c>
      <c r="D1786" s="157" t="s">
        <v>52</v>
      </c>
      <c r="E1786" s="8">
        <v>2003</v>
      </c>
      <c r="F1786" s="158">
        <f t="shared" si="456"/>
        <v>518</v>
      </c>
      <c r="G1786" s="158">
        <f t="shared" si="457"/>
        <v>2</v>
      </c>
      <c r="H1786" s="162">
        <v>37347</v>
      </c>
      <c r="I1786" s="179">
        <f>(I1785+I1787)/2</f>
        <v>501067.5</v>
      </c>
      <c r="J1786" s="15">
        <v>0</v>
      </c>
      <c r="K1786" s="15">
        <v>2.4</v>
      </c>
      <c r="L1786" s="15">
        <v>1.2</v>
      </c>
      <c r="M1786" s="174">
        <v>0</v>
      </c>
      <c r="O1786" s="15">
        <v>0</v>
      </c>
      <c r="Q1786" s="11">
        <v>11.5</v>
      </c>
      <c r="R1786" s="11">
        <v>25</v>
      </c>
      <c r="T1786" s="161">
        <f t="shared" si="458"/>
        <v>1202562</v>
      </c>
      <c r="U1786" s="161">
        <f t="shared" si="459"/>
        <v>601281</v>
      </c>
      <c r="V1786" s="161">
        <f t="shared" si="460"/>
        <v>0</v>
      </c>
      <c r="W1786" s="161">
        <f t="shared" si="461"/>
        <v>0</v>
      </c>
    </row>
    <row r="1787" spans="1:244" ht="12.75" customHeight="1">
      <c r="A1787" s="118">
        <v>1786</v>
      </c>
      <c r="B1787" s="128">
        <v>20</v>
      </c>
      <c r="C1787" s="156">
        <v>37895</v>
      </c>
      <c r="D1787" s="157" t="s">
        <v>53</v>
      </c>
      <c r="E1787" s="8">
        <v>2003</v>
      </c>
      <c r="F1787" s="158">
        <f t="shared" si="456"/>
        <v>548</v>
      </c>
      <c r="G1787" s="158">
        <f t="shared" si="457"/>
        <v>2</v>
      </c>
      <c r="H1787" s="162">
        <v>37347</v>
      </c>
      <c r="I1787" s="194">
        <v>459232</v>
      </c>
      <c r="J1787" s="15">
        <v>0.45</v>
      </c>
      <c r="K1787" s="15">
        <v>5.15</v>
      </c>
      <c r="L1787" s="15">
        <v>2.4500000000000002</v>
      </c>
      <c r="M1787" s="174">
        <v>0</v>
      </c>
      <c r="O1787" s="15">
        <v>0.5</v>
      </c>
      <c r="Q1787" s="11">
        <v>6.7</v>
      </c>
      <c r="S1787" s="155" t="s">
        <v>7</v>
      </c>
      <c r="T1787" s="161">
        <f t="shared" si="458"/>
        <v>2365044.8000000003</v>
      </c>
      <c r="U1787" s="161">
        <f t="shared" si="459"/>
        <v>1125118.4000000001</v>
      </c>
      <c r="V1787" s="161">
        <f t="shared" si="460"/>
        <v>229616</v>
      </c>
      <c r="W1787" s="161">
        <f t="shared" si="461"/>
        <v>91846.400000000009</v>
      </c>
    </row>
    <row r="1788" spans="1:244" s="128" customFormat="1" ht="12.75" customHeight="1">
      <c r="A1788" s="118">
        <v>1787</v>
      </c>
      <c r="B1788" s="128">
        <v>20</v>
      </c>
      <c r="C1788" s="156">
        <v>37926</v>
      </c>
      <c r="D1788" s="157" t="s">
        <v>54</v>
      </c>
      <c r="E1788" s="8">
        <v>2003</v>
      </c>
      <c r="F1788" s="158">
        <f t="shared" si="456"/>
        <v>579</v>
      </c>
      <c r="G1788" s="158">
        <f t="shared" si="457"/>
        <v>2</v>
      </c>
      <c r="H1788" s="162">
        <v>37347</v>
      </c>
      <c r="I1788" s="194">
        <v>373873</v>
      </c>
      <c r="J1788" s="15">
        <v>0.3</v>
      </c>
      <c r="K1788" s="15">
        <v>5.07</v>
      </c>
      <c r="L1788" s="15">
        <v>3</v>
      </c>
      <c r="M1788" s="174">
        <v>0</v>
      </c>
      <c r="N1788" s="528"/>
      <c r="O1788" s="15">
        <v>0.33</v>
      </c>
      <c r="P1788" s="8"/>
      <c r="Q1788" s="11">
        <v>9.1999999999999993</v>
      </c>
      <c r="R1788" s="11">
        <v>33</v>
      </c>
      <c r="S1788" s="155" t="s">
        <v>7</v>
      </c>
      <c r="T1788" s="161">
        <f t="shared" si="458"/>
        <v>1895536.11</v>
      </c>
      <c r="U1788" s="161">
        <f t="shared" si="459"/>
        <v>1121619</v>
      </c>
      <c r="V1788" s="161">
        <f t="shared" si="460"/>
        <v>123378.09000000001</v>
      </c>
      <c r="W1788" s="161">
        <f t="shared" si="461"/>
        <v>49351.236000000004</v>
      </c>
      <c r="X1788" s="118"/>
      <c r="Y1788" s="118"/>
      <c r="Z1788" s="118"/>
      <c r="AA1788" s="118"/>
      <c r="AB1788" s="118"/>
      <c r="AC1788" s="118"/>
      <c r="AD1788" s="118"/>
      <c r="AE1788" s="118"/>
      <c r="AF1788" s="118"/>
      <c r="AG1788" s="118"/>
      <c r="AH1788" s="118"/>
      <c r="AI1788" s="118"/>
      <c r="AJ1788" s="118"/>
      <c r="AK1788" s="118"/>
      <c r="AL1788" s="118"/>
      <c r="AM1788" s="118"/>
      <c r="AN1788" s="118"/>
      <c r="AO1788" s="118"/>
      <c r="AP1788" s="118"/>
      <c r="AQ1788" s="118"/>
      <c r="AR1788" s="118"/>
      <c r="AS1788" s="118"/>
      <c r="AT1788" s="118"/>
      <c r="AU1788" s="118"/>
      <c r="AV1788" s="118"/>
      <c r="AW1788" s="118"/>
      <c r="AX1788" s="118"/>
      <c r="AY1788" s="118"/>
      <c r="AZ1788" s="118"/>
      <c r="BA1788" s="118"/>
      <c r="BB1788" s="118"/>
      <c r="BC1788" s="118"/>
      <c r="BD1788" s="118"/>
      <c r="BE1788" s="118"/>
      <c r="BF1788" s="118"/>
      <c r="BG1788" s="118"/>
      <c r="BH1788" s="118"/>
      <c r="BI1788" s="118"/>
      <c r="BJ1788" s="118"/>
      <c r="BK1788" s="118"/>
      <c r="BL1788" s="118"/>
      <c r="BM1788" s="118"/>
      <c r="BN1788" s="118"/>
      <c r="BO1788" s="118"/>
      <c r="BP1788" s="118"/>
      <c r="BQ1788" s="118"/>
      <c r="BR1788" s="118"/>
      <c r="BS1788" s="118"/>
      <c r="BT1788" s="118"/>
      <c r="BU1788" s="118"/>
      <c r="BV1788" s="118"/>
      <c r="BW1788" s="118"/>
      <c r="BX1788" s="118"/>
      <c r="BY1788" s="118"/>
      <c r="BZ1788" s="118"/>
      <c r="CA1788" s="118"/>
      <c r="CB1788" s="118"/>
      <c r="CC1788" s="118"/>
      <c r="CD1788" s="118"/>
      <c r="CE1788" s="118"/>
      <c r="CF1788" s="118"/>
      <c r="CG1788" s="118"/>
      <c r="CH1788" s="118"/>
      <c r="CI1788" s="118"/>
      <c r="CJ1788" s="118"/>
      <c r="CK1788" s="118"/>
      <c r="CL1788" s="118"/>
      <c r="CM1788" s="118"/>
      <c r="CN1788" s="118"/>
      <c r="CO1788" s="118"/>
      <c r="CP1788" s="118"/>
      <c r="CQ1788" s="118"/>
      <c r="CR1788" s="118"/>
      <c r="CS1788" s="118"/>
      <c r="CT1788" s="118"/>
      <c r="CU1788" s="118"/>
      <c r="CV1788" s="118"/>
      <c r="CW1788" s="118"/>
      <c r="CX1788" s="118"/>
      <c r="CY1788" s="118"/>
      <c r="CZ1788" s="118"/>
      <c r="DA1788" s="118"/>
      <c r="DB1788" s="118"/>
      <c r="DC1788" s="118"/>
      <c r="DD1788" s="118"/>
      <c r="DE1788" s="118"/>
      <c r="DF1788" s="118"/>
      <c r="DG1788" s="118"/>
      <c r="DH1788" s="118"/>
      <c r="DI1788" s="118"/>
      <c r="DJ1788" s="118"/>
      <c r="DK1788" s="118"/>
      <c r="DL1788" s="118"/>
      <c r="DM1788" s="118"/>
      <c r="DN1788" s="118"/>
      <c r="DO1788" s="118"/>
      <c r="DP1788" s="118"/>
      <c r="DQ1788" s="118"/>
      <c r="DR1788" s="118"/>
      <c r="DS1788" s="118"/>
      <c r="DT1788" s="118"/>
      <c r="DU1788" s="118"/>
      <c r="DV1788" s="118"/>
      <c r="DW1788" s="118"/>
      <c r="DX1788" s="118"/>
      <c r="DY1788" s="118"/>
      <c r="DZ1788" s="118"/>
      <c r="EA1788" s="118"/>
      <c r="EB1788" s="118"/>
      <c r="EC1788" s="118"/>
      <c r="ED1788" s="118"/>
      <c r="EE1788" s="118"/>
      <c r="EF1788" s="118"/>
      <c r="EG1788" s="118"/>
      <c r="EH1788" s="118"/>
      <c r="EI1788" s="118"/>
      <c r="EJ1788" s="118"/>
      <c r="EK1788" s="118"/>
      <c r="EL1788" s="118"/>
      <c r="EM1788" s="118"/>
      <c r="EN1788" s="118"/>
      <c r="EO1788" s="118"/>
      <c r="EP1788" s="118"/>
      <c r="EQ1788" s="118"/>
      <c r="ER1788" s="118"/>
      <c r="ES1788" s="118"/>
      <c r="ET1788" s="118"/>
      <c r="EU1788" s="118"/>
      <c r="EV1788" s="118"/>
      <c r="EW1788" s="118"/>
      <c r="EX1788" s="118"/>
      <c r="EY1788" s="118"/>
      <c r="EZ1788" s="118"/>
      <c r="FA1788" s="118"/>
      <c r="FB1788" s="118"/>
      <c r="FC1788" s="118"/>
      <c r="FD1788" s="118"/>
      <c r="FE1788" s="118"/>
      <c r="FF1788" s="118"/>
      <c r="FG1788" s="118"/>
      <c r="FH1788" s="118"/>
      <c r="FI1788" s="118"/>
      <c r="FJ1788" s="118"/>
      <c r="FK1788" s="118"/>
      <c r="FL1788" s="118"/>
      <c r="FM1788" s="118"/>
      <c r="FN1788" s="118"/>
      <c r="FO1788" s="118"/>
      <c r="FP1788" s="118"/>
      <c r="FQ1788" s="118"/>
      <c r="FR1788" s="118"/>
      <c r="FS1788" s="118"/>
      <c r="FT1788" s="118"/>
      <c r="FU1788" s="118"/>
      <c r="FV1788" s="118"/>
      <c r="FW1788" s="118"/>
      <c r="FX1788" s="118"/>
      <c r="FY1788" s="118"/>
      <c r="FZ1788" s="118"/>
      <c r="GA1788" s="118"/>
      <c r="GB1788" s="118"/>
      <c r="GC1788" s="118"/>
      <c r="GD1788" s="118"/>
      <c r="GE1788" s="118"/>
      <c r="GF1788" s="118"/>
      <c r="GG1788" s="118"/>
      <c r="GH1788" s="118"/>
      <c r="GI1788" s="118"/>
      <c r="GJ1788" s="118"/>
      <c r="GK1788" s="118"/>
      <c r="GL1788" s="118"/>
      <c r="GM1788" s="118"/>
      <c r="GN1788" s="118"/>
      <c r="GO1788" s="118"/>
      <c r="GP1788" s="118"/>
      <c r="GQ1788" s="118"/>
      <c r="GR1788" s="118"/>
      <c r="GS1788" s="118"/>
      <c r="GT1788" s="118"/>
      <c r="GU1788" s="118"/>
      <c r="GV1788" s="118"/>
      <c r="GW1788" s="118"/>
      <c r="GX1788" s="118"/>
      <c r="GY1788" s="118"/>
      <c r="GZ1788" s="118"/>
      <c r="HA1788" s="118"/>
      <c r="HB1788" s="118"/>
      <c r="HC1788" s="118"/>
      <c r="HD1788" s="118"/>
      <c r="HE1788" s="118"/>
      <c r="HF1788" s="118"/>
      <c r="HG1788" s="118"/>
      <c r="HH1788" s="118"/>
      <c r="HI1788" s="118"/>
      <c r="HJ1788" s="118"/>
      <c r="HK1788" s="118"/>
      <c r="HL1788" s="118"/>
      <c r="HM1788" s="118"/>
      <c r="HN1788" s="118"/>
      <c r="HO1788" s="118"/>
      <c r="HP1788" s="118"/>
      <c r="HQ1788" s="118"/>
      <c r="HR1788" s="118"/>
      <c r="HS1788" s="118"/>
      <c r="HT1788" s="118"/>
      <c r="HU1788" s="118"/>
      <c r="HV1788" s="118"/>
      <c r="HW1788" s="118"/>
      <c r="HX1788" s="118"/>
      <c r="HY1788" s="118"/>
      <c r="HZ1788" s="118"/>
      <c r="IA1788" s="118"/>
      <c r="IB1788" s="118"/>
      <c r="IC1788" s="118"/>
      <c r="ID1788" s="118"/>
      <c r="IE1788" s="118"/>
      <c r="IF1788" s="118"/>
      <c r="IG1788" s="118"/>
      <c r="IH1788" s="118"/>
      <c r="II1788" s="118"/>
      <c r="IJ1788" s="118"/>
    </row>
    <row r="1789" spans="1:244" ht="12.75" customHeight="1">
      <c r="A1789" s="118">
        <v>1788</v>
      </c>
      <c r="B1789" s="128">
        <v>20</v>
      </c>
      <c r="C1789" s="156">
        <v>37956</v>
      </c>
      <c r="D1789" s="157" t="s">
        <v>55</v>
      </c>
      <c r="E1789" s="8">
        <v>2003</v>
      </c>
      <c r="F1789" s="158">
        <f t="shared" si="456"/>
        <v>609</v>
      </c>
      <c r="G1789" s="158">
        <f t="shared" si="457"/>
        <v>2</v>
      </c>
      <c r="H1789" s="162">
        <v>37347</v>
      </c>
      <c r="I1789" s="194">
        <v>355903</v>
      </c>
      <c r="J1789" s="15">
        <v>2.0299999999999998</v>
      </c>
      <c r="K1789" s="15">
        <v>7.93</v>
      </c>
      <c r="L1789" s="15">
        <v>3.53</v>
      </c>
      <c r="M1789" s="174">
        <v>0</v>
      </c>
      <c r="O1789" s="15">
        <v>3.1</v>
      </c>
      <c r="Q1789" s="11">
        <v>7.7</v>
      </c>
      <c r="R1789" s="11">
        <v>26</v>
      </c>
      <c r="S1789" s="155" t="s">
        <v>7</v>
      </c>
      <c r="T1789" s="161">
        <f t="shared" si="458"/>
        <v>2822310.79</v>
      </c>
      <c r="U1789" s="161">
        <f t="shared" si="459"/>
        <v>1256337.5899999999</v>
      </c>
      <c r="V1789" s="161">
        <f t="shared" si="460"/>
        <v>1103299.3</v>
      </c>
      <c r="W1789" s="161">
        <f t="shared" si="461"/>
        <v>441319.72000000003</v>
      </c>
    </row>
    <row r="1790" spans="1:244" ht="12.75" customHeight="1">
      <c r="A1790" s="118">
        <v>1789</v>
      </c>
      <c r="B1790" s="128">
        <v>20</v>
      </c>
      <c r="C1790" s="156">
        <v>37987</v>
      </c>
      <c r="D1790" s="157" t="s">
        <v>44</v>
      </c>
      <c r="E1790" s="8">
        <v>2004</v>
      </c>
      <c r="F1790" s="158">
        <f t="shared" si="456"/>
        <v>640</v>
      </c>
      <c r="G1790" s="158">
        <f t="shared" si="457"/>
        <v>2</v>
      </c>
      <c r="H1790" s="162">
        <v>37347</v>
      </c>
      <c r="I1790" s="194">
        <v>231784</v>
      </c>
      <c r="J1790" s="15">
        <v>2.7</v>
      </c>
      <c r="K1790" s="15">
        <v>10.1</v>
      </c>
      <c r="L1790" s="15">
        <v>4.95</v>
      </c>
      <c r="O1790" s="15">
        <v>2.15</v>
      </c>
      <c r="P1790" s="8">
        <v>1</v>
      </c>
      <c r="Q1790" s="11">
        <v>6.1</v>
      </c>
      <c r="R1790" s="11">
        <v>30</v>
      </c>
      <c r="S1790" s="155" t="s">
        <v>7</v>
      </c>
      <c r="T1790" s="161">
        <f t="shared" si="458"/>
        <v>2341018.4</v>
      </c>
      <c r="U1790" s="161">
        <f t="shared" si="459"/>
        <v>1147330.8</v>
      </c>
      <c r="V1790" s="161">
        <f t="shared" si="460"/>
        <v>498335.6</v>
      </c>
      <c r="W1790" s="161">
        <f t="shared" si="461"/>
        <v>199334.24</v>
      </c>
    </row>
    <row r="1791" spans="1:244" ht="12.75" customHeight="1">
      <c r="A1791" s="118">
        <v>1790</v>
      </c>
      <c r="B1791" s="128">
        <v>20</v>
      </c>
      <c r="C1791" s="156">
        <v>38018</v>
      </c>
      <c r="D1791" s="157" t="s">
        <v>45</v>
      </c>
      <c r="E1791" s="8">
        <v>2004</v>
      </c>
      <c r="F1791" s="158">
        <f t="shared" si="456"/>
        <v>671</v>
      </c>
      <c r="G1791" s="158">
        <f t="shared" si="457"/>
        <v>2</v>
      </c>
      <c r="H1791" s="162">
        <v>37347</v>
      </c>
      <c r="I1791" s="194">
        <v>230656</v>
      </c>
      <c r="J1791" s="173"/>
      <c r="K1791" s="165">
        <f>(K1790+K1792)/2</f>
        <v>5.3</v>
      </c>
      <c r="L1791" s="165">
        <f>(L1790+L1792)/2</f>
        <v>2.7250000000000001</v>
      </c>
      <c r="N1791" s="528">
        <v>1</v>
      </c>
      <c r="O1791" s="165">
        <f>(O1790+O1792)/2</f>
        <v>1.075</v>
      </c>
      <c r="P1791" s="258"/>
      <c r="Q1791" s="215">
        <f>(Q1790+Q1792)/2</f>
        <v>6.55</v>
      </c>
      <c r="R1791" s="216">
        <f>(R1790+R1792)/2</f>
        <v>29.5</v>
      </c>
      <c r="S1791" s="155" t="s">
        <v>7</v>
      </c>
      <c r="T1791" s="161">
        <f t="shared" si="458"/>
        <v>1222476.8</v>
      </c>
      <c r="U1791" s="161">
        <f t="shared" si="459"/>
        <v>628537.59999999998</v>
      </c>
      <c r="V1791" s="161">
        <f t="shared" si="460"/>
        <v>247955.19999999998</v>
      </c>
      <c r="W1791" s="161">
        <f t="shared" si="461"/>
        <v>99182.080000000002</v>
      </c>
    </row>
    <row r="1792" spans="1:244">
      <c r="A1792" s="118">
        <v>1791</v>
      </c>
      <c r="B1792" s="128">
        <v>20</v>
      </c>
      <c r="C1792" s="156">
        <v>38047</v>
      </c>
      <c r="D1792" s="157" t="s">
        <v>46</v>
      </c>
      <c r="E1792" s="8">
        <v>2004</v>
      </c>
      <c r="F1792" s="158">
        <f t="shared" si="456"/>
        <v>700</v>
      </c>
      <c r="G1792" s="158">
        <f t="shared" si="457"/>
        <v>2</v>
      </c>
      <c r="H1792" s="162">
        <v>37347</v>
      </c>
      <c r="I1792" s="194">
        <v>220510</v>
      </c>
      <c r="J1792" s="15">
        <v>0</v>
      </c>
      <c r="K1792" s="15">
        <v>0.5</v>
      </c>
      <c r="L1792" s="15">
        <v>0.5</v>
      </c>
      <c r="O1792" s="15">
        <v>0</v>
      </c>
      <c r="Q1792" s="11">
        <v>7</v>
      </c>
      <c r="R1792" s="11">
        <v>29</v>
      </c>
      <c r="S1792" s="155" t="s">
        <v>7</v>
      </c>
      <c r="T1792" s="161">
        <f t="shared" si="458"/>
        <v>110255</v>
      </c>
      <c r="U1792" s="161">
        <f t="shared" si="459"/>
        <v>110255</v>
      </c>
      <c r="V1792" s="161">
        <f t="shared" si="460"/>
        <v>0</v>
      </c>
      <c r="W1792" s="161">
        <f t="shared" si="461"/>
        <v>0</v>
      </c>
    </row>
    <row r="1793" spans="1:23" ht="12.75" customHeight="1">
      <c r="A1793" s="118">
        <v>1792</v>
      </c>
      <c r="B1793" s="128">
        <v>20</v>
      </c>
      <c r="C1793" s="156">
        <v>38078</v>
      </c>
      <c r="D1793" s="157" t="s">
        <v>47</v>
      </c>
      <c r="E1793" s="8">
        <v>2004</v>
      </c>
      <c r="F1793" s="158">
        <f t="shared" si="456"/>
        <v>731</v>
      </c>
      <c r="G1793" s="158">
        <v>3</v>
      </c>
      <c r="H1793" s="162">
        <v>37347</v>
      </c>
      <c r="I1793" s="194">
        <v>35116</v>
      </c>
      <c r="L1793" s="165">
        <v>0.2</v>
      </c>
      <c r="N1793" s="528" t="s">
        <v>795</v>
      </c>
      <c r="O1793" s="165">
        <v>0</v>
      </c>
      <c r="S1793" s="155" t="s">
        <v>7</v>
      </c>
      <c r="U1793" s="161">
        <f>$I1793*L1793</f>
        <v>7023.2000000000007</v>
      </c>
      <c r="V1793" s="161">
        <f t="shared" si="460"/>
        <v>0</v>
      </c>
      <c r="W1793" s="161">
        <f t="shared" si="461"/>
        <v>0</v>
      </c>
    </row>
    <row r="1794" spans="1:23">
      <c r="A1794" s="118">
        <v>1793</v>
      </c>
      <c r="B1794" s="128">
        <v>20</v>
      </c>
      <c r="C1794" s="156">
        <v>38108</v>
      </c>
      <c r="D1794" s="157" t="s">
        <v>48</v>
      </c>
      <c r="E1794" s="8">
        <v>2004</v>
      </c>
      <c r="F1794" s="158"/>
      <c r="H1794" s="162"/>
      <c r="I1794" s="194"/>
    </row>
    <row r="1795" spans="1:23">
      <c r="A1795" s="118">
        <v>1794</v>
      </c>
      <c r="B1795" s="128">
        <v>20</v>
      </c>
      <c r="C1795" s="156">
        <v>38139</v>
      </c>
      <c r="D1795" s="157" t="s">
        <v>49</v>
      </c>
      <c r="E1795" s="8">
        <v>2004</v>
      </c>
      <c r="F1795" s="158"/>
      <c r="H1795" s="162"/>
      <c r="I1795" s="194"/>
    </row>
    <row r="1796" spans="1:23">
      <c r="A1796" s="118">
        <v>1795</v>
      </c>
      <c r="B1796" s="128">
        <v>20</v>
      </c>
      <c r="C1796" s="156">
        <v>38169</v>
      </c>
      <c r="D1796" s="157" t="s">
        <v>50</v>
      </c>
      <c r="E1796" s="8">
        <v>2004</v>
      </c>
      <c r="F1796" s="158"/>
      <c r="H1796" s="162"/>
      <c r="I1796" s="194"/>
    </row>
    <row r="1797" spans="1:23">
      <c r="A1797" s="118">
        <v>1796</v>
      </c>
      <c r="B1797" s="128">
        <v>20</v>
      </c>
      <c r="C1797" s="156">
        <v>38200</v>
      </c>
      <c r="D1797" s="157" t="s">
        <v>51</v>
      </c>
      <c r="E1797" s="8">
        <v>2004</v>
      </c>
      <c r="F1797" s="158"/>
      <c r="H1797" s="162"/>
      <c r="I1797" s="194"/>
    </row>
    <row r="1798" spans="1:23">
      <c r="A1798" s="118">
        <v>1797</v>
      </c>
      <c r="B1798" s="128">
        <v>20</v>
      </c>
      <c r="C1798" s="156">
        <v>38231</v>
      </c>
      <c r="D1798" s="157" t="s">
        <v>52</v>
      </c>
      <c r="E1798" s="8">
        <v>2004</v>
      </c>
      <c r="F1798" s="158"/>
      <c r="H1798" s="162"/>
      <c r="I1798" s="194"/>
    </row>
    <row r="1799" spans="1:23">
      <c r="A1799" s="118">
        <v>1798</v>
      </c>
      <c r="B1799" s="128">
        <v>20</v>
      </c>
      <c r="C1799" s="156">
        <v>38261</v>
      </c>
      <c r="D1799" s="157" t="s">
        <v>53</v>
      </c>
      <c r="E1799" s="8">
        <v>2004</v>
      </c>
      <c r="F1799" s="158">
        <f t="shared" ref="F1799:F1816" si="462">C1799-H1799</f>
        <v>243</v>
      </c>
      <c r="G1799" s="158">
        <f t="shared" ref="G1799:G1814" si="463">IF(F1799&lt;365,1,2)</f>
        <v>1</v>
      </c>
      <c r="H1799" s="172">
        <v>38018</v>
      </c>
      <c r="I1799" s="194">
        <v>82348</v>
      </c>
      <c r="L1799" s="165">
        <v>0.7</v>
      </c>
      <c r="N1799" s="528" t="s">
        <v>446</v>
      </c>
      <c r="O1799" s="165">
        <v>0.2</v>
      </c>
      <c r="S1799" s="155" t="s">
        <v>343</v>
      </c>
      <c r="U1799" s="161">
        <f t="shared" ref="U1799:U1816" si="464">$I1799*L1799</f>
        <v>57643.6</v>
      </c>
      <c r="V1799" s="161">
        <f t="shared" ref="V1799:V1816" si="465">$I1799*O1799</f>
        <v>16469.600000000002</v>
      </c>
      <c r="W1799" s="161">
        <f t="shared" ref="W1799:W1816" si="466">V1799*0.4</f>
        <v>6587.8400000000011</v>
      </c>
    </row>
    <row r="1800" spans="1:23">
      <c r="A1800" s="118">
        <v>1799</v>
      </c>
      <c r="B1800" s="128">
        <v>20</v>
      </c>
      <c r="C1800" s="156">
        <v>38292</v>
      </c>
      <c r="D1800" s="157" t="s">
        <v>54</v>
      </c>
      <c r="E1800" s="8">
        <v>2004</v>
      </c>
      <c r="F1800" s="158">
        <f t="shared" si="462"/>
        <v>274</v>
      </c>
      <c r="G1800" s="158">
        <f t="shared" si="463"/>
        <v>1</v>
      </c>
      <c r="H1800" s="172">
        <v>38018</v>
      </c>
      <c r="I1800" s="194">
        <v>386567</v>
      </c>
      <c r="J1800" s="15">
        <v>5.2</v>
      </c>
      <c r="K1800" s="15">
        <v>0.47</v>
      </c>
      <c r="L1800" s="15">
        <v>1.47</v>
      </c>
      <c r="O1800" s="15">
        <v>0.03</v>
      </c>
      <c r="Q1800" s="11">
        <v>8.3000000000000007</v>
      </c>
      <c r="R1800" s="11">
        <v>27</v>
      </c>
      <c r="T1800" s="161">
        <f t="shared" ref="T1800:T1816" si="467">$I1800*K1800</f>
        <v>181686.49</v>
      </c>
      <c r="U1800" s="161">
        <f t="shared" si="464"/>
        <v>568253.49</v>
      </c>
      <c r="V1800" s="161">
        <f t="shared" si="465"/>
        <v>11597.01</v>
      </c>
      <c r="W1800" s="161">
        <f t="shared" si="466"/>
        <v>4638.8040000000001</v>
      </c>
    </row>
    <row r="1801" spans="1:23">
      <c r="A1801" s="118">
        <v>1800</v>
      </c>
      <c r="B1801" s="128">
        <v>20</v>
      </c>
      <c r="C1801" s="156">
        <v>38322</v>
      </c>
      <c r="D1801" s="157" t="s">
        <v>55</v>
      </c>
      <c r="E1801" s="8">
        <v>2004</v>
      </c>
      <c r="F1801" s="158">
        <f t="shared" si="462"/>
        <v>304</v>
      </c>
      <c r="G1801" s="158">
        <f t="shared" si="463"/>
        <v>1</v>
      </c>
      <c r="H1801" s="172">
        <v>38018</v>
      </c>
      <c r="I1801" s="194">
        <v>420494</v>
      </c>
      <c r="J1801" s="15">
        <v>7.22</v>
      </c>
      <c r="K1801" s="15">
        <v>2.4500000000000002</v>
      </c>
      <c r="L1801" s="15">
        <v>0.87</v>
      </c>
      <c r="M1801" s="174">
        <v>1</v>
      </c>
      <c r="O1801" s="15">
        <v>0</v>
      </c>
      <c r="Q1801" s="11">
        <v>7</v>
      </c>
      <c r="R1801" s="11">
        <v>30</v>
      </c>
      <c r="T1801" s="161">
        <f t="shared" si="467"/>
        <v>1030210.3</v>
      </c>
      <c r="U1801" s="161">
        <f t="shared" si="464"/>
        <v>365829.77999999997</v>
      </c>
      <c r="V1801" s="161">
        <f t="shared" si="465"/>
        <v>0</v>
      </c>
      <c r="W1801" s="161">
        <f t="shared" si="466"/>
        <v>0</v>
      </c>
    </row>
    <row r="1802" spans="1:23">
      <c r="A1802" s="118">
        <v>1801</v>
      </c>
      <c r="B1802" s="128">
        <v>20</v>
      </c>
      <c r="C1802" s="156">
        <v>38353</v>
      </c>
      <c r="D1802" s="157" t="s">
        <v>44</v>
      </c>
      <c r="E1802" s="8">
        <v>2005</v>
      </c>
      <c r="F1802" s="158">
        <f t="shared" si="462"/>
        <v>335</v>
      </c>
      <c r="G1802" s="158">
        <f t="shared" si="463"/>
        <v>1</v>
      </c>
      <c r="H1802" s="172">
        <v>38018</v>
      </c>
      <c r="I1802" s="194">
        <v>521327</v>
      </c>
      <c r="J1802" s="15">
        <v>7.69</v>
      </c>
      <c r="K1802" s="15">
        <v>4.2699999999999996</v>
      </c>
      <c r="L1802" s="15">
        <v>1.43</v>
      </c>
      <c r="M1802" s="174">
        <v>0</v>
      </c>
      <c r="O1802" s="15">
        <v>1.97</v>
      </c>
      <c r="Q1802" s="11">
        <v>7</v>
      </c>
      <c r="R1802" s="11">
        <v>30</v>
      </c>
      <c r="T1802" s="161">
        <f t="shared" si="467"/>
        <v>2226066.2899999996</v>
      </c>
      <c r="U1802" s="161">
        <f t="shared" si="464"/>
        <v>745497.61</v>
      </c>
      <c r="V1802" s="161">
        <f t="shared" si="465"/>
        <v>1027014.19</v>
      </c>
      <c r="W1802" s="161">
        <f t="shared" si="466"/>
        <v>410805.67599999998</v>
      </c>
    </row>
    <row r="1803" spans="1:23">
      <c r="A1803" s="118">
        <v>1802</v>
      </c>
      <c r="B1803" s="128">
        <v>20</v>
      </c>
      <c r="C1803" s="156">
        <v>38384</v>
      </c>
      <c r="D1803" s="157" t="s">
        <v>45</v>
      </c>
      <c r="E1803" s="8">
        <v>2005</v>
      </c>
      <c r="F1803" s="158">
        <f t="shared" si="462"/>
        <v>366</v>
      </c>
      <c r="G1803" s="158">
        <f t="shared" si="463"/>
        <v>2</v>
      </c>
      <c r="H1803" s="172">
        <v>38018</v>
      </c>
      <c r="I1803" s="179">
        <v>520163.5</v>
      </c>
      <c r="J1803" s="15">
        <v>4.05</v>
      </c>
      <c r="K1803" s="15">
        <v>5.57</v>
      </c>
      <c r="L1803" s="15">
        <v>1.9</v>
      </c>
      <c r="O1803" s="15">
        <v>2.15</v>
      </c>
      <c r="P1803" s="8">
        <v>1</v>
      </c>
      <c r="Q1803" s="11">
        <v>9</v>
      </c>
      <c r="R1803" s="11">
        <v>29</v>
      </c>
      <c r="T1803" s="161">
        <f t="shared" si="467"/>
        <v>2897310.6950000003</v>
      </c>
      <c r="U1803" s="161">
        <f t="shared" si="464"/>
        <v>988310.64999999991</v>
      </c>
      <c r="V1803" s="161">
        <f t="shared" si="465"/>
        <v>1118351.5249999999</v>
      </c>
      <c r="W1803" s="161">
        <f t="shared" si="466"/>
        <v>447340.61</v>
      </c>
    </row>
    <row r="1804" spans="1:23">
      <c r="A1804" s="118">
        <v>1803</v>
      </c>
      <c r="B1804" s="128">
        <v>20</v>
      </c>
      <c r="C1804" s="156">
        <v>38412</v>
      </c>
      <c r="D1804" s="157" t="s">
        <v>46</v>
      </c>
      <c r="E1804" s="8">
        <v>2005</v>
      </c>
      <c r="F1804" s="158">
        <f t="shared" si="462"/>
        <v>394</v>
      </c>
      <c r="G1804" s="158">
        <f t="shared" si="463"/>
        <v>2</v>
      </c>
      <c r="H1804" s="172">
        <v>38018</v>
      </c>
      <c r="I1804" s="248">
        <v>519000</v>
      </c>
      <c r="J1804" s="435"/>
      <c r="K1804" s="217">
        <f>(K1803+K1805)/2</f>
        <v>3.0500000000000003</v>
      </c>
      <c r="L1804" s="217">
        <f>(L1803+L1805)/2</f>
        <v>1.04</v>
      </c>
      <c r="M1804" s="439"/>
      <c r="N1804" s="528">
        <v>1</v>
      </c>
      <c r="O1804" s="217">
        <f>(O1803+O1805)/2</f>
        <v>1.085</v>
      </c>
      <c r="P1804" s="258"/>
      <c r="Q1804" s="216">
        <f>(Q1803+Q1805)/2</f>
        <v>9</v>
      </c>
      <c r="R1804" s="216">
        <f>(R1803+R1805)/2</f>
        <v>24.5</v>
      </c>
      <c r="T1804" s="161">
        <f t="shared" si="467"/>
        <v>1582950.0000000002</v>
      </c>
      <c r="U1804" s="161">
        <f t="shared" si="464"/>
        <v>539760</v>
      </c>
      <c r="V1804" s="161">
        <f t="shared" si="465"/>
        <v>563115</v>
      </c>
      <c r="W1804" s="161">
        <f t="shared" si="466"/>
        <v>225246</v>
      </c>
    </row>
    <row r="1805" spans="1:23">
      <c r="A1805" s="118">
        <v>1804</v>
      </c>
      <c r="B1805" s="128">
        <v>20</v>
      </c>
      <c r="C1805" s="181">
        <v>38443</v>
      </c>
      <c r="D1805" s="157" t="s">
        <v>47</v>
      </c>
      <c r="E1805" s="8">
        <v>2005</v>
      </c>
      <c r="F1805" s="158">
        <f t="shared" si="462"/>
        <v>425</v>
      </c>
      <c r="G1805" s="158">
        <f t="shared" si="463"/>
        <v>2</v>
      </c>
      <c r="H1805" s="172">
        <v>38018</v>
      </c>
      <c r="I1805" s="194">
        <v>517990</v>
      </c>
      <c r="J1805" s="173">
        <v>0.1</v>
      </c>
      <c r="K1805" s="173">
        <v>0.53</v>
      </c>
      <c r="L1805" s="173">
        <v>0.18</v>
      </c>
      <c r="O1805" s="173">
        <v>0.02</v>
      </c>
      <c r="P1805" s="170"/>
      <c r="Q1805" s="128">
        <v>9</v>
      </c>
      <c r="R1805" s="128">
        <v>20</v>
      </c>
      <c r="S1805" s="180"/>
      <c r="T1805" s="161">
        <f t="shared" si="467"/>
        <v>274534.7</v>
      </c>
      <c r="U1805" s="161">
        <f t="shared" si="464"/>
        <v>93238.2</v>
      </c>
      <c r="V1805" s="161">
        <f t="shared" si="465"/>
        <v>10359.800000000001</v>
      </c>
      <c r="W1805" s="161">
        <f t="shared" si="466"/>
        <v>4143.920000000001</v>
      </c>
    </row>
    <row r="1806" spans="1:23" ht="12.75" customHeight="1">
      <c r="A1806" s="118">
        <v>1805</v>
      </c>
      <c r="B1806" s="128">
        <v>20</v>
      </c>
      <c r="C1806" s="181">
        <v>38473</v>
      </c>
      <c r="D1806" s="157" t="s">
        <v>48</v>
      </c>
      <c r="E1806" s="8">
        <v>2005</v>
      </c>
      <c r="F1806" s="158">
        <f t="shared" si="462"/>
        <v>455</v>
      </c>
      <c r="G1806" s="158">
        <f t="shared" si="463"/>
        <v>2</v>
      </c>
      <c r="H1806" s="172">
        <v>38018</v>
      </c>
      <c r="I1806" s="194">
        <v>516367</v>
      </c>
      <c r="J1806" s="173">
        <v>1.73</v>
      </c>
      <c r="K1806" s="173">
        <v>0.68</v>
      </c>
      <c r="L1806" s="173">
        <v>0.32</v>
      </c>
      <c r="M1806" s="174">
        <v>0</v>
      </c>
      <c r="O1806" s="173">
        <v>0.27</v>
      </c>
      <c r="P1806" s="170"/>
      <c r="Q1806" s="128">
        <v>11</v>
      </c>
      <c r="R1806" s="128">
        <v>29</v>
      </c>
      <c r="S1806" s="180"/>
      <c r="T1806" s="161">
        <f t="shared" si="467"/>
        <v>351129.56</v>
      </c>
      <c r="U1806" s="161">
        <f t="shared" si="464"/>
        <v>165237.44</v>
      </c>
      <c r="V1806" s="161">
        <f t="shared" si="465"/>
        <v>139419.09</v>
      </c>
      <c r="W1806" s="161">
        <f t="shared" si="466"/>
        <v>55767.635999999999</v>
      </c>
    </row>
    <row r="1807" spans="1:23" ht="12.75" customHeight="1">
      <c r="A1807" s="118">
        <v>1806</v>
      </c>
      <c r="B1807" s="128">
        <v>20</v>
      </c>
      <c r="C1807" s="181">
        <v>38504</v>
      </c>
      <c r="D1807" s="157" t="s">
        <v>49</v>
      </c>
      <c r="E1807" s="8">
        <v>2005</v>
      </c>
      <c r="F1807" s="158">
        <f t="shared" si="462"/>
        <v>486</v>
      </c>
      <c r="G1807" s="158">
        <f t="shared" si="463"/>
        <v>2</v>
      </c>
      <c r="H1807" s="172">
        <v>38018</v>
      </c>
      <c r="I1807" s="194">
        <v>515000</v>
      </c>
      <c r="J1807" s="173">
        <v>2.13</v>
      </c>
      <c r="K1807" s="173">
        <v>1.1200000000000001</v>
      </c>
      <c r="L1807" s="173">
        <v>0.45</v>
      </c>
      <c r="M1807" s="174">
        <v>0</v>
      </c>
      <c r="O1807" s="173">
        <v>0.18</v>
      </c>
      <c r="P1807" s="170"/>
      <c r="Q1807" s="128">
        <v>11</v>
      </c>
      <c r="R1807" s="128">
        <v>28</v>
      </c>
      <c r="S1807" s="180"/>
      <c r="T1807" s="161">
        <f t="shared" si="467"/>
        <v>576800</v>
      </c>
      <c r="U1807" s="161">
        <f t="shared" si="464"/>
        <v>231750</v>
      </c>
      <c r="V1807" s="161">
        <f t="shared" si="465"/>
        <v>92700</v>
      </c>
      <c r="W1807" s="161">
        <f t="shared" si="466"/>
        <v>37080</v>
      </c>
    </row>
    <row r="1808" spans="1:23" ht="12.75" customHeight="1">
      <c r="A1808" s="118">
        <v>1807</v>
      </c>
      <c r="B1808" s="128">
        <v>20</v>
      </c>
      <c r="C1808" s="156">
        <v>38534</v>
      </c>
      <c r="D1808" s="157" t="s">
        <v>50</v>
      </c>
      <c r="E1808" s="8">
        <v>2005</v>
      </c>
      <c r="F1808" s="158">
        <f t="shared" si="462"/>
        <v>516</v>
      </c>
      <c r="G1808" s="158">
        <f t="shared" si="463"/>
        <v>2</v>
      </c>
      <c r="H1808" s="172">
        <v>38018</v>
      </c>
      <c r="I1808" s="194">
        <v>476247</v>
      </c>
      <c r="J1808" s="15">
        <v>0.2</v>
      </c>
      <c r="K1808" s="15">
        <v>6.1</v>
      </c>
      <c r="L1808" s="15">
        <v>2.67</v>
      </c>
      <c r="M1808" s="174">
        <v>0</v>
      </c>
      <c r="O1808" s="15">
        <v>7.0000000000000007E-2</v>
      </c>
      <c r="Q1808" s="11">
        <v>12</v>
      </c>
      <c r="R1808" s="11">
        <v>25</v>
      </c>
      <c r="T1808" s="161">
        <f t="shared" si="467"/>
        <v>2905106.6999999997</v>
      </c>
      <c r="U1808" s="161">
        <f t="shared" si="464"/>
        <v>1271579.49</v>
      </c>
      <c r="V1808" s="161">
        <f t="shared" si="465"/>
        <v>33337.29</v>
      </c>
      <c r="W1808" s="161">
        <f t="shared" si="466"/>
        <v>13334.916000000001</v>
      </c>
    </row>
    <row r="1809" spans="1:244" ht="12.75" customHeight="1">
      <c r="A1809" s="118">
        <v>1808</v>
      </c>
      <c r="B1809" s="128">
        <v>20</v>
      </c>
      <c r="C1809" s="181">
        <v>38565</v>
      </c>
      <c r="D1809" s="157" t="s">
        <v>51</v>
      </c>
      <c r="E1809" s="8">
        <v>2005</v>
      </c>
      <c r="F1809" s="158">
        <f t="shared" si="462"/>
        <v>547</v>
      </c>
      <c r="G1809" s="158">
        <f t="shared" si="463"/>
        <v>2</v>
      </c>
      <c r="H1809" s="172">
        <v>38018</v>
      </c>
      <c r="I1809" s="194">
        <v>457213</v>
      </c>
      <c r="J1809" s="173">
        <v>0.28000000000000003</v>
      </c>
      <c r="K1809" s="173">
        <v>5.33</v>
      </c>
      <c r="L1809" s="173">
        <v>3.28</v>
      </c>
      <c r="M1809" s="174">
        <v>0</v>
      </c>
      <c r="O1809" s="173">
        <v>0</v>
      </c>
      <c r="P1809" s="170"/>
      <c r="Q1809" s="128">
        <v>11</v>
      </c>
      <c r="R1809" s="128">
        <v>25</v>
      </c>
      <c r="S1809" s="180"/>
      <c r="T1809" s="161">
        <f t="shared" si="467"/>
        <v>2436945.29</v>
      </c>
      <c r="U1809" s="161">
        <f t="shared" si="464"/>
        <v>1499658.64</v>
      </c>
      <c r="V1809" s="161">
        <f t="shared" si="465"/>
        <v>0</v>
      </c>
      <c r="W1809" s="161">
        <f t="shared" si="466"/>
        <v>0</v>
      </c>
    </row>
    <row r="1810" spans="1:244" ht="12.75" customHeight="1">
      <c r="A1810" s="118">
        <v>1809</v>
      </c>
      <c r="B1810" s="128">
        <v>20</v>
      </c>
      <c r="C1810" s="181">
        <v>38596</v>
      </c>
      <c r="D1810" s="157" t="s">
        <v>52</v>
      </c>
      <c r="E1810" s="8">
        <v>2005</v>
      </c>
      <c r="F1810" s="158">
        <f t="shared" si="462"/>
        <v>578</v>
      </c>
      <c r="G1810" s="158">
        <f t="shared" si="463"/>
        <v>2</v>
      </c>
      <c r="H1810" s="172">
        <v>38018</v>
      </c>
      <c r="I1810" s="194">
        <v>438239</v>
      </c>
      <c r="J1810" s="173">
        <v>2.4500000000000002</v>
      </c>
      <c r="K1810" s="173">
        <v>13.5</v>
      </c>
      <c r="L1810" s="173">
        <v>6.98</v>
      </c>
      <c r="M1810" s="174">
        <v>1</v>
      </c>
      <c r="O1810" s="173">
        <v>0.05</v>
      </c>
      <c r="P1810" s="170"/>
      <c r="Q1810" s="128">
        <v>10</v>
      </c>
      <c r="R1810" s="128">
        <v>19</v>
      </c>
      <c r="S1810" s="180"/>
      <c r="T1810" s="161">
        <f t="shared" si="467"/>
        <v>5916226.5</v>
      </c>
      <c r="U1810" s="161">
        <f t="shared" si="464"/>
        <v>3058908.22</v>
      </c>
      <c r="V1810" s="161">
        <f t="shared" si="465"/>
        <v>21911.95</v>
      </c>
      <c r="W1810" s="161">
        <f t="shared" si="466"/>
        <v>8764.7800000000007</v>
      </c>
    </row>
    <row r="1811" spans="1:244" ht="12.75" customHeight="1">
      <c r="A1811" s="118">
        <v>1810</v>
      </c>
      <c r="B1811" s="128">
        <v>20</v>
      </c>
      <c r="C1811" s="181">
        <v>38626</v>
      </c>
      <c r="D1811" s="157" t="s">
        <v>53</v>
      </c>
      <c r="E1811" s="8">
        <v>2005</v>
      </c>
      <c r="F1811" s="158">
        <f t="shared" si="462"/>
        <v>608</v>
      </c>
      <c r="G1811" s="158">
        <f t="shared" si="463"/>
        <v>2</v>
      </c>
      <c r="H1811" s="172">
        <v>38018</v>
      </c>
      <c r="I1811" s="194">
        <v>425669</v>
      </c>
      <c r="J1811" s="173">
        <v>0.92</v>
      </c>
      <c r="K1811" s="173">
        <v>10.87</v>
      </c>
      <c r="L1811" s="173">
        <v>6.03</v>
      </c>
      <c r="M1811" s="174">
        <v>1</v>
      </c>
      <c r="O1811" s="173">
        <v>0</v>
      </c>
      <c r="P1811" s="170"/>
      <c r="Q1811" s="128">
        <v>8</v>
      </c>
      <c r="R1811" s="128">
        <v>24</v>
      </c>
      <c r="S1811" s="180"/>
      <c r="T1811" s="161">
        <f t="shared" si="467"/>
        <v>4627022.0299999993</v>
      </c>
      <c r="U1811" s="161">
        <f t="shared" si="464"/>
        <v>2566784.0700000003</v>
      </c>
      <c r="V1811" s="161">
        <f t="shared" si="465"/>
        <v>0</v>
      </c>
      <c r="W1811" s="161">
        <f t="shared" si="466"/>
        <v>0</v>
      </c>
    </row>
    <row r="1812" spans="1:244" ht="12.75" customHeight="1">
      <c r="A1812" s="118">
        <v>1811</v>
      </c>
      <c r="B1812" s="128">
        <v>20</v>
      </c>
      <c r="C1812" s="181">
        <v>38657</v>
      </c>
      <c r="D1812" s="157" t="s">
        <v>54</v>
      </c>
      <c r="E1812" s="8">
        <v>2005</v>
      </c>
      <c r="F1812" s="158">
        <f t="shared" si="462"/>
        <v>639</v>
      </c>
      <c r="G1812" s="158">
        <f t="shared" si="463"/>
        <v>2</v>
      </c>
      <c r="H1812" s="172">
        <v>38018</v>
      </c>
      <c r="I1812" s="194">
        <v>424141</v>
      </c>
      <c r="J1812" s="173">
        <v>0.88</v>
      </c>
      <c r="K1812" s="173">
        <v>12.23</v>
      </c>
      <c r="L1812" s="173">
        <v>6.92</v>
      </c>
      <c r="M1812" s="174">
        <v>0</v>
      </c>
      <c r="O1812" s="173">
        <v>0.27</v>
      </c>
      <c r="P1812" s="170"/>
      <c r="Q1812" s="128">
        <v>8</v>
      </c>
      <c r="R1812" s="128">
        <v>26</v>
      </c>
      <c r="S1812" s="180"/>
      <c r="T1812" s="161">
        <f t="shared" si="467"/>
        <v>5187244.4300000006</v>
      </c>
      <c r="U1812" s="161">
        <f t="shared" si="464"/>
        <v>2935055.7199999997</v>
      </c>
      <c r="V1812" s="161">
        <f t="shared" si="465"/>
        <v>114518.07</v>
      </c>
      <c r="W1812" s="161">
        <f t="shared" si="466"/>
        <v>45807.228000000003</v>
      </c>
    </row>
    <row r="1813" spans="1:244" ht="12.75" customHeight="1">
      <c r="A1813" s="118">
        <v>1812</v>
      </c>
      <c r="B1813" s="128">
        <v>20</v>
      </c>
      <c r="C1813" s="181">
        <v>38687</v>
      </c>
      <c r="D1813" s="157" t="s">
        <v>55</v>
      </c>
      <c r="E1813" s="8">
        <v>2005</v>
      </c>
      <c r="F1813" s="158">
        <f t="shared" si="462"/>
        <v>669</v>
      </c>
      <c r="G1813" s="158">
        <f t="shared" si="463"/>
        <v>2</v>
      </c>
      <c r="H1813" s="172">
        <v>38018</v>
      </c>
      <c r="I1813" s="194">
        <v>352936</v>
      </c>
      <c r="J1813" s="173">
        <v>0.72</v>
      </c>
      <c r="K1813" s="173">
        <v>19.82</v>
      </c>
      <c r="L1813" s="173">
        <v>14.85</v>
      </c>
      <c r="M1813" s="174">
        <v>2</v>
      </c>
      <c r="O1813" s="173">
        <v>7.05</v>
      </c>
      <c r="P1813" s="170">
        <v>1</v>
      </c>
      <c r="Q1813" s="128">
        <v>7</v>
      </c>
      <c r="R1813" s="128">
        <v>30</v>
      </c>
      <c r="T1813" s="161">
        <f t="shared" si="467"/>
        <v>6995191.5200000005</v>
      </c>
      <c r="U1813" s="161">
        <f t="shared" si="464"/>
        <v>5241099.5999999996</v>
      </c>
      <c r="V1813" s="161">
        <f t="shared" si="465"/>
        <v>2488198.7999999998</v>
      </c>
      <c r="W1813" s="161">
        <f t="shared" si="466"/>
        <v>995279.52</v>
      </c>
    </row>
    <row r="1814" spans="1:244" ht="12.75" customHeight="1">
      <c r="A1814" s="118">
        <v>1813</v>
      </c>
      <c r="B1814" s="128">
        <v>20</v>
      </c>
      <c r="C1814" s="181">
        <v>38718</v>
      </c>
      <c r="D1814" s="157" t="s">
        <v>44</v>
      </c>
      <c r="E1814" s="8">
        <v>2006</v>
      </c>
      <c r="F1814" s="158">
        <f t="shared" si="462"/>
        <v>700</v>
      </c>
      <c r="G1814" s="158">
        <f t="shared" si="463"/>
        <v>2</v>
      </c>
      <c r="H1814" s="172">
        <v>38018</v>
      </c>
      <c r="I1814" s="194">
        <v>245038</v>
      </c>
      <c r="J1814" s="173">
        <v>0.23</v>
      </c>
      <c r="K1814" s="173">
        <v>3.43</v>
      </c>
      <c r="L1814" s="173">
        <v>2.2400000000000002</v>
      </c>
      <c r="M1814" s="174">
        <v>0</v>
      </c>
      <c r="O1814" s="173">
        <v>0</v>
      </c>
      <c r="P1814" s="170"/>
      <c r="Q1814" s="128">
        <v>8</v>
      </c>
      <c r="R1814" s="128">
        <v>26</v>
      </c>
      <c r="S1814" s="180"/>
      <c r="T1814" s="161">
        <f t="shared" si="467"/>
        <v>840480.34000000008</v>
      </c>
      <c r="U1814" s="161">
        <f t="shared" si="464"/>
        <v>548885.12</v>
      </c>
      <c r="V1814" s="161">
        <f t="shared" si="465"/>
        <v>0</v>
      </c>
      <c r="W1814" s="161">
        <f t="shared" si="466"/>
        <v>0</v>
      </c>
    </row>
    <row r="1815" spans="1:244" ht="12.75" customHeight="1">
      <c r="A1815" s="118">
        <v>1814</v>
      </c>
      <c r="B1815" s="128">
        <v>20</v>
      </c>
      <c r="C1815" s="181">
        <v>38749</v>
      </c>
      <c r="D1815" s="157" t="s">
        <v>45</v>
      </c>
      <c r="E1815" s="8">
        <v>2006</v>
      </c>
      <c r="F1815" s="158">
        <f t="shared" si="462"/>
        <v>731</v>
      </c>
      <c r="G1815" s="158">
        <v>3</v>
      </c>
      <c r="H1815" s="172">
        <v>38018</v>
      </c>
      <c r="I1815" s="194">
        <v>234085</v>
      </c>
      <c r="J1815" s="173">
        <v>0</v>
      </c>
      <c r="K1815" s="173">
        <v>7.0000000000000007E-2</v>
      </c>
      <c r="L1815" s="173">
        <v>0</v>
      </c>
      <c r="M1815" s="174">
        <v>0</v>
      </c>
      <c r="O1815" s="173">
        <v>0</v>
      </c>
      <c r="P1815" s="170"/>
      <c r="Q1815" s="128">
        <v>8</v>
      </c>
      <c r="R1815" s="128">
        <v>28</v>
      </c>
      <c r="S1815" s="180"/>
      <c r="T1815" s="161">
        <f t="shared" si="467"/>
        <v>16385.95</v>
      </c>
      <c r="U1815" s="161">
        <f t="shared" si="464"/>
        <v>0</v>
      </c>
      <c r="V1815" s="161">
        <f t="shared" si="465"/>
        <v>0</v>
      </c>
      <c r="W1815" s="161">
        <f t="shared" si="466"/>
        <v>0</v>
      </c>
    </row>
    <row r="1816" spans="1:244" ht="12.75" customHeight="1">
      <c r="A1816" s="118">
        <v>1815</v>
      </c>
      <c r="B1816" s="128">
        <v>20</v>
      </c>
      <c r="C1816" s="181">
        <v>38777</v>
      </c>
      <c r="D1816" s="157" t="s">
        <v>46</v>
      </c>
      <c r="E1816" s="8">
        <v>2006</v>
      </c>
      <c r="F1816" s="158">
        <f t="shared" si="462"/>
        <v>759</v>
      </c>
      <c r="G1816" s="158">
        <v>3</v>
      </c>
      <c r="H1816" s="172">
        <v>38018</v>
      </c>
      <c r="I1816" s="194">
        <v>166178</v>
      </c>
      <c r="J1816" s="173">
        <v>0.05</v>
      </c>
      <c r="K1816" s="173">
        <v>0.15</v>
      </c>
      <c r="L1816" s="173">
        <v>0.08</v>
      </c>
      <c r="O1816" s="173">
        <v>0.05</v>
      </c>
      <c r="P1816" s="170"/>
      <c r="Q1816" s="128">
        <v>8</v>
      </c>
      <c r="R1816" s="128">
        <v>26</v>
      </c>
      <c r="S1816" s="180" t="s">
        <v>7</v>
      </c>
      <c r="T1816" s="161">
        <f t="shared" si="467"/>
        <v>24926.7</v>
      </c>
      <c r="U1816" s="161">
        <f t="shared" si="464"/>
        <v>13294.24</v>
      </c>
      <c r="V1816" s="161">
        <f t="shared" si="465"/>
        <v>8308.9</v>
      </c>
      <c r="W1816" s="161">
        <f t="shared" si="466"/>
        <v>3323.56</v>
      </c>
    </row>
    <row r="1817" spans="1:244" ht="12.75" customHeight="1">
      <c r="A1817" s="118">
        <v>1816</v>
      </c>
      <c r="B1817" s="128">
        <v>20</v>
      </c>
      <c r="C1817" s="181">
        <v>38808</v>
      </c>
      <c r="D1817" s="157" t="s">
        <v>47</v>
      </c>
      <c r="E1817" s="8">
        <v>2006</v>
      </c>
      <c r="F1817" s="158"/>
      <c r="G1817" s="128"/>
      <c r="H1817" s="128"/>
      <c r="I1817" s="194"/>
      <c r="J1817" s="173"/>
      <c r="K1817" s="173"/>
      <c r="L1817" s="173"/>
      <c r="O1817" s="173"/>
      <c r="P1817" s="170"/>
      <c r="Q1817" s="128"/>
      <c r="R1817" s="128"/>
      <c r="S1817" s="180" t="s">
        <v>7</v>
      </c>
      <c r="T1817" s="173"/>
      <c r="U1817" s="171"/>
      <c r="V1817" s="173"/>
      <c r="W1817" s="173"/>
    </row>
    <row r="1818" spans="1:244" ht="12.75" customHeight="1">
      <c r="A1818" s="118">
        <v>1817</v>
      </c>
      <c r="B1818" s="128">
        <v>20</v>
      </c>
      <c r="C1818" s="181">
        <v>38838</v>
      </c>
      <c r="D1818" s="157" t="s">
        <v>48</v>
      </c>
      <c r="E1818" s="8">
        <v>2006</v>
      </c>
      <c r="F1818" s="158"/>
      <c r="G1818" s="128"/>
      <c r="H1818" s="128"/>
      <c r="I1818" s="194"/>
      <c r="J1818" s="173"/>
      <c r="K1818" s="173"/>
      <c r="L1818" s="173"/>
      <c r="O1818" s="173"/>
      <c r="P1818" s="170"/>
      <c r="Q1818" s="128"/>
      <c r="R1818" s="128"/>
      <c r="S1818" s="180"/>
      <c r="T1818" s="173"/>
      <c r="U1818" s="171"/>
      <c r="V1818" s="173"/>
      <c r="W1818" s="173"/>
      <c r="X1818" s="128"/>
      <c r="Y1818" s="128"/>
      <c r="Z1818" s="128"/>
      <c r="AA1818" s="128"/>
      <c r="AB1818" s="128"/>
      <c r="AC1818" s="128"/>
      <c r="AD1818" s="128"/>
      <c r="AE1818" s="128"/>
      <c r="AF1818" s="128"/>
      <c r="AG1818" s="128"/>
      <c r="AH1818" s="128"/>
      <c r="AI1818" s="128"/>
      <c r="AJ1818" s="128"/>
      <c r="AK1818" s="128"/>
      <c r="AL1818" s="128"/>
      <c r="AM1818" s="128"/>
      <c r="AN1818" s="128"/>
      <c r="AO1818" s="128"/>
      <c r="AP1818" s="128"/>
      <c r="AQ1818" s="128"/>
      <c r="AR1818" s="128"/>
      <c r="AS1818" s="128"/>
      <c r="AT1818" s="128"/>
      <c r="AU1818" s="128"/>
      <c r="AV1818" s="128"/>
      <c r="AW1818" s="128"/>
      <c r="AX1818" s="128"/>
      <c r="AY1818" s="128"/>
      <c r="AZ1818" s="128"/>
      <c r="BA1818" s="128"/>
      <c r="BB1818" s="128"/>
      <c r="BC1818" s="128"/>
      <c r="BD1818" s="128"/>
      <c r="BE1818" s="128"/>
      <c r="BF1818" s="128"/>
      <c r="BG1818" s="128"/>
      <c r="BH1818" s="128"/>
      <c r="BI1818" s="128"/>
      <c r="BJ1818" s="128"/>
      <c r="BK1818" s="128"/>
      <c r="BL1818" s="128"/>
      <c r="BM1818" s="128"/>
      <c r="BN1818" s="128"/>
      <c r="BO1818" s="128"/>
      <c r="BP1818" s="128"/>
      <c r="BQ1818" s="128"/>
      <c r="BR1818" s="128"/>
      <c r="BS1818" s="128"/>
      <c r="BT1818" s="128"/>
      <c r="BU1818" s="128"/>
      <c r="BV1818" s="128"/>
      <c r="BW1818" s="128"/>
      <c r="BX1818" s="128"/>
      <c r="BY1818" s="128"/>
      <c r="BZ1818" s="128"/>
      <c r="CA1818" s="128"/>
      <c r="CB1818" s="128"/>
      <c r="CC1818" s="128"/>
      <c r="CD1818" s="128"/>
      <c r="CE1818" s="128"/>
      <c r="CF1818" s="128"/>
      <c r="CG1818" s="128"/>
      <c r="CH1818" s="128"/>
      <c r="CI1818" s="128"/>
      <c r="CJ1818" s="128"/>
      <c r="CK1818" s="128"/>
      <c r="CL1818" s="128"/>
      <c r="CM1818" s="128"/>
      <c r="CN1818" s="128"/>
      <c r="CO1818" s="128"/>
      <c r="CP1818" s="128"/>
      <c r="CQ1818" s="128"/>
      <c r="CR1818" s="128"/>
      <c r="CS1818" s="128"/>
      <c r="CT1818" s="128"/>
      <c r="CU1818" s="128"/>
      <c r="CV1818" s="128"/>
      <c r="CW1818" s="128"/>
      <c r="CX1818" s="128"/>
      <c r="CY1818" s="128"/>
      <c r="CZ1818" s="128"/>
      <c r="DA1818" s="128"/>
      <c r="DB1818" s="128"/>
      <c r="DC1818" s="128"/>
      <c r="DD1818" s="128"/>
      <c r="DE1818" s="128"/>
      <c r="DF1818" s="128"/>
      <c r="DG1818" s="128"/>
      <c r="DH1818" s="128"/>
      <c r="DI1818" s="128"/>
      <c r="DJ1818" s="128"/>
      <c r="DK1818" s="128"/>
      <c r="DL1818" s="128"/>
      <c r="DM1818" s="128"/>
      <c r="DN1818" s="128"/>
      <c r="DO1818" s="128"/>
      <c r="DP1818" s="128"/>
      <c r="DQ1818" s="128"/>
      <c r="DR1818" s="128"/>
      <c r="DS1818" s="128"/>
      <c r="DT1818" s="128"/>
      <c r="DU1818" s="128"/>
      <c r="DV1818" s="128"/>
      <c r="DW1818" s="128"/>
      <c r="DX1818" s="128"/>
      <c r="DY1818" s="128"/>
      <c r="DZ1818" s="128"/>
      <c r="EA1818" s="128"/>
      <c r="EB1818" s="128"/>
      <c r="EC1818" s="128"/>
      <c r="ED1818" s="128"/>
      <c r="EE1818" s="128"/>
      <c r="EF1818" s="128"/>
      <c r="EG1818" s="128"/>
      <c r="EH1818" s="128"/>
      <c r="EI1818" s="128"/>
      <c r="EJ1818" s="128"/>
      <c r="EK1818" s="128"/>
      <c r="EL1818" s="128"/>
      <c r="EM1818" s="128"/>
      <c r="EN1818" s="128"/>
      <c r="EO1818" s="128"/>
      <c r="EP1818" s="128"/>
      <c r="EQ1818" s="128"/>
      <c r="ER1818" s="128"/>
      <c r="ES1818" s="128"/>
      <c r="ET1818" s="128"/>
      <c r="EU1818" s="128"/>
      <c r="EV1818" s="128"/>
      <c r="EW1818" s="128"/>
      <c r="EX1818" s="128"/>
      <c r="EY1818" s="128"/>
      <c r="EZ1818" s="128"/>
      <c r="FA1818" s="128"/>
      <c r="FB1818" s="128"/>
      <c r="FC1818" s="128"/>
      <c r="FD1818" s="128"/>
      <c r="FE1818" s="128"/>
      <c r="FF1818" s="128"/>
      <c r="FG1818" s="128"/>
      <c r="FH1818" s="128"/>
      <c r="FI1818" s="128"/>
      <c r="FJ1818" s="128"/>
      <c r="FK1818" s="128"/>
      <c r="FL1818" s="128"/>
      <c r="FM1818" s="128"/>
      <c r="FN1818" s="128"/>
      <c r="FO1818" s="128"/>
      <c r="FP1818" s="128"/>
      <c r="FQ1818" s="128"/>
      <c r="FR1818" s="128"/>
      <c r="FS1818" s="128"/>
      <c r="FT1818" s="128"/>
      <c r="FU1818" s="128"/>
      <c r="FV1818" s="128"/>
      <c r="FW1818" s="128"/>
      <c r="FX1818" s="128"/>
      <c r="FY1818" s="128"/>
      <c r="FZ1818" s="128"/>
      <c r="GA1818" s="128"/>
      <c r="GB1818" s="128"/>
      <c r="GC1818" s="128"/>
      <c r="GD1818" s="128"/>
      <c r="GE1818" s="128"/>
      <c r="GF1818" s="128"/>
      <c r="GG1818" s="128"/>
      <c r="GH1818" s="128"/>
      <c r="GI1818" s="128"/>
      <c r="GJ1818" s="128"/>
      <c r="GK1818" s="128"/>
      <c r="GL1818" s="128"/>
      <c r="GM1818" s="128"/>
      <c r="GN1818" s="128"/>
      <c r="GO1818" s="128"/>
      <c r="GP1818" s="128"/>
      <c r="GQ1818" s="128"/>
      <c r="GR1818" s="128"/>
      <c r="GS1818" s="128"/>
      <c r="GT1818" s="128"/>
      <c r="GU1818" s="128"/>
      <c r="GV1818" s="128"/>
      <c r="GW1818" s="128"/>
      <c r="GX1818" s="128"/>
      <c r="GY1818" s="128"/>
      <c r="GZ1818" s="128"/>
      <c r="HA1818" s="128"/>
      <c r="HB1818" s="128"/>
      <c r="HC1818" s="128"/>
      <c r="HD1818" s="128"/>
      <c r="HE1818" s="128"/>
      <c r="HF1818" s="128"/>
      <c r="HG1818" s="128"/>
      <c r="HH1818" s="128"/>
      <c r="HI1818" s="128"/>
      <c r="HJ1818" s="128"/>
      <c r="HK1818" s="128"/>
      <c r="HL1818" s="128"/>
      <c r="HM1818" s="128"/>
      <c r="HN1818" s="128"/>
      <c r="HO1818" s="128"/>
      <c r="HP1818" s="128"/>
      <c r="HQ1818" s="128"/>
      <c r="HR1818" s="128"/>
      <c r="HS1818" s="128"/>
      <c r="HT1818" s="128"/>
      <c r="HU1818" s="128"/>
      <c r="HV1818" s="128"/>
      <c r="HW1818" s="128"/>
      <c r="HX1818" s="128"/>
      <c r="HY1818" s="128"/>
      <c r="HZ1818" s="128"/>
      <c r="IA1818" s="128"/>
      <c r="IB1818" s="128"/>
      <c r="IC1818" s="128"/>
      <c r="ID1818" s="128"/>
      <c r="IE1818" s="128"/>
      <c r="IF1818" s="128"/>
      <c r="IG1818" s="128"/>
      <c r="IH1818" s="128"/>
      <c r="II1818" s="128"/>
      <c r="IJ1818" s="128"/>
    </row>
    <row r="1819" spans="1:244" ht="12.75" customHeight="1">
      <c r="A1819" s="118">
        <v>1818</v>
      </c>
      <c r="B1819" s="128">
        <v>20</v>
      </c>
      <c r="C1819" s="181">
        <v>38869</v>
      </c>
      <c r="D1819" s="157" t="s">
        <v>49</v>
      </c>
      <c r="E1819" s="8">
        <v>2006</v>
      </c>
      <c r="F1819" s="158"/>
      <c r="G1819" s="128"/>
      <c r="H1819" s="128"/>
      <c r="I1819" s="194"/>
      <c r="J1819" s="173"/>
      <c r="K1819" s="173"/>
      <c r="L1819" s="173"/>
      <c r="O1819" s="173"/>
      <c r="P1819" s="170"/>
      <c r="Q1819" s="128"/>
      <c r="R1819" s="128"/>
      <c r="S1819" s="180"/>
      <c r="T1819" s="173"/>
      <c r="U1819" s="171"/>
      <c r="V1819" s="173"/>
      <c r="W1819" s="173"/>
    </row>
    <row r="1820" spans="1:244" ht="12.75" customHeight="1">
      <c r="A1820" s="118">
        <v>1819</v>
      </c>
      <c r="B1820" s="128">
        <v>20</v>
      </c>
      <c r="C1820" s="181">
        <v>38899</v>
      </c>
      <c r="D1820" s="157" t="s">
        <v>50</v>
      </c>
      <c r="E1820" s="8">
        <v>2006</v>
      </c>
      <c r="F1820" s="158"/>
      <c r="G1820" s="128"/>
      <c r="H1820" s="128"/>
      <c r="I1820" s="194"/>
      <c r="J1820" s="173"/>
      <c r="K1820" s="173"/>
      <c r="L1820" s="173"/>
      <c r="O1820" s="173"/>
      <c r="P1820" s="170"/>
      <c r="Q1820" s="128"/>
      <c r="R1820" s="128"/>
      <c r="S1820" s="180"/>
      <c r="T1820" s="173"/>
      <c r="U1820" s="171"/>
      <c r="V1820" s="173"/>
      <c r="W1820" s="173"/>
    </row>
    <row r="1821" spans="1:244" ht="12.75" customHeight="1">
      <c r="A1821" s="118">
        <v>1820</v>
      </c>
      <c r="B1821" s="128">
        <v>20</v>
      </c>
      <c r="C1821" s="181">
        <v>38930</v>
      </c>
      <c r="D1821" s="157" t="s">
        <v>51</v>
      </c>
      <c r="E1821" s="8">
        <v>2006</v>
      </c>
      <c r="F1821" s="158"/>
      <c r="G1821" s="128"/>
      <c r="H1821" s="128"/>
      <c r="I1821" s="194"/>
      <c r="J1821" s="173"/>
      <c r="K1821" s="173"/>
      <c r="L1821" s="173"/>
      <c r="O1821" s="173"/>
      <c r="P1821" s="170"/>
      <c r="Q1821" s="128"/>
      <c r="R1821" s="128"/>
      <c r="S1821" s="180"/>
      <c r="T1821" s="173"/>
      <c r="U1821" s="171"/>
      <c r="V1821" s="173"/>
      <c r="W1821" s="173"/>
    </row>
    <row r="1822" spans="1:244" ht="12.75" customHeight="1">
      <c r="A1822" s="118">
        <v>1821</v>
      </c>
      <c r="B1822" s="128">
        <v>20</v>
      </c>
      <c r="C1822" s="181">
        <v>38961</v>
      </c>
      <c r="D1822" s="157" t="s">
        <v>52</v>
      </c>
      <c r="E1822" s="8">
        <v>2006</v>
      </c>
      <c r="F1822" s="158">
        <f t="shared" ref="F1822:F1839" si="468">C1822-H1822</f>
        <v>238</v>
      </c>
      <c r="G1822" s="158">
        <f t="shared" ref="G1822:G1838" si="469">IF(F1822&lt;365,1,2)</f>
        <v>1</v>
      </c>
      <c r="H1822" s="172">
        <v>38723</v>
      </c>
      <c r="I1822" s="194">
        <v>240852</v>
      </c>
      <c r="J1822" s="173"/>
      <c r="K1822" s="173"/>
      <c r="L1822" s="165">
        <v>0.06</v>
      </c>
      <c r="N1822" s="528" t="s">
        <v>446</v>
      </c>
      <c r="O1822" s="165">
        <v>0.47</v>
      </c>
      <c r="P1822" s="170"/>
      <c r="Q1822" s="128"/>
      <c r="R1822" s="128"/>
      <c r="S1822" s="180" t="s">
        <v>344</v>
      </c>
      <c r="T1822" s="173"/>
      <c r="U1822" s="161">
        <f t="shared" ref="U1822:U1839" si="470">$I1822*L1822</f>
        <v>14451.119999999999</v>
      </c>
      <c r="V1822" s="161">
        <f t="shared" ref="V1822:V1839" si="471">$I1822*O1822</f>
        <v>113200.43999999999</v>
      </c>
      <c r="W1822" s="161">
        <f t="shared" ref="W1822:W1839" si="472">V1822*0.4</f>
        <v>45280.175999999999</v>
      </c>
    </row>
    <row r="1823" spans="1:244" ht="12.75" customHeight="1">
      <c r="A1823" s="118">
        <v>1822</v>
      </c>
      <c r="B1823" s="128">
        <v>20</v>
      </c>
      <c r="C1823" s="156">
        <v>38991</v>
      </c>
      <c r="D1823" s="157" t="s">
        <v>53</v>
      </c>
      <c r="E1823" s="8">
        <v>2006</v>
      </c>
      <c r="F1823" s="158">
        <f t="shared" si="468"/>
        <v>268</v>
      </c>
      <c r="G1823" s="158">
        <f t="shared" si="469"/>
        <v>1</v>
      </c>
      <c r="H1823" s="172">
        <v>38723</v>
      </c>
      <c r="I1823" s="194">
        <v>546989</v>
      </c>
      <c r="J1823" s="15">
        <v>0.68</v>
      </c>
      <c r="K1823" s="15">
        <v>0.63</v>
      </c>
      <c r="L1823" s="15">
        <v>7.0000000000000007E-2</v>
      </c>
      <c r="O1823" s="15">
        <v>7.0000000000000007E-2</v>
      </c>
      <c r="T1823" s="161">
        <f t="shared" ref="T1823:T1838" si="473">$I1823*K1823</f>
        <v>344603.07</v>
      </c>
      <c r="U1823" s="161">
        <f t="shared" si="470"/>
        <v>38289.230000000003</v>
      </c>
      <c r="V1823" s="161">
        <f t="shared" si="471"/>
        <v>38289.230000000003</v>
      </c>
      <c r="W1823" s="161">
        <f t="shared" si="472"/>
        <v>15315.692000000003</v>
      </c>
    </row>
    <row r="1824" spans="1:244" ht="12.75" customHeight="1">
      <c r="A1824" s="118">
        <v>1823</v>
      </c>
      <c r="B1824" s="128">
        <v>20</v>
      </c>
      <c r="C1824" s="156">
        <v>39022</v>
      </c>
      <c r="D1824" s="157" t="s">
        <v>54</v>
      </c>
      <c r="E1824" s="8">
        <v>2006</v>
      </c>
      <c r="F1824" s="158">
        <f t="shared" si="468"/>
        <v>299</v>
      </c>
      <c r="G1824" s="158">
        <f t="shared" si="469"/>
        <v>1</v>
      </c>
      <c r="H1824" s="172">
        <v>38723</v>
      </c>
      <c r="I1824" s="194">
        <v>546655</v>
      </c>
      <c r="J1824" s="15">
        <v>1.4666665999999999</v>
      </c>
      <c r="K1824" s="15">
        <v>2.7</v>
      </c>
      <c r="L1824" s="15">
        <v>0.38333329999999999</v>
      </c>
      <c r="M1824" s="174">
        <v>0</v>
      </c>
      <c r="O1824" s="15">
        <v>0.1166666</v>
      </c>
      <c r="Q1824" s="11">
        <v>8</v>
      </c>
      <c r="R1824" s="11">
        <v>27</v>
      </c>
      <c r="T1824" s="161">
        <f t="shared" si="473"/>
        <v>1475968.5</v>
      </c>
      <c r="U1824" s="161">
        <f t="shared" si="470"/>
        <v>209551.06511150001</v>
      </c>
      <c r="V1824" s="161">
        <f t="shared" si="471"/>
        <v>63776.380223</v>
      </c>
      <c r="W1824" s="161">
        <f t="shared" si="472"/>
        <v>25510.552089200002</v>
      </c>
    </row>
    <row r="1825" spans="1:23" ht="12.75" customHeight="1">
      <c r="A1825" s="118">
        <v>1824</v>
      </c>
      <c r="B1825" s="128">
        <v>20</v>
      </c>
      <c r="C1825" s="156">
        <v>39052</v>
      </c>
      <c r="D1825" s="157" t="s">
        <v>55</v>
      </c>
      <c r="E1825" s="8">
        <v>2006</v>
      </c>
      <c r="F1825" s="158">
        <f t="shared" si="468"/>
        <v>329</v>
      </c>
      <c r="G1825" s="158">
        <f t="shared" si="469"/>
        <v>1</v>
      </c>
      <c r="H1825" s="172">
        <v>38723</v>
      </c>
      <c r="I1825" s="194">
        <v>546292</v>
      </c>
      <c r="J1825" s="15">
        <v>1.63</v>
      </c>
      <c r="K1825" s="15">
        <v>2.2000000000000002</v>
      </c>
      <c r="L1825" s="15">
        <v>1.1200000000000001</v>
      </c>
      <c r="M1825" s="174">
        <v>0</v>
      </c>
      <c r="O1825" s="15">
        <v>0.17</v>
      </c>
      <c r="Q1825" s="11">
        <v>8</v>
      </c>
      <c r="R1825" s="11">
        <v>29</v>
      </c>
      <c r="T1825" s="161">
        <f t="shared" si="473"/>
        <v>1201842.4000000001</v>
      </c>
      <c r="U1825" s="161">
        <f t="shared" si="470"/>
        <v>611847.04</v>
      </c>
      <c r="V1825" s="161">
        <f t="shared" si="471"/>
        <v>92869.64</v>
      </c>
      <c r="W1825" s="161">
        <f t="shared" si="472"/>
        <v>37147.856</v>
      </c>
    </row>
    <row r="1826" spans="1:23" ht="12.75" customHeight="1">
      <c r="A1826" s="118">
        <v>1825</v>
      </c>
      <c r="B1826" s="128">
        <v>20</v>
      </c>
      <c r="C1826" s="156">
        <v>39083</v>
      </c>
      <c r="D1826" s="157" t="s">
        <v>44</v>
      </c>
      <c r="E1826" s="8">
        <v>2007</v>
      </c>
      <c r="F1826" s="158">
        <f t="shared" si="468"/>
        <v>360</v>
      </c>
      <c r="G1826" s="158">
        <f t="shared" si="469"/>
        <v>1</v>
      </c>
      <c r="H1826" s="172">
        <v>38723</v>
      </c>
      <c r="I1826" s="194">
        <v>545161</v>
      </c>
      <c r="J1826" s="15">
        <v>3.6666666000000001</v>
      </c>
      <c r="K1826" s="15">
        <v>3.6</v>
      </c>
      <c r="L1826" s="15">
        <v>1.3416665999999999</v>
      </c>
      <c r="M1826" s="174">
        <v>2</v>
      </c>
      <c r="O1826" s="15">
        <v>0.6</v>
      </c>
      <c r="P1826" s="8">
        <v>1</v>
      </c>
      <c r="Q1826" s="11">
        <v>6</v>
      </c>
      <c r="R1826" s="11">
        <v>29</v>
      </c>
      <c r="T1826" s="161">
        <f t="shared" si="473"/>
        <v>1962579.6</v>
      </c>
      <c r="U1826" s="161">
        <f t="shared" si="470"/>
        <v>731424.30532259995</v>
      </c>
      <c r="V1826" s="161">
        <f t="shared" si="471"/>
        <v>327096.59999999998</v>
      </c>
      <c r="W1826" s="161">
        <f t="shared" si="472"/>
        <v>130838.64</v>
      </c>
    </row>
    <row r="1827" spans="1:23" ht="12.75" customHeight="1">
      <c r="A1827" s="118">
        <v>1826</v>
      </c>
      <c r="B1827" s="128">
        <v>20</v>
      </c>
      <c r="C1827" s="156">
        <v>39114</v>
      </c>
      <c r="D1827" s="157" t="s">
        <v>45</v>
      </c>
      <c r="E1827" s="8">
        <v>2007</v>
      </c>
      <c r="F1827" s="158">
        <f t="shared" si="468"/>
        <v>391</v>
      </c>
      <c r="G1827" s="158">
        <f t="shared" si="469"/>
        <v>2</v>
      </c>
      <c r="H1827" s="172">
        <v>38723</v>
      </c>
      <c r="I1827" s="194">
        <v>544850</v>
      </c>
      <c r="J1827" s="15">
        <v>0.36</v>
      </c>
      <c r="K1827" s="15">
        <v>1.08</v>
      </c>
      <c r="L1827" s="15">
        <v>0.38</v>
      </c>
      <c r="M1827" s="174">
        <v>0</v>
      </c>
      <c r="O1827" s="15">
        <v>0.03</v>
      </c>
      <c r="Q1827" s="11">
        <v>7</v>
      </c>
      <c r="R1827" s="11">
        <v>29</v>
      </c>
      <c r="T1827" s="161">
        <f t="shared" si="473"/>
        <v>588438</v>
      </c>
      <c r="U1827" s="161">
        <f t="shared" si="470"/>
        <v>207043</v>
      </c>
      <c r="V1827" s="161">
        <f t="shared" si="471"/>
        <v>16345.5</v>
      </c>
      <c r="W1827" s="161">
        <f t="shared" si="472"/>
        <v>6538.2000000000007</v>
      </c>
    </row>
    <row r="1828" spans="1:23" ht="12.75" customHeight="1">
      <c r="A1828" s="118">
        <v>1827</v>
      </c>
      <c r="B1828" s="128">
        <v>20</v>
      </c>
      <c r="C1828" s="156">
        <v>39142</v>
      </c>
      <c r="D1828" s="157" t="s">
        <v>46</v>
      </c>
      <c r="E1828" s="8">
        <v>2007</v>
      </c>
      <c r="F1828" s="158">
        <f t="shared" si="468"/>
        <v>419</v>
      </c>
      <c r="G1828" s="158">
        <f t="shared" si="469"/>
        <v>2</v>
      </c>
      <c r="H1828" s="172">
        <v>38723</v>
      </c>
      <c r="I1828" s="194">
        <v>544650</v>
      </c>
      <c r="J1828" s="15">
        <v>7.0000000000000007E-2</v>
      </c>
      <c r="K1828" s="15">
        <v>0.2</v>
      </c>
      <c r="L1828" s="15">
        <v>0.03</v>
      </c>
      <c r="M1828" s="174">
        <v>0</v>
      </c>
      <c r="O1828" s="15">
        <v>0</v>
      </c>
      <c r="Q1828" s="11">
        <v>7</v>
      </c>
      <c r="R1828" s="11">
        <v>29</v>
      </c>
      <c r="T1828" s="161">
        <f t="shared" si="473"/>
        <v>108930</v>
      </c>
      <c r="U1828" s="161">
        <f t="shared" si="470"/>
        <v>16339.5</v>
      </c>
      <c r="V1828" s="161">
        <f t="shared" si="471"/>
        <v>0</v>
      </c>
      <c r="W1828" s="161">
        <f t="shared" si="472"/>
        <v>0</v>
      </c>
    </row>
    <row r="1829" spans="1:23" ht="12.75" customHeight="1">
      <c r="A1829" s="118">
        <v>1828</v>
      </c>
      <c r="B1829" s="128">
        <v>20</v>
      </c>
      <c r="C1829" s="156">
        <v>39173</v>
      </c>
      <c r="D1829" s="157" t="s">
        <v>47</v>
      </c>
      <c r="E1829" s="8">
        <v>2007</v>
      </c>
      <c r="F1829" s="158">
        <f t="shared" si="468"/>
        <v>450</v>
      </c>
      <c r="G1829" s="158">
        <f t="shared" si="469"/>
        <v>2</v>
      </c>
      <c r="H1829" s="172">
        <v>38723</v>
      </c>
      <c r="I1829" s="194">
        <v>544415</v>
      </c>
      <c r="J1829" s="15">
        <v>0.2</v>
      </c>
      <c r="K1829" s="15">
        <v>0</v>
      </c>
      <c r="L1829" s="15">
        <v>0</v>
      </c>
      <c r="M1829" s="174">
        <v>0</v>
      </c>
      <c r="O1829" s="15">
        <v>0</v>
      </c>
      <c r="Q1829" s="11">
        <v>8</v>
      </c>
      <c r="R1829" s="11">
        <v>29</v>
      </c>
      <c r="T1829" s="161">
        <f t="shared" si="473"/>
        <v>0</v>
      </c>
      <c r="U1829" s="161">
        <f t="shared" si="470"/>
        <v>0</v>
      </c>
      <c r="V1829" s="161">
        <f t="shared" si="471"/>
        <v>0</v>
      </c>
      <c r="W1829" s="161">
        <f t="shared" si="472"/>
        <v>0</v>
      </c>
    </row>
    <row r="1830" spans="1:23" ht="12.75" customHeight="1">
      <c r="A1830" s="118">
        <v>1829</v>
      </c>
      <c r="B1830" s="128">
        <v>20</v>
      </c>
      <c r="C1830" s="156">
        <v>39203</v>
      </c>
      <c r="D1830" s="157" t="s">
        <v>48</v>
      </c>
      <c r="E1830" s="8">
        <v>2007</v>
      </c>
      <c r="F1830" s="158">
        <f t="shared" si="468"/>
        <v>480</v>
      </c>
      <c r="G1830" s="158">
        <f t="shared" si="469"/>
        <v>2</v>
      </c>
      <c r="H1830" s="172">
        <v>38723</v>
      </c>
      <c r="I1830" s="194">
        <v>543930</v>
      </c>
      <c r="J1830" s="15">
        <v>0.42</v>
      </c>
      <c r="K1830" s="15">
        <v>0.17</v>
      </c>
      <c r="L1830" s="15">
        <v>0.02</v>
      </c>
      <c r="M1830" s="174">
        <v>0</v>
      </c>
      <c r="O1830" s="15">
        <v>0.02</v>
      </c>
      <c r="Q1830" s="11">
        <v>10</v>
      </c>
      <c r="R1830" s="11">
        <v>29</v>
      </c>
      <c r="T1830" s="161">
        <f t="shared" si="473"/>
        <v>92468.1</v>
      </c>
      <c r="U1830" s="161">
        <f t="shared" si="470"/>
        <v>10878.6</v>
      </c>
      <c r="V1830" s="161">
        <f t="shared" si="471"/>
        <v>10878.6</v>
      </c>
      <c r="W1830" s="161">
        <f t="shared" si="472"/>
        <v>4351.4400000000005</v>
      </c>
    </row>
    <row r="1831" spans="1:23" ht="12.75" customHeight="1">
      <c r="A1831" s="118">
        <v>1830</v>
      </c>
      <c r="B1831" s="128">
        <v>20</v>
      </c>
      <c r="C1831" s="156">
        <v>39234</v>
      </c>
      <c r="D1831" s="157" t="s">
        <v>49</v>
      </c>
      <c r="E1831" s="8">
        <v>2007</v>
      </c>
      <c r="F1831" s="158">
        <f t="shared" si="468"/>
        <v>511</v>
      </c>
      <c r="G1831" s="158">
        <f t="shared" si="469"/>
        <v>2</v>
      </c>
      <c r="H1831" s="172">
        <v>38723</v>
      </c>
      <c r="I1831" s="194">
        <v>534492</v>
      </c>
      <c r="J1831" s="15">
        <v>0.13</v>
      </c>
      <c r="K1831" s="15">
        <v>0.43</v>
      </c>
      <c r="L1831" s="15">
        <v>0.08</v>
      </c>
      <c r="M1831" s="174">
        <v>0</v>
      </c>
      <c r="O1831" s="15">
        <v>0</v>
      </c>
      <c r="Q1831" s="11">
        <v>11</v>
      </c>
      <c r="R1831" s="11">
        <v>20</v>
      </c>
      <c r="T1831" s="161">
        <f t="shared" si="473"/>
        <v>229831.56</v>
      </c>
      <c r="U1831" s="161">
        <f t="shared" si="470"/>
        <v>42759.360000000001</v>
      </c>
      <c r="V1831" s="161">
        <f t="shared" si="471"/>
        <v>0</v>
      </c>
      <c r="W1831" s="161">
        <f t="shared" si="472"/>
        <v>0</v>
      </c>
    </row>
    <row r="1832" spans="1:23" ht="12.75" customHeight="1">
      <c r="A1832" s="118">
        <v>1831</v>
      </c>
      <c r="B1832" s="128">
        <v>20</v>
      </c>
      <c r="C1832" s="156">
        <v>39264</v>
      </c>
      <c r="D1832" s="157" t="s">
        <v>50</v>
      </c>
      <c r="E1832" s="8">
        <v>2007</v>
      </c>
      <c r="F1832" s="158">
        <f t="shared" si="468"/>
        <v>541</v>
      </c>
      <c r="G1832" s="158">
        <f t="shared" si="469"/>
        <v>2</v>
      </c>
      <c r="H1832" s="172">
        <v>38723</v>
      </c>
      <c r="I1832" s="194">
        <v>533769</v>
      </c>
      <c r="J1832" s="15">
        <v>0.03</v>
      </c>
      <c r="K1832" s="15">
        <v>1.02</v>
      </c>
      <c r="L1832" s="15">
        <v>0.45</v>
      </c>
      <c r="M1832" s="174">
        <v>0</v>
      </c>
      <c r="O1832" s="15">
        <v>0.02</v>
      </c>
      <c r="Q1832" s="11">
        <v>11</v>
      </c>
      <c r="R1832" s="11">
        <v>16</v>
      </c>
      <c r="T1832" s="161">
        <f t="shared" si="473"/>
        <v>544444.38</v>
      </c>
      <c r="U1832" s="161">
        <f t="shared" si="470"/>
        <v>240196.05000000002</v>
      </c>
      <c r="V1832" s="161">
        <f t="shared" si="471"/>
        <v>10675.380000000001</v>
      </c>
      <c r="W1832" s="161">
        <f t="shared" si="472"/>
        <v>4270.152000000001</v>
      </c>
    </row>
    <row r="1833" spans="1:23" ht="12.75" customHeight="1">
      <c r="A1833" s="118">
        <v>1832</v>
      </c>
      <c r="B1833" s="128">
        <v>20</v>
      </c>
      <c r="C1833" s="156">
        <v>39295</v>
      </c>
      <c r="D1833" s="157" t="s">
        <v>51</v>
      </c>
      <c r="E1833" s="8">
        <v>2007</v>
      </c>
      <c r="F1833" s="158">
        <f t="shared" si="468"/>
        <v>572</v>
      </c>
      <c r="G1833" s="158">
        <f t="shared" si="469"/>
        <v>2</v>
      </c>
      <c r="H1833" s="172">
        <v>38723</v>
      </c>
      <c r="I1833" s="194">
        <v>524334</v>
      </c>
      <c r="J1833" s="15">
        <v>7.0000000000000007E-2</v>
      </c>
      <c r="K1833" s="15">
        <v>1.02</v>
      </c>
      <c r="L1833" s="15">
        <v>0.55000000000000004</v>
      </c>
      <c r="M1833" s="174">
        <v>0</v>
      </c>
      <c r="O1833" s="15">
        <v>0</v>
      </c>
      <c r="Q1833" s="11">
        <v>11</v>
      </c>
      <c r="R1833" s="11">
        <v>27</v>
      </c>
      <c r="T1833" s="161">
        <f t="shared" si="473"/>
        <v>534820.68000000005</v>
      </c>
      <c r="U1833" s="161">
        <f t="shared" si="470"/>
        <v>288383.7</v>
      </c>
      <c r="V1833" s="161">
        <f t="shared" si="471"/>
        <v>0</v>
      </c>
      <c r="W1833" s="161">
        <f t="shared" si="472"/>
        <v>0</v>
      </c>
    </row>
    <row r="1834" spans="1:23" ht="12.75" customHeight="1">
      <c r="A1834" s="118">
        <v>1833</v>
      </c>
      <c r="B1834" s="128">
        <v>20</v>
      </c>
      <c r="C1834" s="156">
        <v>39326</v>
      </c>
      <c r="D1834" s="157" t="s">
        <v>52</v>
      </c>
      <c r="E1834" s="8">
        <v>2007</v>
      </c>
      <c r="F1834" s="158">
        <f t="shared" si="468"/>
        <v>603</v>
      </c>
      <c r="G1834" s="158">
        <f t="shared" si="469"/>
        <v>2</v>
      </c>
      <c r="H1834" s="172">
        <v>38723</v>
      </c>
      <c r="I1834" s="194">
        <v>520619</v>
      </c>
      <c r="J1834" s="15">
        <v>0.18</v>
      </c>
      <c r="K1834" s="15">
        <v>2.12</v>
      </c>
      <c r="L1834" s="15">
        <v>0.93</v>
      </c>
      <c r="M1834" s="174">
        <v>0</v>
      </c>
      <c r="O1834" s="15">
        <v>0.03</v>
      </c>
      <c r="Q1834" s="11">
        <v>10</v>
      </c>
      <c r="R1834" s="11">
        <v>26</v>
      </c>
      <c r="T1834" s="161">
        <f t="shared" si="473"/>
        <v>1103712.28</v>
      </c>
      <c r="U1834" s="161">
        <f t="shared" si="470"/>
        <v>484175.67000000004</v>
      </c>
      <c r="V1834" s="161">
        <f t="shared" si="471"/>
        <v>15618.57</v>
      </c>
      <c r="W1834" s="161">
        <f t="shared" si="472"/>
        <v>6247.4279999999999</v>
      </c>
    </row>
    <row r="1835" spans="1:23" ht="12.75" customHeight="1">
      <c r="A1835" s="118">
        <v>1834</v>
      </c>
      <c r="B1835" s="128">
        <v>20</v>
      </c>
      <c r="C1835" s="156">
        <v>39356</v>
      </c>
      <c r="D1835" s="157" t="s">
        <v>53</v>
      </c>
      <c r="E1835" s="8">
        <v>2007</v>
      </c>
      <c r="F1835" s="158">
        <f t="shared" si="468"/>
        <v>633</v>
      </c>
      <c r="G1835" s="158">
        <f t="shared" si="469"/>
        <v>2</v>
      </c>
      <c r="H1835" s="172">
        <v>38723</v>
      </c>
      <c r="I1835" s="194">
        <v>517313</v>
      </c>
      <c r="J1835" s="15">
        <v>0.25</v>
      </c>
      <c r="K1835" s="15">
        <v>2.48</v>
      </c>
      <c r="L1835" s="15">
        <v>1.03</v>
      </c>
      <c r="M1835" s="174">
        <v>0</v>
      </c>
      <c r="O1835" s="15">
        <v>0</v>
      </c>
      <c r="Q1835" s="11">
        <v>9</v>
      </c>
      <c r="T1835" s="161">
        <f t="shared" si="473"/>
        <v>1282936.24</v>
      </c>
      <c r="U1835" s="161">
        <f t="shared" si="470"/>
        <v>532832.39</v>
      </c>
      <c r="V1835" s="161">
        <f t="shared" si="471"/>
        <v>0</v>
      </c>
      <c r="W1835" s="161">
        <f t="shared" si="472"/>
        <v>0</v>
      </c>
    </row>
    <row r="1836" spans="1:23" ht="12.75" customHeight="1">
      <c r="A1836" s="118">
        <v>1835</v>
      </c>
      <c r="B1836" s="128">
        <v>20</v>
      </c>
      <c r="C1836" s="156">
        <v>39387</v>
      </c>
      <c r="D1836" s="157" t="s">
        <v>54</v>
      </c>
      <c r="E1836" s="8">
        <v>2007</v>
      </c>
      <c r="F1836" s="158">
        <f t="shared" si="468"/>
        <v>664</v>
      </c>
      <c r="G1836" s="158">
        <f t="shared" si="469"/>
        <v>2</v>
      </c>
      <c r="H1836" s="172">
        <v>38723</v>
      </c>
      <c r="I1836" s="194">
        <v>508130</v>
      </c>
      <c r="J1836" s="15">
        <v>0.08</v>
      </c>
      <c r="K1836" s="15">
        <v>2.72</v>
      </c>
      <c r="L1836" s="15">
        <v>1.28</v>
      </c>
      <c r="M1836" s="174">
        <v>0</v>
      </c>
      <c r="O1836" s="15">
        <v>0.05</v>
      </c>
      <c r="Q1836" s="11">
        <v>8</v>
      </c>
      <c r="T1836" s="161">
        <f t="shared" si="473"/>
        <v>1382113.6</v>
      </c>
      <c r="U1836" s="161">
        <f t="shared" si="470"/>
        <v>650406.40000000002</v>
      </c>
      <c r="V1836" s="161">
        <f t="shared" si="471"/>
        <v>25406.5</v>
      </c>
      <c r="W1836" s="161">
        <f t="shared" si="472"/>
        <v>10162.6</v>
      </c>
    </row>
    <row r="1837" spans="1:23" ht="12.75" customHeight="1">
      <c r="A1837" s="118">
        <v>1836</v>
      </c>
      <c r="B1837" s="128">
        <v>20</v>
      </c>
      <c r="C1837" s="156">
        <v>39417</v>
      </c>
      <c r="D1837" s="157" t="s">
        <v>55</v>
      </c>
      <c r="E1837" s="8">
        <v>2007</v>
      </c>
      <c r="F1837" s="158">
        <f t="shared" si="468"/>
        <v>694</v>
      </c>
      <c r="G1837" s="158">
        <f t="shared" si="469"/>
        <v>2</v>
      </c>
      <c r="H1837" s="172">
        <v>38723</v>
      </c>
      <c r="I1837" s="194">
        <v>406631</v>
      </c>
      <c r="J1837" s="15">
        <v>0.18</v>
      </c>
      <c r="K1837" s="15">
        <v>4.22</v>
      </c>
      <c r="L1837" s="15">
        <v>2.1800000000000002</v>
      </c>
      <c r="M1837" s="174">
        <v>0</v>
      </c>
      <c r="O1837" s="15">
        <v>0.12</v>
      </c>
      <c r="Q1837" s="11">
        <v>7</v>
      </c>
      <c r="T1837" s="161">
        <f t="shared" si="473"/>
        <v>1715982.8199999998</v>
      </c>
      <c r="U1837" s="161">
        <f t="shared" si="470"/>
        <v>886455.58000000007</v>
      </c>
      <c r="V1837" s="161">
        <f t="shared" si="471"/>
        <v>48795.72</v>
      </c>
      <c r="W1837" s="161">
        <f t="shared" si="472"/>
        <v>19518.288</v>
      </c>
    </row>
    <row r="1838" spans="1:23" ht="12.75" customHeight="1">
      <c r="A1838" s="118">
        <v>1837</v>
      </c>
      <c r="B1838" s="128">
        <v>20</v>
      </c>
      <c r="C1838" s="156">
        <v>39448</v>
      </c>
      <c r="D1838" s="157" t="s">
        <v>44</v>
      </c>
      <c r="E1838" s="127">
        <v>2008</v>
      </c>
      <c r="F1838" s="158">
        <f t="shared" si="468"/>
        <v>725</v>
      </c>
      <c r="G1838" s="158">
        <f t="shared" si="469"/>
        <v>2</v>
      </c>
      <c r="H1838" s="172">
        <v>38723</v>
      </c>
      <c r="I1838" s="194">
        <v>406000</v>
      </c>
      <c r="J1838" s="118">
        <v>0.3</v>
      </c>
      <c r="K1838" s="118">
        <v>4.43</v>
      </c>
      <c r="L1838" s="118">
        <v>2.19</v>
      </c>
      <c r="M1838" s="193"/>
      <c r="N1838" s="529"/>
      <c r="O1838" s="118">
        <v>7.0000000000000007E-2</v>
      </c>
      <c r="Q1838" s="158"/>
      <c r="R1838" s="158"/>
      <c r="S1838" s="155" t="s">
        <v>20</v>
      </c>
      <c r="T1838" s="161">
        <f t="shared" si="473"/>
        <v>1798580</v>
      </c>
      <c r="U1838" s="161">
        <f t="shared" si="470"/>
        <v>889140</v>
      </c>
      <c r="V1838" s="161">
        <f t="shared" si="471"/>
        <v>28420.000000000004</v>
      </c>
      <c r="W1838" s="161">
        <f t="shared" si="472"/>
        <v>11368.000000000002</v>
      </c>
    </row>
    <row r="1839" spans="1:23" ht="12.75" customHeight="1">
      <c r="A1839" s="118">
        <v>1838</v>
      </c>
      <c r="B1839" s="128">
        <v>20</v>
      </c>
      <c r="C1839" s="156">
        <v>39479</v>
      </c>
      <c r="D1839" s="157" t="s">
        <v>45</v>
      </c>
      <c r="E1839" s="127">
        <v>2008</v>
      </c>
      <c r="F1839" s="158">
        <f t="shared" si="468"/>
        <v>756</v>
      </c>
      <c r="G1839" s="158">
        <v>3</v>
      </c>
      <c r="H1839" s="172">
        <v>38723</v>
      </c>
      <c r="I1839" s="194">
        <v>113000</v>
      </c>
      <c r="L1839" s="165">
        <v>3</v>
      </c>
      <c r="N1839" s="528" t="s">
        <v>795</v>
      </c>
      <c r="O1839" s="165">
        <v>0.1</v>
      </c>
      <c r="Q1839" s="158"/>
      <c r="R1839" s="158"/>
      <c r="T1839" s="161"/>
      <c r="U1839" s="161">
        <f t="shared" si="470"/>
        <v>339000</v>
      </c>
      <c r="V1839" s="161">
        <f t="shared" si="471"/>
        <v>11300</v>
      </c>
      <c r="W1839" s="161">
        <f t="shared" si="472"/>
        <v>4520</v>
      </c>
    </row>
    <row r="1840" spans="1:23" ht="12.75" customHeight="1">
      <c r="A1840" s="118">
        <v>1839</v>
      </c>
      <c r="B1840" s="128">
        <v>20</v>
      </c>
      <c r="C1840" s="156">
        <v>39508</v>
      </c>
      <c r="D1840" s="157" t="s">
        <v>46</v>
      </c>
      <c r="E1840" s="127">
        <v>2008</v>
      </c>
      <c r="F1840" s="127"/>
      <c r="G1840" s="127"/>
      <c r="H1840" s="172"/>
      <c r="I1840" s="194"/>
      <c r="Q1840" s="158"/>
      <c r="R1840" s="158"/>
      <c r="T1840" s="128"/>
      <c r="U1840" s="118"/>
      <c r="V1840" s="118"/>
      <c r="W1840" s="118"/>
    </row>
    <row r="1841" spans="1:244" ht="12.75" customHeight="1">
      <c r="A1841" s="118">
        <v>1840</v>
      </c>
      <c r="B1841" s="128">
        <v>20</v>
      </c>
      <c r="C1841" s="156">
        <v>39539</v>
      </c>
      <c r="D1841" s="157" t="s">
        <v>47</v>
      </c>
      <c r="E1841" s="127">
        <v>2008</v>
      </c>
      <c r="F1841" s="127"/>
      <c r="G1841" s="127"/>
      <c r="H1841" s="172"/>
      <c r="I1841" s="194"/>
      <c r="Q1841" s="158"/>
      <c r="R1841" s="158"/>
      <c r="T1841" s="128"/>
      <c r="U1841" s="118"/>
      <c r="V1841" s="118"/>
      <c r="W1841" s="118"/>
    </row>
    <row r="1842" spans="1:244" ht="12.75" customHeight="1">
      <c r="A1842" s="118">
        <v>1841</v>
      </c>
      <c r="B1842" s="128">
        <v>20</v>
      </c>
      <c r="C1842" s="156">
        <v>39569</v>
      </c>
      <c r="D1842" s="157" t="s">
        <v>48</v>
      </c>
      <c r="E1842" s="127">
        <v>2008</v>
      </c>
      <c r="F1842" s="127"/>
      <c r="G1842" s="127"/>
      <c r="H1842" s="172"/>
      <c r="I1842" s="194"/>
      <c r="Q1842" s="158"/>
      <c r="R1842" s="158"/>
      <c r="T1842" s="128"/>
      <c r="U1842" s="118"/>
      <c r="V1842" s="118"/>
      <c r="W1842" s="118"/>
    </row>
    <row r="1843" spans="1:244" ht="12.75" customHeight="1">
      <c r="A1843" s="118">
        <v>1842</v>
      </c>
      <c r="B1843" s="128">
        <v>20</v>
      </c>
      <c r="C1843" s="156">
        <v>39600</v>
      </c>
      <c r="D1843" s="157" t="s">
        <v>49</v>
      </c>
      <c r="E1843" s="127">
        <v>2008</v>
      </c>
      <c r="F1843" s="127"/>
      <c r="G1843" s="127"/>
      <c r="H1843" s="172"/>
      <c r="I1843" s="194"/>
      <c r="Q1843" s="158"/>
      <c r="R1843" s="158"/>
      <c r="T1843" s="128"/>
      <c r="U1843" s="118"/>
      <c r="V1843" s="118"/>
      <c r="W1843" s="118"/>
    </row>
    <row r="1844" spans="1:244">
      <c r="A1844" s="118">
        <v>1843</v>
      </c>
      <c r="B1844" s="128">
        <v>20</v>
      </c>
      <c r="C1844" s="156">
        <v>39630</v>
      </c>
      <c r="D1844" s="176" t="s">
        <v>50</v>
      </c>
      <c r="E1844" s="127">
        <v>2008</v>
      </c>
      <c r="F1844" s="127"/>
      <c r="G1844" s="127"/>
      <c r="H1844" s="172"/>
      <c r="I1844" s="194"/>
      <c r="R1844" s="158"/>
      <c r="S1844" s="239"/>
      <c r="T1844" s="128"/>
      <c r="U1844" s="128"/>
      <c r="V1844" s="118"/>
      <c r="W1844" s="118"/>
    </row>
    <row r="1845" spans="1:244">
      <c r="A1845" s="118">
        <v>1844</v>
      </c>
      <c r="B1845" s="128">
        <v>20</v>
      </c>
      <c r="C1845" s="156">
        <v>39661</v>
      </c>
      <c r="D1845" s="176" t="s">
        <v>51</v>
      </c>
      <c r="E1845" s="127">
        <v>2008</v>
      </c>
      <c r="F1845" s="158">
        <f t="shared" ref="F1845:F1855" si="474">C1845-H1845</f>
        <v>244</v>
      </c>
      <c r="G1845" s="158">
        <f t="shared" ref="G1845:G1855" si="475">IF(F1845&lt;365,1,2)</f>
        <v>1</v>
      </c>
      <c r="H1845" s="175">
        <v>39417</v>
      </c>
      <c r="I1845" s="194">
        <v>524000</v>
      </c>
      <c r="J1845" s="15">
        <v>7.0000000000000007E-2</v>
      </c>
      <c r="K1845" s="15">
        <v>0.2</v>
      </c>
      <c r="L1845" s="15">
        <v>0</v>
      </c>
      <c r="O1845" s="15">
        <v>0</v>
      </c>
      <c r="R1845" s="158"/>
      <c r="S1845" s="239" t="s">
        <v>343</v>
      </c>
      <c r="T1845" s="161">
        <f t="shared" ref="T1845:T1855" si="476">$I1845*K1845</f>
        <v>104800</v>
      </c>
      <c r="U1845" s="161">
        <f t="shared" ref="U1845:U1855" si="477">$I1845*L1845</f>
        <v>0</v>
      </c>
      <c r="V1845" s="161">
        <f t="shared" ref="V1845:V1855" si="478">$I1845*O1845</f>
        <v>0</v>
      </c>
      <c r="W1845" s="161">
        <f t="shared" ref="W1845:W1861" si="479">V1845*0.4</f>
        <v>0</v>
      </c>
    </row>
    <row r="1846" spans="1:244">
      <c r="A1846" s="118">
        <v>1845</v>
      </c>
      <c r="B1846" s="128">
        <v>20</v>
      </c>
      <c r="C1846" s="156">
        <v>39692</v>
      </c>
      <c r="D1846" s="176" t="s">
        <v>52</v>
      </c>
      <c r="E1846" s="127">
        <v>2008</v>
      </c>
      <c r="F1846" s="158">
        <f t="shared" si="474"/>
        <v>275</v>
      </c>
      <c r="G1846" s="158">
        <f t="shared" si="475"/>
        <v>1</v>
      </c>
      <c r="H1846" s="175">
        <v>39417</v>
      </c>
      <c r="I1846" s="194">
        <v>524000</v>
      </c>
      <c r="J1846" s="15">
        <v>0.33</v>
      </c>
      <c r="K1846" s="15">
        <v>0.17</v>
      </c>
      <c r="L1846" s="15">
        <v>0.05</v>
      </c>
      <c r="M1846" s="174">
        <v>0</v>
      </c>
      <c r="O1846" s="15">
        <v>0</v>
      </c>
      <c r="R1846" s="158"/>
      <c r="S1846" s="239"/>
      <c r="T1846" s="161">
        <f t="shared" si="476"/>
        <v>89080</v>
      </c>
      <c r="U1846" s="161">
        <f t="shared" si="477"/>
        <v>26200</v>
      </c>
      <c r="V1846" s="161">
        <f t="shared" si="478"/>
        <v>0</v>
      </c>
      <c r="W1846" s="161">
        <f t="shared" si="479"/>
        <v>0</v>
      </c>
    </row>
    <row r="1847" spans="1:244">
      <c r="A1847" s="118">
        <v>1846</v>
      </c>
      <c r="B1847" s="128">
        <v>20</v>
      </c>
      <c r="C1847" s="156">
        <v>39722</v>
      </c>
      <c r="D1847" s="176" t="s">
        <v>53</v>
      </c>
      <c r="E1847" s="127">
        <v>2008</v>
      </c>
      <c r="F1847" s="158">
        <f t="shared" si="474"/>
        <v>305</v>
      </c>
      <c r="G1847" s="158">
        <f t="shared" si="475"/>
        <v>1</v>
      </c>
      <c r="H1847" s="175">
        <v>39417</v>
      </c>
      <c r="I1847" s="194">
        <v>524000</v>
      </c>
      <c r="J1847" s="15">
        <v>1.25</v>
      </c>
      <c r="K1847" s="15">
        <v>0.72</v>
      </c>
      <c r="L1847" s="15">
        <v>0.27</v>
      </c>
      <c r="M1847" s="174">
        <v>1</v>
      </c>
      <c r="O1847" s="15">
        <v>0.53</v>
      </c>
      <c r="R1847" s="158"/>
      <c r="S1847" s="239"/>
      <c r="T1847" s="161">
        <f t="shared" si="476"/>
        <v>377280</v>
      </c>
      <c r="U1847" s="161">
        <f t="shared" si="477"/>
        <v>141480</v>
      </c>
      <c r="V1847" s="161">
        <f t="shared" si="478"/>
        <v>277720</v>
      </c>
      <c r="W1847" s="161">
        <f t="shared" si="479"/>
        <v>111088</v>
      </c>
    </row>
    <row r="1848" spans="1:244">
      <c r="A1848" s="118">
        <v>1847</v>
      </c>
      <c r="B1848" s="128">
        <v>20</v>
      </c>
      <c r="C1848" s="156">
        <v>39753</v>
      </c>
      <c r="D1848" s="176" t="s">
        <v>54</v>
      </c>
      <c r="E1848" s="127">
        <v>2008</v>
      </c>
      <c r="F1848" s="158">
        <f t="shared" si="474"/>
        <v>336</v>
      </c>
      <c r="G1848" s="158">
        <f t="shared" si="475"/>
        <v>1</v>
      </c>
      <c r="H1848" s="175">
        <v>39417</v>
      </c>
      <c r="I1848" s="194">
        <v>524000</v>
      </c>
      <c r="J1848" s="15">
        <v>2.65</v>
      </c>
      <c r="K1848" s="15">
        <v>1.72</v>
      </c>
      <c r="L1848" s="15">
        <v>0.1</v>
      </c>
      <c r="M1848" s="174">
        <v>0</v>
      </c>
      <c r="O1848" s="15">
        <v>0.05</v>
      </c>
      <c r="R1848" s="158"/>
      <c r="S1848" s="239"/>
      <c r="T1848" s="161">
        <f t="shared" si="476"/>
        <v>901280</v>
      </c>
      <c r="U1848" s="161">
        <f t="shared" si="477"/>
        <v>52400</v>
      </c>
      <c r="V1848" s="161">
        <f t="shared" si="478"/>
        <v>26200</v>
      </c>
      <c r="W1848" s="161">
        <f t="shared" si="479"/>
        <v>10480</v>
      </c>
    </row>
    <row r="1849" spans="1:244">
      <c r="A1849" s="118">
        <v>1848</v>
      </c>
      <c r="B1849" s="128">
        <v>20</v>
      </c>
      <c r="C1849" s="156">
        <v>39783</v>
      </c>
      <c r="D1849" s="176" t="s">
        <v>55</v>
      </c>
      <c r="E1849" s="127">
        <v>2008</v>
      </c>
      <c r="F1849" s="158">
        <f t="shared" si="474"/>
        <v>366</v>
      </c>
      <c r="G1849" s="158">
        <f t="shared" si="475"/>
        <v>2</v>
      </c>
      <c r="H1849" s="175">
        <v>39417</v>
      </c>
      <c r="I1849" s="194">
        <v>522000</v>
      </c>
      <c r="J1849" s="164">
        <v>3.45</v>
      </c>
      <c r="K1849" s="164">
        <v>0.71666666666666667</v>
      </c>
      <c r="L1849" s="164">
        <v>0.25</v>
      </c>
      <c r="M1849" s="193">
        <v>1</v>
      </c>
      <c r="N1849" s="529"/>
      <c r="O1849" s="164">
        <v>0.16666666666666666</v>
      </c>
      <c r="R1849" s="158"/>
      <c r="S1849" s="239"/>
      <c r="T1849" s="161">
        <f t="shared" si="476"/>
        <v>374100</v>
      </c>
      <c r="U1849" s="161">
        <f t="shared" si="477"/>
        <v>130500</v>
      </c>
      <c r="V1849" s="161">
        <f t="shared" si="478"/>
        <v>87000</v>
      </c>
      <c r="W1849" s="161">
        <f t="shared" si="479"/>
        <v>34800</v>
      </c>
    </row>
    <row r="1850" spans="1:244" ht="12.75" customHeight="1">
      <c r="A1850" s="118">
        <v>1849</v>
      </c>
      <c r="B1850" s="128">
        <v>20</v>
      </c>
      <c r="C1850" s="156">
        <v>39814</v>
      </c>
      <c r="D1850" s="157" t="s">
        <v>44</v>
      </c>
      <c r="E1850" s="127">
        <v>2009</v>
      </c>
      <c r="F1850" s="158">
        <f t="shared" si="474"/>
        <v>397</v>
      </c>
      <c r="G1850" s="158">
        <f t="shared" si="475"/>
        <v>2</v>
      </c>
      <c r="H1850" s="178">
        <v>39417</v>
      </c>
      <c r="I1850" s="125">
        <v>522214</v>
      </c>
      <c r="J1850" s="164">
        <v>4.03</v>
      </c>
      <c r="K1850" s="164">
        <v>0.4</v>
      </c>
      <c r="L1850" s="164">
        <v>0.13</v>
      </c>
      <c r="M1850" s="193">
        <v>0</v>
      </c>
      <c r="N1850" s="529"/>
      <c r="O1850" s="164">
        <v>0</v>
      </c>
      <c r="P1850" s="118">
        <v>1</v>
      </c>
      <c r="Q1850" s="118"/>
      <c r="R1850" s="118"/>
      <c r="S1850" s="247"/>
      <c r="T1850" s="161">
        <f t="shared" si="476"/>
        <v>208885.6</v>
      </c>
      <c r="U1850" s="161">
        <f t="shared" si="477"/>
        <v>67887.820000000007</v>
      </c>
      <c r="V1850" s="161">
        <f t="shared" si="478"/>
        <v>0</v>
      </c>
      <c r="W1850" s="161">
        <f t="shared" si="479"/>
        <v>0</v>
      </c>
    </row>
    <row r="1851" spans="1:244" s="127" customFormat="1" ht="12.75" customHeight="1">
      <c r="A1851" s="118">
        <v>1850</v>
      </c>
      <c r="B1851" s="128">
        <v>20</v>
      </c>
      <c r="C1851" s="156">
        <v>39845</v>
      </c>
      <c r="D1851" s="157" t="s">
        <v>45</v>
      </c>
      <c r="E1851" s="127">
        <v>2009</v>
      </c>
      <c r="F1851" s="158">
        <f t="shared" si="474"/>
        <v>428</v>
      </c>
      <c r="G1851" s="158">
        <f t="shared" si="475"/>
        <v>2</v>
      </c>
      <c r="H1851" s="178">
        <v>39417</v>
      </c>
      <c r="I1851" s="125">
        <v>521909</v>
      </c>
      <c r="J1851" s="164">
        <v>0.02</v>
      </c>
      <c r="K1851" s="164">
        <v>0.48</v>
      </c>
      <c r="L1851" s="164">
        <v>0.17</v>
      </c>
      <c r="M1851" s="193">
        <v>0</v>
      </c>
      <c r="N1851" s="529"/>
      <c r="O1851" s="164">
        <v>0</v>
      </c>
      <c r="P1851" s="118"/>
      <c r="Q1851" s="118"/>
      <c r="R1851" s="118"/>
      <c r="S1851" s="221"/>
      <c r="T1851" s="161">
        <f t="shared" si="476"/>
        <v>250516.31999999998</v>
      </c>
      <c r="U1851" s="161">
        <f t="shared" si="477"/>
        <v>88724.530000000013</v>
      </c>
      <c r="V1851" s="161">
        <f t="shared" si="478"/>
        <v>0</v>
      </c>
      <c r="W1851" s="161">
        <f t="shared" si="479"/>
        <v>0</v>
      </c>
      <c r="X1851" s="118"/>
      <c r="Y1851" s="118"/>
      <c r="Z1851" s="118"/>
      <c r="AA1851" s="118"/>
      <c r="AB1851" s="118"/>
      <c r="AC1851" s="118"/>
      <c r="AD1851" s="118"/>
      <c r="AE1851" s="118"/>
      <c r="AF1851" s="118"/>
      <c r="AG1851" s="118"/>
      <c r="AH1851" s="118"/>
      <c r="AI1851" s="118"/>
      <c r="AJ1851" s="118"/>
      <c r="AK1851" s="118"/>
      <c r="AL1851" s="118"/>
      <c r="AM1851" s="118"/>
      <c r="AN1851" s="118"/>
      <c r="AO1851" s="118"/>
      <c r="AP1851" s="118"/>
      <c r="AQ1851" s="118"/>
      <c r="AR1851" s="118"/>
      <c r="AS1851" s="118"/>
      <c r="AT1851" s="118"/>
      <c r="AU1851" s="118"/>
      <c r="AV1851" s="118"/>
      <c r="AW1851" s="118"/>
      <c r="AX1851" s="118"/>
      <c r="AY1851" s="118"/>
      <c r="AZ1851" s="118"/>
      <c r="BA1851" s="118"/>
      <c r="BB1851" s="118"/>
      <c r="BC1851" s="118"/>
      <c r="BD1851" s="118"/>
      <c r="BE1851" s="118"/>
      <c r="BF1851" s="118"/>
      <c r="BG1851" s="118"/>
      <c r="BH1851" s="118"/>
      <c r="BI1851" s="118"/>
      <c r="BJ1851" s="118"/>
      <c r="BK1851" s="118"/>
      <c r="BL1851" s="118"/>
      <c r="BM1851" s="118"/>
      <c r="BN1851" s="118"/>
      <c r="BO1851" s="118"/>
      <c r="BP1851" s="118"/>
      <c r="BQ1851" s="118"/>
      <c r="BR1851" s="118"/>
      <c r="BS1851" s="118"/>
      <c r="BT1851" s="118"/>
      <c r="BU1851" s="118"/>
      <c r="BV1851" s="118"/>
      <c r="BW1851" s="118"/>
      <c r="BX1851" s="118"/>
      <c r="BY1851" s="118"/>
      <c r="BZ1851" s="118"/>
      <c r="CA1851" s="118"/>
      <c r="CB1851" s="118"/>
      <c r="CC1851" s="118"/>
      <c r="CD1851" s="118"/>
      <c r="CE1851" s="118"/>
      <c r="CF1851" s="118"/>
      <c r="CG1851" s="118"/>
      <c r="CH1851" s="118"/>
      <c r="CI1851" s="118"/>
      <c r="CJ1851" s="118"/>
      <c r="CK1851" s="118"/>
      <c r="CL1851" s="118"/>
      <c r="CM1851" s="118"/>
      <c r="CN1851" s="118"/>
      <c r="CO1851" s="118"/>
      <c r="CP1851" s="118"/>
      <c r="CQ1851" s="118"/>
      <c r="CR1851" s="118"/>
      <c r="CS1851" s="118"/>
      <c r="CT1851" s="118"/>
      <c r="CU1851" s="118"/>
      <c r="CV1851" s="118"/>
      <c r="CW1851" s="118"/>
      <c r="CX1851" s="118"/>
      <c r="CY1851" s="118"/>
      <c r="CZ1851" s="118"/>
      <c r="DA1851" s="118"/>
      <c r="DB1851" s="118"/>
      <c r="DC1851" s="118"/>
      <c r="DD1851" s="118"/>
      <c r="DE1851" s="118"/>
      <c r="DF1851" s="118"/>
      <c r="DG1851" s="118"/>
      <c r="DH1851" s="118"/>
      <c r="DI1851" s="118"/>
      <c r="DJ1851" s="118"/>
      <c r="DK1851" s="118"/>
      <c r="DL1851" s="118"/>
      <c r="DM1851" s="118"/>
      <c r="DN1851" s="118"/>
      <c r="DO1851" s="118"/>
      <c r="DP1851" s="118"/>
      <c r="DQ1851" s="118"/>
      <c r="DR1851" s="118"/>
      <c r="DS1851" s="118"/>
      <c r="DT1851" s="118"/>
      <c r="DU1851" s="118"/>
      <c r="DV1851" s="118"/>
      <c r="DW1851" s="118"/>
      <c r="DX1851" s="118"/>
      <c r="DY1851" s="118"/>
      <c r="DZ1851" s="118"/>
      <c r="EA1851" s="118"/>
      <c r="EB1851" s="118"/>
      <c r="EC1851" s="118"/>
      <c r="ED1851" s="118"/>
      <c r="EE1851" s="118"/>
      <c r="EF1851" s="118"/>
      <c r="EG1851" s="118"/>
      <c r="EH1851" s="118"/>
      <c r="EI1851" s="118"/>
      <c r="EJ1851" s="118"/>
      <c r="EK1851" s="118"/>
      <c r="EL1851" s="118"/>
      <c r="EM1851" s="118"/>
      <c r="EN1851" s="118"/>
      <c r="EO1851" s="118"/>
      <c r="EP1851" s="118"/>
      <c r="EQ1851" s="118"/>
      <c r="ER1851" s="118"/>
      <c r="ES1851" s="118"/>
      <c r="ET1851" s="118"/>
      <c r="EU1851" s="118"/>
      <c r="EV1851" s="118"/>
      <c r="EW1851" s="118"/>
      <c r="EX1851" s="118"/>
      <c r="EY1851" s="118"/>
      <c r="EZ1851" s="118"/>
      <c r="FA1851" s="118"/>
      <c r="FB1851" s="118"/>
      <c r="FC1851" s="118"/>
      <c r="FD1851" s="118"/>
      <c r="FE1851" s="118"/>
      <c r="FF1851" s="118"/>
      <c r="FG1851" s="118"/>
      <c r="FH1851" s="118"/>
      <c r="FI1851" s="118"/>
      <c r="FJ1851" s="118"/>
      <c r="FK1851" s="118"/>
      <c r="FL1851" s="118"/>
      <c r="FM1851" s="118"/>
      <c r="FN1851" s="118"/>
      <c r="FO1851" s="118"/>
      <c r="FP1851" s="118"/>
      <c r="FQ1851" s="118"/>
      <c r="FR1851" s="118"/>
      <c r="FS1851" s="118"/>
      <c r="FT1851" s="118"/>
      <c r="FU1851" s="118"/>
      <c r="FV1851" s="118"/>
      <c r="FW1851" s="118"/>
      <c r="FX1851" s="118"/>
      <c r="FY1851" s="118"/>
      <c r="FZ1851" s="118"/>
      <c r="GA1851" s="118"/>
      <c r="GB1851" s="118"/>
      <c r="GC1851" s="118"/>
      <c r="GD1851" s="118"/>
      <c r="GE1851" s="118"/>
      <c r="GF1851" s="118"/>
      <c r="GG1851" s="118"/>
      <c r="GH1851" s="118"/>
      <c r="GI1851" s="118"/>
      <c r="GJ1851" s="118"/>
      <c r="GK1851" s="118"/>
      <c r="GL1851" s="118"/>
      <c r="GM1851" s="118"/>
      <c r="GN1851" s="118"/>
      <c r="GO1851" s="118"/>
      <c r="GP1851" s="118"/>
      <c r="GQ1851" s="118"/>
      <c r="GR1851" s="118"/>
      <c r="GS1851" s="118"/>
      <c r="GT1851" s="118"/>
      <c r="GU1851" s="118"/>
      <c r="GV1851" s="118"/>
      <c r="GW1851" s="118"/>
      <c r="GX1851" s="118"/>
      <c r="GY1851" s="118"/>
      <c r="GZ1851" s="118"/>
      <c r="HA1851" s="118"/>
      <c r="HB1851" s="118"/>
      <c r="HC1851" s="118"/>
      <c r="HD1851" s="118"/>
      <c r="HE1851" s="118"/>
      <c r="HF1851" s="118"/>
      <c r="HG1851" s="118"/>
      <c r="HH1851" s="118"/>
      <c r="HI1851" s="118"/>
      <c r="HJ1851" s="118"/>
      <c r="HK1851" s="118"/>
      <c r="HL1851" s="118"/>
      <c r="HM1851" s="118"/>
      <c r="HN1851" s="118"/>
      <c r="HO1851" s="118"/>
      <c r="HP1851" s="118"/>
      <c r="HQ1851" s="118"/>
      <c r="HR1851" s="118"/>
      <c r="HS1851" s="118"/>
      <c r="HT1851" s="118"/>
      <c r="HU1851" s="118"/>
      <c r="HV1851" s="118"/>
      <c r="HW1851" s="118"/>
      <c r="HX1851" s="118"/>
      <c r="HY1851" s="118"/>
      <c r="HZ1851" s="118"/>
      <c r="IA1851" s="118"/>
      <c r="IB1851" s="118"/>
      <c r="IC1851" s="118"/>
      <c r="ID1851" s="118"/>
      <c r="IE1851" s="118"/>
      <c r="IF1851" s="118"/>
      <c r="IG1851" s="118"/>
      <c r="IH1851" s="118"/>
      <c r="II1851" s="118"/>
      <c r="IJ1851" s="118"/>
    </row>
    <row r="1852" spans="1:244" s="127" customFormat="1" ht="12.75" customHeight="1">
      <c r="A1852" s="118">
        <v>1851</v>
      </c>
      <c r="B1852" s="128">
        <v>20</v>
      </c>
      <c r="C1852" s="156">
        <v>39873</v>
      </c>
      <c r="D1852" s="157" t="s">
        <v>46</v>
      </c>
      <c r="E1852" s="127">
        <v>2009</v>
      </c>
      <c r="F1852" s="158">
        <f t="shared" si="474"/>
        <v>456</v>
      </c>
      <c r="G1852" s="158">
        <f t="shared" si="475"/>
        <v>2</v>
      </c>
      <c r="H1852" s="178">
        <v>39417</v>
      </c>
      <c r="I1852" s="125">
        <v>521236</v>
      </c>
      <c r="J1852" s="164">
        <v>0.05</v>
      </c>
      <c r="K1852" s="164">
        <v>0.13</v>
      </c>
      <c r="L1852" s="164">
        <v>0.05</v>
      </c>
      <c r="M1852" s="193">
        <v>0</v>
      </c>
      <c r="N1852" s="529"/>
      <c r="O1852" s="164">
        <v>0.02</v>
      </c>
      <c r="P1852" s="118"/>
      <c r="Q1852" s="118"/>
      <c r="R1852" s="118"/>
      <c r="S1852" s="221"/>
      <c r="T1852" s="161">
        <f t="shared" si="476"/>
        <v>67760.680000000008</v>
      </c>
      <c r="U1852" s="161">
        <f t="shared" si="477"/>
        <v>26061.800000000003</v>
      </c>
      <c r="V1852" s="161">
        <f t="shared" si="478"/>
        <v>10424.719999999999</v>
      </c>
      <c r="W1852" s="161">
        <f t="shared" si="479"/>
        <v>4169.8879999999999</v>
      </c>
      <c r="X1852" s="118"/>
      <c r="Y1852" s="118"/>
      <c r="Z1852" s="118"/>
      <c r="AA1852" s="118"/>
      <c r="AB1852" s="118"/>
      <c r="AC1852" s="118"/>
      <c r="AD1852" s="118"/>
      <c r="AE1852" s="118"/>
      <c r="AF1852" s="118"/>
      <c r="AG1852" s="118"/>
      <c r="AH1852" s="118"/>
      <c r="AI1852" s="118"/>
      <c r="AJ1852" s="118"/>
      <c r="AK1852" s="118"/>
      <c r="AL1852" s="118"/>
      <c r="AM1852" s="118"/>
      <c r="AN1852" s="118"/>
      <c r="AO1852" s="118"/>
      <c r="AP1852" s="118"/>
      <c r="AQ1852" s="118"/>
      <c r="AR1852" s="118"/>
      <c r="AS1852" s="118"/>
      <c r="AT1852" s="118"/>
      <c r="AU1852" s="118"/>
      <c r="AV1852" s="118"/>
      <c r="AW1852" s="118"/>
      <c r="AX1852" s="118"/>
      <c r="AY1852" s="118"/>
      <c r="AZ1852" s="118"/>
      <c r="BA1852" s="118"/>
      <c r="BB1852" s="118"/>
      <c r="BC1852" s="118"/>
      <c r="BD1852" s="118"/>
      <c r="BE1852" s="118"/>
      <c r="BF1852" s="118"/>
      <c r="BG1852" s="118"/>
      <c r="BH1852" s="118"/>
      <c r="BI1852" s="118"/>
      <c r="BJ1852" s="118"/>
      <c r="BK1852" s="118"/>
      <c r="BL1852" s="118"/>
      <c r="BM1852" s="118"/>
      <c r="BN1852" s="118"/>
      <c r="BO1852" s="118"/>
      <c r="BP1852" s="118"/>
      <c r="BQ1852" s="118"/>
      <c r="BR1852" s="118"/>
      <c r="BS1852" s="118"/>
      <c r="BT1852" s="118"/>
      <c r="BU1852" s="118"/>
      <c r="BV1852" s="118"/>
      <c r="BW1852" s="118"/>
      <c r="BX1852" s="118"/>
      <c r="BY1852" s="118"/>
      <c r="BZ1852" s="118"/>
      <c r="CA1852" s="118"/>
      <c r="CB1852" s="118"/>
      <c r="CC1852" s="118"/>
      <c r="CD1852" s="118"/>
      <c r="CE1852" s="118"/>
      <c r="CF1852" s="118"/>
      <c r="CG1852" s="118"/>
      <c r="CH1852" s="118"/>
      <c r="CI1852" s="118"/>
      <c r="CJ1852" s="118"/>
      <c r="CK1852" s="118"/>
      <c r="CL1852" s="118"/>
      <c r="CM1852" s="118"/>
      <c r="CN1852" s="118"/>
      <c r="CO1852" s="118"/>
      <c r="CP1852" s="118"/>
      <c r="CQ1852" s="118"/>
      <c r="CR1852" s="118"/>
      <c r="CS1852" s="118"/>
      <c r="CT1852" s="118"/>
      <c r="CU1852" s="118"/>
      <c r="CV1852" s="118"/>
      <c r="CW1852" s="118"/>
      <c r="CX1852" s="118"/>
      <c r="CY1852" s="118"/>
      <c r="CZ1852" s="118"/>
      <c r="DA1852" s="118"/>
      <c r="DB1852" s="118"/>
      <c r="DC1852" s="118"/>
      <c r="DD1852" s="118"/>
      <c r="DE1852" s="118"/>
      <c r="DF1852" s="118"/>
      <c r="DG1852" s="118"/>
      <c r="DH1852" s="118"/>
      <c r="DI1852" s="118"/>
      <c r="DJ1852" s="118"/>
      <c r="DK1852" s="118"/>
      <c r="DL1852" s="118"/>
      <c r="DM1852" s="118"/>
      <c r="DN1852" s="118"/>
      <c r="DO1852" s="118"/>
      <c r="DP1852" s="118"/>
      <c r="DQ1852" s="118"/>
      <c r="DR1852" s="118"/>
      <c r="DS1852" s="118"/>
      <c r="DT1852" s="118"/>
      <c r="DU1852" s="118"/>
      <c r="DV1852" s="118"/>
      <c r="DW1852" s="118"/>
      <c r="DX1852" s="118"/>
      <c r="DY1852" s="118"/>
      <c r="DZ1852" s="118"/>
      <c r="EA1852" s="118"/>
      <c r="EB1852" s="118"/>
      <c r="EC1852" s="118"/>
      <c r="ED1852" s="118"/>
      <c r="EE1852" s="118"/>
      <c r="EF1852" s="118"/>
      <c r="EG1852" s="118"/>
      <c r="EH1852" s="118"/>
      <c r="EI1852" s="118"/>
      <c r="EJ1852" s="118"/>
      <c r="EK1852" s="118"/>
      <c r="EL1852" s="118"/>
      <c r="EM1852" s="118"/>
      <c r="EN1852" s="118"/>
      <c r="EO1852" s="118"/>
      <c r="EP1852" s="118"/>
      <c r="EQ1852" s="118"/>
      <c r="ER1852" s="118"/>
      <c r="ES1852" s="118"/>
      <c r="ET1852" s="118"/>
      <c r="EU1852" s="118"/>
      <c r="EV1852" s="118"/>
      <c r="EW1852" s="118"/>
      <c r="EX1852" s="118"/>
      <c r="EY1852" s="118"/>
      <c r="EZ1852" s="118"/>
      <c r="FA1852" s="118"/>
      <c r="FB1852" s="118"/>
      <c r="FC1852" s="118"/>
      <c r="FD1852" s="118"/>
      <c r="FE1852" s="118"/>
      <c r="FF1852" s="118"/>
      <c r="FG1852" s="118"/>
      <c r="FH1852" s="118"/>
      <c r="FI1852" s="118"/>
      <c r="FJ1852" s="118"/>
      <c r="FK1852" s="118"/>
      <c r="FL1852" s="118"/>
      <c r="FM1852" s="118"/>
      <c r="FN1852" s="118"/>
      <c r="FO1852" s="118"/>
      <c r="FP1852" s="118"/>
      <c r="FQ1852" s="118"/>
      <c r="FR1852" s="118"/>
      <c r="FS1852" s="118"/>
      <c r="FT1852" s="118"/>
      <c r="FU1852" s="118"/>
      <c r="FV1852" s="118"/>
      <c r="FW1852" s="118"/>
      <c r="FX1852" s="118"/>
      <c r="FY1852" s="118"/>
      <c r="FZ1852" s="118"/>
      <c r="GA1852" s="118"/>
      <c r="GB1852" s="118"/>
      <c r="GC1852" s="118"/>
      <c r="GD1852" s="118"/>
      <c r="GE1852" s="118"/>
      <c r="GF1852" s="118"/>
      <c r="GG1852" s="118"/>
      <c r="GH1852" s="118"/>
      <c r="GI1852" s="118"/>
      <c r="GJ1852" s="118"/>
      <c r="GK1852" s="118"/>
      <c r="GL1852" s="118"/>
      <c r="GM1852" s="118"/>
      <c r="GN1852" s="118"/>
      <c r="GO1852" s="118"/>
      <c r="GP1852" s="118"/>
      <c r="GQ1852" s="118"/>
      <c r="GR1852" s="118"/>
      <c r="GS1852" s="118"/>
      <c r="GT1852" s="118"/>
      <c r="GU1852" s="118"/>
      <c r="GV1852" s="118"/>
      <c r="GW1852" s="118"/>
      <c r="GX1852" s="118"/>
      <c r="GY1852" s="118"/>
      <c r="GZ1852" s="118"/>
      <c r="HA1852" s="118"/>
      <c r="HB1852" s="118"/>
      <c r="HC1852" s="118"/>
      <c r="HD1852" s="118"/>
      <c r="HE1852" s="118"/>
      <c r="HF1852" s="118"/>
      <c r="HG1852" s="118"/>
      <c r="HH1852" s="118"/>
      <c r="HI1852" s="118"/>
      <c r="HJ1852" s="118"/>
      <c r="HK1852" s="118"/>
      <c r="HL1852" s="118"/>
      <c r="HM1852" s="118"/>
      <c r="HN1852" s="118"/>
      <c r="HO1852" s="118"/>
      <c r="HP1852" s="118"/>
      <c r="HQ1852" s="118"/>
      <c r="HR1852" s="118"/>
      <c r="HS1852" s="118"/>
      <c r="HT1852" s="118"/>
      <c r="HU1852" s="118"/>
      <c r="HV1852" s="118"/>
      <c r="HW1852" s="118"/>
      <c r="HX1852" s="118"/>
      <c r="HY1852" s="118"/>
      <c r="HZ1852" s="118"/>
      <c r="IA1852" s="118"/>
      <c r="IB1852" s="118"/>
      <c r="IC1852" s="118"/>
      <c r="ID1852" s="118"/>
      <c r="IE1852" s="118"/>
      <c r="IF1852" s="118"/>
      <c r="IG1852" s="118"/>
      <c r="IH1852" s="118"/>
      <c r="II1852" s="118"/>
      <c r="IJ1852" s="118"/>
    </row>
    <row r="1853" spans="1:244" s="127" customFormat="1" ht="12.75" customHeight="1">
      <c r="A1853" s="118">
        <v>1852</v>
      </c>
      <c r="B1853" s="128">
        <v>20</v>
      </c>
      <c r="C1853" s="156">
        <v>39904</v>
      </c>
      <c r="D1853" s="157" t="s">
        <v>47</v>
      </c>
      <c r="E1853" s="127">
        <v>2009</v>
      </c>
      <c r="F1853" s="158">
        <f t="shared" si="474"/>
        <v>487</v>
      </c>
      <c r="G1853" s="158">
        <f t="shared" si="475"/>
        <v>2</v>
      </c>
      <c r="H1853" s="178">
        <v>39417</v>
      </c>
      <c r="I1853" s="125">
        <v>520309</v>
      </c>
      <c r="J1853" s="164">
        <v>7.0000000000000007E-2</v>
      </c>
      <c r="K1853" s="164">
        <v>7.0000000000000007E-2</v>
      </c>
      <c r="L1853" s="164">
        <v>0</v>
      </c>
      <c r="M1853" s="193">
        <v>0</v>
      </c>
      <c r="N1853" s="529"/>
      <c r="O1853" s="164">
        <v>0.03</v>
      </c>
      <c r="P1853" s="118"/>
      <c r="Q1853" s="118"/>
      <c r="R1853" s="118"/>
      <c r="S1853" s="221"/>
      <c r="T1853" s="161">
        <f t="shared" si="476"/>
        <v>36421.630000000005</v>
      </c>
      <c r="U1853" s="161">
        <f t="shared" si="477"/>
        <v>0</v>
      </c>
      <c r="V1853" s="161">
        <f t="shared" si="478"/>
        <v>15609.269999999999</v>
      </c>
      <c r="W1853" s="161">
        <f t="shared" si="479"/>
        <v>6243.7079999999996</v>
      </c>
      <c r="X1853" s="118"/>
      <c r="Y1853" s="118"/>
      <c r="Z1853" s="118"/>
      <c r="AA1853" s="118"/>
      <c r="AB1853" s="118"/>
      <c r="AC1853" s="118"/>
      <c r="AD1853" s="118"/>
      <c r="AE1853" s="118"/>
      <c r="AF1853" s="118"/>
      <c r="AG1853" s="118"/>
      <c r="AH1853" s="118"/>
      <c r="AI1853" s="118"/>
      <c r="AJ1853" s="118"/>
      <c r="AK1853" s="118"/>
      <c r="AL1853" s="118"/>
      <c r="AM1853" s="118"/>
      <c r="AN1853" s="118"/>
      <c r="AO1853" s="118"/>
      <c r="AP1853" s="118"/>
      <c r="AQ1853" s="118"/>
      <c r="AR1853" s="118"/>
      <c r="AS1853" s="118"/>
      <c r="AT1853" s="118"/>
      <c r="AU1853" s="118"/>
      <c r="AV1853" s="118"/>
      <c r="AW1853" s="118"/>
      <c r="AX1853" s="118"/>
      <c r="AY1853" s="118"/>
      <c r="AZ1853" s="118"/>
      <c r="BA1853" s="118"/>
      <c r="BB1853" s="118"/>
      <c r="BC1853" s="118"/>
      <c r="BD1853" s="118"/>
      <c r="BE1853" s="118"/>
      <c r="BF1853" s="118"/>
      <c r="BG1853" s="118"/>
      <c r="BH1853" s="118"/>
      <c r="BI1853" s="118"/>
      <c r="BJ1853" s="118"/>
      <c r="BK1853" s="118"/>
      <c r="BL1853" s="118"/>
      <c r="BM1853" s="118"/>
      <c r="BN1853" s="118"/>
      <c r="BO1853" s="118"/>
      <c r="BP1853" s="118"/>
      <c r="BQ1853" s="118"/>
      <c r="BR1853" s="118"/>
      <c r="BS1853" s="118"/>
      <c r="BT1853" s="118"/>
      <c r="BU1853" s="118"/>
      <c r="BV1853" s="118"/>
      <c r="BW1853" s="118"/>
      <c r="BX1853" s="118"/>
      <c r="BY1853" s="118"/>
      <c r="BZ1853" s="118"/>
      <c r="CA1853" s="118"/>
      <c r="CB1853" s="118"/>
      <c r="CC1853" s="118"/>
      <c r="CD1853" s="118"/>
      <c r="CE1853" s="118"/>
      <c r="CF1853" s="118"/>
      <c r="CG1853" s="118"/>
      <c r="CH1853" s="118"/>
      <c r="CI1853" s="118"/>
      <c r="CJ1853" s="118"/>
      <c r="CK1853" s="118"/>
      <c r="CL1853" s="118"/>
      <c r="CM1853" s="118"/>
      <c r="CN1853" s="118"/>
      <c r="CO1853" s="118"/>
      <c r="CP1853" s="118"/>
      <c r="CQ1853" s="118"/>
      <c r="CR1853" s="118"/>
      <c r="CS1853" s="118"/>
      <c r="CT1853" s="118"/>
      <c r="CU1853" s="118"/>
      <c r="CV1853" s="118"/>
      <c r="CW1853" s="118"/>
      <c r="CX1853" s="118"/>
      <c r="CY1853" s="118"/>
      <c r="CZ1853" s="118"/>
      <c r="DA1853" s="118"/>
      <c r="DB1853" s="118"/>
      <c r="DC1853" s="118"/>
      <c r="DD1853" s="118"/>
      <c r="DE1853" s="118"/>
      <c r="DF1853" s="118"/>
      <c r="DG1853" s="118"/>
      <c r="DH1853" s="118"/>
      <c r="DI1853" s="118"/>
      <c r="DJ1853" s="118"/>
      <c r="DK1853" s="118"/>
      <c r="DL1853" s="118"/>
      <c r="DM1853" s="118"/>
      <c r="DN1853" s="118"/>
      <c r="DO1853" s="118"/>
      <c r="DP1853" s="118"/>
      <c r="DQ1853" s="118"/>
      <c r="DR1853" s="118"/>
      <c r="DS1853" s="118"/>
      <c r="DT1853" s="118"/>
      <c r="DU1853" s="118"/>
      <c r="DV1853" s="118"/>
      <c r="DW1853" s="118"/>
      <c r="DX1853" s="118"/>
      <c r="DY1853" s="118"/>
      <c r="DZ1853" s="118"/>
      <c r="EA1853" s="118"/>
      <c r="EB1853" s="118"/>
      <c r="EC1853" s="118"/>
      <c r="ED1853" s="118"/>
      <c r="EE1853" s="118"/>
      <c r="EF1853" s="118"/>
      <c r="EG1853" s="118"/>
      <c r="EH1853" s="118"/>
      <c r="EI1853" s="118"/>
      <c r="EJ1853" s="118"/>
      <c r="EK1853" s="118"/>
      <c r="EL1853" s="118"/>
      <c r="EM1853" s="118"/>
      <c r="EN1853" s="118"/>
      <c r="EO1853" s="118"/>
      <c r="EP1853" s="118"/>
      <c r="EQ1853" s="118"/>
      <c r="ER1853" s="118"/>
      <c r="ES1853" s="118"/>
      <c r="ET1853" s="118"/>
      <c r="EU1853" s="118"/>
      <c r="EV1853" s="118"/>
      <c r="EW1853" s="118"/>
      <c r="EX1853" s="118"/>
      <c r="EY1853" s="118"/>
      <c r="EZ1853" s="118"/>
      <c r="FA1853" s="118"/>
      <c r="FB1853" s="118"/>
      <c r="FC1853" s="118"/>
      <c r="FD1853" s="118"/>
      <c r="FE1853" s="118"/>
      <c r="FF1853" s="118"/>
      <c r="FG1853" s="118"/>
      <c r="FH1853" s="118"/>
      <c r="FI1853" s="118"/>
      <c r="FJ1853" s="118"/>
      <c r="FK1853" s="118"/>
      <c r="FL1853" s="118"/>
      <c r="FM1853" s="118"/>
      <c r="FN1853" s="118"/>
      <c r="FO1853" s="118"/>
      <c r="FP1853" s="118"/>
      <c r="FQ1853" s="118"/>
      <c r="FR1853" s="118"/>
      <c r="FS1853" s="118"/>
      <c r="FT1853" s="118"/>
      <c r="FU1853" s="118"/>
      <c r="FV1853" s="118"/>
      <c r="FW1853" s="118"/>
      <c r="FX1853" s="118"/>
      <c r="FY1853" s="118"/>
      <c r="FZ1853" s="118"/>
      <c r="GA1853" s="118"/>
      <c r="GB1853" s="118"/>
      <c r="GC1853" s="118"/>
      <c r="GD1853" s="118"/>
      <c r="GE1853" s="118"/>
      <c r="GF1853" s="118"/>
      <c r="GG1853" s="118"/>
      <c r="GH1853" s="118"/>
      <c r="GI1853" s="118"/>
      <c r="GJ1853" s="118"/>
      <c r="GK1853" s="118"/>
      <c r="GL1853" s="118"/>
      <c r="GM1853" s="118"/>
      <c r="GN1853" s="118"/>
      <c r="GO1853" s="118"/>
      <c r="GP1853" s="118"/>
      <c r="GQ1853" s="118"/>
      <c r="GR1853" s="118"/>
      <c r="GS1853" s="118"/>
      <c r="GT1853" s="118"/>
      <c r="GU1853" s="118"/>
      <c r="GV1853" s="118"/>
      <c r="GW1853" s="118"/>
      <c r="GX1853" s="118"/>
      <c r="GY1853" s="118"/>
      <c r="GZ1853" s="118"/>
      <c r="HA1853" s="118"/>
      <c r="HB1853" s="118"/>
      <c r="HC1853" s="118"/>
      <c r="HD1853" s="118"/>
      <c r="HE1853" s="118"/>
      <c r="HF1853" s="118"/>
      <c r="HG1853" s="118"/>
      <c r="HH1853" s="118"/>
      <c r="HI1853" s="118"/>
      <c r="HJ1853" s="118"/>
      <c r="HK1853" s="118"/>
      <c r="HL1853" s="118"/>
      <c r="HM1853" s="118"/>
      <c r="HN1853" s="118"/>
      <c r="HO1853" s="118"/>
      <c r="HP1853" s="118"/>
      <c r="HQ1853" s="118"/>
      <c r="HR1853" s="118"/>
      <c r="HS1853" s="118"/>
      <c r="HT1853" s="118"/>
      <c r="HU1853" s="118"/>
      <c r="HV1853" s="118"/>
      <c r="HW1853" s="118"/>
      <c r="HX1853" s="118"/>
      <c r="HY1853" s="118"/>
      <c r="HZ1853" s="118"/>
      <c r="IA1853" s="118"/>
      <c r="IB1853" s="118"/>
      <c r="IC1853" s="118"/>
      <c r="ID1853" s="118"/>
      <c r="IE1853" s="118"/>
      <c r="IF1853" s="118"/>
      <c r="IG1853" s="118"/>
      <c r="IH1853" s="118"/>
      <c r="II1853" s="118"/>
      <c r="IJ1853" s="118"/>
    </row>
    <row r="1854" spans="1:244" s="127" customFormat="1" ht="12.75" customHeight="1">
      <c r="A1854" s="118">
        <v>1853</v>
      </c>
      <c r="B1854" s="128">
        <v>20</v>
      </c>
      <c r="C1854" s="156">
        <v>39934</v>
      </c>
      <c r="D1854" s="157" t="s">
        <v>48</v>
      </c>
      <c r="E1854" s="127">
        <v>2009</v>
      </c>
      <c r="F1854" s="158">
        <f t="shared" si="474"/>
        <v>517</v>
      </c>
      <c r="G1854" s="158">
        <f t="shared" si="475"/>
        <v>2</v>
      </c>
      <c r="H1854" s="178">
        <v>39417</v>
      </c>
      <c r="I1854" s="125">
        <v>519438</v>
      </c>
      <c r="J1854" s="164">
        <v>0.08</v>
      </c>
      <c r="K1854" s="164">
        <v>0.03</v>
      </c>
      <c r="L1854" s="164">
        <v>0</v>
      </c>
      <c r="M1854" s="193">
        <v>0</v>
      </c>
      <c r="N1854" s="529"/>
      <c r="O1854" s="164">
        <v>0.02</v>
      </c>
      <c r="P1854" s="118"/>
      <c r="Q1854" s="118"/>
      <c r="R1854" s="118"/>
      <c r="S1854" s="221"/>
      <c r="T1854" s="161">
        <f t="shared" si="476"/>
        <v>15583.14</v>
      </c>
      <c r="U1854" s="161">
        <f t="shared" si="477"/>
        <v>0</v>
      </c>
      <c r="V1854" s="161">
        <f t="shared" si="478"/>
        <v>10388.76</v>
      </c>
      <c r="W1854" s="161">
        <f t="shared" si="479"/>
        <v>4155.5039999999999</v>
      </c>
      <c r="X1854" s="118"/>
      <c r="Y1854" s="118"/>
      <c r="Z1854" s="118"/>
      <c r="AA1854" s="118"/>
      <c r="AB1854" s="118"/>
      <c r="AC1854" s="118"/>
      <c r="AD1854" s="118"/>
      <c r="AE1854" s="118"/>
      <c r="AF1854" s="118"/>
      <c r="AG1854" s="118"/>
      <c r="AH1854" s="118"/>
      <c r="AI1854" s="118"/>
      <c r="AJ1854" s="118"/>
      <c r="AK1854" s="118"/>
      <c r="AL1854" s="118"/>
      <c r="AM1854" s="118"/>
      <c r="AN1854" s="118"/>
      <c r="AO1854" s="118"/>
      <c r="AP1854" s="118"/>
      <c r="AQ1854" s="118"/>
      <c r="AR1854" s="118"/>
      <c r="AS1854" s="118"/>
      <c r="AT1854" s="118"/>
      <c r="AU1854" s="118"/>
      <c r="AV1854" s="118"/>
      <c r="AW1854" s="118"/>
      <c r="AX1854" s="118"/>
      <c r="AY1854" s="118"/>
      <c r="AZ1854" s="118"/>
      <c r="BA1854" s="118"/>
      <c r="BB1854" s="118"/>
      <c r="BC1854" s="118"/>
      <c r="BD1854" s="118"/>
      <c r="BE1854" s="118"/>
      <c r="BF1854" s="118"/>
      <c r="BG1854" s="118"/>
      <c r="BH1854" s="118"/>
      <c r="BI1854" s="118"/>
      <c r="BJ1854" s="118"/>
      <c r="BK1854" s="118"/>
      <c r="BL1854" s="118"/>
      <c r="BM1854" s="118"/>
      <c r="BN1854" s="118"/>
      <c r="BO1854" s="118"/>
      <c r="BP1854" s="118"/>
      <c r="BQ1854" s="118"/>
      <c r="BR1854" s="118"/>
      <c r="BS1854" s="118"/>
      <c r="BT1854" s="118"/>
      <c r="BU1854" s="118"/>
      <c r="BV1854" s="118"/>
      <c r="BW1854" s="118"/>
      <c r="BX1854" s="118"/>
      <c r="BY1854" s="118"/>
      <c r="BZ1854" s="118"/>
      <c r="CA1854" s="118"/>
      <c r="CB1854" s="118"/>
      <c r="CC1854" s="118"/>
      <c r="CD1854" s="118"/>
      <c r="CE1854" s="118"/>
      <c r="CF1854" s="118"/>
      <c r="CG1854" s="118"/>
      <c r="CH1854" s="118"/>
      <c r="CI1854" s="118"/>
      <c r="CJ1854" s="118"/>
      <c r="CK1854" s="118"/>
      <c r="CL1854" s="118"/>
      <c r="CM1854" s="118"/>
      <c r="CN1854" s="118"/>
      <c r="CO1854" s="118"/>
      <c r="CP1854" s="118"/>
      <c r="CQ1854" s="118"/>
      <c r="CR1854" s="118"/>
      <c r="CS1854" s="118"/>
      <c r="CT1854" s="118"/>
      <c r="CU1854" s="118"/>
      <c r="CV1854" s="118"/>
      <c r="CW1854" s="118"/>
      <c r="CX1854" s="118"/>
      <c r="CY1854" s="118"/>
      <c r="CZ1854" s="118"/>
      <c r="DA1854" s="118"/>
      <c r="DB1854" s="118"/>
      <c r="DC1854" s="118"/>
      <c r="DD1854" s="118"/>
      <c r="DE1854" s="118"/>
      <c r="DF1854" s="118"/>
      <c r="DG1854" s="118"/>
      <c r="DH1854" s="118"/>
      <c r="DI1854" s="118"/>
      <c r="DJ1854" s="118"/>
      <c r="DK1854" s="118"/>
      <c r="DL1854" s="118"/>
      <c r="DM1854" s="118"/>
      <c r="DN1854" s="118"/>
      <c r="DO1854" s="118"/>
      <c r="DP1854" s="118"/>
      <c r="DQ1854" s="118"/>
      <c r="DR1854" s="118"/>
      <c r="DS1854" s="118"/>
      <c r="DT1854" s="118"/>
      <c r="DU1854" s="118"/>
      <c r="DV1854" s="118"/>
      <c r="DW1854" s="118"/>
      <c r="DX1854" s="118"/>
      <c r="DY1854" s="118"/>
      <c r="DZ1854" s="118"/>
      <c r="EA1854" s="118"/>
      <c r="EB1854" s="118"/>
      <c r="EC1854" s="118"/>
      <c r="ED1854" s="118"/>
      <c r="EE1854" s="118"/>
      <c r="EF1854" s="118"/>
      <c r="EG1854" s="118"/>
      <c r="EH1854" s="118"/>
      <c r="EI1854" s="118"/>
      <c r="EJ1854" s="118"/>
      <c r="EK1854" s="118"/>
      <c r="EL1854" s="118"/>
      <c r="EM1854" s="118"/>
      <c r="EN1854" s="118"/>
      <c r="EO1854" s="118"/>
      <c r="EP1854" s="118"/>
      <c r="EQ1854" s="118"/>
      <c r="ER1854" s="118"/>
      <c r="ES1854" s="118"/>
      <c r="ET1854" s="118"/>
      <c r="EU1854" s="118"/>
      <c r="EV1854" s="118"/>
      <c r="EW1854" s="118"/>
      <c r="EX1854" s="118"/>
      <c r="EY1854" s="118"/>
      <c r="EZ1854" s="118"/>
      <c r="FA1854" s="118"/>
      <c r="FB1854" s="118"/>
      <c r="FC1854" s="118"/>
      <c r="FD1854" s="118"/>
      <c r="FE1854" s="118"/>
      <c r="FF1854" s="118"/>
      <c r="FG1854" s="118"/>
      <c r="FH1854" s="118"/>
      <c r="FI1854" s="118"/>
      <c r="FJ1854" s="118"/>
      <c r="FK1854" s="118"/>
      <c r="FL1854" s="118"/>
      <c r="FM1854" s="118"/>
      <c r="FN1854" s="118"/>
      <c r="FO1854" s="118"/>
      <c r="FP1854" s="118"/>
      <c r="FQ1854" s="118"/>
      <c r="FR1854" s="118"/>
      <c r="FS1854" s="118"/>
      <c r="FT1854" s="118"/>
      <c r="FU1854" s="118"/>
      <c r="FV1854" s="118"/>
      <c r="FW1854" s="118"/>
      <c r="FX1854" s="118"/>
      <c r="FY1854" s="118"/>
      <c r="FZ1854" s="118"/>
      <c r="GA1854" s="118"/>
      <c r="GB1854" s="118"/>
      <c r="GC1854" s="118"/>
      <c r="GD1854" s="118"/>
      <c r="GE1854" s="118"/>
      <c r="GF1854" s="118"/>
      <c r="GG1854" s="118"/>
      <c r="GH1854" s="118"/>
      <c r="GI1854" s="118"/>
      <c r="GJ1854" s="118"/>
      <c r="GK1854" s="118"/>
      <c r="GL1854" s="118"/>
      <c r="GM1854" s="118"/>
      <c r="GN1854" s="118"/>
      <c r="GO1854" s="118"/>
      <c r="GP1854" s="118"/>
      <c r="GQ1854" s="118"/>
      <c r="GR1854" s="118"/>
      <c r="GS1854" s="118"/>
      <c r="GT1854" s="118"/>
      <c r="GU1854" s="118"/>
      <c r="GV1854" s="118"/>
      <c r="GW1854" s="118"/>
      <c r="GX1854" s="118"/>
      <c r="GY1854" s="118"/>
      <c r="GZ1854" s="118"/>
      <c r="HA1854" s="118"/>
      <c r="HB1854" s="118"/>
      <c r="HC1854" s="118"/>
      <c r="HD1854" s="118"/>
      <c r="HE1854" s="118"/>
      <c r="HF1854" s="118"/>
      <c r="HG1854" s="118"/>
      <c r="HH1854" s="118"/>
      <c r="HI1854" s="118"/>
      <c r="HJ1854" s="118"/>
      <c r="HK1854" s="118"/>
      <c r="HL1854" s="118"/>
      <c r="HM1854" s="118"/>
      <c r="HN1854" s="118"/>
      <c r="HO1854" s="118"/>
      <c r="HP1854" s="118"/>
      <c r="HQ1854" s="118"/>
      <c r="HR1854" s="118"/>
      <c r="HS1854" s="118"/>
      <c r="HT1854" s="118"/>
      <c r="HU1854" s="118"/>
      <c r="HV1854" s="118"/>
      <c r="HW1854" s="118"/>
      <c r="HX1854" s="118"/>
      <c r="HY1854" s="118"/>
      <c r="HZ1854" s="118"/>
      <c r="IA1854" s="118"/>
      <c r="IB1854" s="118"/>
      <c r="IC1854" s="118"/>
      <c r="ID1854" s="118"/>
      <c r="IE1854" s="118"/>
      <c r="IF1854" s="118"/>
      <c r="IG1854" s="118"/>
      <c r="IH1854" s="118"/>
      <c r="II1854" s="118"/>
      <c r="IJ1854" s="118"/>
    </row>
    <row r="1855" spans="1:244" s="127" customFormat="1" ht="12.75" customHeight="1">
      <c r="A1855" s="118">
        <v>1854</v>
      </c>
      <c r="B1855" s="128">
        <v>20</v>
      </c>
      <c r="C1855" s="156">
        <v>39965</v>
      </c>
      <c r="D1855" s="157" t="s">
        <v>49</v>
      </c>
      <c r="E1855" s="127">
        <v>2009</v>
      </c>
      <c r="F1855" s="158">
        <f t="shared" si="474"/>
        <v>548</v>
      </c>
      <c r="G1855" s="158">
        <f t="shared" si="475"/>
        <v>2</v>
      </c>
      <c r="H1855" s="178">
        <v>39417</v>
      </c>
      <c r="I1855" s="125">
        <v>518227</v>
      </c>
      <c r="J1855" s="164">
        <v>0.08</v>
      </c>
      <c r="K1855" s="164">
        <v>0.05</v>
      </c>
      <c r="L1855" s="164">
        <v>0</v>
      </c>
      <c r="M1855" s="193">
        <v>0</v>
      </c>
      <c r="N1855" s="529"/>
      <c r="O1855" s="164">
        <v>0.05</v>
      </c>
      <c r="P1855" s="118"/>
      <c r="Q1855" s="118"/>
      <c r="R1855" s="118"/>
      <c r="S1855" s="221"/>
      <c r="T1855" s="161">
        <f t="shared" si="476"/>
        <v>25911.350000000002</v>
      </c>
      <c r="U1855" s="161">
        <f t="shared" si="477"/>
        <v>0</v>
      </c>
      <c r="V1855" s="161">
        <f t="shared" si="478"/>
        <v>25911.350000000002</v>
      </c>
      <c r="W1855" s="161">
        <f t="shared" si="479"/>
        <v>10364.540000000001</v>
      </c>
      <c r="X1855" s="118"/>
      <c r="Y1855" s="118"/>
      <c r="Z1855" s="118"/>
      <c r="AA1855" s="118"/>
      <c r="AB1855" s="118"/>
      <c r="AC1855" s="118"/>
      <c r="AD1855" s="118"/>
      <c r="AE1855" s="118"/>
      <c r="AF1855" s="118"/>
      <c r="AG1855" s="118"/>
      <c r="AH1855" s="118"/>
      <c r="AI1855" s="118"/>
      <c r="AJ1855" s="118"/>
      <c r="AK1855" s="118"/>
      <c r="AL1855" s="118"/>
      <c r="AM1855" s="118"/>
      <c r="AN1855" s="118"/>
      <c r="AO1855" s="118"/>
      <c r="AP1855" s="118"/>
      <c r="AQ1855" s="118"/>
      <c r="AR1855" s="118"/>
      <c r="AS1855" s="118"/>
      <c r="AT1855" s="118"/>
      <c r="AU1855" s="118"/>
      <c r="AV1855" s="118"/>
      <c r="AW1855" s="118"/>
      <c r="AX1855" s="118"/>
      <c r="AY1855" s="118"/>
      <c r="AZ1855" s="118"/>
      <c r="BA1855" s="118"/>
      <c r="BB1855" s="118"/>
      <c r="BC1855" s="118"/>
      <c r="BD1855" s="118"/>
      <c r="BE1855" s="118"/>
      <c r="BF1855" s="118"/>
      <c r="BG1855" s="118"/>
      <c r="BH1855" s="118"/>
      <c r="BI1855" s="118"/>
      <c r="BJ1855" s="118"/>
      <c r="BK1855" s="118"/>
      <c r="BL1855" s="118"/>
      <c r="BM1855" s="118"/>
      <c r="BN1855" s="118"/>
      <c r="BO1855" s="118"/>
      <c r="BP1855" s="118"/>
      <c r="BQ1855" s="118"/>
      <c r="BR1855" s="118"/>
      <c r="BS1855" s="118"/>
      <c r="BT1855" s="118"/>
      <c r="BU1855" s="118"/>
      <c r="BV1855" s="118"/>
      <c r="BW1855" s="118"/>
      <c r="BX1855" s="118"/>
      <c r="BY1855" s="118"/>
      <c r="BZ1855" s="118"/>
      <c r="CA1855" s="118"/>
      <c r="CB1855" s="118"/>
      <c r="CC1855" s="118"/>
      <c r="CD1855" s="118"/>
      <c r="CE1855" s="118"/>
      <c r="CF1855" s="118"/>
      <c r="CG1855" s="118"/>
      <c r="CH1855" s="118"/>
      <c r="CI1855" s="118"/>
      <c r="CJ1855" s="118"/>
      <c r="CK1855" s="118"/>
      <c r="CL1855" s="118"/>
      <c r="CM1855" s="118"/>
      <c r="CN1855" s="118"/>
      <c r="CO1855" s="118"/>
      <c r="CP1855" s="118"/>
      <c r="CQ1855" s="118"/>
      <c r="CR1855" s="118"/>
      <c r="CS1855" s="118"/>
      <c r="CT1855" s="118"/>
      <c r="CU1855" s="118"/>
      <c r="CV1855" s="118"/>
      <c r="CW1855" s="118"/>
      <c r="CX1855" s="118"/>
      <c r="CY1855" s="118"/>
      <c r="CZ1855" s="118"/>
      <c r="DA1855" s="118"/>
      <c r="DB1855" s="118"/>
      <c r="DC1855" s="118"/>
      <c r="DD1855" s="118"/>
      <c r="DE1855" s="118"/>
      <c r="DF1855" s="118"/>
      <c r="DG1855" s="118"/>
      <c r="DH1855" s="118"/>
      <c r="DI1855" s="118"/>
      <c r="DJ1855" s="118"/>
      <c r="DK1855" s="118"/>
      <c r="DL1855" s="118"/>
      <c r="DM1855" s="118"/>
      <c r="DN1855" s="118"/>
      <c r="DO1855" s="118"/>
      <c r="DP1855" s="118"/>
      <c r="DQ1855" s="118"/>
      <c r="DR1855" s="118"/>
      <c r="DS1855" s="118"/>
      <c r="DT1855" s="118"/>
      <c r="DU1855" s="118"/>
      <c r="DV1855" s="118"/>
      <c r="DW1855" s="118"/>
      <c r="DX1855" s="118"/>
      <c r="DY1855" s="118"/>
      <c r="DZ1855" s="118"/>
      <c r="EA1855" s="118"/>
      <c r="EB1855" s="118"/>
      <c r="EC1855" s="118"/>
      <c r="ED1855" s="118"/>
      <c r="EE1855" s="118"/>
      <c r="EF1855" s="118"/>
      <c r="EG1855" s="118"/>
      <c r="EH1855" s="118"/>
      <c r="EI1855" s="118"/>
      <c r="EJ1855" s="118"/>
      <c r="EK1855" s="118"/>
      <c r="EL1855" s="118"/>
      <c r="EM1855" s="118"/>
      <c r="EN1855" s="118"/>
      <c r="EO1855" s="118"/>
      <c r="EP1855" s="118"/>
      <c r="EQ1855" s="118"/>
      <c r="ER1855" s="118"/>
      <c r="ES1855" s="118"/>
      <c r="ET1855" s="118"/>
      <c r="EU1855" s="118"/>
      <c r="EV1855" s="118"/>
      <c r="EW1855" s="118"/>
      <c r="EX1855" s="118"/>
      <c r="EY1855" s="118"/>
      <c r="EZ1855" s="118"/>
      <c r="FA1855" s="118"/>
      <c r="FB1855" s="118"/>
      <c r="FC1855" s="118"/>
      <c r="FD1855" s="118"/>
      <c r="FE1855" s="118"/>
      <c r="FF1855" s="118"/>
      <c r="FG1855" s="118"/>
      <c r="FH1855" s="118"/>
      <c r="FI1855" s="118"/>
      <c r="FJ1855" s="118"/>
      <c r="FK1855" s="118"/>
      <c r="FL1855" s="118"/>
      <c r="FM1855" s="118"/>
      <c r="FN1855" s="118"/>
      <c r="FO1855" s="118"/>
      <c r="FP1855" s="118"/>
      <c r="FQ1855" s="118"/>
      <c r="FR1855" s="118"/>
      <c r="FS1855" s="118"/>
      <c r="FT1855" s="118"/>
      <c r="FU1855" s="118"/>
      <c r="FV1855" s="118"/>
      <c r="FW1855" s="118"/>
      <c r="FX1855" s="118"/>
      <c r="FY1855" s="118"/>
      <c r="FZ1855" s="118"/>
      <c r="GA1855" s="118"/>
      <c r="GB1855" s="118"/>
      <c r="GC1855" s="118"/>
      <c r="GD1855" s="118"/>
      <c r="GE1855" s="118"/>
      <c r="GF1855" s="118"/>
      <c r="GG1855" s="118"/>
      <c r="GH1855" s="118"/>
      <c r="GI1855" s="118"/>
      <c r="GJ1855" s="118"/>
      <c r="GK1855" s="118"/>
      <c r="GL1855" s="118"/>
      <c r="GM1855" s="118"/>
      <c r="GN1855" s="118"/>
      <c r="GO1855" s="118"/>
      <c r="GP1855" s="118"/>
      <c r="GQ1855" s="118"/>
      <c r="GR1855" s="118"/>
      <c r="GS1855" s="118"/>
      <c r="GT1855" s="118"/>
      <c r="GU1855" s="118"/>
      <c r="GV1855" s="118"/>
      <c r="GW1855" s="118"/>
      <c r="GX1855" s="118"/>
      <c r="GY1855" s="118"/>
      <c r="GZ1855" s="118"/>
      <c r="HA1855" s="118"/>
      <c r="HB1855" s="118"/>
      <c r="HC1855" s="118"/>
      <c r="HD1855" s="118"/>
      <c r="HE1855" s="118"/>
      <c r="HF1855" s="118"/>
      <c r="HG1855" s="118"/>
      <c r="HH1855" s="118"/>
      <c r="HI1855" s="118"/>
      <c r="HJ1855" s="118"/>
      <c r="HK1855" s="118"/>
      <c r="HL1855" s="118"/>
      <c r="HM1855" s="118"/>
      <c r="HN1855" s="118"/>
      <c r="HO1855" s="118"/>
      <c r="HP1855" s="118"/>
      <c r="HQ1855" s="118"/>
      <c r="HR1855" s="118"/>
      <c r="HS1855" s="118"/>
      <c r="HT1855" s="118"/>
      <c r="HU1855" s="118"/>
      <c r="HV1855" s="118"/>
      <c r="HW1855" s="118"/>
      <c r="HX1855" s="118"/>
      <c r="HY1855" s="118"/>
      <c r="HZ1855" s="118"/>
      <c r="IA1855" s="118"/>
      <c r="IB1855" s="118"/>
      <c r="IC1855" s="118"/>
      <c r="ID1855" s="118"/>
      <c r="IE1855" s="118"/>
      <c r="IF1855" s="118"/>
      <c r="IG1855" s="118"/>
      <c r="IH1855" s="118"/>
      <c r="II1855" s="118"/>
      <c r="IJ1855" s="118"/>
    </row>
    <row r="1856" spans="1:244" s="127" customFormat="1" ht="12.75" customHeight="1">
      <c r="A1856" s="118">
        <v>1855</v>
      </c>
      <c r="B1856" s="128">
        <v>20</v>
      </c>
      <c r="C1856" s="156">
        <v>39995</v>
      </c>
      <c r="D1856" s="157" t="s">
        <v>50</v>
      </c>
      <c r="E1856" s="127">
        <v>2009</v>
      </c>
      <c r="F1856" s="158">
        <f t="shared" ref="F1856:F1861" si="480">C1856-H1856</f>
        <v>602</v>
      </c>
      <c r="G1856" s="158">
        <f t="shared" ref="G1856:G1861" si="481">IF(F1856&lt;365,1,2)</f>
        <v>2</v>
      </c>
      <c r="H1856" s="175">
        <v>39393</v>
      </c>
      <c r="I1856" s="125">
        <v>517699</v>
      </c>
      <c r="J1856" s="191">
        <v>0.02</v>
      </c>
      <c r="K1856" s="191">
        <v>0.18</v>
      </c>
      <c r="L1856" s="191">
        <v>7.0000000000000007E-2</v>
      </c>
      <c r="M1856" s="193">
        <v>0</v>
      </c>
      <c r="N1856" s="529"/>
      <c r="O1856" s="191">
        <v>0.03</v>
      </c>
      <c r="S1856" s="222"/>
      <c r="T1856" s="161">
        <f t="shared" ref="T1856:T1861" si="482">$I1856*K1856</f>
        <v>93185.819999999992</v>
      </c>
      <c r="U1856" s="161">
        <f t="shared" ref="U1856:U1861" si="483">$I1856*L1856</f>
        <v>36238.93</v>
      </c>
      <c r="V1856" s="161">
        <f t="shared" ref="V1856:V1861" si="484">$I1856*O1856</f>
        <v>15530.97</v>
      </c>
      <c r="W1856" s="161">
        <f t="shared" si="479"/>
        <v>6212.3879999999999</v>
      </c>
      <c r="X1856" s="118"/>
      <c r="Y1856" s="118"/>
      <c r="Z1856" s="118"/>
      <c r="AA1856" s="118"/>
      <c r="AB1856" s="118"/>
      <c r="AC1856" s="118"/>
      <c r="AD1856" s="118"/>
      <c r="AE1856" s="118"/>
      <c r="AF1856" s="118"/>
      <c r="AG1856" s="118"/>
      <c r="AH1856" s="118"/>
      <c r="AI1856" s="118"/>
      <c r="AJ1856" s="118"/>
      <c r="AK1856" s="118"/>
      <c r="AL1856" s="118"/>
      <c r="AM1856" s="118"/>
      <c r="AN1856" s="118"/>
      <c r="AO1856" s="118"/>
      <c r="AP1856" s="118"/>
      <c r="AQ1856" s="118"/>
      <c r="AR1856" s="118"/>
      <c r="AS1856" s="118"/>
      <c r="AT1856" s="118"/>
      <c r="AU1856" s="118"/>
      <c r="AV1856" s="118"/>
      <c r="AW1856" s="118"/>
      <c r="AX1856" s="118"/>
      <c r="AY1856" s="118"/>
      <c r="AZ1856" s="118"/>
      <c r="BA1856" s="118"/>
      <c r="BB1856" s="118"/>
      <c r="BC1856" s="118"/>
      <c r="BD1856" s="118"/>
      <c r="BE1856" s="118"/>
      <c r="BF1856" s="118"/>
      <c r="BG1856" s="118"/>
      <c r="BH1856" s="118"/>
      <c r="BI1856" s="118"/>
      <c r="BJ1856" s="118"/>
      <c r="BK1856" s="118"/>
      <c r="BL1856" s="118"/>
      <c r="BM1856" s="118"/>
      <c r="BN1856" s="118"/>
      <c r="BO1856" s="118"/>
      <c r="BP1856" s="118"/>
      <c r="BQ1856" s="118"/>
      <c r="BR1856" s="118"/>
      <c r="BS1856" s="118"/>
      <c r="BT1856" s="118"/>
      <c r="BU1856" s="118"/>
      <c r="BV1856" s="118"/>
      <c r="BW1856" s="118"/>
      <c r="BX1856" s="118"/>
      <c r="BY1856" s="118"/>
      <c r="BZ1856" s="118"/>
      <c r="CA1856" s="118"/>
      <c r="CB1856" s="118"/>
      <c r="CC1856" s="118"/>
      <c r="CD1856" s="118"/>
      <c r="CE1856" s="118"/>
      <c r="CF1856" s="118"/>
      <c r="CG1856" s="118"/>
      <c r="CH1856" s="118"/>
      <c r="CI1856" s="118"/>
      <c r="CJ1856" s="118"/>
      <c r="CK1856" s="118"/>
      <c r="CL1856" s="118"/>
      <c r="CM1856" s="118"/>
      <c r="CN1856" s="118"/>
      <c r="CO1856" s="118"/>
      <c r="CP1856" s="118"/>
      <c r="CQ1856" s="118"/>
      <c r="CR1856" s="118"/>
      <c r="CS1856" s="118"/>
      <c r="CT1856" s="118"/>
      <c r="CU1856" s="118"/>
      <c r="CV1856" s="118"/>
      <c r="CW1856" s="118"/>
      <c r="CX1856" s="118"/>
      <c r="CY1856" s="118"/>
      <c r="CZ1856" s="118"/>
      <c r="DA1856" s="118"/>
      <c r="DB1856" s="118"/>
      <c r="DC1856" s="118"/>
      <c r="DD1856" s="118"/>
      <c r="DE1856" s="118"/>
      <c r="DF1856" s="118"/>
      <c r="DG1856" s="118"/>
      <c r="DH1856" s="118"/>
      <c r="DI1856" s="118"/>
      <c r="DJ1856" s="118"/>
      <c r="DK1856" s="118"/>
      <c r="DL1856" s="118"/>
      <c r="DM1856" s="118"/>
      <c r="DN1856" s="118"/>
      <c r="DO1856" s="118"/>
      <c r="DP1856" s="118"/>
      <c r="DQ1856" s="118"/>
      <c r="DR1856" s="118"/>
      <c r="DS1856" s="118"/>
      <c r="DT1856" s="118"/>
      <c r="DU1856" s="118"/>
      <c r="DV1856" s="118"/>
      <c r="DW1856" s="118"/>
      <c r="DX1856" s="118"/>
      <c r="DY1856" s="118"/>
      <c r="DZ1856" s="118"/>
      <c r="EA1856" s="118"/>
      <c r="EB1856" s="118"/>
      <c r="EC1856" s="118"/>
      <c r="ED1856" s="118"/>
      <c r="EE1856" s="118"/>
      <c r="EF1856" s="118"/>
      <c r="EG1856" s="118"/>
      <c r="EH1856" s="118"/>
      <c r="EI1856" s="118"/>
      <c r="EJ1856" s="118"/>
      <c r="EK1856" s="118"/>
      <c r="EL1856" s="118"/>
      <c r="EM1856" s="118"/>
      <c r="EN1856" s="118"/>
      <c r="EO1856" s="118"/>
      <c r="EP1856" s="118"/>
      <c r="EQ1856" s="118"/>
      <c r="ER1856" s="118"/>
      <c r="ES1856" s="118"/>
      <c r="ET1856" s="118"/>
      <c r="EU1856" s="118"/>
      <c r="EV1856" s="118"/>
      <c r="EW1856" s="118"/>
      <c r="EX1856" s="118"/>
      <c r="EY1856" s="118"/>
      <c r="EZ1856" s="118"/>
      <c r="FA1856" s="118"/>
      <c r="FB1856" s="118"/>
      <c r="FC1856" s="118"/>
      <c r="FD1856" s="118"/>
      <c r="FE1856" s="118"/>
      <c r="FF1856" s="118"/>
      <c r="FG1856" s="118"/>
      <c r="FH1856" s="118"/>
      <c r="FI1856" s="118"/>
      <c r="FJ1856" s="118"/>
      <c r="FK1856" s="118"/>
      <c r="FL1856" s="118"/>
      <c r="FM1856" s="118"/>
      <c r="FN1856" s="118"/>
      <c r="FO1856" s="118"/>
      <c r="FP1856" s="118"/>
      <c r="FQ1856" s="118"/>
      <c r="FR1856" s="118"/>
      <c r="FS1856" s="118"/>
      <c r="FT1856" s="118"/>
      <c r="FU1856" s="118"/>
      <c r="FV1856" s="118"/>
      <c r="FW1856" s="118"/>
      <c r="FX1856" s="118"/>
      <c r="FY1856" s="118"/>
      <c r="FZ1856" s="118"/>
      <c r="GA1856" s="118"/>
      <c r="GB1856" s="118"/>
      <c r="GC1856" s="118"/>
      <c r="GD1856" s="118"/>
      <c r="GE1856" s="118"/>
      <c r="GF1856" s="118"/>
      <c r="GG1856" s="118"/>
      <c r="GH1856" s="118"/>
      <c r="GI1856" s="118"/>
      <c r="GJ1856" s="118"/>
      <c r="GK1856" s="118"/>
      <c r="GL1856" s="118"/>
      <c r="GM1856" s="118"/>
      <c r="GN1856" s="118"/>
      <c r="GO1856" s="118"/>
      <c r="GP1856" s="118"/>
      <c r="GQ1856" s="118"/>
      <c r="GR1856" s="118"/>
      <c r="GS1856" s="118"/>
      <c r="GT1856" s="118"/>
      <c r="GU1856" s="118"/>
      <c r="GV1856" s="118"/>
      <c r="GW1856" s="118"/>
      <c r="GX1856" s="118"/>
      <c r="GY1856" s="118"/>
      <c r="GZ1856" s="118"/>
      <c r="HA1856" s="118"/>
      <c r="HB1856" s="118"/>
      <c r="HC1856" s="118"/>
      <c r="HD1856" s="118"/>
      <c r="HE1856" s="118"/>
      <c r="HF1856" s="118"/>
      <c r="HG1856" s="118"/>
      <c r="HH1856" s="118"/>
      <c r="HI1856" s="118"/>
      <c r="HJ1856" s="118"/>
      <c r="HK1856" s="118"/>
      <c r="HL1856" s="118"/>
      <c r="HM1856" s="118"/>
      <c r="HN1856" s="118"/>
      <c r="HO1856" s="118"/>
      <c r="HP1856" s="118"/>
      <c r="HQ1856" s="118"/>
      <c r="HR1856" s="118"/>
      <c r="HS1856" s="118"/>
      <c r="HT1856" s="118"/>
      <c r="HU1856" s="118"/>
      <c r="HV1856" s="118"/>
      <c r="HW1856" s="118"/>
      <c r="HX1856" s="118"/>
      <c r="HY1856" s="118"/>
      <c r="HZ1856" s="118"/>
      <c r="IA1856" s="118"/>
      <c r="IB1856" s="118"/>
      <c r="IC1856" s="118"/>
      <c r="ID1856" s="118"/>
      <c r="IE1856" s="118"/>
      <c r="IF1856" s="118"/>
      <c r="IG1856" s="118"/>
      <c r="IH1856" s="118"/>
      <c r="II1856" s="118"/>
      <c r="IJ1856" s="118"/>
    </row>
    <row r="1857" spans="1:244" s="127" customFormat="1" ht="12.75" customHeight="1">
      <c r="A1857" s="118">
        <v>1856</v>
      </c>
      <c r="B1857" s="128">
        <v>20</v>
      </c>
      <c r="C1857" s="156">
        <v>40026</v>
      </c>
      <c r="D1857" s="157" t="s">
        <v>51</v>
      </c>
      <c r="E1857" s="127">
        <v>2009</v>
      </c>
      <c r="F1857" s="158">
        <f t="shared" si="480"/>
        <v>633</v>
      </c>
      <c r="G1857" s="158">
        <f t="shared" si="481"/>
        <v>2</v>
      </c>
      <c r="H1857" s="175">
        <v>39393</v>
      </c>
      <c r="I1857" s="125">
        <v>516654</v>
      </c>
      <c r="J1857" s="191">
        <v>0</v>
      </c>
      <c r="K1857" s="191">
        <v>0.13300000000000001</v>
      </c>
      <c r="L1857" s="191">
        <v>8.3000000000000004E-2</v>
      </c>
      <c r="M1857" s="193">
        <v>0</v>
      </c>
      <c r="N1857" s="529"/>
      <c r="O1857" s="191">
        <v>0</v>
      </c>
      <c r="S1857" s="140"/>
      <c r="T1857" s="161">
        <f t="shared" si="482"/>
        <v>68714.982000000004</v>
      </c>
      <c r="U1857" s="161">
        <f t="shared" si="483"/>
        <v>42882.281999999999</v>
      </c>
      <c r="V1857" s="161">
        <f t="shared" si="484"/>
        <v>0</v>
      </c>
      <c r="W1857" s="161">
        <f t="shared" si="479"/>
        <v>0</v>
      </c>
      <c r="X1857" s="118"/>
      <c r="Y1857" s="118"/>
      <c r="Z1857" s="118"/>
      <c r="AA1857" s="118"/>
      <c r="AB1857" s="118"/>
      <c r="AC1857" s="118"/>
      <c r="AD1857" s="118"/>
      <c r="AE1857" s="118"/>
      <c r="AF1857" s="118"/>
      <c r="AG1857" s="118"/>
      <c r="AH1857" s="118"/>
      <c r="AI1857" s="118"/>
      <c r="AJ1857" s="118"/>
      <c r="AK1857" s="118"/>
      <c r="AL1857" s="118"/>
      <c r="AM1857" s="118"/>
      <c r="AN1857" s="118"/>
      <c r="AO1857" s="118"/>
      <c r="AP1857" s="118"/>
      <c r="AQ1857" s="118"/>
      <c r="AR1857" s="118"/>
      <c r="AS1857" s="118"/>
      <c r="AT1857" s="118"/>
      <c r="AU1857" s="118"/>
      <c r="AV1857" s="118"/>
      <c r="AW1857" s="118"/>
      <c r="AX1857" s="118"/>
      <c r="AY1857" s="118"/>
      <c r="AZ1857" s="118"/>
      <c r="BA1857" s="118"/>
      <c r="BB1857" s="118"/>
      <c r="BC1857" s="118"/>
      <c r="BD1857" s="118"/>
      <c r="BE1857" s="118"/>
      <c r="BF1857" s="118"/>
      <c r="BG1857" s="118"/>
      <c r="BH1857" s="118"/>
      <c r="BI1857" s="118"/>
      <c r="BJ1857" s="118"/>
      <c r="BK1857" s="118"/>
      <c r="BL1857" s="118"/>
      <c r="BM1857" s="118"/>
      <c r="BN1857" s="118"/>
      <c r="BO1857" s="118"/>
      <c r="BP1857" s="118"/>
      <c r="BQ1857" s="118"/>
      <c r="BR1857" s="118"/>
      <c r="BS1857" s="118"/>
      <c r="BT1857" s="118"/>
      <c r="BU1857" s="118"/>
      <c r="BV1857" s="118"/>
      <c r="BW1857" s="118"/>
      <c r="BX1857" s="118"/>
      <c r="BY1857" s="118"/>
      <c r="BZ1857" s="118"/>
      <c r="CA1857" s="118"/>
      <c r="CB1857" s="118"/>
      <c r="CC1857" s="118"/>
      <c r="CD1857" s="118"/>
      <c r="CE1857" s="118"/>
      <c r="CF1857" s="118"/>
      <c r="CG1857" s="118"/>
      <c r="CH1857" s="118"/>
      <c r="CI1857" s="118"/>
      <c r="CJ1857" s="118"/>
      <c r="CK1857" s="118"/>
      <c r="CL1857" s="118"/>
      <c r="CM1857" s="118"/>
      <c r="CN1857" s="118"/>
      <c r="CO1857" s="118"/>
      <c r="CP1857" s="118"/>
      <c r="CQ1857" s="118"/>
      <c r="CR1857" s="118"/>
      <c r="CS1857" s="118"/>
      <c r="CT1857" s="118"/>
      <c r="CU1857" s="118"/>
      <c r="CV1857" s="118"/>
      <c r="CW1857" s="118"/>
      <c r="CX1857" s="118"/>
      <c r="CY1857" s="118"/>
      <c r="CZ1857" s="118"/>
      <c r="DA1857" s="118"/>
      <c r="DB1857" s="118"/>
      <c r="DC1857" s="118"/>
      <c r="DD1857" s="118"/>
      <c r="DE1857" s="118"/>
      <c r="DF1857" s="118"/>
      <c r="DG1857" s="118"/>
      <c r="DH1857" s="118"/>
      <c r="DI1857" s="118"/>
      <c r="DJ1857" s="118"/>
      <c r="DK1857" s="118"/>
      <c r="DL1857" s="118"/>
      <c r="DM1857" s="118"/>
      <c r="DN1857" s="118"/>
      <c r="DO1857" s="118"/>
      <c r="DP1857" s="118"/>
      <c r="DQ1857" s="118"/>
      <c r="DR1857" s="118"/>
      <c r="DS1857" s="118"/>
      <c r="DT1857" s="118"/>
      <c r="DU1857" s="118"/>
      <c r="DV1857" s="118"/>
      <c r="DW1857" s="118"/>
      <c r="DX1857" s="118"/>
      <c r="DY1857" s="118"/>
      <c r="DZ1857" s="118"/>
      <c r="EA1857" s="118"/>
      <c r="EB1857" s="118"/>
      <c r="EC1857" s="118"/>
      <c r="ED1857" s="118"/>
      <c r="EE1857" s="118"/>
      <c r="EF1857" s="118"/>
      <c r="EG1857" s="118"/>
      <c r="EH1857" s="118"/>
      <c r="EI1857" s="118"/>
      <c r="EJ1857" s="118"/>
      <c r="EK1857" s="118"/>
      <c r="EL1857" s="118"/>
      <c r="EM1857" s="118"/>
      <c r="EN1857" s="118"/>
      <c r="EO1857" s="118"/>
      <c r="EP1857" s="118"/>
      <c r="EQ1857" s="118"/>
      <c r="ER1857" s="118"/>
      <c r="ES1857" s="118"/>
      <c r="ET1857" s="118"/>
      <c r="EU1857" s="118"/>
      <c r="EV1857" s="118"/>
      <c r="EW1857" s="118"/>
      <c r="EX1857" s="118"/>
      <c r="EY1857" s="118"/>
      <c r="EZ1857" s="118"/>
      <c r="FA1857" s="118"/>
      <c r="FB1857" s="118"/>
      <c r="FC1857" s="118"/>
      <c r="FD1857" s="118"/>
      <c r="FE1857" s="118"/>
      <c r="FF1857" s="118"/>
      <c r="FG1857" s="118"/>
      <c r="FH1857" s="118"/>
      <c r="FI1857" s="118"/>
      <c r="FJ1857" s="118"/>
      <c r="FK1857" s="118"/>
      <c r="FL1857" s="118"/>
      <c r="FM1857" s="118"/>
      <c r="FN1857" s="118"/>
      <c r="FO1857" s="118"/>
      <c r="FP1857" s="118"/>
      <c r="FQ1857" s="118"/>
      <c r="FR1857" s="118"/>
      <c r="FS1857" s="118"/>
      <c r="FT1857" s="118"/>
      <c r="FU1857" s="118"/>
      <c r="FV1857" s="118"/>
      <c r="FW1857" s="118"/>
      <c r="FX1857" s="118"/>
      <c r="FY1857" s="118"/>
      <c r="FZ1857" s="118"/>
      <c r="GA1857" s="118"/>
      <c r="GB1857" s="118"/>
      <c r="GC1857" s="118"/>
      <c r="GD1857" s="118"/>
      <c r="GE1857" s="118"/>
      <c r="GF1857" s="118"/>
      <c r="GG1857" s="118"/>
      <c r="GH1857" s="118"/>
      <c r="GI1857" s="118"/>
      <c r="GJ1857" s="118"/>
      <c r="GK1857" s="118"/>
      <c r="GL1857" s="118"/>
      <c r="GM1857" s="118"/>
      <c r="GN1857" s="118"/>
      <c r="GO1857" s="118"/>
      <c r="GP1857" s="118"/>
      <c r="GQ1857" s="118"/>
      <c r="GR1857" s="118"/>
      <c r="GS1857" s="118"/>
      <c r="GT1857" s="118"/>
      <c r="GU1857" s="118"/>
      <c r="GV1857" s="118"/>
      <c r="GW1857" s="118"/>
      <c r="GX1857" s="118"/>
      <c r="GY1857" s="118"/>
      <c r="GZ1857" s="118"/>
      <c r="HA1857" s="118"/>
      <c r="HB1857" s="118"/>
      <c r="HC1857" s="118"/>
      <c r="HD1857" s="118"/>
      <c r="HE1857" s="118"/>
      <c r="HF1857" s="118"/>
      <c r="HG1857" s="118"/>
      <c r="HH1857" s="118"/>
      <c r="HI1857" s="118"/>
      <c r="HJ1857" s="118"/>
      <c r="HK1857" s="118"/>
      <c r="HL1857" s="118"/>
      <c r="HM1857" s="118"/>
      <c r="HN1857" s="118"/>
      <c r="HO1857" s="118"/>
      <c r="HP1857" s="118"/>
      <c r="HQ1857" s="118"/>
      <c r="HR1857" s="118"/>
      <c r="HS1857" s="118"/>
      <c r="HT1857" s="118"/>
      <c r="HU1857" s="118"/>
      <c r="HV1857" s="118"/>
      <c r="HW1857" s="118"/>
      <c r="HX1857" s="118"/>
      <c r="HY1857" s="118"/>
      <c r="HZ1857" s="118"/>
      <c r="IA1857" s="118"/>
      <c r="IB1857" s="118"/>
      <c r="IC1857" s="118"/>
      <c r="ID1857" s="118"/>
      <c r="IE1857" s="118"/>
      <c r="IF1857" s="118"/>
      <c r="IG1857" s="118"/>
      <c r="IH1857" s="118"/>
      <c r="II1857" s="118"/>
      <c r="IJ1857" s="118"/>
    </row>
    <row r="1858" spans="1:244" s="127" customFormat="1" ht="12.75" customHeight="1">
      <c r="A1858" s="118">
        <v>1857</v>
      </c>
      <c r="B1858" s="128">
        <v>20</v>
      </c>
      <c r="C1858" s="156">
        <v>40057</v>
      </c>
      <c r="D1858" s="157" t="s">
        <v>52</v>
      </c>
      <c r="E1858" s="127">
        <v>2009</v>
      </c>
      <c r="F1858" s="158">
        <f t="shared" si="480"/>
        <v>664</v>
      </c>
      <c r="G1858" s="158">
        <f t="shared" si="481"/>
        <v>2</v>
      </c>
      <c r="H1858" s="175">
        <v>39393</v>
      </c>
      <c r="I1858" s="125">
        <v>515641</v>
      </c>
      <c r="J1858" s="191">
        <v>0.05</v>
      </c>
      <c r="K1858" s="191">
        <v>0.82</v>
      </c>
      <c r="L1858" s="191">
        <v>0.48</v>
      </c>
      <c r="M1858" s="193">
        <v>0</v>
      </c>
      <c r="N1858" s="529"/>
      <c r="O1858" s="191">
        <v>0</v>
      </c>
      <c r="S1858" s="140"/>
      <c r="T1858" s="161">
        <f t="shared" si="482"/>
        <v>422825.62</v>
      </c>
      <c r="U1858" s="161">
        <f t="shared" si="483"/>
        <v>247507.68</v>
      </c>
      <c r="V1858" s="161">
        <f t="shared" si="484"/>
        <v>0</v>
      </c>
      <c r="W1858" s="161">
        <f t="shared" si="479"/>
        <v>0</v>
      </c>
      <c r="X1858" s="118"/>
      <c r="Y1858" s="118"/>
      <c r="Z1858" s="118"/>
      <c r="AA1858" s="118"/>
      <c r="AB1858" s="118"/>
      <c r="AC1858" s="118"/>
      <c r="AD1858" s="118"/>
      <c r="AE1858" s="118"/>
      <c r="AF1858" s="118"/>
      <c r="AG1858" s="118"/>
      <c r="AH1858" s="118"/>
      <c r="AI1858" s="118"/>
      <c r="AJ1858" s="118"/>
      <c r="AK1858" s="118"/>
      <c r="AL1858" s="118"/>
      <c r="AM1858" s="118"/>
      <c r="AN1858" s="118"/>
      <c r="AO1858" s="118"/>
      <c r="AP1858" s="118"/>
      <c r="AQ1858" s="118"/>
      <c r="AR1858" s="118"/>
      <c r="AS1858" s="118"/>
      <c r="AT1858" s="118"/>
      <c r="AU1858" s="118"/>
      <c r="AV1858" s="118"/>
      <c r="AW1858" s="118"/>
      <c r="AX1858" s="118"/>
      <c r="AY1858" s="118"/>
      <c r="AZ1858" s="118"/>
      <c r="BA1858" s="118"/>
      <c r="BB1858" s="118"/>
      <c r="BC1858" s="118"/>
      <c r="BD1858" s="118"/>
      <c r="BE1858" s="118"/>
      <c r="BF1858" s="118"/>
      <c r="BG1858" s="118"/>
      <c r="BH1858" s="118"/>
      <c r="BI1858" s="118"/>
      <c r="BJ1858" s="118"/>
      <c r="BK1858" s="118"/>
      <c r="BL1858" s="118"/>
      <c r="BM1858" s="118"/>
      <c r="BN1858" s="118"/>
      <c r="BO1858" s="118"/>
      <c r="BP1858" s="118"/>
      <c r="BQ1858" s="118"/>
      <c r="BR1858" s="118"/>
      <c r="BS1858" s="118"/>
      <c r="BT1858" s="118"/>
      <c r="BU1858" s="118"/>
      <c r="BV1858" s="118"/>
      <c r="BW1858" s="118"/>
      <c r="BX1858" s="118"/>
      <c r="BY1858" s="118"/>
      <c r="BZ1858" s="118"/>
      <c r="CA1858" s="118"/>
      <c r="CB1858" s="118"/>
      <c r="CC1858" s="118"/>
      <c r="CD1858" s="118"/>
      <c r="CE1858" s="118"/>
      <c r="CF1858" s="118"/>
      <c r="CG1858" s="118"/>
      <c r="CH1858" s="118"/>
      <c r="CI1858" s="118"/>
      <c r="CJ1858" s="118"/>
      <c r="CK1858" s="118"/>
      <c r="CL1858" s="118"/>
      <c r="CM1858" s="118"/>
      <c r="CN1858" s="118"/>
      <c r="CO1858" s="118"/>
      <c r="CP1858" s="118"/>
      <c r="CQ1858" s="118"/>
      <c r="CR1858" s="118"/>
      <c r="CS1858" s="118"/>
      <c r="CT1858" s="118"/>
      <c r="CU1858" s="118"/>
      <c r="CV1858" s="118"/>
      <c r="CW1858" s="118"/>
      <c r="CX1858" s="118"/>
      <c r="CY1858" s="118"/>
      <c r="CZ1858" s="118"/>
      <c r="DA1858" s="118"/>
      <c r="DB1858" s="118"/>
      <c r="DC1858" s="118"/>
      <c r="DD1858" s="118"/>
      <c r="DE1858" s="118"/>
      <c r="DF1858" s="118"/>
      <c r="DG1858" s="118"/>
      <c r="DH1858" s="118"/>
      <c r="DI1858" s="118"/>
      <c r="DJ1858" s="118"/>
      <c r="DK1858" s="118"/>
      <c r="DL1858" s="118"/>
      <c r="DM1858" s="118"/>
      <c r="DN1858" s="118"/>
      <c r="DO1858" s="118"/>
      <c r="DP1858" s="118"/>
      <c r="DQ1858" s="118"/>
      <c r="DR1858" s="118"/>
      <c r="DS1858" s="118"/>
      <c r="DT1858" s="118"/>
      <c r="DU1858" s="118"/>
      <c r="DV1858" s="118"/>
      <c r="DW1858" s="118"/>
      <c r="DX1858" s="118"/>
      <c r="DY1858" s="118"/>
      <c r="DZ1858" s="118"/>
      <c r="EA1858" s="118"/>
      <c r="EB1858" s="118"/>
      <c r="EC1858" s="118"/>
      <c r="ED1858" s="118"/>
      <c r="EE1858" s="118"/>
      <c r="EF1858" s="118"/>
      <c r="EG1858" s="118"/>
      <c r="EH1858" s="118"/>
      <c r="EI1858" s="118"/>
      <c r="EJ1858" s="118"/>
      <c r="EK1858" s="118"/>
      <c r="EL1858" s="118"/>
      <c r="EM1858" s="118"/>
      <c r="EN1858" s="118"/>
      <c r="EO1858" s="118"/>
      <c r="EP1858" s="118"/>
      <c r="EQ1858" s="118"/>
      <c r="ER1858" s="118"/>
      <c r="ES1858" s="118"/>
      <c r="ET1858" s="118"/>
      <c r="EU1858" s="118"/>
      <c r="EV1858" s="118"/>
      <c r="EW1858" s="118"/>
      <c r="EX1858" s="118"/>
      <c r="EY1858" s="118"/>
      <c r="EZ1858" s="118"/>
      <c r="FA1858" s="118"/>
      <c r="FB1858" s="118"/>
      <c r="FC1858" s="118"/>
      <c r="FD1858" s="118"/>
      <c r="FE1858" s="118"/>
      <c r="FF1858" s="118"/>
      <c r="FG1858" s="118"/>
      <c r="FH1858" s="118"/>
      <c r="FI1858" s="118"/>
      <c r="FJ1858" s="118"/>
      <c r="FK1858" s="118"/>
      <c r="FL1858" s="118"/>
      <c r="FM1858" s="118"/>
      <c r="FN1858" s="118"/>
      <c r="FO1858" s="118"/>
      <c r="FP1858" s="118"/>
      <c r="FQ1858" s="118"/>
      <c r="FR1858" s="118"/>
      <c r="FS1858" s="118"/>
      <c r="FT1858" s="118"/>
      <c r="FU1858" s="118"/>
      <c r="FV1858" s="118"/>
      <c r="FW1858" s="118"/>
      <c r="FX1858" s="118"/>
      <c r="FY1858" s="118"/>
      <c r="FZ1858" s="118"/>
      <c r="GA1858" s="118"/>
      <c r="GB1858" s="118"/>
      <c r="GC1858" s="118"/>
      <c r="GD1858" s="118"/>
      <c r="GE1858" s="118"/>
      <c r="GF1858" s="118"/>
      <c r="GG1858" s="118"/>
      <c r="GH1858" s="118"/>
      <c r="GI1858" s="118"/>
      <c r="GJ1858" s="118"/>
      <c r="GK1858" s="118"/>
      <c r="GL1858" s="118"/>
      <c r="GM1858" s="118"/>
      <c r="GN1858" s="118"/>
      <c r="GO1858" s="118"/>
      <c r="GP1858" s="118"/>
      <c r="GQ1858" s="118"/>
      <c r="GR1858" s="118"/>
      <c r="GS1858" s="118"/>
      <c r="GT1858" s="118"/>
      <c r="GU1858" s="118"/>
      <c r="GV1858" s="118"/>
      <c r="GW1858" s="118"/>
      <c r="GX1858" s="118"/>
      <c r="GY1858" s="118"/>
      <c r="GZ1858" s="118"/>
      <c r="HA1858" s="118"/>
      <c r="HB1858" s="118"/>
      <c r="HC1858" s="118"/>
      <c r="HD1858" s="118"/>
      <c r="HE1858" s="118"/>
      <c r="HF1858" s="118"/>
      <c r="HG1858" s="118"/>
      <c r="HH1858" s="118"/>
      <c r="HI1858" s="118"/>
      <c r="HJ1858" s="118"/>
      <c r="HK1858" s="118"/>
      <c r="HL1858" s="118"/>
      <c r="HM1858" s="118"/>
      <c r="HN1858" s="118"/>
      <c r="HO1858" s="118"/>
      <c r="HP1858" s="118"/>
      <c r="HQ1858" s="118"/>
      <c r="HR1858" s="118"/>
      <c r="HS1858" s="118"/>
      <c r="HT1858" s="118"/>
      <c r="HU1858" s="118"/>
      <c r="HV1858" s="118"/>
      <c r="HW1858" s="118"/>
      <c r="HX1858" s="118"/>
      <c r="HY1858" s="118"/>
      <c r="HZ1858" s="118"/>
      <c r="IA1858" s="118"/>
      <c r="IB1858" s="118"/>
      <c r="IC1858" s="118"/>
      <c r="ID1858" s="118"/>
      <c r="IE1858" s="118"/>
      <c r="IF1858" s="118"/>
      <c r="IG1858" s="118"/>
      <c r="IH1858" s="118"/>
      <c r="II1858" s="118"/>
      <c r="IJ1858" s="118"/>
    </row>
    <row r="1859" spans="1:244" s="127" customFormat="1" ht="12.75" customHeight="1">
      <c r="A1859" s="118">
        <v>1858</v>
      </c>
      <c r="B1859" s="128">
        <v>20</v>
      </c>
      <c r="C1859" s="156">
        <v>40087</v>
      </c>
      <c r="D1859" s="157" t="s">
        <v>53</v>
      </c>
      <c r="E1859" s="127">
        <v>2009</v>
      </c>
      <c r="F1859" s="158">
        <f t="shared" si="480"/>
        <v>694</v>
      </c>
      <c r="G1859" s="158">
        <f t="shared" si="481"/>
        <v>2</v>
      </c>
      <c r="H1859" s="175">
        <v>39393</v>
      </c>
      <c r="I1859" s="125">
        <v>402789</v>
      </c>
      <c r="J1859" s="191">
        <v>7.0000000000000007E-2</v>
      </c>
      <c r="K1859" s="191">
        <v>1.08</v>
      </c>
      <c r="L1859" s="191">
        <v>0.55000000000000004</v>
      </c>
      <c r="M1859" s="193">
        <v>0</v>
      </c>
      <c r="N1859" s="529"/>
      <c r="O1859" s="191">
        <v>0.02</v>
      </c>
      <c r="S1859" s="140"/>
      <c r="T1859" s="161">
        <f t="shared" si="482"/>
        <v>435012.12000000005</v>
      </c>
      <c r="U1859" s="161">
        <f t="shared" si="483"/>
        <v>221533.95</v>
      </c>
      <c r="V1859" s="161">
        <f t="shared" si="484"/>
        <v>8055.78</v>
      </c>
      <c r="W1859" s="161">
        <f t="shared" si="479"/>
        <v>3222.3119999999999</v>
      </c>
      <c r="X1859" s="118"/>
      <c r="Y1859" s="118"/>
      <c r="Z1859" s="118"/>
      <c r="AA1859" s="118"/>
      <c r="AB1859" s="118"/>
      <c r="AC1859" s="118"/>
      <c r="AD1859" s="118"/>
      <c r="AE1859" s="118"/>
      <c r="AF1859" s="118"/>
      <c r="AG1859" s="118"/>
      <c r="AH1859" s="118"/>
      <c r="AI1859" s="118"/>
      <c r="AJ1859" s="118"/>
      <c r="AK1859" s="118"/>
      <c r="AL1859" s="118"/>
      <c r="AM1859" s="118"/>
      <c r="AN1859" s="118"/>
      <c r="AO1859" s="118"/>
      <c r="AP1859" s="118"/>
      <c r="AQ1859" s="118"/>
      <c r="AR1859" s="118"/>
      <c r="AS1859" s="118"/>
      <c r="AT1859" s="118"/>
      <c r="AU1859" s="118"/>
      <c r="AV1859" s="118"/>
      <c r="AW1859" s="118"/>
      <c r="AX1859" s="118"/>
      <c r="AY1859" s="118"/>
      <c r="AZ1859" s="118"/>
      <c r="BA1859" s="118"/>
      <c r="BB1859" s="118"/>
      <c r="BC1859" s="118"/>
      <c r="BD1859" s="118"/>
      <c r="BE1859" s="118"/>
      <c r="BF1859" s="118"/>
      <c r="BG1859" s="118"/>
      <c r="BH1859" s="118"/>
      <c r="BI1859" s="118"/>
      <c r="BJ1859" s="118"/>
      <c r="BK1859" s="118"/>
      <c r="BL1859" s="118"/>
      <c r="BM1859" s="118"/>
      <c r="BN1859" s="118"/>
      <c r="BO1859" s="118"/>
      <c r="BP1859" s="118"/>
      <c r="BQ1859" s="118"/>
      <c r="BR1859" s="118"/>
      <c r="BS1859" s="118"/>
      <c r="BT1859" s="118"/>
      <c r="BU1859" s="118"/>
      <c r="BV1859" s="118"/>
      <c r="BW1859" s="118"/>
      <c r="BX1859" s="118"/>
      <c r="BY1859" s="118"/>
      <c r="BZ1859" s="118"/>
      <c r="CA1859" s="118"/>
      <c r="CB1859" s="118"/>
      <c r="CC1859" s="118"/>
      <c r="CD1859" s="118"/>
      <c r="CE1859" s="118"/>
      <c r="CF1859" s="118"/>
      <c r="CG1859" s="118"/>
      <c r="CH1859" s="118"/>
      <c r="CI1859" s="118"/>
      <c r="CJ1859" s="118"/>
      <c r="CK1859" s="118"/>
      <c r="CL1859" s="118"/>
      <c r="CM1859" s="118"/>
      <c r="CN1859" s="118"/>
      <c r="CO1859" s="118"/>
      <c r="CP1859" s="118"/>
      <c r="CQ1859" s="118"/>
      <c r="CR1859" s="118"/>
      <c r="CS1859" s="118"/>
      <c r="CT1859" s="118"/>
      <c r="CU1859" s="118"/>
      <c r="CV1859" s="118"/>
      <c r="CW1859" s="118"/>
      <c r="CX1859" s="118"/>
      <c r="CY1859" s="118"/>
      <c r="CZ1859" s="118"/>
      <c r="DA1859" s="118"/>
      <c r="DB1859" s="118"/>
      <c r="DC1859" s="118"/>
      <c r="DD1859" s="118"/>
      <c r="DE1859" s="118"/>
      <c r="DF1859" s="118"/>
      <c r="DG1859" s="118"/>
      <c r="DH1859" s="118"/>
      <c r="DI1859" s="118"/>
      <c r="DJ1859" s="118"/>
      <c r="DK1859" s="118"/>
      <c r="DL1859" s="118"/>
      <c r="DM1859" s="118"/>
      <c r="DN1859" s="118"/>
      <c r="DO1859" s="118"/>
      <c r="DP1859" s="118"/>
      <c r="DQ1859" s="118"/>
      <c r="DR1859" s="118"/>
      <c r="DS1859" s="118"/>
      <c r="DT1859" s="118"/>
      <c r="DU1859" s="118"/>
      <c r="DV1859" s="118"/>
      <c r="DW1859" s="118"/>
      <c r="DX1859" s="118"/>
      <c r="DY1859" s="118"/>
      <c r="DZ1859" s="118"/>
      <c r="EA1859" s="118"/>
      <c r="EB1859" s="118"/>
      <c r="EC1859" s="118"/>
      <c r="ED1859" s="118"/>
      <c r="EE1859" s="118"/>
      <c r="EF1859" s="118"/>
      <c r="EG1859" s="118"/>
      <c r="EH1859" s="118"/>
      <c r="EI1859" s="118"/>
      <c r="EJ1859" s="118"/>
      <c r="EK1859" s="118"/>
      <c r="EL1859" s="118"/>
      <c r="EM1859" s="118"/>
      <c r="EN1859" s="118"/>
      <c r="EO1859" s="118"/>
      <c r="EP1859" s="118"/>
      <c r="EQ1859" s="118"/>
      <c r="ER1859" s="118"/>
      <c r="ES1859" s="118"/>
      <c r="ET1859" s="118"/>
      <c r="EU1859" s="118"/>
      <c r="EV1859" s="118"/>
      <c r="EW1859" s="118"/>
      <c r="EX1859" s="118"/>
      <c r="EY1859" s="118"/>
      <c r="EZ1859" s="118"/>
      <c r="FA1859" s="118"/>
      <c r="FB1859" s="118"/>
      <c r="FC1859" s="118"/>
      <c r="FD1859" s="118"/>
      <c r="FE1859" s="118"/>
      <c r="FF1859" s="118"/>
      <c r="FG1859" s="118"/>
      <c r="FH1859" s="118"/>
      <c r="FI1859" s="118"/>
      <c r="FJ1859" s="118"/>
      <c r="FK1859" s="118"/>
      <c r="FL1859" s="118"/>
      <c r="FM1859" s="118"/>
      <c r="FN1859" s="118"/>
      <c r="FO1859" s="118"/>
      <c r="FP1859" s="118"/>
      <c r="FQ1859" s="118"/>
      <c r="FR1859" s="118"/>
      <c r="FS1859" s="118"/>
      <c r="FT1859" s="118"/>
      <c r="FU1859" s="118"/>
      <c r="FV1859" s="118"/>
      <c r="FW1859" s="118"/>
      <c r="FX1859" s="118"/>
      <c r="FY1859" s="118"/>
      <c r="FZ1859" s="118"/>
      <c r="GA1859" s="118"/>
      <c r="GB1859" s="118"/>
      <c r="GC1859" s="118"/>
      <c r="GD1859" s="118"/>
      <c r="GE1859" s="118"/>
      <c r="GF1859" s="118"/>
      <c r="GG1859" s="118"/>
      <c r="GH1859" s="118"/>
      <c r="GI1859" s="118"/>
      <c r="GJ1859" s="118"/>
      <c r="GK1859" s="118"/>
      <c r="GL1859" s="118"/>
      <c r="GM1859" s="118"/>
      <c r="GN1859" s="118"/>
      <c r="GO1859" s="118"/>
      <c r="GP1859" s="118"/>
      <c r="GQ1859" s="118"/>
      <c r="GR1859" s="118"/>
      <c r="GS1859" s="118"/>
      <c r="GT1859" s="118"/>
      <c r="GU1859" s="118"/>
      <c r="GV1859" s="118"/>
      <c r="GW1859" s="118"/>
      <c r="GX1859" s="118"/>
      <c r="GY1859" s="118"/>
      <c r="GZ1859" s="118"/>
      <c r="HA1859" s="118"/>
      <c r="HB1859" s="118"/>
      <c r="HC1859" s="118"/>
      <c r="HD1859" s="118"/>
      <c r="HE1859" s="118"/>
      <c r="HF1859" s="118"/>
      <c r="HG1859" s="118"/>
      <c r="HH1859" s="118"/>
      <c r="HI1859" s="118"/>
      <c r="HJ1859" s="118"/>
      <c r="HK1859" s="118"/>
      <c r="HL1859" s="118"/>
      <c r="HM1859" s="118"/>
      <c r="HN1859" s="118"/>
      <c r="HO1859" s="118"/>
      <c r="HP1859" s="118"/>
      <c r="HQ1859" s="118"/>
      <c r="HR1859" s="118"/>
      <c r="HS1859" s="118"/>
      <c r="HT1859" s="118"/>
      <c r="HU1859" s="118"/>
      <c r="HV1859" s="118"/>
      <c r="HW1859" s="118"/>
      <c r="HX1859" s="118"/>
      <c r="HY1859" s="118"/>
      <c r="HZ1859" s="118"/>
      <c r="IA1859" s="118"/>
      <c r="IB1859" s="118"/>
      <c r="IC1859" s="118"/>
      <c r="ID1859" s="118"/>
      <c r="IE1859" s="118"/>
      <c r="IF1859" s="118"/>
      <c r="IG1859" s="118"/>
      <c r="IH1859" s="118"/>
      <c r="II1859" s="118"/>
      <c r="IJ1859" s="118"/>
    </row>
    <row r="1860" spans="1:244" s="127" customFormat="1" ht="12.75" customHeight="1">
      <c r="A1860" s="118">
        <v>1859</v>
      </c>
      <c r="B1860" s="128">
        <v>20</v>
      </c>
      <c r="C1860" s="156">
        <v>40118</v>
      </c>
      <c r="D1860" s="157" t="s">
        <v>54</v>
      </c>
      <c r="E1860" s="127">
        <v>2009</v>
      </c>
      <c r="F1860" s="158">
        <f t="shared" si="480"/>
        <v>725</v>
      </c>
      <c r="G1860" s="158">
        <f t="shared" si="481"/>
        <v>2</v>
      </c>
      <c r="H1860" s="175">
        <v>39393</v>
      </c>
      <c r="I1860" s="125">
        <v>339948</v>
      </c>
      <c r="J1860" s="191">
        <v>0</v>
      </c>
      <c r="K1860" s="191">
        <v>0.75</v>
      </c>
      <c r="L1860" s="191">
        <v>0.438</v>
      </c>
      <c r="M1860" s="193">
        <v>1</v>
      </c>
      <c r="N1860" s="529"/>
      <c r="O1860" s="191">
        <v>0.22500000000000001</v>
      </c>
      <c r="S1860" s="140"/>
      <c r="T1860" s="161">
        <f t="shared" si="482"/>
        <v>254961</v>
      </c>
      <c r="U1860" s="161">
        <f t="shared" si="483"/>
        <v>148897.22399999999</v>
      </c>
      <c r="V1860" s="161">
        <f t="shared" si="484"/>
        <v>76488.3</v>
      </c>
      <c r="W1860" s="161">
        <f t="shared" si="479"/>
        <v>30595.320000000003</v>
      </c>
      <c r="X1860" s="118"/>
      <c r="Y1860" s="118"/>
      <c r="Z1860" s="118"/>
      <c r="AA1860" s="118"/>
      <c r="AB1860" s="118"/>
      <c r="AC1860" s="118"/>
      <c r="AD1860" s="118"/>
      <c r="AE1860" s="118"/>
      <c r="AF1860" s="118"/>
      <c r="AG1860" s="118"/>
      <c r="AH1860" s="118"/>
      <c r="AI1860" s="118"/>
      <c r="AJ1860" s="118"/>
      <c r="AK1860" s="118"/>
      <c r="AL1860" s="118"/>
      <c r="AM1860" s="118"/>
      <c r="AN1860" s="118"/>
      <c r="AO1860" s="118"/>
      <c r="AP1860" s="118"/>
      <c r="AQ1860" s="118"/>
      <c r="AR1860" s="118"/>
      <c r="AS1860" s="118"/>
      <c r="AT1860" s="118"/>
      <c r="AU1860" s="118"/>
      <c r="AV1860" s="118"/>
      <c r="AW1860" s="118"/>
      <c r="AX1860" s="118"/>
      <c r="AY1860" s="118"/>
      <c r="AZ1860" s="118"/>
      <c r="BA1860" s="118"/>
      <c r="BB1860" s="118"/>
      <c r="BC1860" s="118"/>
      <c r="BD1860" s="118"/>
      <c r="BE1860" s="118"/>
      <c r="BF1860" s="118"/>
      <c r="BG1860" s="118"/>
      <c r="BH1860" s="118"/>
      <c r="BI1860" s="118"/>
      <c r="BJ1860" s="118"/>
      <c r="BK1860" s="118"/>
      <c r="BL1860" s="118"/>
      <c r="BM1860" s="118"/>
      <c r="BN1860" s="118"/>
      <c r="BO1860" s="118"/>
      <c r="BP1860" s="118"/>
      <c r="BQ1860" s="118"/>
      <c r="BR1860" s="118"/>
      <c r="BS1860" s="118"/>
      <c r="BT1860" s="118"/>
      <c r="BU1860" s="118"/>
      <c r="BV1860" s="118"/>
      <c r="BW1860" s="118"/>
      <c r="BX1860" s="118"/>
      <c r="BY1860" s="118"/>
      <c r="BZ1860" s="118"/>
      <c r="CA1860" s="118"/>
      <c r="CB1860" s="118"/>
      <c r="CC1860" s="118"/>
      <c r="CD1860" s="118"/>
      <c r="CE1860" s="118"/>
      <c r="CF1860" s="118"/>
      <c r="CG1860" s="118"/>
      <c r="CH1860" s="118"/>
      <c r="CI1860" s="118"/>
      <c r="CJ1860" s="118"/>
      <c r="CK1860" s="118"/>
      <c r="CL1860" s="118"/>
      <c r="CM1860" s="118"/>
      <c r="CN1860" s="118"/>
      <c r="CO1860" s="118"/>
      <c r="CP1860" s="118"/>
      <c r="CQ1860" s="118"/>
      <c r="CR1860" s="118"/>
      <c r="CS1860" s="118"/>
      <c r="CT1860" s="118"/>
      <c r="CU1860" s="118"/>
      <c r="CV1860" s="118"/>
      <c r="CW1860" s="118"/>
      <c r="CX1860" s="118"/>
      <c r="CY1860" s="118"/>
      <c r="CZ1860" s="118"/>
      <c r="DA1860" s="118"/>
      <c r="DB1860" s="118"/>
      <c r="DC1860" s="118"/>
      <c r="DD1860" s="118"/>
      <c r="DE1860" s="118"/>
      <c r="DF1860" s="118"/>
      <c r="DG1860" s="118"/>
      <c r="DH1860" s="118"/>
      <c r="DI1860" s="118"/>
      <c r="DJ1860" s="118"/>
      <c r="DK1860" s="118"/>
      <c r="DL1860" s="118"/>
      <c r="DM1860" s="118"/>
      <c r="DN1860" s="118"/>
      <c r="DO1860" s="118"/>
      <c r="DP1860" s="118"/>
      <c r="DQ1860" s="118"/>
      <c r="DR1860" s="118"/>
      <c r="DS1860" s="118"/>
      <c r="DT1860" s="118"/>
      <c r="DU1860" s="118"/>
      <c r="DV1860" s="118"/>
      <c r="DW1860" s="118"/>
      <c r="DX1860" s="118"/>
      <c r="DY1860" s="118"/>
      <c r="DZ1860" s="118"/>
      <c r="EA1860" s="118"/>
      <c r="EB1860" s="118"/>
      <c r="EC1860" s="118"/>
      <c r="ED1860" s="118"/>
      <c r="EE1860" s="118"/>
      <c r="EF1860" s="118"/>
      <c r="EG1860" s="118"/>
      <c r="EH1860" s="118"/>
      <c r="EI1860" s="118"/>
      <c r="EJ1860" s="118"/>
      <c r="EK1860" s="118"/>
      <c r="EL1860" s="118"/>
      <c r="EM1860" s="118"/>
      <c r="EN1860" s="118"/>
      <c r="EO1860" s="118"/>
      <c r="EP1860" s="118"/>
      <c r="EQ1860" s="118"/>
      <c r="ER1860" s="118"/>
      <c r="ES1860" s="118"/>
      <c r="ET1860" s="118"/>
      <c r="EU1860" s="118"/>
      <c r="EV1860" s="118"/>
      <c r="EW1860" s="118"/>
      <c r="EX1860" s="118"/>
      <c r="EY1860" s="118"/>
      <c r="EZ1860" s="118"/>
      <c r="FA1860" s="118"/>
      <c r="FB1860" s="118"/>
      <c r="FC1860" s="118"/>
      <c r="FD1860" s="118"/>
      <c r="FE1860" s="118"/>
      <c r="FF1860" s="118"/>
      <c r="FG1860" s="118"/>
      <c r="FH1860" s="118"/>
      <c r="FI1860" s="118"/>
      <c r="FJ1860" s="118"/>
      <c r="FK1860" s="118"/>
      <c r="FL1860" s="118"/>
      <c r="FM1860" s="118"/>
      <c r="FN1860" s="118"/>
      <c r="FO1860" s="118"/>
      <c r="FP1860" s="118"/>
      <c r="FQ1860" s="118"/>
      <c r="FR1860" s="118"/>
      <c r="FS1860" s="118"/>
      <c r="FT1860" s="118"/>
      <c r="FU1860" s="118"/>
      <c r="FV1860" s="118"/>
      <c r="FW1860" s="118"/>
      <c r="FX1860" s="118"/>
      <c r="FY1860" s="118"/>
      <c r="FZ1860" s="118"/>
      <c r="GA1860" s="118"/>
      <c r="GB1860" s="118"/>
      <c r="GC1860" s="118"/>
      <c r="GD1860" s="118"/>
      <c r="GE1860" s="118"/>
      <c r="GF1860" s="118"/>
      <c r="GG1860" s="118"/>
      <c r="GH1860" s="118"/>
      <c r="GI1860" s="118"/>
      <c r="GJ1860" s="118"/>
      <c r="GK1860" s="118"/>
      <c r="GL1860" s="118"/>
      <c r="GM1860" s="118"/>
      <c r="GN1860" s="118"/>
      <c r="GO1860" s="118"/>
      <c r="GP1860" s="118"/>
      <c r="GQ1860" s="118"/>
      <c r="GR1860" s="118"/>
      <c r="GS1860" s="118"/>
      <c r="GT1860" s="118"/>
      <c r="GU1860" s="118"/>
      <c r="GV1860" s="118"/>
      <c r="GW1860" s="118"/>
      <c r="GX1860" s="118"/>
      <c r="GY1860" s="118"/>
      <c r="GZ1860" s="118"/>
      <c r="HA1860" s="118"/>
      <c r="HB1860" s="118"/>
      <c r="HC1860" s="118"/>
      <c r="HD1860" s="118"/>
      <c r="HE1860" s="118"/>
      <c r="HF1860" s="118"/>
      <c r="HG1860" s="118"/>
      <c r="HH1860" s="118"/>
      <c r="HI1860" s="118"/>
      <c r="HJ1860" s="118"/>
      <c r="HK1860" s="118"/>
      <c r="HL1860" s="118"/>
      <c r="HM1860" s="118"/>
      <c r="HN1860" s="118"/>
      <c r="HO1860" s="118"/>
      <c r="HP1860" s="118"/>
      <c r="HQ1860" s="118"/>
      <c r="HR1860" s="118"/>
      <c r="HS1860" s="118"/>
      <c r="HT1860" s="118"/>
      <c r="HU1860" s="118"/>
      <c r="HV1860" s="118"/>
      <c r="HW1860" s="118"/>
      <c r="HX1860" s="118"/>
      <c r="HY1860" s="118"/>
      <c r="HZ1860" s="118"/>
      <c r="IA1860" s="118"/>
      <c r="IB1860" s="118"/>
      <c r="IC1860" s="118"/>
      <c r="ID1860" s="118"/>
      <c r="IE1860" s="118"/>
      <c r="IF1860" s="118"/>
      <c r="IG1860" s="118"/>
      <c r="IH1860" s="118"/>
      <c r="II1860" s="118"/>
      <c r="IJ1860" s="118"/>
    </row>
    <row r="1861" spans="1:244" s="127" customFormat="1" ht="12.75" customHeight="1">
      <c r="A1861" s="118">
        <v>1860</v>
      </c>
      <c r="B1861" s="128">
        <v>20</v>
      </c>
      <c r="C1861" s="156">
        <v>40148</v>
      </c>
      <c r="D1861" s="157" t="s">
        <v>55</v>
      </c>
      <c r="E1861" s="127">
        <v>2009</v>
      </c>
      <c r="F1861" s="158">
        <f t="shared" si="480"/>
        <v>755</v>
      </c>
      <c r="G1861" s="158">
        <f t="shared" si="481"/>
        <v>2</v>
      </c>
      <c r="H1861" s="175">
        <v>39393</v>
      </c>
      <c r="I1861" s="125">
        <v>338914</v>
      </c>
      <c r="J1861" s="191">
        <v>0.43</v>
      </c>
      <c r="K1861" s="191">
        <v>2.85</v>
      </c>
      <c r="L1861" s="191">
        <v>1.02</v>
      </c>
      <c r="M1861" s="193"/>
      <c r="N1861" s="529"/>
      <c r="O1861" s="191">
        <v>0</v>
      </c>
      <c r="S1861" s="140"/>
      <c r="T1861" s="161">
        <f t="shared" si="482"/>
        <v>965904.9</v>
      </c>
      <c r="U1861" s="161">
        <f t="shared" si="483"/>
        <v>345692.28</v>
      </c>
      <c r="V1861" s="161">
        <f t="shared" si="484"/>
        <v>0</v>
      </c>
      <c r="W1861" s="161">
        <f t="shared" si="479"/>
        <v>0</v>
      </c>
      <c r="X1861" s="118"/>
      <c r="Y1861" s="118"/>
      <c r="Z1861" s="118"/>
      <c r="AA1861" s="118"/>
      <c r="AB1861" s="118"/>
      <c r="AC1861" s="118"/>
      <c r="AD1861" s="118"/>
      <c r="AE1861" s="118"/>
      <c r="AF1861" s="118"/>
      <c r="AG1861" s="118"/>
      <c r="AH1861" s="118"/>
      <c r="AI1861" s="118"/>
      <c r="AJ1861" s="118"/>
      <c r="AK1861" s="118"/>
      <c r="AL1861" s="118"/>
      <c r="AM1861" s="118"/>
      <c r="AN1861" s="118"/>
      <c r="AO1861" s="118"/>
      <c r="AP1861" s="118"/>
      <c r="AQ1861" s="118"/>
      <c r="AR1861" s="118"/>
      <c r="AS1861" s="118"/>
      <c r="AT1861" s="118"/>
      <c r="AU1861" s="118"/>
      <c r="AV1861" s="118"/>
      <c r="AW1861" s="118"/>
      <c r="AX1861" s="118"/>
      <c r="AY1861" s="118"/>
      <c r="AZ1861" s="118"/>
      <c r="BA1861" s="118"/>
      <c r="BB1861" s="118"/>
      <c r="BC1861" s="118"/>
      <c r="BD1861" s="118"/>
      <c r="BE1861" s="118"/>
      <c r="BF1861" s="118"/>
      <c r="BG1861" s="118"/>
      <c r="BH1861" s="118"/>
      <c r="BI1861" s="118"/>
      <c r="BJ1861" s="118"/>
      <c r="BK1861" s="118"/>
      <c r="BL1861" s="118"/>
      <c r="BM1861" s="118"/>
      <c r="BN1861" s="118"/>
      <c r="BO1861" s="118"/>
      <c r="BP1861" s="118"/>
      <c r="BQ1861" s="118"/>
      <c r="BR1861" s="118"/>
      <c r="BS1861" s="118"/>
      <c r="BT1861" s="118"/>
      <c r="BU1861" s="118"/>
      <c r="BV1861" s="118"/>
      <c r="BW1861" s="118"/>
      <c r="BX1861" s="118"/>
      <c r="BY1861" s="118"/>
      <c r="BZ1861" s="118"/>
      <c r="CA1861" s="118"/>
      <c r="CB1861" s="118"/>
      <c r="CC1861" s="118"/>
      <c r="CD1861" s="118"/>
      <c r="CE1861" s="118"/>
      <c r="CF1861" s="118"/>
      <c r="CG1861" s="118"/>
      <c r="CH1861" s="118"/>
      <c r="CI1861" s="118"/>
      <c r="CJ1861" s="118"/>
      <c r="CK1861" s="118"/>
      <c r="CL1861" s="118"/>
      <c r="CM1861" s="118"/>
      <c r="CN1861" s="118"/>
      <c r="CO1861" s="118"/>
      <c r="CP1861" s="118"/>
      <c r="CQ1861" s="118"/>
      <c r="CR1861" s="118"/>
      <c r="CS1861" s="118"/>
      <c r="CT1861" s="118"/>
      <c r="CU1861" s="118"/>
      <c r="CV1861" s="118"/>
      <c r="CW1861" s="118"/>
      <c r="CX1861" s="118"/>
      <c r="CY1861" s="118"/>
      <c r="CZ1861" s="118"/>
      <c r="DA1861" s="118"/>
      <c r="DB1861" s="118"/>
      <c r="DC1861" s="118"/>
      <c r="DD1861" s="118"/>
      <c r="DE1861" s="118"/>
      <c r="DF1861" s="118"/>
      <c r="DG1861" s="118"/>
      <c r="DH1861" s="118"/>
      <c r="DI1861" s="118"/>
      <c r="DJ1861" s="118"/>
      <c r="DK1861" s="118"/>
      <c r="DL1861" s="118"/>
      <c r="DM1861" s="118"/>
      <c r="DN1861" s="118"/>
      <c r="DO1861" s="118"/>
      <c r="DP1861" s="118"/>
      <c r="DQ1861" s="118"/>
      <c r="DR1861" s="118"/>
      <c r="DS1861" s="118"/>
      <c r="DT1861" s="118"/>
      <c r="DU1861" s="118"/>
      <c r="DV1861" s="118"/>
      <c r="DW1861" s="118"/>
      <c r="DX1861" s="118"/>
      <c r="DY1861" s="118"/>
      <c r="DZ1861" s="118"/>
      <c r="EA1861" s="118"/>
      <c r="EB1861" s="118"/>
      <c r="EC1861" s="118"/>
      <c r="ED1861" s="118"/>
      <c r="EE1861" s="118"/>
      <c r="EF1861" s="118"/>
      <c r="EG1861" s="118"/>
      <c r="EH1861" s="118"/>
      <c r="EI1861" s="118"/>
      <c r="EJ1861" s="118"/>
      <c r="EK1861" s="118"/>
      <c r="EL1861" s="118"/>
      <c r="EM1861" s="118"/>
      <c r="EN1861" s="118"/>
      <c r="EO1861" s="118"/>
      <c r="EP1861" s="118"/>
      <c r="EQ1861" s="118"/>
      <c r="ER1861" s="118"/>
      <c r="ES1861" s="118"/>
      <c r="ET1861" s="118"/>
      <c r="EU1861" s="118"/>
      <c r="EV1861" s="118"/>
      <c r="EW1861" s="118"/>
      <c r="EX1861" s="118"/>
      <c r="EY1861" s="118"/>
      <c r="EZ1861" s="118"/>
      <c r="FA1861" s="118"/>
      <c r="FB1861" s="118"/>
      <c r="FC1861" s="118"/>
      <c r="FD1861" s="118"/>
      <c r="FE1861" s="118"/>
      <c r="FF1861" s="118"/>
      <c r="FG1861" s="118"/>
      <c r="FH1861" s="118"/>
      <c r="FI1861" s="118"/>
      <c r="FJ1861" s="118"/>
      <c r="FK1861" s="118"/>
      <c r="FL1861" s="118"/>
      <c r="FM1861" s="118"/>
      <c r="FN1861" s="118"/>
      <c r="FO1861" s="118"/>
      <c r="FP1861" s="118"/>
      <c r="FQ1861" s="118"/>
      <c r="FR1861" s="118"/>
      <c r="FS1861" s="118"/>
      <c r="FT1861" s="118"/>
      <c r="FU1861" s="118"/>
      <c r="FV1861" s="118"/>
      <c r="FW1861" s="118"/>
      <c r="FX1861" s="118"/>
      <c r="FY1861" s="118"/>
      <c r="FZ1861" s="118"/>
      <c r="GA1861" s="118"/>
      <c r="GB1861" s="118"/>
      <c r="GC1861" s="118"/>
      <c r="GD1861" s="118"/>
      <c r="GE1861" s="118"/>
      <c r="GF1861" s="118"/>
      <c r="GG1861" s="118"/>
      <c r="GH1861" s="118"/>
      <c r="GI1861" s="118"/>
      <c r="GJ1861" s="118"/>
      <c r="GK1861" s="118"/>
      <c r="GL1861" s="118"/>
      <c r="GM1861" s="118"/>
      <c r="GN1861" s="118"/>
      <c r="GO1861" s="118"/>
      <c r="GP1861" s="118"/>
      <c r="GQ1861" s="118"/>
      <c r="GR1861" s="118"/>
      <c r="GS1861" s="118"/>
      <c r="GT1861" s="118"/>
      <c r="GU1861" s="118"/>
      <c r="GV1861" s="118"/>
      <c r="GW1861" s="118"/>
      <c r="GX1861" s="118"/>
      <c r="GY1861" s="118"/>
      <c r="GZ1861" s="118"/>
      <c r="HA1861" s="118"/>
      <c r="HB1861" s="118"/>
      <c r="HC1861" s="118"/>
      <c r="HD1861" s="118"/>
      <c r="HE1861" s="118"/>
      <c r="HF1861" s="118"/>
      <c r="HG1861" s="118"/>
      <c r="HH1861" s="118"/>
      <c r="HI1861" s="118"/>
      <c r="HJ1861" s="118"/>
      <c r="HK1861" s="118"/>
      <c r="HL1861" s="118"/>
      <c r="HM1861" s="118"/>
      <c r="HN1861" s="118"/>
      <c r="HO1861" s="118"/>
      <c r="HP1861" s="118"/>
      <c r="HQ1861" s="118"/>
      <c r="HR1861" s="118"/>
      <c r="HS1861" s="118"/>
      <c r="HT1861" s="118"/>
      <c r="HU1861" s="118"/>
      <c r="HV1861" s="118"/>
      <c r="HW1861" s="118"/>
      <c r="HX1861" s="118"/>
      <c r="HY1861" s="118"/>
      <c r="HZ1861" s="118"/>
      <c r="IA1861" s="118"/>
      <c r="IB1861" s="118"/>
      <c r="IC1861" s="118"/>
      <c r="ID1861" s="118"/>
      <c r="IE1861" s="118"/>
      <c r="IF1861" s="118"/>
      <c r="IG1861" s="118"/>
      <c r="IH1861" s="118"/>
      <c r="II1861" s="118"/>
      <c r="IJ1861" s="118"/>
    </row>
    <row r="1862" spans="1:244" s="127" customFormat="1" ht="12.75" customHeight="1">
      <c r="A1862" s="118">
        <v>1861</v>
      </c>
      <c r="B1862" s="128">
        <v>21</v>
      </c>
      <c r="C1862" s="156">
        <v>36526</v>
      </c>
      <c r="D1862" s="157" t="s">
        <v>44</v>
      </c>
      <c r="E1862" s="8">
        <v>2000</v>
      </c>
      <c r="F1862" s="158"/>
      <c r="G1862" s="162"/>
      <c r="H1862" s="11"/>
      <c r="I1862" s="163"/>
      <c r="J1862" s="11"/>
      <c r="K1862" s="11"/>
      <c r="L1862" s="11"/>
      <c r="M1862" s="174"/>
      <c r="N1862" s="528"/>
      <c r="O1862" s="11"/>
      <c r="P1862" s="8"/>
      <c r="Q1862" s="11"/>
      <c r="R1862" s="11"/>
      <c r="S1862" s="155"/>
      <c r="T1862" s="11"/>
      <c r="U1862" s="161"/>
      <c r="V1862" s="11"/>
      <c r="W1862" s="11"/>
      <c r="X1862" s="118"/>
      <c r="Y1862" s="118"/>
      <c r="Z1862" s="118"/>
      <c r="AA1862" s="118"/>
      <c r="AB1862" s="118"/>
      <c r="AC1862" s="118"/>
      <c r="AD1862" s="118"/>
      <c r="AE1862" s="118"/>
      <c r="AF1862" s="118"/>
      <c r="AG1862" s="118"/>
      <c r="AH1862" s="118"/>
      <c r="AI1862" s="118"/>
      <c r="AJ1862" s="118"/>
      <c r="AK1862" s="118"/>
      <c r="AL1862" s="118"/>
      <c r="AM1862" s="118"/>
      <c r="AN1862" s="118"/>
      <c r="AO1862" s="118"/>
      <c r="AP1862" s="118"/>
      <c r="AQ1862" s="118"/>
      <c r="AR1862" s="118"/>
      <c r="AS1862" s="118"/>
      <c r="AT1862" s="118"/>
      <c r="AU1862" s="118"/>
      <c r="AV1862" s="118"/>
      <c r="AW1862" s="118"/>
      <c r="AX1862" s="118"/>
      <c r="AY1862" s="118"/>
      <c r="AZ1862" s="118"/>
      <c r="BA1862" s="118"/>
      <c r="BB1862" s="118"/>
      <c r="BC1862" s="118"/>
      <c r="BD1862" s="118"/>
      <c r="BE1862" s="118"/>
      <c r="BF1862" s="118"/>
      <c r="BG1862" s="118"/>
      <c r="BH1862" s="118"/>
      <c r="BI1862" s="118"/>
      <c r="BJ1862" s="118"/>
      <c r="BK1862" s="118"/>
      <c r="BL1862" s="118"/>
      <c r="BM1862" s="118"/>
      <c r="BN1862" s="118"/>
      <c r="BO1862" s="118"/>
      <c r="BP1862" s="118"/>
      <c r="BQ1862" s="118"/>
      <c r="BR1862" s="118"/>
      <c r="BS1862" s="118"/>
      <c r="BT1862" s="118"/>
      <c r="BU1862" s="118"/>
      <c r="BV1862" s="118"/>
      <c r="BW1862" s="118"/>
      <c r="BX1862" s="118"/>
      <c r="BY1862" s="118"/>
      <c r="BZ1862" s="118"/>
      <c r="CA1862" s="118"/>
      <c r="CB1862" s="118"/>
      <c r="CC1862" s="118"/>
      <c r="CD1862" s="118"/>
      <c r="CE1862" s="118"/>
      <c r="CF1862" s="118"/>
      <c r="CG1862" s="118"/>
      <c r="CH1862" s="118"/>
      <c r="CI1862" s="118"/>
      <c r="CJ1862" s="118"/>
      <c r="CK1862" s="118"/>
      <c r="CL1862" s="118"/>
      <c r="CM1862" s="118"/>
      <c r="CN1862" s="118"/>
      <c r="CO1862" s="118"/>
      <c r="CP1862" s="118"/>
      <c r="CQ1862" s="118"/>
      <c r="CR1862" s="118"/>
      <c r="CS1862" s="118"/>
      <c r="CT1862" s="118"/>
      <c r="CU1862" s="118"/>
      <c r="CV1862" s="118"/>
      <c r="CW1862" s="118"/>
      <c r="CX1862" s="118"/>
      <c r="CY1862" s="118"/>
      <c r="CZ1862" s="118"/>
      <c r="DA1862" s="118"/>
      <c r="DB1862" s="118"/>
      <c r="DC1862" s="118"/>
      <c r="DD1862" s="118"/>
      <c r="DE1862" s="118"/>
      <c r="DF1862" s="118"/>
      <c r="DG1862" s="118"/>
      <c r="DH1862" s="118"/>
      <c r="DI1862" s="118"/>
      <c r="DJ1862" s="118"/>
      <c r="DK1862" s="118"/>
      <c r="DL1862" s="118"/>
      <c r="DM1862" s="118"/>
      <c r="DN1862" s="118"/>
      <c r="DO1862" s="118"/>
      <c r="DP1862" s="118"/>
      <c r="DQ1862" s="118"/>
      <c r="DR1862" s="118"/>
      <c r="DS1862" s="118"/>
      <c r="DT1862" s="118"/>
      <c r="DU1862" s="118"/>
      <c r="DV1862" s="118"/>
      <c r="DW1862" s="118"/>
      <c r="DX1862" s="118"/>
      <c r="DY1862" s="118"/>
      <c r="DZ1862" s="118"/>
      <c r="EA1862" s="118"/>
      <c r="EB1862" s="118"/>
      <c r="EC1862" s="118"/>
      <c r="ED1862" s="118"/>
      <c r="EE1862" s="118"/>
      <c r="EF1862" s="118"/>
      <c r="EG1862" s="118"/>
      <c r="EH1862" s="118"/>
      <c r="EI1862" s="118"/>
      <c r="EJ1862" s="118"/>
      <c r="EK1862" s="118"/>
      <c r="EL1862" s="118"/>
      <c r="EM1862" s="118"/>
      <c r="EN1862" s="118"/>
      <c r="EO1862" s="118"/>
      <c r="EP1862" s="118"/>
      <c r="EQ1862" s="118"/>
      <c r="ER1862" s="118"/>
      <c r="ES1862" s="118"/>
      <c r="ET1862" s="118"/>
      <c r="EU1862" s="118"/>
      <c r="EV1862" s="118"/>
      <c r="EW1862" s="118"/>
      <c r="EX1862" s="118"/>
      <c r="EY1862" s="118"/>
      <c r="EZ1862" s="118"/>
      <c r="FA1862" s="118"/>
      <c r="FB1862" s="118"/>
      <c r="FC1862" s="118"/>
      <c r="FD1862" s="118"/>
      <c r="FE1862" s="118"/>
      <c r="FF1862" s="118"/>
      <c r="FG1862" s="118"/>
      <c r="FH1862" s="118"/>
      <c r="FI1862" s="118"/>
      <c r="FJ1862" s="118"/>
      <c r="FK1862" s="118"/>
      <c r="FL1862" s="118"/>
      <c r="FM1862" s="118"/>
      <c r="FN1862" s="118"/>
      <c r="FO1862" s="118"/>
      <c r="FP1862" s="118"/>
      <c r="FQ1862" s="118"/>
      <c r="FR1862" s="118"/>
      <c r="FS1862" s="118"/>
      <c r="FT1862" s="118"/>
      <c r="FU1862" s="118"/>
      <c r="FV1862" s="118"/>
      <c r="FW1862" s="118"/>
      <c r="FX1862" s="118"/>
      <c r="FY1862" s="118"/>
      <c r="FZ1862" s="118"/>
      <c r="GA1862" s="118"/>
      <c r="GB1862" s="118"/>
      <c r="GC1862" s="118"/>
      <c r="GD1862" s="118"/>
      <c r="GE1862" s="118"/>
      <c r="GF1862" s="118"/>
      <c r="GG1862" s="118"/>
      <c r="GH1862" s="118"/>
      <c r="GI1862" s="118"/>
      <c r="GJ1862" s="118"/>
      <c r="GK1862" s="118"/>
      <c r="GL1862" s="118"/>
      <c r="GM1862" s="118"/>
      <c r="GN1862" s="118"/>
      <c r="GO1862" s="118"/>
      <c r="GP1862" s="118"/>
      <c r="GQ1862" s="118"/>
      <c r="GR1862" s="118"/>
      <c r="GS1862" s="118"/>
      <c r="GT1862" s="118"/>
      <c r="GU1862" s="118"/>
      <c r="GV1862" s="118"/>
      <c r="GW1862" s="118"/>
      <c r="GX1862" s="118"/>
      <c r="GY1862" s="118"/>
      <c r="GZ1862" s="118"/>
      <c r="HA1862" s="118"/>
      <c r="HB1862" s="118"/>
      <c r="HC1862" s="118"/>
      <c r="HD1862" s="118"/>
      <c r="HE1862" s="118"/>
      <c r="HF1862" s="118"/>
      <c r="HG1862" s="118"/>
      <c r="HH1862" s="118"/>
      <c r="HI1862" s="118"/>
      <c r="HJ1862" s="118"/>
      <c r="HK1862" s="118"/>
      <c r="HL1862" s="118"/>
      <c r="HM1862" s="118"/>
      <c r="HN1862" s="118"/>
      <c r="HO1862" s="118"/>
      <c r="HP1862" s="118"/>
      <c r="HQ1862" s="118"/>
      <c r="HR1862" s="118"/>
      <c r="HS1862" s="118"/>
      <c r="HT1862" s="118"/>
      <c r="HU1862" s="118"/>
      <c r="HV1862" s="118"/>
      <c r="HW1862" s="118"/>
      <c r="HX1862" s="118"/>
      <c r="HY1862" s="118"/>
      <c r="HZ1862" s="118"/>
      <c r="IA1862" s="118"/>
      <c r="IB1862" s="118"/>
      <c r="IC1862" s="118"/>
      <c r="ID1862" s="118"/>
      <c r="IE1862" s="118"/>
      <c r="IF1862" s="118"/>
      <c r="IG1862" s="118"/>
      <c r="IH1862" s="118"/>
      <c r="II1862" s="118"/>
      <c r="IJ1862" s="118"/>
    </row>
    <row r="1863" spans="1:244" s="127" customFormat="1" ht="12.75" customHeight="1">
      <c r="A1863" s="118">
        <v>1862</v>
      </c>
      <c r="B1863" s="128">
        <v>21</v>
      </c>
      <c r="C1863" s="156">
        <v>36557</v>
      </c>
      <c r="D1863" s="157" t="s">
        <v>45</v>
      </c>
      <c r="E1863" s="8">
        <v>2000</v>
      </c>
      <c r="F1863" s="158"/>
      <c r="G1863" s="162"/>
      <c r="H1863" s="11"/>
      <c r="I1863" s="163"/>
      <c r="J1863" s="11"/>
      <c r="K1863" s="11"/>
      <c r="L1863" s="11"/>
      <c r="M1863" s="174"/>
      <c r="N1863" s="528"/>
      <c r="O1863" s="11"/>
      <c r="P1863" s="8"/>
      <c r="Q1863" s="11"/>
      <c r="R1863" s="166"/>
      <c r="S1863" s="155"/>
      <c r="T1863" s="11"/>
      <c r="U1863" s="161"/>
      <c r="V1863" s="11"/>
      <c r="W1863" s="11"/>
      <c r="X1863" s="118"/>
      <c r="Y1863" s="118"/>
      <c r="Z1863" s="118"/>
      <c r="AA1863" s="118"/>
      <c r="AB1863" s="118"/>
      <c r="AC1863" s="118"/>
      <c r="AD1863" s="118"/>
      <c r="AE1863" s="118"/>
      <c r="AF1863" s="118"/>
      <c r="AG1863" s="118"/>
      <c r="AH1863" s="118"/>
      <c r="AI1863" s="118"/>
      <c r="AJ1863" s="118"/>
      <c r="AK1863" s="118"/>
      <c r="AL1863" s="118"/>
      <c r="AM1863" s="118"/>
      <c r="AN1863" s="118"/>
      <c r="AO1863" s="118"/>
      <c r="AP1863" s="118"/>
      <c r="AQ1863" s="118"/>
      <c r="AR1863" s="118"/>
      <c r="AS1863" s="118"/>
      <c r="AT1863" s="118"/>
      <c r="AU1863" s="118"/>
      <c r="AV1863" s="118"/>
      <c r="AW1863" s="118"/>
      <c r="AX1863" s="118"/>
      <c r="AY1863" s="118"/>
      <c r="AZ1863" s="118"/>
      <c r="BA1863" s="118"/>
      <c r="BB1863" s="118"/>
      <c r="BC1863" s="118"/>
      <c r="BD1863" s="118"/>
      <c r="BE1863" s="118"/>
      <c r="BF1863" s="118"/>
      <c r="BG1863" s="118"/>
      <c r="BH1863" s="118"/>
      <c r="BI1863" s="118"/>
      <c r="BJ1863" s="118"/>
      <c r="BK1863" s="118"/>
      <c r="BL1863" s="118"/>
      <c r="BM1863" s="118"/>
      <c r="BN1863" s="118"/>
      <c r="BO1863" s="118"/>
      <c r="BP1863" s="118"/>
      <c r="BQ1863" s="118"/>
      <c r="BR1863" s="118"/>
      <c r="BS1863" s="118"/>
      <c r="BT1863" s="118"/>
      <c r="BU1863" s="118"/>
      <c r="BV1863" s="118"/>
      <c r="BW1863" s="118"/>
      <c r="BX1863" s="118"/>
      <c r="BY1863" s="118"/>
      <c r="BZ1863" s="118"/>
      <c r="CA1863" s="118"/>
      <c r="CB1863" s="118"/>
      <c r="CC1863" s="118"/>
      <c r="CD1863" s="118"/>
      <c r="CE1863" s="118"/>
      <c r="CF1863" s="118"/>
      <c r="CG1863" s="118"/>
      <c r="CH1863" s="118"/>
      <c r="CI1863" s="118"/>
      <c r="CJ1863" s="118"/>
      <c r="CK1863" s="118"/>
      <c r="CL1863" s="118"/>
      <c r="CM1863" s="118"/>
      <c r="CN1863" s="118"/>
      <c r="CO1863" s="118"/>
      <c r="CP1863" s="118"/>
      <c r="CQ1863" s="118"/>
      <c r="CR1863" s="118"/>
      <c r="CS1863" s="118"/>
      <c r="CT1863" s="118"/>
      <c r="CU1863" s="118"/>
      <c r="CV1863" s="118"/>
      <c r="CW1863" s="118"/>
      <c r="CX1863" s="118"/>
      <c r="CY1863" s="118"/>
      <c r="CZ1863" s="118"/>
      <c r="DA1863" s="118"/>
      <c r="DB1863" s="118"/>
      <c r="DC1863" s="118"/>
      <c r="DD1863" s="118"/>
      <c r="DE1863" s="118"/>
      <c r="DF1863" s="118"/>
      <c r="DG1863" s="118"/>
      <c r="DH1863" s="118"/>
      <c r="DI1863" s="118"/>
      <c r="DJ1863" s="118"/>
      <c r="DK1863" s="118"/>
      <c r="DL1863" s="118"/>
      <c r="DM1863" s="118"/>
      <c r="DN1863" s="118"/>
      <c r="DO1863" s="118"/>
      <c r="DP1863" s="118"/>
      <c r="DQ1863" s="118"/>
      <c r="DR1863" s="118"/>
      <c r="DS1863" s="118"/>
      <c r="DT1863" s="118"/>
      <c r="DU1863" s="118"/>
      <c r="DV1863" s="118"/>
      <c r="DW1863" s="118"/>
      <c r="DX1863" s="118"/>
      <c r="DY1863" s="118"/>
      <c r="DZ1863" s="118"/>
      <c r="EA1863" s="118"/>
      <c r="EB1863" s="118"/>
      <c r="EC1863" s="118"/>
      <c r="ED1863" s="118"/>
      <c r="EE1863" s="118"/>
      <c r="EF1863" s="118"/>
      <c r="EG1863" s="118"/>
      <c r="EH1863" s="118"/>
      <c r="EI1863" s="118"/>
      <c r="EJ1863" s="118"/>
      <c r="EK1863" s="118"/>
      <c r="EL1863" s="118"/>
      <c r="EM1863" s="118"/>
      <c r="EN1863" s="118"/>
      <c r="EO1863" s="118"/>
      <c r="EP1863" s="118"/>
      <c r="EQ1863" s="118"/>
      <c r="ER1863" s="118"/>
      <c r="ES1863" s="118"/>
      <c r="ET1863" s="118"/>
      <c r="EU1863" s="118"/>
      <c r="EV1863" s="118"/>
      <c r="EW1863" s="118"/>
      <c r="EX1863" s="118"/>
      <c r="EY1863" s="118"/>
      <c r="EZ1863" s="118"/>
      <c r="FA1863" s="118"/>
      <c r="FB1863" s="118"/>
      <c r="FC1863" s="118"/>
      <c r="FD1863" s="118"/>
      <c r="FE1863" s="118"/>
      <c r="FF1863" s="118"/>
      <c r="FG1863" s="118"/>
      <c r="FH1863" s="118"/>
      <c r="FI1863" s="118"/>
      <c r="FJ1863" s="118"/>
      <c r="FK1863" s="118"/>
      <c r="FL1863" s="118"/>
      <c r="FM1863" s="118"/>
      <c r="FN1863" s="118"/>
      <c r="FO1863" s="118"/>
      <c r="FP1863" s="118"/>
      <c r="FQ1863" s="118"/>
      <c r="FR1863" s="118"/>
      <c r="FS1863" s="118"/>
      <c r="FT1863" s="118"/>
      <c r="FU1863" s="118"/>
      <c r="FV1863" s="118"/>
      <c r="FW1863" s="118"/>
      <c r="FX1863" s="118"/>
      <c r="FY1863" s="118"/>
      <c r="FZ1863" s="118"/>
      <c r="GA1863" s="118"/>
      <c r="GB1863" s="118"/>
      <c r="GC1863" s="118"/>
      <c r="GD1863" s="118"/>
      <c r="GE1863" s="118"/>
      <c r="GF1863" s="118"/>
      <c r="GG1863" s="118"/>
      <c r="GH1863" s="118"/>
      <c r="GI1863" s="118"/>
      <c r="GJ1863" s="118"/>
      <c r="GK1863" s="118"/>
      <c r="GL1863" s="118"/>
      <c r="GM1863" s="118"/>
      <c r="GN1863" s="118"/>
      <c r="GO1863" s="118"/>
      <c r="GP1863" s="118"/>
      <c r="GQ1863" s="118"/>
      <c r="GR1863" s="118"/>
      <c r="GS1863" s="118"/>
      <c r="GT1863" s="118"/>
      <c r="GU1863" s="118"/>
      <c r="GV1863" s="118"/>
      <c r="GW1863" s="118"/>
      <c r="GX1863" s="118"/>
      <c r="GY1863" s="118"/>
      <c r="GZ1863" s="118"/>
      <c r="HA1863" s="118"/>
      <c r="HB1863" s="118"/>
      <c r="HC1863" s="118"/>
      <c r="HD1863" s="118"/>
      <c r="HE1863" s="118"/>
      <c r="HF1863" s="118"/>
      <c r="HG1863" s="118"/>
      <c r="HH1863" s="118"/>
      <c r="HI1863" s="118"/>
      <c r="HJ1863" s="118"/>
      <c r="HK1863" s="118"/>
      <c r="HL1863" s="118"/>
      <c r="HM1863" s="118"/>
      <c r="HN1863" s="118"/>
      <c r="HO1863" s="118"/>
      <c r="HP1863" s="118"/>
      <c r="HQ1863" s="118"/>
      <c r="HR1863" s="118"/>
      <c r="HS1863" s="118"/>
      <c r="HT1863" s="118"/>
      <c r="HU1863" s="118"/>
      <c r="HV1863" s="118"/>
      <c r="HW1863" s="118"/>
      <c r="HX1863" s="118"/>
      <c r="HY1863" s="118"/>
      <c r="HZ1863" s="118"/>
      <c r="IA1863" s="118"/>
      <c r="IB1863" s="118"/>
      <c r="IC1863" s="118"/>
      <c r="ID1863" s="118"/>
      <c r="IE1863" s="118"/>
      <c r="IF1863" s="118"/>
      <c r="IG1863" s="118"/>
      <c r="IH1863" s="118"/>
      <c r="II1863" s="118"/>
      <c r="IJ1863" s="118"/>
    </row>
    <row r="1864" spans="1:244" s="127" customFormat="1" ht="12.75" customHeight="1">
      <c r="A1864" s="118">
        <v>1863</v>
      </c>
      <c r="B1864" s="128">
        <v>21</v>
      </c>
      <c r="C1864" s="156">
        <v>36586</v>
      </c>
      <c r="D1864" s="157" t="s">
        <v>46</v>
      </c>
      <c r="E1864" s="8">
        <v>2000</v>
      </c>
      <c r="F1864" s="158"/>
      <c r="G1864" s="162"/>
      <c r="H1864" s="11"/>
      <c r="I1864" s="163"/>
      <c r="J1864" s="11"/>
      <c r="K1864" s="11"/>
      <c r="L1864" s="11"/>
      <c r="M1864" s="174"/>
      <c r="N1864" s="528"/>
      <c r="O1864" s="11"/>
      <c r="P1864" s="8"/>
      <c r="Q1864" s="11"/>
      <c r="R1864" s="166"/>
      <c r="S1864" s="155"/>
      <c r="T1864" s="11"/>
      <c r="U1864" s="161"/>
      <c r="V1864" s="11"/>
      <c r="W1864" s="11"/>
      <c r="X1864" s="118"/>
      <c r="Y1864" s="118"/>
      <c r="Z1864" s="118"/>
      <c r="AA1864" s="118"/>
      <c r="AB1864" s="118"/>
      <c r="AC1864" s="118"/>
      <c r="AD1864" s="118"/>
      <c r="AE1864" s="118"/>
      <c r="AF1864" s="118"/>
      <c r="AG1864" s="118"/>
      <c r="AH1864" s="118"/>
      <c r="AI1864" s="118"/>
      <c r="AJ1864" s="118"/>
      <c r="AK1864" s="118"/>
      <c r="AL1864" s="118"/>
      <c r="AM1864" s="118"/>
      <c r="AN1864" s="118"/>
      <c r="AO1864" s="118"/>
      <c r="AP1864" s="118"/>
      <c r="AQ1864" s="118"/>
      <c r="AR1864" s="118"/>
      <c r="AS1864" s="118"/>
      <c r="AT1864" s="118"/>
      <c r="AU1864" s="118"/>
      <c r="AV1864" s="118"/>
      <c r="AW1864" s="118"/>
      <c r="AX1864" s="118"/>
      <c r="AY1864" s="118"/>
      <c r="AZ1864" s="118"/>
      <c r="BA1864" s="118"/>
      <c r="BB1864" s="118"/>
      <c r="BC1864" s="118"/>
      <c r="BD1864" s="118"/>
      <c r="BE1864" s="118"/>
      <c r="BF1864" s="118"/>
      <c r="BG1864" s="118"/>
      <c r="BH1864" s="118"/>
      <c r="BI1864" s="118"/>
      <c r="BJ1864" s="118"/>
      <c r="BK1864" s="118"/>
      <c r="BL1864" s="118"/>
      <c r="BM1864" s="118"/>
      <c r="BN1864" s="118"/>
      <c r="BO1864" s="118"/>
      <c r="BP1864" s="118"/>
      <c r="BQ1864" s="118"/>
      <c r="BR1864" s="118"/>
      <c r="BS1864" s="118"/>
      <c r="BT1864" s="118"/>
      <c r="BU1864" s="118"/>
      <c r="BV1864" s="118"/>
      <c r="BW1864" s="118"/>
      <c r="BX1864" s="118"/>
      <c r="BY1864" s="118"/>
      <c r="BZ1864" s="118"/>
      <c r="CA1864" s="118"/>
      <c r="CB1864" s="118"/>
      <c r="CC1864" s="118"/>
      <c r="CD1864" s="118"/>
      <c r="CE1864" s="118"/>
      <c r="CF1864" s="118"/>
      <c r="CG1864" s="118"/>
      <c r="CH1864" s="118"/>
      <c r="CI1864" s="118"/>
      <c r="CJ1864" s="118"/>
      <c r="CK1864" s="118"/>
      <c r="CL1864" s="118"/>
      <c r="CM1864" s="118"/>
      <c r="CN1864" s="118"/>
      <c r="CO1864" s="118"/>
      <c r="CP1864" s="118"/>
      <c r="CQ1864" s="118"/>
      <c r="CR1864" s="118"/>
      <c r="CS1864" s="118"/>
      <c r="CT1864" s="118"/>
      <c r="CU1864" s="118"/>
      <c r="CV1864" s="118"/>
      <c r="CW1864" s="118"/>
      <c r="CX1864" s="118"/>
      <c r="CY1864" s="118"/>
      <c r="CZ1864" s="118"/>
      <c r="DA1864" s="118"/>
      <c r="DB1864" s="118"/>
      <c r="DC1864" s="118"/>
      <c r="DD1864" s="118"/>
      <c r="DE1864" s="118"/>
      <c r="DF1864" s="118"/>
      <c r="DG1864" s="118"/>
      <c r="DH1864" s="118"/>
      <c r="DI1864" s="118"/>
      <c r="DJ1864" s="118"/>
      <c r="DK1864" s="118"/>
      <c r="DL1864" s="118"/>
      <c r="DM1864" s="118"/>
      <c r="DN1864" s="118"/>
      <c r="DO1864" s="118"/>
      <c r="DP1864" s="118"/>
      <c r="DQ1864" s="118"/>
      <c r="DR1864" s="118"/>
      <c r="DS1864" s="118"/>
      <c r="DT1864" s="118"/>
      <c r="DU1864" s="118"/>
      <c r="DV1864" s="118"/>
      <c r="DW1864" s="118"/>
      <c r="DX1864" s="118"/>
      <c r="DY1864" s="118"/>
      <c r="DZ1864" s="118"/>
      <c r="EA1864" s="118"/>
      <c r="EB1864" s="118"/>
      <c r="EC1864" s="118"/>
      <c r="ED1864" s="118"/>
      <c r="EE1864" s="118"/>
      <c r="EF1864" s="118"/>
      <c r="EG1864" s="118"/>
      <c r="EH1864" s="118"/>
      <c r="EI1864" s="118"/>
      <c r="EJ1864" s="118"/>
      <c r="EK1864" s="118"/>
      <c r="EL1864" s="118"/>
      <c r="EM1864" s="118"/>
      <c r="EN1864" s="118"/>
      <c r="EO1864" s="118"/>
      <c r="EP1864" s="118"/>
      <c r="EQ1864" s="118"/>
      <c r="ER1864" s="118"/>
      <c r="ES1864" s="118"/>
      <c r="ET1864" s="118"/>
      <c r="EU1864" s="118"/>
      <c r="EV1864" s="118"/>
      <c r="EW1864" s="118"/>
      <c r="EX1864" s="118"/>
      <c r="EY1864" s="118"/>
      <c r="EZ1864" s="118"/>
      <c r="FA1864" s="118"/>
      <c r="FB1864" s="118"/>
      <c r="FC1864" s="118"/>
      <c r="FD1864" s="118"/>
      <c r="FE1864" s="118"/>
      <c r="FF1864" s="118"/>
      <c r="FG1864" s="118"/>
      <c r="FH1864" s="118"/>
      <c r="FI1864" s="118"/>
      <c r="FJ1864" s="118"/>
      <c r="FK1864" s="118"/>
      <c r="FL1864" s="118"/>
      <c r="FM1864" s="118"/>
      <c r="FN1864" s="118"/>
      <c r="FO1864" s="118"/>
      <c r="FP1864" s="118"/>
      <c r="FQ1864" s="118"/>
      <c r="FR1864" s="118"/>
      <c r="FS1864" s="118"/>
      <c r="FT1864" s="118"/>
      <c r="FU1864" s="118"/>
      <c r="FV1864" s="118"/>
      <c r="FW1864" s="118"/>
      <c r="FX1864" s="118"/>
      <c r="FY1864" s="118"/>
      <c r="FZ1864" s="118"/>
      <c r="GA1864" s="118"/>
      <c r="GB1864" s="118"/>
      <c r="GC1864" s="118"/>
      <c r="GD1864" s="118"/>
      <c r="GE1864" s="118"/>
      <c r="GF1864" s="118"/>
      <c r="GG1864" s="118"/>
      <c r="GH1864" s="118"/>
      <c r="GI1864" s="118"/>
      <c r="GJ1864" s="118"/>
      <c r="GK1864" s="118"/>
      <c r="GL1864" s="118"/>
      <c r="GM1864" s="118"/>
      <c r="GN1864" s="118"/>
      <c r="GO1864" s="118"/>
      <c r="GP1864" s="118"/>
      <c r="GQ1864" s="118"/>
      <c r="GR1864" s="118"/>
      <c r="GS1864" s="118"/>
      <c r="GT1864" s="118"/>
      <c r="GU1864" s="118"/>
      <c r="GV1864" s="118"/>
      <c r="GW1864" s="118"/>
      <c r="GX1864" s="118"/>
      <c r="GY1864" s="118"/>
      <c r="GZ1864" s="118"/>
      <c r="HA1864" s="118"/>
      <c r="HB1864" s="118"/>
      <c r="HC1864" s="118"/>
      <c r="HD1864" s="118"/>
      <c r="HE1864" s="118"/>
      <c r="HF1864" s="118"/>
      <c r="HG1864" s="118"/>
      <c r="HH1864" s="118"/>
      <c r="HI1864" s="118"/>
      <c r="HJ1864" s="118"/>
      <c r="HK1864" s="118"/>
      <c r="HL1864" s="118"/>
      <c r="HM1864" s="118"/>
      <c r="HN1864" s="118"/>
      <c r="HO1864" s="118"/>
      <c r="HP1864" s="118"/>
      <c r="HQ1864" s="118"/>
      <c r="HR1864" s="118"/>
      <c r="HS1864" s="118"/>
      <c r="HT1864" s="118"/>
      <c r="HU1864" s="118"/>
      <c r="HV1864" s="118"/>
      <c r="HW1864" s="118"/>
      <c r="HX1864" s="118"/>
      <c r="HY1864" s="118"/>
      <c r="HZ1864" s="118"/>
      <c r="IA1864" s="118"/>
      <c r="IB1864" s="118"/>
      <c r="IC1864" s="118"/>
      <c r="ID1864" s="118"/>
      <c r="IE1864" s="118"/>
      <c r="IF1864" s="118"/>
      <c r="IG1864" s="118"/>
      <c r="IH1864" s="118"/>
      <c r="II1864" s="118"/>
      <c r="IJ1864" s="118"/>
    </row>
    <row r="1865" spans="1:244" s="127" customFormat="1" ht="12.75" customHeight="1">
      <c r="A1865" s="118">
        <v>1864</v>
      </c>
      <c r="B1865" s="128">
        <v>21</v>
      </c>
      <c r="C1865" s="156">
        <v>36617</v>
      </c>
      <c r="D1865" s="157" t="s">
        <v>47</v>
      </c>
      <c r="E1865" s="8">
        <v>2000</v>
      </c>
      <c r="F1865" s="158"/>
      <c r="G1865" s="162"/>
      <c r="H1865" s="11"/>
      <c r="I1865" s="163"/>
      <c r="J1865" s="11"/>
      <c r="K1865" s="11"/>
      <c r="L1865" s="11"/>
      <c r="M1865" s="174"/>
      <c r="N1865" s="528"/>
      <c r="O1865" s="11"/>
      <c r="P1865" s="8"/>
      <c r="Q1865" s="11"/>
      <c r="R1865" s="166"/>
      <c r="S1865" s="155"/>
      <c r="T1865" s="11"/>
      <c r="U1865" s="161"/>
      <c r="V1865" s="11"/>
      <c r="W1865" s="11"/>
      <c r="X1865" s="118"/>
      <c r="Y1865" s="118"/>
      <c r="Z1865" s="118"/>
      <c r="AA1865" s="118"/>
      <c r="AB1865" s="118"/>
      <c r="AC1865" s="118"/>
      <c r="AD1865" s="118"/>
      <c r="AE1865" s="118"/>
      <c r="AF1865" s="118"/>
      <c r="AG1865" s="118"/>
      <c r="AH1865" s="118"/>
      <c r="AI1865" s="118"/>
      <c r="AJ1865" s="118"/>
      <c r="AK1865" s="118"/>
      <c r="AL1865" s="118"/>
      <c r="AM1865" s="118"/>
      <c r="AN1865" s="118"/>
      <c r="AO1865" s="118"/>
      <c r="AP1865" s="118"/>
      <c r="AQ1865" s="118"/>
      <c r="AR1865" s="118"/>
      <c r="AS1865" s="118"/>
      <c r="AT1865" s="118"/>
      <c r="AU1865" s="118"/>
      <c r="AV1865" s="118"/>
      <c r="AW1865" s="118"/>
      <c r="AX1865" s="118"/>
      <c r="AY1865" s="118"/>
      <c r="AZ1865" s="118"/>
      <c r="BA1865" s="118"/>
      <c r="BB1865" s="118"/>
      <c r="BC1865" s="118"/>
      <c r="BD1865" s="118"/>
      <c r="BE1865" s="118"/>
      <c r="BF1865" s="118"/>
      <c r="BG1865" s="118"/>
      <c r="BH1865" s="118"/>
      <c r="BI1865" s="118"/>
      <c r="BJ1865" s="118"/>
      <c r="BK1865" s="118"/>
      <c r="BL1865" s="118"/>
      <c r="BM1865" s="118"/>
      <c r="BN1865" s="118"/>
      <c r="BO1865" s="118"/>
      <c r="BP1865" s="118"/>
      <c r="BQ1865" s="118"/>
      <c r="BR1865" s="118"/>
      <c r="BS1865" s="118"/>
      <c r="BT1865" s="118"/>
      <c r="BU1865" s="118"/>
      <c r="BV1865" s="118"/>
      <c r="BW1865" s="118"/>
      <c r="BX1865" s="118"/>
      <c r="BY1865" s="118"/>
      <c r="BZ1865" s="118"/>
      <c r="CA1865" s="118"/>
      <c r="CB1865" s="118"/>
      <c r="CC1865" s="118"/>
      <c r="CD1865" s="118"/>
      <c r="CE1865" s="118"/>
      <c r="CF1865" s="118"/>
      <c r="CG1865" s="118"/>
      <c r="CH1865" s="118"/>
      <c r="CI1865" s="118"/>
      <c r="CJ1865" s="118"/>
      <c r="CK1865" s="118"/>
      <c r="CL1865" s="118"/>
      <c r="CM1865" s="118"/>
      <c r="CN1865" s="118"/>
      <c r="CO1865" s="118"/>
      <c r="CP1865" s="118"/>
      <c r="CQ1865" s="118"/>
      <c r="CR1865" s="118"/>
      <c r="CS1865" s="118"/>
      <c r="CT1865" s="118"/>
      <c r="CU1865" s="118"/>
      <c r="CV1865" s="118"/>
      <c r="CW1865" s="118"/>
      <c r="CX1865" s="118"/>
      <c r="CY1865" s="118"/>
      <c r="CZ1865" s="118"/>
      <c r="DA1865" s="118"/>
      <c r="DB1865" s="118"/>
      <c r="DC1865" s="118"/>
      <c r="DD1865" s="118"/>
      <c r="DE1865" s="118"/>
      <c r="DF1865" s="118"/>
      <c r="DG1865" s="118"/>
      <c r="DH1865" s="118"/>
      <c r="DI1865" s="118"/>
      <c r="DJ1865" s="118"/>
      <c r="DK1865" s="118"/>
      <c r="DL1865" s="118"/>
      <c r="DM1865" s="118"/>
      <c r="DN1865" s="118"/>
      <c r="DO1865" s="118"/>
      <c r="DP1865" s="118"/>
      <c r="DQ1865" s="118"/>
      <c r="DR1865" s="118"/>
      <c r="DS1865" s="118"/>
      <c r="DT1865" s="118"/>
      <c r="DU1865" s="118"/>
      <c r="DV1865" s="118"/>
      <c r="DW1865" s="118"/>
      <c r="DX1865" s="118"/>
      <c r="DY1865" s="118"/>
      <c r="DZ1865" s="118"/>
      <c r="EA1865" s="118"/>
      <c r="EB1865" s="118"/>
      <c r="EC1865" s="118"/>
      <c r="ED1865" s="118"/>
      <c r="EE1865" s="118"/>
      <c r="EF1865" s="118"/>
      <c r="EG1865" s="118"/>
      <c r="EH1865" s="118"/>
      <c r="EI1865" s="118"/>
      <c r="EJ1865" s="118"/>
      <c r="EK1865" s="118"/>
      <c r="EL1865" s="118"/>
      <c r="EM1865" s="118"/>
      <c r="EN1865" s="118"/>
      <c r="EO1865" s="118"/>
      <c r="EP1865" s="118"/>
      <c r="EQ1865" s="118"/>
      <c r="ER1865" s="118"/>
      <c r="ES1865" s="118"/>
      <c r="ET1865" s="118"/>
      <c r="EU1865" s="118"/>
      <c r="EV1865" s="118"/>
      <c r="EW1865" s="118"/>
      <c r="EX1865" s="118"/>
      <c r="EY1865" s="118"/>
      <c r="EZ1865" s="118"/>
      <c r="FA1865" s="118"/>
      <c r="FB1865" s="118"/>
      <c r="FC1865" s="118"/>
      <c r="FD1865" s="118"/>
      <c r="FE1865" s="118"/>
      <c r="FF1865" s="118"/>
      <c r="FG1865" s="118"/>
      <c r="FH1865" s="118"/>
      <c r="FI1865" s="118"/>
      <c r="FJ1865" s="118"/>
      <c r="FK1865" s="118"/>
      <c r="FL1865" s="118"/>
      <c r="FM1865" s="118"/>
      <c r="FN1865" s="118"/>
      <c r="FO1865" s="118"/>
      <c r="FP1865" s="118"/>
      <c r="FQ1865" s="118"/>
      <c r="FR1865" s="118"/>
      <c r="FS1865" s="118"/>
      <c r="FT1865" s="118"/>
      <c r="FU1865" s="118"/>
      <c r="FV1865" s="118"/>
      <c r="FW1865" s="118"/>
      <c r="FX1865" s="118"/>
      <c r="FY1865" s="118"/>
      <c r="FZ1865" s="118"/>
      <c r="GA1865" s="118"/>
      <c r="GB1865" s="118"/>
      <c r="GC1865" s="118"/>
      <c r="GD1865" s="118"/>
      <c r="GE1865" s="118"/>
      <c r="GF1865" s="118"/>
      <c r="GG1865" s="118"/>
      <c r="GH1865" s="118"/>
      <c r="GI1865" s="118"/>
      <c r="GJ1865" s="118"/>
      <c r="GK1865" s="118"/>
      <c r="GL1865" s="118"/>
      <c r="GM1865" s="118"/>
      <c r="GN1865" s="118"/>
      <c r="GO1865" s="118"/>
      <c r="GP1865" s="118"/>
      <c r="GQ1865" s="118"/>
      <c r="GR1865" s="118"/>
      <c r="GS1865" s="118"/>
      <c r="GT1865" s="118"/>
      <c r="GU1865" s="118"/>
      <c r="GV1865" s="118"/>
      <c r="GW1865" s="118"/>
      <c r="GX1865" s="118"/>
      <c r="GY1865" s="118"/>
      <c r="GZ1865" s="118"/>
      <c r="HA1865" s="118"/>
      <c r="HB1865" s="118"/>
      <c r="HC1865" s="118"/>
      <c r="HD1865" s="118"/>
      <c r="HE1865" s="118"/>
      <c r="HF1865" s="118"/>
      <c r="HG1865" s="118"/>
      <c r="HH1865" s="118"/>
      <c r="HI1865" s="118"/>
      <c r="HJ1865" s="118"/>
      <c r="HK1865" s="118"/>
      <c r="HL1865" s="118"/>
      <c r="HM1865" s="118"/>
      <c r="HN1865" s="118"/>
      <c r="HO1865" s="118"/>
      <c r="HP1865" s="118"/>
      <c r="HQ1865" s="118"/>
      <c r="HR1865" s="118"/>
      <c r="HS1865" s="118"/>
      <c r="HT1865" s="118"/>
      <c r="HU1865" s="118"/>
      <c r="HV1865" s="118"/>
      <c r="HW1865" s="118"/>
      <c r="HX1865" s="118"/>
      <c r="HY1865" s="118"/>
      <c r="HZ1865" s="118"/>
      <c r="IA1865" s="118"/>
      <c r="IB1865" s="118"/>
      <c r="IC1865" s="118"/>
      <c r="ID1865" s="118"/>
      <c r="IE1865" s="118"/>
      <c r="IF1865" s="118"/>
      <c r="IG1865" s="118"/>
      <c r="IH1865" s="118"/>
      <c r="II1865" s="118"/>
      <c r="IJ1865" s="118"/>
    </row>
    <row r="1866" spans="1:244" s="127" customFormat="1" ht="12.75" customHeight="1">
      <c r="A1866" s="118">
        <v>1865</v>
      </c>
      <c r="B1866" s="128">
        <v>21</v>
      </c>
      <c r="C1866" s="156">
        <v>36647</v>
      </c>
      <c r="D1866" s="157" t="s">
        <v>48</v>
      </c>
      <c r="E1866" s="8">
        <v>2000</v>
      </c>
      <c r="F1866" s="158"/>
      <c r="G1866" s="162"/>
      <c r="H1866" s="11"/>
      <c r="I1866" s="163"/>
      <c r="J1866" s="15"/>
      <c r="K1866" s="15"/>
      <c r="L1866" s="15"/>
      <c r="M1866" s="174"/>
      <c r="N1866" s="528"/>
      <c r="O1866" s="15"/>
      <c r="P1866" s="8"/>
      <c r="Q1866" s="11"/>
      <c r="R1866" s="166"/>
      <c r="S1866" s="155"/>
      <c r="T1866" s="15"/>
      <c r="U1866" s="161"/>
      <c r="V1866" s="15"/>
      <c r="W1866" s="15"/>
      <c r="X1866" s="118"/>
      <c r="Y1866" s="118"/>
      <c r="Z1866" s="118"/>
      <c r="AA1866" s="118"/>
      <c r="AB1866" s="118"/>
      <c r="AC1866" s="118"/>
      <c r="AD1866" s="118"/>
      <c r="AE1866" s="118"/>
      <c r="AF1866" s="118"/>
      <c r="AG1866" s="118"/>
      <c r="AH1866" s="118"/>
      <c r="AI1866" s="118"/>
      <c r="AJ1866" s="118"/>
      <c r="AK1866" s="118"/>
      <c r="AL1866" s="118"/>
      <c r="AM1866" s="118"/>
      <c r="AN1866" s="118"/>
      <c r="AO1866" s="118"/>
      <c r="AP1866" s="118"/>
      <c r="AQ1866" s="118"/>
      <c r="AR1866" s="118"/>
      <c r="AS1866" s="118"/>
      <c r="AT1866" s="118"/>
      <c r="AU1866" s="118"/>
      <c r="AV1866" s="118"/>
      <c r="AW1866" s="118"/>
      <c r="AX1866" s="118"/>
      <c r="AY1866" s="118"/>
      <c r="AZ1866" s="118"/>
      <c r="BA1866" s="118"/>
      <c r="BB1866" s="118"/>
      <c r="BC1866" s="118"/>
      <c r="BD1866" s="118"/>
      <c r="BE1866" s="118"/>
      <c r="BF1866" s="118"/>
      <c r="BG1866" s="118"/>
      <c r="BH1866" s="118"/>
      <c r="BI1866" s="118"/>
      <c r="BJ1866" s="118"/>
      <c r="BK1866" s="118"/>
      <c r="BL1866" s="118"/>
      <c r="BM1866" s="118"/>
      <c r="BN1866" s="118"/>
      <c r="BO1866" s="118"/>
      <c r="BP1866" s="118"/>
      <c r="BQ1866" s="118"/>
      <c r="BR1866" s="118"/>
      <c r="BS1866" s="118"/>
      <c r="BT1866" s="118"/>
      <c r="BU1866" s="118"/>
      <c r="BV1866" s="118"/>
      <c r="BW1866" s="118"/>
      <c r="BX1866" s="118"/>
      <c r="BY1866" s="118"/>
      <c r="BZ1866" s="118"/>
      <c r="CA1866" s="118"/>
      <c r="CB1866" s="118"/>
      <c r="CC1866" s="118"/>
      <c r="CD1866" s="118"/>
      <c r="CE1866" s="118"/>
      <c r="CF1866" s="118"/>
      <c r="CG1866" s="118"/>
      <c r="CH1866" s="118"/>
      <c r="CI1866" s="118"/>
      <c r="CJ1866" s="118"/>
      <c r="CK1866" s="118"/>
      <c r="CL1866" s="118"/>
      <c r="CM1866" s="118"/>
      <c r="CN1866" s="118"/>
      <c r="CO1866" s="118"/>
      <c r="CP1866" s="118"/>
      <c r="CQ1866" s="118"/>
      <c r="CR1866" s="118"/>
      <c r="CS1866" s="118"/>
      <c r="CT1866" s="118"/>
      <c r="CU1866" s="118"/>
      <c r="CV1866" s="118"/>
      <c r="CW1866" s="118"/>
      <c r="CX1866" s="118"/>
      <c r="CY1866" s="118"/>
      <c r="CZ1866" s="118"/>
      <c r="DA1866" s="118"/>
      <c r="DB1866" s="118"/>
      <c r="DC1866" s="118"/>
      <c r="DD1866" s="118"/>
      <c r="DE1866" s="118"/>
      <c r="DF1866" s="118"/>
      <c r="DG1866" s="118"/>
      <c r="DH1866" s="118"/>
      <c r="DI1866" s="118"/>
      <c r="DJ1866" s="118"/>
      <c r="DK1866" s="118"/>
      <c r="DL1866" s="118"/>
      <c r="DM1866" s="118"/>
      <c r="DN1866" s="118"/>
      <c r="DO1866" s="118"/>
      <c r="DP1866" s="118"/>
      <c r="DQ1866" s="118"/>
      <c r="DR1866" s="118"/>
      <c r="DS1866" s="118"/>
      <c r="DT1866" s="118"/>
      <c r="DU1866" s="118"/>
      <c r="DV1866" s="118"/>
      <c r="DW1866" s="118"/>
      <c r="DX1866" s="118"/>
      <c r="DY1866" s="118"/>
      <c r="DZ1866" s="118"/>
      <c r="EA1866" s="118"/>
      <c r="EB1866" s="118"/>
      <c r="EC1866" s="118"/>
      <c r="ED1866" s="118"/>
      <c r="EE1866" s="118"/>
      <c r="EF1866" s="118"/>
      <c r="EG1866" s="118"/>
      <c r="EH1866" s="118"/>
      <c r="EI1866" s="118"/>
      <c r="EJ1866" s="118"/>
      <c r="EK1866" s="118"/>
      <c r="EL1866" s="118"/>
      <c r="EM1866" s="118"/>
      <c r="EN1866" s="118"/>
      <c r="EO1866" s="118"/>
      <c r="EP1866" s="118"/>
      <c r="EQ1866" s="118"/>
      <c r="ER1866" s="118"/>
      <c r="ES1866" s="118"/>
      <c r="ET1866" s="118"/>
      <c r="EU1866" s="118"/>
      <c r="EV1866" s="118"/>
      <c r="EW1866" s="118"/>
      <c r="EX1866" s="118"/>
      <c r="EY1866" s="118"/>
      <c r="EZ1866" s="118"/>
      <c r="FA1866" s="118"/>
      <c r="FB1866" s="118"/>
      <c r="FC1866" s="118"/>
      <c r="FD1866" s="118"/>
      <c r="FE1866" s="118"/>
      <c r="FF1866" s="118"/>
      <c r="FG1866" s="118"/>
      <c r="FH1866" s="118"/>
      <c r="FI1866" s="118"/>
      <c r="FJ1866" s="118"/>
      <c r="FK1866" s="118"/>
      <c r="FL1866" s="118"/>
      <c r="FM1866" s="118"/>
      <c r="FN1866" s="118"/>
      <c r="FO1866" s="118"/>
      <c r="FP1866" s="118"/>
      <c r="FQ1866" s="118"/>
      <c r="FR1866" s="118"/>
      <c r="FS1866" s="118"/>
      <c r="FT1866" s="118"/>
      <c r="FU1866" s="118"/>
      <c r="FV1866" s="118"/>
      <c r="FW1866" s="118"/>
      <c r="FX1866" s="118"/>
      <c r="FY1866" s="118"/>
      <c r="FZ1866" s="118"/>
      <c r="GA1866" s="118"/>
      <c r="GB1866" s="118"/>
      <c r="GC1866" s="118"/>
      <c r="GD1866" s="118"/>
      <c r="GE1866" s="118"/>
      <c r="GF1866" s="118"/>
      <c r="GG1866" s="118"/>
      <c r="GH1866" s="118"/>
      <c r="GI1866" s="118"/>
      <c r="GJ1866" s="118"/>
      <c r="GK1866" s="118"/>
      <c r="GL1866" s="118"/>
      <c r="GM1866" s="118"/>
      <c r="GN1866" s="118"/>
      <c r="GO1866" s="118"/>
      <c r="GP1866" s="118"/>
      <c r="GQ1866" s="118"/>
      <c r="GR1866" s="118"/>
      <c r="GS1866" s="118"/>
      <c r="GT1866" s="118"/>
      <c r="GU1866" s="118"/>
      <c r="GV1866" s="118"/>
      <c r="GW1866" s="118"/>
      <c r="GX1866" s="118"/>
      <c r="GY1866" s="118"/>
      <c r="GZ1866" s="118"/>
      <c r="HA1866" s="118"/>
      <c r="HB1866" s="118"/>
      <c r="HC1866" s="118"/>
      <c r="HD1866" s="118"/>
      <c r="HE1866" s="118"/>
      <c r="HF1866" s="118"/>
      <c r="HG1866" s="118"/>
      <c r="HH1866" s="118"/>
      <c r="HI1866" s="118"/>
      <c r="HJ1866" s="118"/>
      <c r="HK1866" s="118"/>
      <c r="HL1866" s="118"/>
      <c r="HM1866" s="118"/>
      <c r="HN1866" s="118"/>
      <c r="HO1866" s="118"/>
      <c r="HP1866" s="118"/>
      <c r="HQ1866" s="118"/>
      <c r="HR1866" s="118"/>
      <c r="HS1866" s="118"/>
      <c r="HT1866" s="118"/>
      <c r="HU1866" s="118"/>
      <c r="HV1866" s="118"/>
      <c r="HW1866" s="118"/>
      <c r="HX1866" s="118"/>
      <c r="HY1866" s="118"/>
      <c r="HZ1866" s="118"/>
      <c r="IA1866" s="118"/>
      <c r="IB1866" s="118"/>
      <c r="IC1866" s="118"/>
      <c r="ID1866" s="118"/>
      <c r="IE1866" s="118"/>
      <c r="IF1866" s="118"/>
      <c r="IG1866" s="118"/>
      <c r="IH1866" s="118"/>
      <c r="II1866" s="118"/>
      <c r="IJ1866" s="118"/>
    </row>
    <row r="1867" spans="1:244" s="127" customFormat="1" ht="12.75" customHeight="1">
      <c r="A1867" s="118">
        <v>1866</v>
      </c>
      <c r="B1867" s="128">
        <v>21</v>
      </c>
      <c r="C1867" s="156">
        <v>36678</v>
      </c>
      <c r="D1867" s="157" t="s">
        <v>49</v>
      </c>
      <c r="E1867" s="8">
        <v>2000</v>
      </c>
      <c r="F1867" s="158"/>
      <c r="G1867" s="162"/>
      <c r="H1867" s="11"/>
      <c r="I1867" s="163"/>
      <c r="J1867" s="15"/>
      <c r="K1867" s="15"/>
      <c r="L1867" s="15"/>
      <c r="M1867" s="174"/>
      <c r="N1867" s="528"/>
      <c r="O1867" s="15"/>
      <c r="P1867" s="8"/>
      <c r="Q1867" s="11"/>
      <c r="R1867" s="166"/>
      <c r="S1867" s="155"/>
      <c r="T1867" s="15"/>
      <c r="U1867" s="161"/>
      <c r="V1867" s="15"/>
      <c r="W1867" s="15"/>
      <c r="X1867" s="118"/>
      <c r="Y1867" s="118"/>
      <c r="Z1867" s="118"/>
      <c r="AA1867" s="118"/>
      <c r="AB1867" s="118"/>
      <c r="AC1867" s="118"/>
      <c r="AD1867" s="118"/>
      <c r="AE1867" s="118"/>
      <c r="AF1867" s="118"/>
      <c r="AG1867" s="118"/>
      <c r="AH1867" s="118"/>
      <c r="AI1867" s="118"/>
      <c r="AJ1867" s="118"/>
      <c r="AK1867" s="118"/>
      <c r="AL1867" s="118"/>
      <c r="AM1867" s="118"/>
      <c r="AN1867" s="118"/>
      <c r="AO1867" s="118"/>
      <c r="AP1867" s="118"/>
      <c r="AQ1867" s="118"/>
      <c r="AR1867" s="118"/>
      <c r="AS1867" s="118"/>
      <c r="AT1867" s="118"/>
      <c r="AU1867" s="118"/>
      <c r="AV1867" s="118"/>
      <c r="AW1867" s="118"/>
      <c r="AX1867" s="118"/>
      <c r="AY1867" s="118"/>
      <c r="AZ1867" s="118"/>
      <c r="BA1867" s="118"/>
      <c r="BB1867" s="118"/>
      <c r="BC1867" s="118"/>
      <c r="BD1867" s="118"/>
      <c r="BE1867" s="118"/>
      <c r="BF1867" s="118"/>
      <c r="BG1867" s="118"/>
      <c r="BH1867" s="118"/>
      <c r="BI1867" s="118"/>
      <c r="BJ1867" s="118"/>
      <c r="BK1867" s="118"/>
      <c r="BL1867" s="118"/>
      <c r="BM1867" s="118"/>
      <c r="BN1867" s="118"/>
      <c r="BO1867" s="118"/>
      <c r="BP1867" s="118"/>
      <c r="BQ1867" s="118"/>
      <c r="BR1867" s="118"/>
      <c r="BS1867" s="118"/>
      <c r="BT1867" s="118"/>
      <c r="BU1867" s="118"/>
      <c r="BV1867" s="118"/>
      <c r="BW1867" s="118"/>
      <c r="BX1867" s="118"/>
      <c r="BY1867" s="118"/>
      <c r="BZ1867" s="118"/>
      <c r="CA1867" s="118"/>
      <c r="CB1867" s="118"/>
      <c r="CC1867" s="118"/>
      <c r="CD1867" s="118"/>
      <c r="CE1867" s="118"/>
      <c r="CF1867" s="118"/>
      <c r="CG1867" s="118"/>
      <c r="CH1867" s="118"/>
      <c r="CI1867" s="118"/>
      <c r="CJ1867" s="118"/>
      <c r="CK1867" s="118"/>
      <c r="CL1867" s="118"/>
      <c r="CM1867" s="118"/>
      <c r="CN1867" s="118"/>
      <c r="CO1867" s="118"/>
      <c r="CP1867" s="118"/>
      <c r="CQ1867" s="118"/>
      <c r="CR1867" s="118"/>
      <c r="CS1867" s="118"/>
      <c r="CT1867" s="118"/>
      <c r="CU1867" s="118"/>
      <c r="CV1867" s="118"/>
      <c r="CW1867" s="118"/>
      <c r="CX1867" s="118"/>
      <c r="CY1867" s="118"/>
      <c r="CZ1867" s="118"/>
      <c r="DA1867" s="118"/>
      <c r="DB1867" s="118"/>
      <c r="DC1867" s="118"/>
      <c r="DD1867" s="118"/>
      <c r="DE1867" s="118"/>
      <c r="DF1867" s="118"/>
      <c r="DG1867" s="118"/>
      <c r="DH1867" s="118"/>
      <c r="DI1867" s="118"/>
      <c r="DJ1867" s="118"/>
      <c r="DK1867" s="118"/>
      <c r="DL1867" s="118"/>
      <c r="DM1867" s="118"/>
      <c r="DN1867" s="118"/>
      <c r="DO1867" s="118"/>
      <c r="DP1867" s="118"/>
      <c r="DQ1867" s="118"/>
      <c r="DR1867" s="118"/>
      <c r="DS1867" s="118"/>
      <c r="DT1867" s="118"/>
      <c r="DU1867" s="118"/>
      <c r="DV1867" s="118"/>
      <c r="DW1867" s="118"/>
      <c r="DX1867" s="118"/>
      <c r="DY1867" s="118"/>
      <c r="DZ1867" s="118"/>
      <c r="EA1867" s="118"/>
      <c r="EB1867" s="118"/>
      <c r="EC1867" s="118"/>
      <c r="ED1867" s="118"/>
      <c r="EE1867" s="118"/>
      <c r="EF1867" s="118"/>
      <c r="EG1867" s="118"/>
      <c r="EH1867" s="118"/>
      <c r="EI1867" s="118"/>
      <c r="EJ1867" s="118"/>
      <c r="EK1867" s="118"/>
      <c r="EL1867" s="118"/>
      <c r="EM1867" s="118"/>
      <c r="EN1867" s="118"/>
      <c r="EO1867" s="118"/>
      <c r="EP1867" s="118"/>
      <c r="EQ1867" s="118"/>
      <c r="ER1867" s="118"/>
      <c r="ES1867" s="118"/>
      <c r="ET1867" s="118"/>
      <c r="EU1867" s="118"/>
      <c r="EV1867" s="118"/>
      <c r="EW1867" s="118"/>
      <c r="EX1867" s="118"/>
      <c r="EY1867" s="118"/>
      <c r="EZ1867" s="118"/>
      <c r="FA1867" s="118"/>
      <c r="FB1867" s="118"/>
      <c r="FC1867" s="118"/>
      <c r="FD1867" s="118"/>
      <c r="FE1867" s="118"/>
      <c r="FF1867" s="118"/>
      <c r="FG1867" s="118"/>
      <c r="FH1867" s="118"/>
      <c r="FI1867" s="118"/>
      <c r="FJ1867" s="118"/>
      <c r="FK1867" s="118"/>
      <c r="FL1867" s="118"/>
      <c r="FM1867" s="118"/>
      <c r="FN1867" s="118"/>
      <c r="FO1867" s="118"/>
      <c r="FP1867" s="118"/>
      <c r="FQ1867" s="118"/>
      <c r="FR1867" s="118"/>
      <c r="FS1867" s="118"/>
      <c r="FT1867" s="118"/>
      <c r="FU1867" s="118"/>
      <c r="FV1867" s="118"/>
      <c r="FW1867" s="118"/>
      <c r="FX1867" s="118"/>
      <c r="FY1867" s="118"/>
      <c r="FZ1867" s="118"/>
      <c r="GA1867" s="118"/>
      <c r="GB1867" s="118"/>
      <c r="GC1867" s="118"/>
      <c r="GD1867" s="118"/>
      <c r="GE1867" s="118"/>
      <c r="GF1867" s="118"/>
      <c r="GG1867" s="118"/>
      <c r="GH1867" s="118"/>
      <c r="GI1867" s="118"/>
      <c r="GJ1867" s="118"/>
      <c r="GK1867" s="118"/>
      <c r="GL1867" s="118"/>
      <c r="GM1867" s="118"/>
      <c r="GN1867" s="118"/>
      <c r="GO1867" s="118"/>
      <c r="GP1867" s="118"/>
      <c r="GQ1867" s="118"/>
      <c r="GR1867" s="118"/>
      <c r="GS1867" s="118"/>
      <c r="GT1867" s="118"/>
      <c r="GU1867" s="118"/>
      <c r="GV1867" s="118"/>
      <c r="GW1867" s="118"/>
      <c r="GX1867" s="118"/>
      <c r="GY1867" s="118"/>
      <c r="GZ1867" s="118"/>
      <c r="HA1867" s="118"/>
      <c r="HB1867" s="118"/>
      <c r="HC1867" s="118"/>
      <c r="HD1867" s="118"/>
      <c r="HE1867" s="118"/>
      <c r="HF1867" s="118"/>
      <c r="HG1867" s="118"/>
      <c r="HH1867" s="118"/>
      <c r="HI1867" s="118"/>
      <c r="HJ1867" s="118"/>
      <c r="HK1867" s="118"/>
      <c r="HL1867" s="118"/>
      <c r="HM1867" s="118"/>
      <c r="HN1867" s="118"/>
      <c r="HO1867" s="118"/>
      <c r="HP1867" s="118"/>
      <c r="HQ1867" s="118"/>
      <c r="HR1867" s="118"/>
      <c r="HS1867" s="118"/>
      <c r="HT1867" s="118"/>
      <c r="HU1867" s="118"/>
      <c r="HV1867" s="118"/>
      <c r="HW1867" s="118"/>
      <c r="HX1867" s="118"/>
      <c r="HY1867" s="118"/>
      <c r="HZ1867" s="118"/>
      <c r="IA1867" s="118"/>
      <c r="IB1867" s="118"/>
      <c r="IC1867" s="118"/>
      <c r="ID1867" s="118"/>
      <c r="IE1867" s="118"/>
      <c r="IF1867" s="118"/>
      <c r="IG1867" s="118"/>
      <c r="IH1867" s="118"/>
      <c r="II1867" s="118"/>
      <c r="IJ1867" s="118"/>
    </row>
    <row r="1868" spans="1:244" s="127" customFormat="1" ht="12.75" customHeight="1">
      <c r="A1868" s="118">
        <v>1867</v>
      </c>
      <c r="B1868" s="128">
        <v>21</v>
      </c>
      <c r="C1868" s="156">
        <v>36708</v>
      </c>
      <c r="D1868" s="157" t="s">
        <v>50</v>
      </c>
      <c r="E1868" s="8">
        <v>2000</v>
      </c>
      <c r="F1868" s="158"/>
      <c r="G1868" s="162"/>
      <c r="H1868" s="11"/>
      <c r="I1868" s="163"/>
      <c r="J1868" s="15"/>
      <c r="K1868" s="15"/>
      <c r="L1868" s="15"/>
      <c r="M1868" s="174"/>
      <c r="N1868" s="528"/>
      <c r="O1868" s="15"/>
      <c r="P1868" s="8"/>
      <c r="Q1868" s="11"/>
      <c r="R1868" s="166"/>
      <c r="S1868" s="155"/>
      <c r="T1868" s="15"/>
      <c r="U1868" s="161"/>
      <c r="V1868" s="15"/>
      <c r="W1868" s="15"/>
      <c r="X1868" s="118"/>
      <c r="Y1868" s="118"/>
      <c r="Z1868" s="118"/>
      <c r="AA1868" s="118"/>
      <c r="AB1868" s="118"/>
      <c r="AC1868" s="118"/>
      <c r="AD1868" s="118"/>
      <c r="AE1868" s="118"/>
      <c r="AF1868" s="118"/>
      <c r="AG1868" s="118"/>
      <c r="AH1868" s="118"/>
      <c r="AI1868" s="118"/>
      <c r="AJ1868" s="118"/>
      <c r="AK1868" s="118"/>
      <c r="AL1868" s="118"/>
      <c r="AM1868" s="118"/>
      <c r="AN1868" s="118"/>
      <c r="AO1868" s="118"/>
      <c r="AP1868" s="118"/>
      <c r="AQ1868" s="118"/>
      <c r="AR1868" s="118"/>
      <c r="AS1868" s="118"/>
      <c r="AT1868" s="118"/>
      <c r="AU1868" s="118"/>
      <c r="AV1868" s="118"/>
      <c r="AW1868" s="118"/>
      <c r="AX1868" s="118"/>
      <c r="AY1868" s="118"/>
      <c r="AZ1868" s="118"/>
      <c r="BA1868" s="118"/>
      <c r="BB1868" s="118"/>
      <c r="BC1868" s="118"/>
      <c r="BD1868" s="118"/>
      <c r="BE1868" s="118"/>
      <c r="BF1868" s="118"/>
      <c r="BG1868" s="118"/>
      <c r="BH1868" s="118"/>
      <c r="BI1868" s="118"/>
      <c r="BJ1868" s="118"/>
      <c r="BK1868" s="118"/>
      <c r="BL1868" s="118"/>
      <c r="BM1868" s="118"/>
      <c r="BN1868" s="118"/>
      <c r="BO1868" s="118"/>
      <c r="BP1868" s="118"/>
      <c r="BQ1868" s="118"/>
      <c r="BR1868" s="118"/>
      <c r="BS1868" s="118"/>
      <c r="BT1868" s="118"/>
      <c r="BU1868" s="118"/>
      <c r="BV1868" s="118"/>
      <c r="BW1868" s="118"/>
      <c r="BX1868" s="118"/>
      <c r="BY1868" s="118"/>
      <c r="BZ1868" s="118"/>
      <c r="CA1868" s="118"/>
      <c r="CB1868" s="118"/>
      <c r="CC1868" s="118"/>
      <c r="CD1868" s="118"/>
      <c r="CE1868" s="118"/>
      <c r="CF1868" s="118"/>
      <c r="CG1868" s="118"/>
      <c r="CH1868" s="118"/>
      <c r="CI1868" s="118"/>
      <c r="CJ1868" s="118"/>
      <c r="CK1868" s="118"/>
      <c r="CL1868" s="118"/>
      <c r="CM1868" s="118"/>
      <c r="CN1868" s="118"/>
      <c r="CO1868" s="118"/>
      <c r="CP1868" s="118"/>
      <c r="CQ1868" s="118"/>
      <c r="CR1868" s="118"/>
      <c r="CS1868" s="118"/>
      <c r="CT1868" s="118"/>
      <c r="CU1868" s="118"/>
      <c r="CV1868" s="118"/>
      <c r="CW1868" s="118"/>
      <c r="CX1868" s="118"/>
      <c r="CY1868" s="118"/>
      <c r="CZ1868" s="118"/>
      <c r="DA1868" s="118"/>
      <c r="DB1868" s="118"/>
      <c r="DC1868" s="118"/>
      <c r="DD1868" s="118"/>
      <c r="DE1868" s="118"/>
      <c r="DF1868" s="118"/>
      <c r="DG1868" s="118"/>
      <c r="DH1868" s="118"/>
      <c r="DI1868" s="118"/>
      <c r="DJ1868" s="118"/>
      <c r="DK1868" s="118"/>
      <c r="DL1868" s="118"/>
      <c r="DM1868" s="118"/>
      <c r="DN1868" s="118"/>
      <c r="DO1868" s="118"/>
      <c r="DP1868" s="118"/>
      <c r="DQ1868" s="118"/>
      <c r="DR1868" s="118"/>
      <c r="DS1868" s="118"/>
      <c r="DT1868" s="118"/>
      <c r="DU1868" s="118"/>
      <c r="DV1868" s="118"/>
      <c r="DW1868" s="118"/>
      <c r="DX1868" s="118"/>
      <c r="DY1868" s="118"/>
      <c r="DZ1868" s="118"/>
      <c r="EA1868" s="118"/>
      <c r="EB1868" s="118"/>
      <c r="EC1868" s="118"/>
      <c r="ED1868" s="118"/>
      <c r="EE1868" s="118"/>
      <c r="EF1868" s="118"/>
      <c r="EG1868" s="118"/>
      <c r="EH1868" s="118"/>
      <c r="EI1868" s="118"/>
      <c r="EJ1868" s="118"/>
      <c r="EK1868" s="118"/>
      <c r="EL1868" s="118"/>
      <c r="EM1868" s="118"/>
      <c r="EN1868" s="118"/>
      <c r="EO1868" s="118"/>
      <c r="EP1868" s="118"/>
      <c r="EQ1868" s="118"/>
      <c r="ER1868" s="118"/>
      <c r="ES1868" s="118"/>
      <c r="ET1868" s="118"/>
      <c r="EU1868" s="118"/>
      <c r="EV1868" s="118"/>
      <c r="EW1868" s="118"/>
      <c r="EX1868" s="118"/>
      <c r="EY1868" s="118"/>
      <c r="EZ1868" s="118"/>
      <c r="FA1868" s="118"/>
      <c r="FB1868" s="118"/>
      <c r="FC1868" s="118"/>
      <c r="FD1868" s="118"/>
      <c r="FE1868" s="118"/>
      <c r="FF1868" s="118"/>
      <c r="FG1868" s="118"/>
      <c r="FH1868" s="118"/>
      <c r="FI1868" s="118"/>
      <c r="FJ1868" s="118"/>
      <c r="FK1868" s="118"/>
      <c r="FL1868" s="118"/>
      <c r="FM1868" s="118"/>
      <c r="FN1868" s="118"/>
      <c r="FO1868" s="118"/>
      <c r="FP1868" s="118"/>
      <c r="FQ1868" s="118"/>
      <c r="FR1868" s="118"/>
      <c r="FS1868" s="118"/>
      <c r="FT1868" s="118"/>
      <c r="FU1868" s="118"/>
      <c r="FV1868" s="118"/>
      <c r="FW1868" s="118"/>
      <c r="FX1868" s="118"/>
      <c r="FY1868" s="118"/>
      <c r="FZ1868" s="118"/>
      <c r="GA1868" s="118"/>
      <c r="GB1868" s="118"/>
      <c r="GC1868" s="118"/>
      <c r="GD1868" s="118"/>
      <c r="GE1868" s="118"/>
      <c r="GF1868" s="118"/>
      <c r="GG1868" s="118"/>
      <c r="GH1868" s="118"/>
      <c r="GI1868" s="118"/>
      <c r="GJ1868" s="118"/>
      <c r="GK1868" s="118"/>
      <c r="GL1868" s="118"/>
      <c r="GM1868" s="118"/>
      <c r="GN1868" s="118"/>
      <c r="GO1868" s="118"/>
      <c r="GP1868" s="118"/>
      <c r="GQ1868" s="118"/>
      <c r="GR1868" s="118"/>
      <c r="GS1868" s="118"/>
      <c r="GT1868" s="118"/>
      <c r="GU1868" s="118"/>
      <c r="GV1868" s="118"/>
      <c r="GW1868" s="118"/>
      <c r="GX1868" s="118"/>
      <c r="GY1868" s="118"/>
      <c r="GZ1868" s="118"/>
      <c r="HA1868" s="118"/>
      <c r="HB1868" s="118"/>
      <c r="HC1868" s="118"/>
      <c r="HD1868" s="118"/>
      <c r="HE1868" s="118"/>
      <c r="HF1868" s="118"/>
      <c r="HG1868" s="118"/>
      <c r="HH1868" s="118"/>
      <c r="HI1868" s="118"/>
      <c r="HJ1868" s="118"/>
      <c r="HK1868" s="118"/>
      <c r="HL1868" s="118"/>
      <c r="HM1868" s="118"/>
      <c r="HN1868" s="118"/>
      <c r="HO1868" s="118"/>
      <c r="HP1868" s="118"/>
      <c r="HQ1868" s="118"/>
      <c r="HR1868" s="118"/>
      <c r="HS1868" s="118"/>
      <c r="HT1868" s="118"/>
      <c r="HU1868" s="118"/>
      <c r="HV1868" s="118"/>
      <c r="HW1868" s="118"/>
      <c r="HX1868" s="118"/>
      <c r="HY1868" s="118"/>
      <c r="HZ1868" s="118"/>
      <c r="IA1868" s="118"/>
      <c r="IB1868" s="118"/>
      <c r="IC1868" s="118"/>
      <c r="ID1868" s="118"/>
      <c r="IE1868" s="118"/>
      <c r="IF1868" s="118"/>
      <c r="IG1868" s="118"/>
      <c r="IH1868" s="118"/>
      <c r="II1868" s="118"/>
      <c r="IJ1868" s="118"/>
    </row>
    <row r="1869" spans="1:244" s="127" customFormat="1" ht="12.75" customHeight="1">
      <c r="A1869" s="118">
        <v>1868</v>
      </c>
      <c r="B1869" s="128">
        <v>21</v>
      </c>
      <c r="C1869" s="156">
        <v>36739</v>
      </c>
      <c r="D1869" s="157" t="s">
        <v>51</v>
      </c>
      <c r="E1869" s="8">
        <v>2000</v>
      </c>
      <c r="F1869" s="158"/>
      <c r="G1869" s="162"/>
      <c r="H1869" s="11"/>
      <c r="I1869" s="163"/>
      <c r="J1869" s="15"/>
      <c r="K1869" s="15"/>
      <c r="L1869" s="15"/>
      <c r="M1869" s="174"/>
      <c r="N1869" s="528"/>
      <c r="O1869" s="15"/>
      <c r="P1869" s="8"/>
      <c r="Q1869" s="11"/>
      <c r="R1869" s="166"/>
      <c r="S1869" s="155"/>
      <c r="T1869" s="15"/>
      <c r="U1869" s="161"/>
      <c r="V1869" s="15"/>
      <c r="W1869" s="15"/>
      <c r="X1869" s="118"/>
      <c r="Y1869" s="118"/>
      <c r="Z1869" s="118"/>
      <c r="AA1869" s="118"/>
      <c r="AB1869" s="118"/>
      <c r="AC1869" s="118"/>
      <c r="AD1869" s="118"/>
      <c r="AE1869" s="118"/>
      <c r="AF1869" s="118"/>
      <c r="AG1869" s="118"/>
      <c r="AH1869" s="118"/>
      <c r="AI1869" s="118"/>
      <c r="AJ1869" s="118"/>
      <c r="AK1869" s="118"/>
      <c r="AL1869" s="118"/>
      <c r="AM1869" s="118"/>
      <c r="AN1869" s="118"/>
      <c r="AO1869" s="118"/>
      <c r="AP1869" s="118"/>
      <c r="AQ1869" s="118"/>
      <c r="AR1869" s="118"/>
      <c r="AS1869" s="118"/>
      <c r="AT1869" s="118"/>
      <c r="AU1869" s="118"/>
      <c r="AV1869" s="118"/>
      <c r="AW1869" s="118"/>
      <c r="AX1869" s="118"/>
      <c r="AY1869" s="118"/>
      <c r="AZ1869" s="118"/>
      <c r="BA1869" s="118"/>
      <c r="BB1869" s="118"/>
      <c r="BC1869" s="118"/>
      <c r="BD1869" s="118"/>
      <c r="BE1869" s="118"/>
      <c r="BF1869" s="118"/>
      <c r="BG1869" s="118"/>
      <c r="BH1869" s="118"/>
      <c r="BI1869" s="118"/>
      <c r="BJ1869" s="118"/>
      <c r="BK1869" s="118"/>
      <c r="BL1869" s="118"/>
      <c r="BM1869" s="118"/>
      <c r="BN1869" s="118"/>
      <c r="BO1869" s="118"/>
      <c r="BP1869" s="118"/>
      <c r="BQ1869" s="118"/>
      <c r="BR1869" s="118"/>
      <c r="BS1869" s="118"/>
      <c r="BT1869" s="118"/>
      <c r="BU1869" s="118"/>
      <c r="BV1869" s="118"/>
      <c r="BW1869" s="118"/>
      <c r="BX1869" s="118"/>
      <c r="BY1869" s="118"/>
      <c r="BZ1869" s="118"/>
      <c r="CA1869" s="118"/>
      <c r="CB1869" s="118"/>
      <c r="CC1869" s="118"/>
      <c r="CD1869" s="118"/>
      <c r="CE1869" s="118"/>
      <c r="CF1869" s="118"/>
      <c r="CG1869" s="118"/>
      <c r="CH1869" s="118"/>
      <c r="CI1869" s="118"/>
      <c r="CJ1869" s="118"/>
      <c r="CK1869" s="118"/>
      <c r="CL1869" s="118"/>
      <c r="CM1869" s="118"/>
      <c r="CN1869" s="118"/>
      <c r="CO1869" s="118"/>
      <c r="CP1869" s="118"/>
      <c r="CQ1869" s="118"/>
      <c r="CR1869" s="118"/>
      <c r="CS1869" s="118"/>
      <c r="CT1869" s="118"/>
      <c r="CU1869" s="118"/>
      <c r="CV1869" s="118"/>
      <c r="CW1869" s="118"/>
      <c r="CX1869" s="118"/>
      <c r="CY1869" s="118"/>
      <c r="CZ1869" s="118"/>
      <c r="DA1869" s="118"/>
      <c r="DB1869" s="118"/>
      <c r="DC1869" s="118"/>
      <c r="DD1869" s="118"/>
      <c r="DE1869" s="118"/>
      <c r="DF1869" s="118"/>
      <c r="DG1869" s="118"/>
      <c r="DH1869" s="118"/>
      <c r="DI1869" s="118"/>
      <c r="DJ1869" s="118"/>
      <c r="DK1869" s="118"/>
      <c r="DL1869" s="118"/>
      <c r="DM1869" s="118"/>
      <c r="DN1869" s="118"/>
      <c r="DO1869" s="118"/>
      <c r="DP1869" s="118"/>
      <c r="DQ1869" s="118"/>
      <c r="DR1869" s="118"/>
      <c r="DS1869" s="118"/>
      <c r="DT1869" s="118"/>
      <c r="DU1869" s="118"/>
      <c r="DV1869" s="118"/>
      <c r="DW1869" s="118"/>
      <c r="DX1869" s="118"/>
      <c r="DY1869" s="118"/>
      <c r="DZ1869" s="118"/>
      <c r="EA1869" s="118"/>
      <c r="EB1869" s="118"/>
      <c r="EC1869" s="118"/>
      <c r="ED1869" s="118"/>
      <c r="EE1869" s="118"/>
      <c r="EF1869" s="118"/>
      <c r="EG1869" s="118"/>
      <c r="EH1869" s="118"/>
      <c r="EI1869" s="118"/>
      <c r="EJ1869" s="118"/>
      <c r="EK1869" s="118"/>
      <c r="EL1869" s="118"/>
      <c r="EM1869" s="118"/>
      <c r="EN1869" s="118"/>
      <c r="EO1869" s="118"/>
      <c r="EP1869" s="118"/>
      <c r="EQ1869" s="118"/>
      <c r="ER1869" s="118"/>
      <c r="ES1869" s="118"/>
      <c r="ET1869" s="118"/>
      <c r="EU1869" s="118"/>
      <c r="EV1869" s="118"/>
      <c r="EW1869" s="118"/>
      <c r="EX1869" s="118"/>
      <c r="EY1869" s="118"/>
      <c r="EZ1869" s="118"/>
      <c r="FA1869" s="118"/>
      <c r="FB1869" s="118"/>
      <c r="FC1869" s="118"/>
      <c r="FD1869" s="118"/>
      <c r="FE1869" s="118"/>
      <c r="FF1869" s="118"/>
      <c r="FG1869" s="118"/>
      <c r="FH1869" s="118"/>
      <c r="FI1869" s="118"/>
      <c r="FJ1869" s="118"/>
      <c r="FK1869" s="118"/>
      <c r="FL1869" s="118"/>
      <c r="FM1869" s="118"/>
      <c r="FN1869" s="118"/>
      <c r="FO1869" s="118"/>
      <c r="FP1869" s="118"/>
      <c r="FQ1869" s="118"/>
      <c r="FR1869" s="118"/>
      <c r="FS1869" s="118"/>
      <c r="FT1869" s="118"/>
      <c r="FU1869" s="118"/>
      <c r="FV1869" s="118"/>
      <c r="FW1869" s="118"/>
      <c r="FX1869" s="118"/>
      <c r="FY1869" s="118"/>
      <c r="FZ1869" s="118"/>
      <c r="GA1869" s="118"/>
      <c r="GB1869" s="118"/>
      <c r="GC1869" s="118"/>
      <c r="GD1869" s="118"/>
      <c r="GE1869" s="118"/>
      <c r="GF1869" s="118"/>
      <c r="GG1869" s="118"/>
      <c r="GH1869" s="118"/>
      <c r="GI1869" s="118"/>
      <c r="GJ1869" s="118"/>
      <c r="GK1869" s="118"/>
      <c r="GL1869" s="118"/>
      <c r="GM1869" s="118"/>
      <c r="GN1869" s="118"/>
      <c r="GO1869" s="118"/>
      <c r="GP1869" s="118"/>
      <c r="GQ1869" s="118"/>
      <c r="GR1869" s="118"/>
      <c r="GS1869" s="118"/>
      <c r="GT1869" s="118"/>
      <c r="GU1869" s="118"/>
      <c r="GV1869" s="118"/>
      <c r="GW1869" s="118"/>
      <c r="GX1869" s="118"/>
      <c r="GY1869" s="118"/>
      <c r="GZ1869" s="118"/>
      <c r="HA1869" s="118"/>
      <c r="HB1869" s="118"/>
      <c r="HC1869" s="118"/>
      <c r="HD1869" s="118"/>
      <c r="HE1869" s="118"/>
      <c r="HF1869" s="118"/>
      <c r="HG1869" s="118"/>
      <c r="HH1869" s="118"/>
      <c r="HI1869" s="118"/>
      <c r="HJ1869" s="118"/>
      <c r="HK1869" s="118"/>
      <c r="HL1869" s="118"/>
      <c r="HM1869" s="118"/>
      <c r="HN1869" s="118"/>
      <c r="HO1869" s="118"/>
      <c r="HP1869" s="118"/>
      <c r="HQ1869" s="118"/>
      <c r="HR1869" s="118"/>
      <c r="HS1869" s="118"/>
      <c r="HT1869" s="118"/>
      <c r="HU1869" s="118"/>
      <c r="HV1869" s="118"/>
      <c r="HW1869" s="118"/>
      <c r="HX1869" s="118"/>
      <c r="HY1869" s="118"/>
      <c r="HZ1869" s="118"/>
      <c r="IA1869" s="118"/>
      <c r="IB1869" s="118"/>
      <c r="IC1869" s="118"/>
      <c r="ID1869" s="118"/>
      <c r="IE1869" s="118"/>
      <c r="IF1869" s="118"/>
      <c r="IG1869" s="118"/>
      <c r="IH1869" s="118"/>
      <c r="II1869" s="118"/>
      <c r="IJ1869" s="118"/>
    </row>
    <row r="1870" spans="1:244" s="127" customFormat="1" ht="12.75" customHeight="1">
      <c r="A1870" s="118">
        <v>1869</v>
      </c>
      <c r="B1870" s="128">
        <v>21</v>
      </c>
      <c r="C1870" s="156">
        <v>36770</v>
      </c>
      <c r="D1870" s="157" t="s">
        <v>52</v>
      </c>
      <c r="E1870" s="8">
        <v>2000</v>
      </c>
      <c r="F1870" s="158"/>
      <c r="G1870" s="162"/>
      <c r="H1870" s="11"/>
      <c r="I1870" s="163"/>
      <c r="J1870" s="15"/>
      <c r="K1870" s="15"/>
      <c r="L1870" s="15"/>
      <c r="M1870" s="174"/>
      <c r="N1870" s="528"/>
      <c r="O1870" s="15"/>
      <c r="P1870" s="8"/>
      <c r="Q1870" s="11"/>
      <c r="R1870" s="166"/>
      <c r="S1870" s="155"/>
      <c r="T1870" s="15"/>
      <c r="U1870" s="161"/>
      <c r="V1870" s="15"/>
      <c r="W1870" s="15"/>
      <c r="X1870" s="118"/>
      <c r="Y1870" s="118"/>
      <c r="Z1870" s="118"/>
      <c r="AA1870" s="118"/>
      <c r="AB1870" s="118"/>
      <c r="AC1870" s="118"/>
      <c r="AD1870" s="118"/>
      <c r="AE1870" s="118"/>
      <c r="AF1870" s="118"/>
      <c r="AG1870" s="118"/>
      <c r="AH1870" s="118"/>
      <c r="AI1870" s="118"/>
      <c r="AJ1870" s="118"/>
      <c r="AK1870" s="118"/>
      <c r="AL1870" s="118"/>
      <c r="AM1870" s="118"/>
      <c r="AN1870" s="118"/>
      <c r="AO1870" s="118"/>
      <c r="AP1870" s="118"/>
      <c r="AQ1870" s="118"/>
      <c r="AR1870" s="118"/>
      <c r="AS1870" s="118"/>
      <c r="AT1870" s="118"/>
      <c r="AU1870" s="118"/>
      <c r="AV1870" s="118"/>
      <c r="AW1870" s="118"/>
      <c r="AX1870" s="118"/>
      <c r="AY1870" s="118"/>
      <c r="AZ1870" s="118"/>
      <c r="BA1870" s="118"/>
      <c r="BB1870" s="118"/>
      <c r="BC1870" s="118"/>
      <c r="BD1870" s="118"/>
      <c r="BE1870" s="118"/>
      <c r="BF1870" s="118"/>
      <c r="BG1870" s="118"/>
      <c r="BH1870" s="118"/>
      <c r="BI1870" s="118"/>
      <c r="BJ1870" s="118"/>
      <c r="BK1870" s="118"/>
      <c r="BL1870" s="118"/>
      <c r="BM1870" s="118"/>
      <c r="BN1870" s="118"/>
      <c r="BO1870" s="118"/>
      <c r="BP1870" s="118"/>
      <c r="BQ1870" s="118"/>
      <c r="BR1870" s="118"/>
      <c r="BS1870" s="118"/>
      <c r="BT1870" s="118"/>
      <c r="BU1870" s="118"/>
      <c r="BV1870" s="118"/>
      <c r="BW1870" s="118"/>
      <c r="BX1870" s="118"/>
      <c r="BY1870" s="118"/>
      <c r="BZ1870" s="118"/>
      <c r="CA1870" s="118"/>
      <c r="CB1870" s="118"/>
      <c r="CC1870" s="118"/>
      <c r="CD1870" s="118"/>
      <c r="CE1870" s="118"/>
      <c r="CF1870" s="118"/>
      <c r="CG1870" s="118"/>
      <c r="CH1870" s="118"/>
      <c r="CI1870" s="118"/>
      <c r="CJ1870" s="118"/>
      <c r="CK1870" s="118"/>
      <c r="CL1870" s="118"/>
      <c r="CM1870" s="118"/>
      <c r="CN1870" s="118"/>
      <c r="CO1870" s="118"/>
      <c r="CP1870" s="118"/>
      <c r="CQ1870" s="118"/>
      <c r="CR1870" s="118"/>
      <c r="CS1870" s="118"/>
      <c r="CT1870" s="118"/>
      <c r="CU1870" s="118"/>
      <c r="CV1870" s="118"/>
      <c r="CW1870" s="118"/>
      <c r="CX1870" s="118"/>
      <c r="CY1870" s="118"/>
      <c r="CZ1870" s="118"/>
      <c r="DA1870" s="118"/>
      <c r="DB1870" s="118"/>
      <c r="DC1870" s="118"/>
      <c r="DD1870" s="118"/>
      <c r="DE1870" s="118"/>
      <c r="DF1870" s="118"/>
      <c r="DG1870" s="118"/>
      <c r="DH1870" s="118"/>
      <c r="DI1870" s="118"/>
      <c r="DJ1870" s="118"/>
      <c r="DK1870" s="118"/>
      <c r="DL1870" s="118"/>
      <c r="DM1870" s="118"/>
      <c r="DN1870" s="118"/>
      <c r="DO1870" s="118"/>
      <c r="DP1870" s="118"/>
      <c r="DQ1870" s="118"/>
      <c r="DR1870" s="118"/>
      <c r="DS1870" s="118"/>
      <c r="DT1870" s="118"/>
      <c r="DU1870" s="118"/>
      <c r="DV1870" s="118"/>
      <c r="DW1870" s="118"/>
      <c r="DX1870" s="118"/>
      <c r="DY1870" s="118"/>
      <c r="DZ1870" s="118"/>
      <c r="EA1870" s="118"/>
      <c r="EB1870" s="118"/>
      <c r="EC1870" s="118"/>
      <c r="ED1870" s="118"/>
      <c r="EE1870" s="118"/>
      <c r="EF1870" s="118"/>
      <c r="EG1870" s="118"/>
      <c r="EH1870" s="118"/>
      <c r="EI1870" s="118"/>
      <c r="EJ1870" s="118"/>
      <c r="EK1870" s="118"/>
      <c r="EL1870" s="118"/>
      <c r="EM1870" s="118"/>
      <c r="EN1870" s="118"/>
      <c r="EO1870" s="118"/>
      <c r="EP1870" s="118"/>
      <c r="EQ1870" s="118"/>
      <c r="ER1870" s="118"/>
      <c r="ES1870" s="118"/>
      <c r="ET1870" s="118"/>
      <c r="EU1870" s="118"/>
      <c r="EV1870" s="118"/>
      <c r="EW1870" s="118"/>
      <c r="EX1870" s="118"/>
      <c r="EY1870" s="118"/>
      <c r="EZ1870" s="118"/>
      <c r="FA1870" s="118"/>
      <c r="FB1870" s="118"/>
      <c r="FC1870" s="118"/>
      <c r="FD1870" s="118"/>
      <c r="FE1870" s="118"/>
      <c r="FF1870" s="118"/>
      <c r="FG1870" s="118"/>
      <c r="FH1870" s="118"/>
      <c r="FI1870" s="118"/>
      <c r="FJ1870" s="118"/>
      <c r="FK1870" s="118"/>
      <c r="FL1870" s="118"/>
      <c r="FM1870" s="118"/>
      <c r="FN1870" s="118"/>
      <c r="FO1870" s="118"/>
      <c r="FP1870" s="118"/>
      <c r="FQ1870" s="118"/>
      <c r="FR1870" s="118"/>
      <c r="FS1870" s="118"/>
      <c r="FT1870" s="118"/>
      <c r="FU1870" s="118"/>
      <c r="FV1870" s="118"/>
      <c r="FW1870" s="118"/>
      <c r="FX1870" s="118"/>
      <c r="FY1870" s="118"/>
      <c r="FZ1870" s="118"/>
      <c r="GA1870" s="118"/>
      <c r="GB1870" s="118"/>
      <c r="GC1870" s="118"/>
      <c r="GD1870" s="118"/>
      <c r="GE1870" s="118"/>
      <c r="GF1870" s="118"/>
      <c r="GG1870" s="118"/>
      <c r="GH1870" s="118"/>
      <c r="GI1870" s="118"/>
      <c r="GJ1870" s="118"/>
      <c r="GK1870" s="118"/>
      <c r="GL1870" s="118"/>
      <c r="GM1870" s="118"/>
      <c r="GN1870" s="118"/>
      <c r="GO1870" s="118"/>
      <c r="GP1870" s="118"/>
      <c r="GQ1870" s="118"/>
      <c r="GR1870" s="118"/>
      <c r="GS1870" s="118"/>
      <c r="GT1870" s="118"/>
      <c r="GU1870" s="118"/>
      <c r="GV1870" s="118"/>
      <c r="GW1870" s="118"/>
      <c r="GX1870" s="118"/>
      <c r="GY1870" s="118"/>
      <c r="GZ1870" s="118"/>
      <c r="HA1870" s="118"/>
      <c r="HB1870" s="118"/>
      <c r="HC1870" s="118"/>
      <c r="HD1870" s="118"/>
      <c r="HE1870" s="118"/>
      <c r="HF1870" s="118"/>
      <c r="HG1870" s="118"/>
      <c r="HH1870" s="118"/>
      <c r="HI1870" s="118"/>
      <c r="HJ1870" s="118"/>
      <c r="HK1870" s="118"/>
      <c r="HL1870" s="118"/>
      <c r="HM1870" s="118"/>
      <c r="HN1870" s="118"/>
      <c r="HO1870" s="118"/>
      <c r="HP1870" s="118"/>
      <c r="HQ1870" s="118"/>
      <c r="HR1870" s="118"/>
      <c r="HS1870" s="118"/>
      <c r="HT1870" s="118"/>
      <c r="HU1870" s="118"/>
      <c r="HV1870" s="118"/>
      <c r="HW1870" s="118"/>
      <c r="HX1870" s="118"/>
      <c r="HY1870" s="118"/>
      <c r="HZ1870" s="118"/>
      <c r="IA1870" s="118"/>
      <c r="IB1870" s="118"/>
      <c r="IC1870" s="118"/>
      <c r="ID1870" s="118"/>
      <c r="IE1870" s="118"/>
      <c r="IF1870" s="118"/>
      <c r="IG1870" s="118"/>
      <c r="IH1870" s="118"/>
      <c r="II1870" s="118"/>
      <c r="IJ1870" s="118"/>
    </row>
    <row r="1871" spans="1:244" s="127" customFormat="1" ht="12.75" customHeight="1">
      <c r="A1871" s="118">
        <v>1870</v>
      </c>
      <c r="B1871" s="128">
        <v>21</v>
      </c>
      <c r="C1871" s="156">
        <v>36800</v>
      </c>
      <c r="D1871" s="157" t="s">
        <v>53</v>
      </c>
      <c r="E1871" s="8">
        <v>2000</v>
      </c>
      <c r="F1871" s="158"/>
      <c r="G1871" s="162"/>
      <c r="H1871" s="11"/>
      <c r="I1871" s="163"/>
      <c r="J1871" s="11"/>
      <c r="K1871" s="11"/>
      <c r="L1871" s="11"/>
      <c r="M1871" s="174"/>
      <c r="N1871" s="528"/>
      <c r="O1871" s="11"/>
      <c r="P1871" s="8"/>
      <c r="Q1871" s="11"/>
      <c r="R1871" s="166"/>
      <c r="S1871" s="155"/>
      <c r="T1871" s="11"/>
      <c r="U1871" s="161"/>
      <c r="V1871" s="11"/>
      <c r="W1871" s="11"/>
      <c r="X1871" s="118"/>
      <c r="Y1871" s="118"/>
      <c r="Z1871" s="118"/>
      <c r="AA1871" s="118"/>
      <c r="AB1871" s="118"/>
      <c r="AC1871" s="118"/>
      <c r="AD1871" s="118"/>
      <c r="AE1871" s="118"/>
      <c r="AF1871" s="118"/>
      <c r="AG1871" s="118"/>
      <c r="AH1871" s="118"/>
      <c r="AI1871" s="118"/>
      <c r="AJ1871" s="118"/>
      <c r="AK1871" s="118"/>
      <c r="AL1871" s="118"/>
      <c r="AM1871" s="118"/>
      <c r="AN1871" s="118"/>
      <c r="AO1871" s="118"/>
      <c r="AP1871" s="118"/>
      <c r="AQ1871" s="118"/>
      <c r="AR1871" s="118"/>
      <c r="AS1871" s="118"/>
      <c r="AT1871" s="118"/>
      <c r="AU1871" s="118"/>
      <c r="AV1871" s="118"/>
      <c r="AW1871" s="118"/>
      <c r="AX1871" s="118"/>
      <c r="AY1871" s="118"/>
      <c r="AZ1871" s="118"/>
      <c r="BA1871" s="118"/>
      <c r="BB1871" s="118"/>
      <c r="BC1871" s="118"/>
      <c r="BD1871" s="118"/>
      <c r="BE1871" s="118"/>
      <c r="BF1871" s="118"/>
      <c r="BG1871" s="118"/>
      <c r="BH1871" s="118"/>
      <c r="BI1871" s="118"/>
      <c r="BJ1871" s="118"/>
      <c r="BK1871" s="118"/>
      <c r="BL1871" s="118"/>
      <c r="BM1871" s="118"/>
      <c r="BN1871" s="118"/>
      <c r="BO1871" s="118"/>
      <c r="BP1871" s="118"/>
      <c r="BQ1871" s="118"/>
      <c r="BR1871" s="118"/>
      <c r="BS1871" s="118"/>
      <c r="BT1871" s="118"/>
      <c r="BU1871" s="118"/>
      <c r="BV1871" s="118"/>
      <c r="BW1871" s="118"/>
      <c r="BX1871" s="118"/>
      <c r="BY1871" s="118"/>
      <c r="BZ1871" s="118"/>
      <c r="CA1871" s="118"/>
      <c r="CB1871" s="118"/>
      <c r="CC1871" s="118"/>
      <c r="CD1871" s="118"/>
      <c r="CE1871" s="118"/>
      <c r="CF1871" s="118"/>
      <c r="CG1871" s="118"/>
      <c r="CH1871" s="118"/>
      <c r="CI1871" s="118"/>
      <c r="CJ1871" s="118"/>
      <c r="CK1871" s="118"/>
      <c r="CL1871" s="118"/>
      <c r="CM1871" s="118"/>
      <c r="CN1871" s="118"/>
      <c r="CO1871" s="118"/>
      <c r="CP1871" s="118"/>
      <c r="CQ1871" s="118"/>
      <c r="CR1871" s="118"/>
      <c r="CS1871" s="118"/>
      <c r="CT1871" s="118"/>
      <c r="CU1871" s="118"/>
      <c r="CV1871" s="118"/>
      <c r="CW1871" s="118"/>
      <c r="CX1871" s="118"/>
      <c r="CY1871" s="118"/>
      <c r="CZ1871" s="118"/>
      <c r="DA1871" s="118"/>
      <c r="DB1871" s="118"/>
      <c r="DC1871" s="118"/>
      <c r="DD1871" s="118"/>
      <c r="DE1871" s="118"/>
      <c r="DF1871" s="118"/>
      <c r="DG1871" s="118"/>
      <c r="DH1871" s="118"/>
      <c r="DI1871" s="118"/>
      <c r="DJ1871" s="118"/>
      <c r="DK1871" s="118"/>
      <c r="DL1871" s="118"/>
      <c r="DM1871" s="118"/>
      <c r="DN1871" s="118"/>
      <c r="DO1871" s="118"/>
      <c r="DP1871" s="118"/>
      <c r="DQ1871" s="118"/>
      <c r="DR1871" s="118"/>
      <c r="DS1871" s="118"/>
      <c r="DT1871" s="118"/>
      <c r="DU1871" s="118"/>
      <c r="DV1871" s="118"/>
      <c r="DW1871" s="118"/>
      <c r="DX1871" s="118"/>
      <c r="DY1871" s="118"/>
      <c r="DZ1871" s="118"/>
      <c r="EA1871" s="118"/>
      <c r="EB1871" s="118"/>
      <c r="EC1871" s="118"/>
      <c r="ED1871" s="118"/>
      <c r="EE1871" s="118"/>
      <c r="EF1871" s="118"/>
      <c r="EG1871" s="118"/>
      <c r="EH1871" s="118"/>
      <c r="EI1871" s="118"/>
      <c r="EJ1871" s="118"/>
      <c r="EK1871" s="118"/>
      <c r="EL1871" s="118"/>
      <c r="EM1871" s="118"/>
      <c r="EN1871" s="118"/>
      <c r="EO1871" s="118"/>
      <c r="EP1871" s="118"/>
      <c r="EQ1871" s="118"/>
      <c r="ER1871" s="118"/>
      <c r="ES1871" s="118"/>
      <c r="ET1871" s="118"/>
      <c r="EU1871" s="118"/>
      <c r="EV1871" s="118"/>
      <c r="EW1871" s="118"/>
      <c r="EX1871" s="118"/>
      <c r="EY1871" s="118"/>
      <c r="EZ1871" s="118"/>
      <c r="FA1871" s="118"/>
      <c r="FB1871" s="118"/>
      <c r="FC1871" s="118"/>
      <c r="FD1871" s="118"/>
      <c r="FE1871" s="118"/>
      <c r="FF1871" s="118"/>
      <c r="FG1871" s="118"/>
      <c r="FH1871" s="118"/>
      <c r="FI1871" s="118"/>
      <c r="FJ1871" s="118"/>
      <c r="FK1871" s="118"/>
      <c r="FL1871" s="118"/>
      <c r="FM1871" s="118"/>
      <c r="FN1871" s="118"/>
      <c r="FO1871" s="118"/>
      <c r="FP1871" s="118"/>
      <c r="FQ1871" s="118"/>
      <c r="FR1871" s="118"/>
      <c r="FS1871" s="118"/>
      <c r="FT1871" s="118"/>
      <c r="FU1871" s="118"/>
      <c r="FV1871" s="118"/>
      <c r="FW1871" s="118"/>
      <c r="FX1871" s="118"/>
      <c r="FY1871" s="118"/>
      <c r="FZ1871" s="118"/>
      <c r="GA1871" s="118"/>
      <c r="GB1871" s="118"/>
      <c r="GC1871" s="118"/>
      <c r="GD1871" s="118"/>
      <c r="GE1871" s="118"/>
      <c r="GF1871" s="118"/>
      <c r="GG1871" s="118"/>
      <c r="GH1871" s="118"/>
      <c r="GI1871" s="118"/>
      <c r="GJ1871" s="118"/>
      <c r="GK1871" s="118"/>
      <c r="GL1871" s="118"/>
      <c r="GM1871" s="118"/>
      <c r="GN1871" s="118"/>
      <c r="GO1871" s="118"/>
      <c r="GP1871" s="118"/>
      <c r="GQ1871" s="118"/>
      <c r="GR1871" s="118"/>
      <c r="GS1871" s="118"/>
      <c r="GT1871" s="118"/>
      <c r="GU1871" s="118"/>
      <c r="GV1871" s="118"/>
      <c r="GW1871" s="118"/>
      <c r="GX1871" s="118"/>
      <c r="GY1871" s="118"/>
      <c r="GZ1871" s="118"/>
      <c r="HA1871" s="118"/>
      <c r="HB1871" s="118"/>
      <c r="HC1871" s="118"/>
      <c r="HD1871" s="118"/>
      <c r="HE1871" s="118"/>
      <c r="HF1871" s="118"/>
      <c r="HG1871" s="118"/>
      <c r="HH1871" s="118"/>
      <c r="HI1871" s="118"/>
      <c r="HJ1871" s="118"/>
      <c r="HK1871" s="118"/>
      <c r="HL1871" s="118"/>
      <c r="HM1871" s="118"/>
      <c r="HN1871" s="118"/>
      <c r="HO1871" s="118"/>
      <c r="HP1871" s="118"/>
      <c r="HQ1871" s="118"/>
      <c r="HR1871" s="118"/>
      <c r="HS1871" s="118"/>
      <c r="HT1871" s="118"/>
      <c r="HU1871" s="118"/>
      <c r="HV1871" s="118"/>
      <c r="HW1871" s="118"/>
      <c r="HX1871" s="118"/>
      <c r="HY1871" s="118"/>
      <c r="HZ1871" s="118"/>
      <c r="IA1871" s="118"/>
      <c r="IB1871" s="118"/>
      <c r="IC1871" s="118"/>
      <c r="ID1871" s="118"/>
      <c r="IE1871" s="118"/>
      <c r="IF1871" s="118"/>
      <c r="IG1871" s="118"/>
      <c r="IH1871" s="118"/>
      <c r="II1871" s="118"/>
      <c r="IJ1871" s="118"/>
    </row>
    <row r="1872" spans="1:244" ht="12.75" customHeight="1">
      <c r="A1872" s="118">
        <v>1871</v>
      </c>
      <c r="B1872" s="128">
        <v>21</v>
      </c>
      <c r="C1872" s="156">
        <v>36831</v>
      </c>
      <c r="D1872" s="157" t="s">
        <v>54</v>
      </c>
      <c r="E1872" s="8">
        <v>2000</v>
      </c>
      <c r="F1872" s="158"/>
      <c r="G1872" s="162"/>
      <c r="J1872" s="11"/>
      <c r="K1872" s="11"/>
      <c r="L1872" s="11"/>
      <c r="O1872" s="11"/>
      <c r="R1872" s="166"/>
      <c r="T1872" s="11"/>
      <c r="V1872" s="11"/>
      <c r="W1872" s="11"/>
    </row>
    <row r="1873" spans="1:244" ht="12.75" customHeight="1">
      <c r="A1873" s="118">
        <v>1872</v>
      </c>
      <c r="B1873" s="128">
        <v>21</v>
      </c>
      <c r="C1873" s="156">
        <v>36861</v>
      </c>
      <c r="D1873" s="157" t="s">
        <v>55</v>
      </c>
      <c r="E1873" s="8">
        <v>2000</v>
      </c>
      <c r="F1873" s="158"/>
      <c r="G1873" s="162"/>
      <c r="J1873" s="11"/>
      <c r="K1873" s="11"/>
      <c r="L1873" s="11"/>
      <c r="O1873" s="11"/>
      <c r="R1873" s="166"/>
      <c r="T1873" s="11"/>
      <c r="V1873" s="11"/>
      <c r="W1873" s="11"/>
    </row>
    <row r="1874" spans="1:244" ht="12.75" customHeight="1">
      <c r="A1874" s="118">
        <v>1873</v>
      </c>
      <c r="B1874" s="128">
        <v>21</v>
      </c>
      <c r="C1874" s="156">
        <v>36892</v>
      </c>
      <c r="D1874" s="157" t="s">
        <v>44</v>
      </c>
      <c r="E1874" s="8">
        <v>2001</v>
      </c>
      <c r="F1874" s="158"/>
      <c r="G1874" s="162"/>
      <c r="J1874" s="11"/>
      <c r="K1874" s="11"/>
      <c r="L1874" s="11"/>
      <c r="O1874" s="11"/>
      <c r="R1874" s="166"/>
      <c r="T1874" s="11"/>
      <c r="V1874" s="11"/>
      <c r="W1874" s="11"/>
    </row>
    <row r="1875" spans="1:244" ht="12.75" customHeight="1">
      <c r="A1875" s="118">
        <v>1874</v>
      </c>
      <c r="B1875" s="128">
        <v>21</v>
      </c>
      <c r="C1875" s="156">
        <v>36923</v>
      </c>
      <c r="D1875" s="157" t="s">
        <v>45</v>
      </c>
      <c r="E1875" s="8">
        <v>2001</v>
      </c>
      <c r="F1875" s="158"/>
      <c r="G1875" s="162"/>
      <c r="J1875" s="11"/>
      <c r="K1875" s="11"/>
      <c r="L1875" s="11"/>
      <c r="O1875" s="11"/>
      <c r="R1875" s="166"/>
      <c r="T1875" s="11"/>
      <c r="V1875" s="11"/>
      <c r="W1875" s="11"/>
    </row>
    <row r="1876" spans="1:244" ht="12.75" customHeight="1">
      <c r="A1876" s="118">
        <v>1875</v>
      </c>
      <c r="B1876" s="128">
        <v>21</v>
      </c>
      <c r="C1876" s="156">
        <v>36951</v>
      </c>
      <c r="D1876" s="157" t="s">
        <v>46</v>
      </c>
      <c r="E1876" s="8">
        <v>2001</v>
      </c>
      <c r="F1876" s="158"/>
      <c r="G1876" s="162"/>
      <c r="J1876" s="11"/>
      <c r="K1876" s="11"/>
      <c r="L1876" s="11"/>
      <c r="O1876" s="11"/>
      <c r="R1876" s="166"/>
      <c r="T1876" s="11"/>
      <c r="V1876" s="11"/>
      <c r="W1876" s="11"/>
    </row>
    <row r="1877" spans="1:244" ht="12.75" customHeight="1">
      <c r="A1877" s="118">
        <v>1876</v>
      </c>
      <c r="B1877" s="128">
        <v>21</v>
      </c>
      <c r="C1877" s="156">
        <v>36982</v>
      </c>
      <c r="D1877" s="157" t="s">
        <v>47</v>
      </c>
      <c r="E1877" s="8">
        <v>2001</v>
      </c>
      <c r="F1877" s="158"/>
      <c r="G1877" s="162"/>
      <c r="R1877" s="166"/>
    </row>
    <row r="1878" spans="1:244" ht="12.75" customHeight="1">
      <c r="A1878" s="118">
        <v>1877</v>
      </c>
      <c r="B1878" s="128">
        <v>21</v>
      </c>
      <c r="C1878" s="156">
        <v>37012</v>
      </c>
      <c r="D1878" s="157" t="s">
        <v>48</v>
      </c>
      <c r="E1878" s="8">
        <v>2001</v>
      </c>
      <c r="F1878" s="158"/>
      <c r="G1878" s="162"/>
      <c r="R1878" s="166"/>
    </row>
    <row r="1879" spans="1:244" ht="12.75" customHeight="1">
      <c r="A1879" s="118">
        <v>1878</v>
      </c>
      <c r="B1879" s="128">
        <v>21</v>
      </c>
      <c r="C1879" s="156">
        <v>37043</v>
      </c>
      <c r="D1879" s="157" t="s">
        <v>49</v>
      </c>
      <c r="E1879" s="8">
        <v>2001</v>
      </c>
      <c r="F1879" s="158"/>
      <c r="G1879" s="162"/>
      <c r="J1879" s="11"/>
      <c r="K1879" s="11"/>
      <c r="L1879" s="11"/>
      <c r="O1879" s="11"/>
      <c r="R1879" s="166"/>
      <c r="T1879" s="11"/>
      <c r="V1879" s="11"/>
      <c r="W1879" s="11"/>
    </row>
    <row r="1880" spans="1:244" ht="12.75" customHeight="1">
      <c r="A1880" s="118">
        <v>1879</v>
      </c>
      <c r="B1880" s="128">
        <v>21</v>
      </c>
      <c r="C1880" s="156">
        <v>37073</v>
      </c>
      <c r="D1880" s="157" t="s">
        <v>50</v>
      </c>
      <c r="E1880" s="8">
        <v>2001</v>
      </c>
      <c r="F1880" s="158"/>
      <c r="G1880" s="162"/>
      <c r="J1880" s="11"/>
      <c r="K1880" s="11"/>
      <c r="L1880" s="11"/>
      <c r="O1880" s="11"/>
      <c r="T1880" s="11"/>
      <c r="V1880" s="11"/>
      <c r="W1880" s="11"/>
    </row>
    <row r="1881" spans="1:244" ht="12.75" customHeight="1">
      <c r="A1881" s="118">
        <v>1880</v>
      </c>
      <c r="B1881" s="128">
        <v>21</v>
      </c>
      <c r="C1881" s="156">
        <v>37104</v>
      </c>
      <c r="D1881" s="157" t="s">
        <v>51</v>
      </c>
      <c r="E1881" s="8">
        <v>2001</v>
      </c>
      <c r="F1881" s="158"/>
      <c r="G1881" s="162"/>
      <c r="J1881" s="11"/>
      <c r="K1881" s="11"/>
      <c r="L1881" s="11"/>
      <c r="O1881" s="11"/>
      <c r="T1881" s="11"/>
      <c r="V1881" s="11"/>
      <c r="W1881" s="11"/>
    </row>
    <row r="1882" spans="1:244" ht="12.75" customHeight="1">
      <c r="A1882" s="118">
        <v>1881</v>
      </c>
      <c r="B1882" s="128">
        <v>21</v>
      </c>
      <c r="C1882" s="156">
        <v>37135</v>
      </c>
      <c r="D1882" s="157" t="s">
        <v>52</v>
      </c>
      <c r="E1882" s="8">
        <v>2001</v>
      </c>
      <c r="F1882" s="158"/>
      <c r="G1882" s="162"/>
      <c r="J1882" s="11"/>
      <c r="K1882" s="11"/>
      <c r="L1882" s="11"/>
      <c r="O1882" s="11"/>
      <c r="T1882" s="11"/>
      <c r="V1882" s="11"/>
      <c r="W1882" s="11"/>
    </row>
    <row r="1883" spans="1:244" ht="12.75" customHeight="1">
      <c r="A1883" s="118">
        <v>1882</v>
      </c>
      <c r="B1883" s="128">
        <v>21</v>
      </c>
      <c r="C1883" s="156">
        <v>37165</v>
      </c>
      <c r="D1883" s="157" t="s">
        <v>53</v>
      </c>
      <c r="E1883" s="8">
        <v>2001</v>
      </c>
      <c r="F1883" s="158"/>
      <c r="G1883" s="162"/>
    </row>
    <row r="1884" spans="1:244" ht="12.75" customHeight="1">
      <c r="A1884" s="118">
        <v>1883</v>
      </c>
      <c r="B1884" s="128">
        <v>21</v>
      </c>
      <c r="C1884" s="156">
        <v>37196</v>
      </c>
      <c r="D1884" s="157" t="s">
        <v>54</v>
      </c>
      <c r="E1884" s="8">
        <v>2001</v>
      </c>
      <c r="F1884" s="158"/>
      <c r="G1884" s="162"/>
    </row>
    <row r="1885" spans="1:244" ht="12.75" customHeight="1">
      <c r="A1885" s="118">
        <v>1884</v>
      </c>
      <c r="B1885" s="128">
        <v>21</v>
      </c>
      <c r="C1885" s="156">
        <v>37226</v>
      </c>
      <c r="D1885" s="157" t="s">
        <v>55</v>
      </c>
      <c r="E1885" s="8">
        <v>2001</v>
      </c>
      <c r="F1885" s="158"/>
      <c r="G1885" s="162"/>
    </row>
    <row r="1886" spans="1:244" ht="12.75" customHeight="1">
      <c r="A1886" s="118">
        <v>1885</v>
      </c>
      <c r="B1886" s="128">
        <v>21</v>
      </c>
      <c r="C1886" s="156">
        <v>37257</v>
      </c>
      <c r="D1886" s="157" t="s">
        <v>44</v>
      </c>
      <c r="E1886" s="8">
        <v>2002</v>
      </c>
      <c r="F1886" s="158"/>
      <c r="G1886" s="162"/>
      <c r="J1886" s="11"/>
      <c r="K1886" s="11"/>
      <c r="L1886" s="11"/>
      <c r="O1886" s="11"/>
      <c r="T1886" s="11"/>
      <c r="V1886" s="11"/>
      <c r="W1886" s="11"/>
    </row>
    <row r="1887" spans="1:244" ht="12.75" customHeight="1">
      <c r="A1887" s="118">
        <v>1886</v>
      </c>
      <c r="B1887" s="128">
        <v>21</v>
      </c>
      <c r="C1887" s="156">
        <v>37288</v>
      </c>
      <c r="D1887" s="157" t="s">
        <v>45</v>
      </c>
      <c r="E1887" s="8">
        <v>2002</v>
      </c>
      <c r="F1887" s="158"/>
      <c r="G1887" s="162"/>
      <c r="J1887" s="11"/>
      <c r="K1887" s="11"/>
      <c r="L1887" s="11"/>
      <c r="O1887" s="11"/>
      <c r="T1887" s="11"/>
      <c r="V1887" s="11"/>
      <c r="W1887" s="11"/>
      <c r="X1887" s="127"/>
      <c r="Y1887" s="127"/>
      <c r="Z1887" s="127"/>
      <c r="AA1887" s="127"/>
      <c r="AB1887" s="127"/>
      <c r="AC1887" s="127"/>
      <c r="AD1887" s="127"/>
      <c r="AE1887" s="127"/>
      <c r="AF1887" s="127"/>
      <c r="AG1887" s="127"/>
      <c r="AH1887" s="127"/>
      <c r="AI1887" s="127"/>
      <c r="AJ1887" s="127"/>
      <c r="AK1887" s="127"/>
      <c r="AL1887" s="127"/>
      <c r="AM1887" s="127"/>
      <c r="AN1887" s="127"/>
      <c r="AO1887" s="127"/>
      <c r="AP1887" s="127"/>
      <c r="AQ1887" s="127"/>
      <c r="AR1887" s="127"/>
      <c r="AS1887" s="127"/>
      <c r="AT1887" s="127"/>
      <c r="AU1887" s="127"/>
      <c r="AV1887" s="127"/>
      <c r="AW1887" s="127"/>
      <c r="AX1887" s="127"/>
      <c r="AY1887" s="127"/>
      <c r="AZ1887" s="127"/>
      <c r="BA1887" s="127"/>
      <c r="BB1887" s="127"/>
      <c r="BC1887" s="127"/>
      <c r="BD1887" s="127"/>
      <c r="BE1887" s="127"/>
      <c r="BF1887" s="127"/>
      <c r="BG1887" s="127"/>
      <c r="BH1887" s="127"/>
      <c r="BI1887" s="127"/>
      <c r="BJ1887" s="127"/>
      <c r="BK1887" s="127"/>
      <c r="BL1887" s="127"/>
      <c r="BM1887" s="127"/>
      <c r="BN1887" s="127"/>
      <c r="BO1887" s="127"/>
      <c r="BP1887" s="127"/>
      <c r="BQ1887" s="127"/>
      <c r="BR1887" s="127"/>
      <c r="BS1887" s="127"/>
      <c r="BT1887" s="127"/>
      <c r="BU1887" s="127"/>
      <c r="BV1887" s="127"/>
      <c r="BW1887" s="127"/>
      <c r="BX1887" s="127"/>
      <c r="BY1887" s="127"/>
      <c r="BZ1887" s="127"/>
      <c r="CA1887" s="127"/>
      <c r="CB1887" s="127"/>
      <c r="CC1887" s="127"/>
      <c r="CD1887" s="127"/>
      <c r="CE1887" s="127"/>
      <c r="CF1887" s="127"/>
      <c r="CG1887" s="127"/>
      <c r="CH1887" s="127"/>
      <c r="CI1887" s="127"/>
      <c r="CJ1887" s="127"/>
      <c r="CK1887" s="127"/>
      <c r="CL1887" s="127"/>
      <c r="CM1887" s="127"/>
      <c r="CN1887" s="127"/>
      <c r="CO1887" s="127"/>
      <c r="CP1887" s="127"/>
      <c r="CQ1887" s="127"/>
      <c r="CR1887" s="127"/>
      <c r="CS1887" s="127"/>
      <c r="CT1887" s="127"/>
      <c r="CU1887" s="127"/>
      <c r="CV1887" s="127"/>
      <c r="CW1887" s="127"/>
      <c r="CX1887" s="127"/>
      <c r="CY1887" s="127"/>
      <c r="CZ1887" s="127"/>
      <c r="DA1887" s="127"/>
      <c r="DB1887" s="127"/>
      <c r="DC1887" s="127"/>
      <c r="DD1887" s="127"/>
      <c r="DE1887" s="127"/>
      <c r="DF1887" s="127"/>
      <c r="DG1887" s="127"/>
      <c r="DH1887" s="127"/>
      <c r="DI1887" s="127"/>
      <c r="DJ1887" s="127"/>
      <c r="DK1887" s="127"/>
      <c r="DL1887" s="127"/>
      <c r="DM1887" s="127"/>
      <c r="DN1887" s="127"/>
      <c r="DO1887" s="127"/>
      <c r="DP1887" s="127"/>
      <c r="DQ1887" s="127"/>
      <c r="DR1887" s="127"/>
      <c r="DS1887" s="127"/>
      <c r="DT1887" s="127"/>
      <c r="DU1887" s="127"/>
      <c r="DV1887" s="127"/>
      <c r="DW1887" s="127"/>
      <c r="DX1887" s="127"/>
      <c r="DY1887" s="127"/>
      <c r="DZ1887" s="127"/>
      <c r="EA1887" s="127"/>
      <c r="EB1887" s="127"/>
      <c r="EC1887" s="127"/>
      <c r="ED1887" s="127"/>
      <c r="EE1887" s="127"/>
      <c r="EF1887" s="127"/>
      <c r="EG1887" s="127"/>
      <c r="EH1887" s="127"/>
      <c r="EI1887" s="127"/>
      <c r="EJ1887" s="127"/>
      <c r="EK1887" s="127"/>
      <c r="EL1887" s="127"/>
      <c r="EM1887" s="127"/>
      <c r="EN1887" s="127"/>
      <c r="EO1887" s="127"/>
      <c r="EP1887" s="127"/>
      <c r="EQ1887" s="127"/>
      <c r="ER1887" s="127"/>
      <c r="ES1887" s="127"/>
      <c r="ET1887" s="127"/>
      <c r="EU1887" s="127"/>
      <c r="EV1887" s="127"/>
      <c r="EW1887" s="127"/>
      <c r="EX1887" s="127"/>
      <c r="EY1887" s="127"/>
      <c r="EZ1887" s="127"/>
      <c r="FA1887" s="127"/>
      <c r="FB1887" s="127"/>
      <c r="FC1887" s="127"/>
      <c r="FD1887" s="127"/>
      <c r="FE1887" s="127"/>
      <c r="FF1887" s="127"/>
      <c r="FG1887" s="127"/>
      <c r="FH1887" s="127"/>
      <c r="FI1887" s="127"/>
      <c r="FJ1887" s="127"/>
      <c r="FK1887" s="127"/>
      <c r="FL1887" s="127"/>
      <c r="FM1887" s="127"/>
      <c r="FN1887" s="127"/>
      <c r="FO1887" s="127"/>
      <c r="FP1887" s="127"/>
      <c r="FQ1887" s="127"/>
      <c r="FR1887" s="127"/>
      <c r="FS1887" s="127"/>
      <c r="FT1887" s="127"/>
      <c r="FU1887" s="127"/>
      <c r="FV1887" s="127"/>
      <c r="FW1887" s="127"/>
      <c r="FX1887" s="127"/>
      <c r="FY1887" s="127"/>
      <c r="FZ1887" s="127"/>
      <c r="GA1887" s="127"/>
      <c r="GB1887" s="127"/>
      <c r="GC1887" s="127"/>
      <c r="GD1887" s="127"/>
      <c r="GE1887" s="127"/>
      <c r="GF1887" s="127"/>
      <c r="GG1887" s="127"/>
      <c r="GH1887" s="127"/>
      <c r="GI1887" s="127"/>
      <c r="GJ1887" s="127"/>
      <c r="GK1887" s="127"/>
      <c r="GL1887" s="127"/>
      <c r="GM1887" s="127"/>
      <c r="GN1887" s="127"/>
      <c r="GO1887" s="127"/>
      <c r="GP1887" s="127"/>
      <c r="GQ1887" s="127"/>
      <c r="GR1887" s="127"/>
      <c r="GS1887" s="127"/>
      <c r="GT1887" s="127"/>
      <c r="GU1887" s="127"/>
      <c r="GV1887" s="127"/>
      <c r="GW1887" s="127"/>
      <c r="GX1887" s="127"/>
      <c r="GY1887" s="127"/>
      <c r="GZ1887" s="127"/>
      <c r="HA1887" s="127"/>
      <c r="HB1887" s="127"/>
      <c r="HC1887" s="127"/>
      <c r="HD1887" s="127"/>
      <c r="HE1887" s="127"/>
      <c r="HF1887" s="127"/>
      <c r="HG1887" s="127"/>
      <c r="HH1887" s="127"/>
      <c r="HI1887" s="127"/>
      <c r="HJ1887" s="127"/>
      <c r="HK1887" s="127"/>
      <c r="HL1887" s="127"/>
      <c r="HM1887" s="127"/>
      <c r="HN1887" s="127"/>
      <c r="HO1887" s="127"/>
      <c r="HP1887" s="127"/>
      <c r="HQ1887" s="127"/>
      <c r="HR1887" s="127"/>
      <c r="HS1887" s="127"/>
      <c r="HT1887" s="127"/>
      <c r="HU1887" s="127"/>
      <c r="HV1887" s="127"/>
      <c r="HW1887" s="127"/>
      <c r="HX1887" s="127"/>
      <c r="HY1887" s="127"/>
      <c r="HZ1887" s="127"/>
      <c r="IA1887" s="127"/>
      <c r="IB1887" s="127"/>
      <c r="IC1887" s="127"/>
      <c r="ID1887" s="127"/>
      <c r="IE1887" s="127"/>
      <c r="IF1887" s="127"/>
      <c r="IG1887" s="127"/>
      <c r="IH1887" s="127"/>
      <c r="II1887" s="127"/>
      <c r="IJ1887" s="127"/>
    </row>
    <row r="1888" spans="1:244" ht="12.75" customHeight="1">
      <c r="A1888" s="118">
        <v>1887</v>
      </c>
      <c r="B1888" s="128">
        <v>21</v>
      </c>
      <c r="C1888" s="156">
        <v>37316</v>
      </c>
      <c r="D1888" s="157" t="s">
        <v>46</v>
      </c>
      <c r="E1888" s="8">
        <v>2002</v>
      </c>
      <c r="F1888" s="158"/>
      <c r="G1888" s="162"/>
      <c r="X1888" s="127"/>
      <c r="Y1888" s="127"/>
      <c r="Z1888" s="127"/>
      <c r="AA1888" s="127"/>
      <c r="AB1888" s="127"/>
      <c r="AC1888" s="127"/>
      <c r="AD1888" s="127"/>
      <c r="AE1888" s="127"/>
      <c r="AF1888" s="127"/>
      <c r="AG1888" s="127"/>
      <c r="AH1888" s="127"/>
      <c r="AI1888" s="127"/>
      <c r="AJ1888" s="127"/>
      <c r="AK1888" s="127"/>
      <c r="AL1888" s="127"/>
      <c r="AM1888" s="127"/>
      <c r="AN1888" s="127"/>
      <c r="AO1888" s="127"/>
      <c r="AP1888" s="127"/>
      <c r="AQ1888" s="127"/>
      <c r="AR1888" s="127"/>
      <c r="AS1888" s="127"/>
      <c r="AT1888" s="127"/>
      <c r="AU1888" s="127"/>
      <c r="AV1888" s="127"/>
      <c r="AW1888" s="127"/>
      <c r="AX1888" s="127"/>
      <c r="AY1888" s="127"/>
      <c r="AZ1888" s="127"/>
      <c r="BA1888" s="127"/>
      <c r="BB1888" s="127"/>
      <c r="BC1888" s="127"/>
      <c r="BD1888" s="127"/>
      <c r="BE1888" s="127"/>
      <c r="BF1888" s="127"/>
      <c r="BG1888" s="127"/>
      <c r="BH1888" s="127"/>
      <c r="BI1888" s="127"/>
      <c r="BJ1888" s="127"/>
      <c r="BK1888" s="127"/>
      <c r="BL1888" s="127"/>
      <c r="BM1888" s="127"/>
      <c r="BN1888" s="127"/>
      <c r="BO1888" s="127"/>
      <c r="BP1888" s="127"/>
      <c r="BQ1888" s="127"/>
      <c r="BR1888" s="127"/>
      <c r="BS1888" s="127"/>
      <c r="BT1888" s="127"/>
      <c r="BU1888" s="127"/>
      <c r="BV1888" s="127"/>
      <c r="BW1888" s="127"/>
      <c r="BX1888" s="127"/>
      <c r="BY1888" s="127"/>
      <c r="BZ1888" s="127"/>
      <c r="CA1888" s="127"/>
      <c r="CB1888" s="127"/>
      <c r="CC1888" s="127"/>
      <c r="CD1888" s="127"/>
      <c r="CE1888" s="127"/>
      <c r="CF1888" s="127"/>
      <c r="CG1888" s="127"/>
      <c r="CH1888" s="127"/>
      <c r="CI1888" s="127"/>
      <c r="CJ1888" s="127"/>
      <c r="CK1888" s="127"/>
      <c r="CL1888" s="127"/>
      <c r="CM1888" s="127"/>
      <c r="CN1888" s="127"/>
      <c r="CO1888" s="127"/>
      <c r="CP1888" s="127"/>
      <c r="CQ1888" s="127"/>
      <c r="CR1888" s="127"/>
      <c r="CS1888" s="127"/>
      <c r="CT1888" s="127"/>
      <c r="CU1888" s="127"/>
      <c r="CV1888" s="127"/>
      <c r="CW1888" s="127"/>
      <c r="CX1888" s="127"/>
      <c r="CY1888" s="127"/>
      <c r="CZ1888" s="127"/>
      <c r="DA1888" s="127"/>
      <c r="DB1888" s="127"/>
      <c r="DC1888" s="127"/>
      <c r="DD1888" s="127"/>
      <c r="DE1888" s="127"/>
      <c r="DF1888" s="127"/>
      <c r="DG1888" s="127"/>
      <c r="DH1888" s="127"/>
      <c r="DI1888" s="127"/>
      <c r="DJ1888" s="127"/>
      <c r="DK1888" s="127"/>
      <c r="DL1888" s="127"/>
      <c r="DM1888" s="127"/>
      <c r="DN1888" s="127"/>
      <c r="DO1888" s="127"/>
      <c r="DP1888" s="127"/>
      <c r="DQ1888" s="127"/>
      <c r="DR1888" s="127"/>
      <c r="DS1888" s="127"/>
      <c r="DT1888" s="127"/>
      <c r="DU1888" s="127"/>
      <c r="DV1888" s="127"/>
      <c r="DW1888" s="127"/>
      <c r="DX1888" s="127"/>
      <c r="DY1888" s="127"/>
      <c r="DZ1888" s="127"/>
      <c r="EA1888" s="127"/>
      <c r="EB1888" s="127"/>
      <c r="EC1888" s="127"/>
      <c r="ED1888" s="127"/>
      <c r="EE1888" s="127"/>
      <c r="EF1888" s="127"/>
      <c r="EG1888" s="127"/>
      <c r="EH1888" s="127"/>
      <c r="EI1888" s="127"/>
      <c r="EJ1888" s="127"/>
      <c r="EK1888" s="127"/>
      <c r="EL1888" s="127"/>
      <c r="EM1888" s="127"/>
      <c r="EN1888" s="127"/>
      <c r="EO1888" s="127"/>
      <c r="EP1888" s="127"/>
      <c r="EQ1888" s="127"/>
      <c r="ER1888" s="127"/>
      <c r="ES1888" s="127"/>
      <c r="ET1888" s="127"/>
      <c r="EU1888" s="127"/>
      <c r="EV1888" s="127"/>
      <c r="EW1888" s="127"/>
      <c r="EX1888" s="127"/>
      <c r="EY1888" s="127"/>
      <c r="EZ1888" s="127"/>
      <c r="FA1888" s="127"/>
      <c r="FB1888" s="127"/>
      <c r="FC1888" s="127"/>
      <c r="FD1888" s="127"/>
      <c r="FE1888" s="127"/>
      <c r="FF1888" s="127"/>
      <c r="FG1888" s="127"/>
      <c r="FH1888" s="127"/>
      <c r="FI1888" s="127"/>
      <c r="FJ1888" s="127"/>
      <c r="FK1888" s="127"/>
      <c r="FL1888" s="127"/>
      <c r="FM1888" s="127"/>
      <c r="FN1888" s="127"/>
      <c r="FO1888" s="127"/>
      <c r="FP1888" s="127"/>
      <c r="FQ1888" s="127"/>
      <c r="FR1888" s="127"/>
      <c r="FS1888" s="127"/>
      <c r="FT1888" s="127"/>
      <c r="FU1888" s="127"/>
      <c r="FV1888" s="127"/>
      <c r="FW1888" s="127"/>
      <c r="FX1888" s="127"/>
      <c r="FY1888" s="127"/>
      <c r="FZ1888" s="127"/>
      <c r="GA1888" s="127"/>
      <c r="GB1888" s="127"/>
      <c r="GC1888" s="127"/>
      <c r="GD1888" s="127"/>
      <c r="GE1888" s="127"/>
      <c r="GF1888" s="127"/>
      <c r="GG1888" s="127"/>
      <c r="GH1888" s="127"/>
      <c r="GI1888" s="127"/>
      <c r="GJ1888" s="127"/>
      <c r="GK1888" s="127"/>
      <c r="GL1888" s="127"/>
      <c r="GM1888" s="127"/>
      <c r="GN1888" s="127"/>
      <c r="GO1888" s="127"/>
      <c r="GP1888" s="127"/>
      <c r="GQ1888" s="127"/>
      <c r="GR1888" s="127"/>
      <c r="GS1888" s="127"/>
      <c r="GT1888" s="127"/>
      <c r="GU1888" s="127"/>
      <c r="GV1888" s="127"/>
      <c r="GW1888" s="127"/>
      <c r="GX1888" s="127"/>
      <c r="GY1888" s="127"/>
      <c r="GZ1888" s="127"/>
      <c r="HA1888" s="127"/>
      <c r="HB1888" s="127"/>
      <c r="HC1888" s="127"/>
      <c r="HD1888" s="127"/>
      <c r="HE1888" s="127"/>
      <c r="HF1888" s="127"/>
      <c r="HG1888" s="127"/>
      <c r="HH1888" s="127"/>
      <c r="HI1888" s="127"/>
      <c r="HJ1888" s="127"/>
      <c r="HK1888" s="127"/>
      <c r="HL1888" s="127"/>
      <c r="HM1888" s="127"/>
      <c r="HN1888" s="127"/>
      <c r="HO1888" s="127"/>
      <c r="HP1888" s="127"/>
      <c r="HQ1888" s="127"/>
      <c r="HR1888" s="127"/>
      <c r="HS1888" s="127"/>
      <c r="HT1888" s="127"/>
      <c r="HU1888" s="127"/>
      <c r="HV1888" s="127"/>
      <c r="HW1888" s="127"/>
      <c r="HX1888" s="127"/>
      <c r="HY1888" s="127"/>
      <c r="HZ1888" s="127"/>
      <c r="IA1888" s="127"/>
      <c r="IB1888" s="127"/>
      <c r="IC1888" s="127"/>
      <c r="ID1888" s="127"/>
      <c r="IE1888" s="127"/>
      <c r="IF1888" s="127"/>
      <c r="IG1888" s="127"/>
      <c r="IH1888" s="127"/>
      <c r="II1888" s="127"/>
      <c r="IJ1888" s="127"/>
    </row>
    <row r="1889" spans="1:244" ht="12.75" customHeight="1">
      <c r="A1889" s="118">
        <v>1888</v>
      </c>
      <c r="B1889" s="128">
        <v>21</v>
      </c>
      <c r="C1889" s="156">
        <v>37347</v>
      </c>
      <c r="D1889" s="157" t="s">
        <v>47</v>
      </c>
      <c r="E1889" s="8">
        <v>2002</v>
      </c>
      <c r="F1889" s="158"/>
      <c r="G1889" s="162"/>
      <c r="J1889" s="11"/>
      <c r="K1889" s="11"/>
      <c r="L1889" s="11"/>
      <c r="O1889" s="11"/>
      <c r="T1889" s="11"/>
      <c r="V1889" s="11"/>
      <c r="W1889" s="11"/>
      <c r="X1889" s="127"/>
      <c r="Y1889" s="127"/>
      <c r="Z1889" s="127"/>
      <c r="AA1889" s="127"/>
      <c r="AB1889" s="127"/>
      <c r="AC1889" s="127"/>
      <c r="AD1889" s="127"/>
      <c r="AE1889" s="127"/>
      <c r="AF1889" s="127"/>
      <c r="AG1889" s="127"/>
      <c r="AH1889" s="127"/>
      <c r="AI1889" s="127"/>
      <c r="AJ1889" s="127"/>
      <c r="AK1889" s="127"/>
      <c r="AL1889" s="127"/>
      <c r="AM1889" s="127"/>
      <c r="AN1889" s="127"/>
      <c r="AO1889" s="127"/>
      <c r="AP1889" s="127"/>
      <c r="AQ1889" s="127"/>
      <c r="AR1889" s="127"/>
      <c r="AS1889" s="127"/>
      <c r="AT1889" s="127"/>
      <c r="AU1889" s="127"/>
      <c r="AV1889" s="127"/>
      <c r="AW1889" s="127"/>
      <c r="AX1889" s="127"/>
      <c r="AY1889" s="127"/>
      <c r="AZ1889" s="127"/>
      <c r="BA1889" s="127"/>
      <c r="BB1889" s="127"/>
      <c r="BC1889" s="127"/>
      <c r="BD1889" s="127"/>
      <c r="BE1889" s="127"/>
      <c r="BF1889" s="127"/>
      <c r="BG1889" s="127"/>
      <c r="BH1889" s="127"/>
      <c r="BI1889" s="127"/>
      <c r="BJ1889" s="127"/>
      <c r="BK1889" s="127"/>
      <c r="BL1889" s="127"/>
      <c r="BM1889" s="127"/>
      <c r="BN1889" s="127"/>
      <c r="BO1889" s="127"/>
      <c r="BP1889" s="127"/>
      <c r="BQ1889" s="127"/>
      <c r="BR1889" s="127"/>
      <c r="BS1889" s="127"/>
      <c r="BT1889" s="127"/>
      <c r="BU1889" s="127"/>
      <c r="BV1889" s="127"/>
      <c r="BW1889" s="127"/>
      <c r="BX1889" s="127"/>
      <c r="BY1889" s="127"/>
      <c r="BZ1889" s="127"/>
      <c r="CA1889" s="127"/>
      <c r="CB1889" s="127"/>
      <c r="CC1889" s="127"/>
      <c r="CD1889" s="127"/>
      <c r="CE1889" s="127"/>
      <c r="CF1889" s="127"/>
      <c r="CG1889" s="127"/>
      <c r="CH1889" s="127"/>
      <c r="CI1889" s="127"/>
      <c r="CJ1889" s="127"/>
      <c r="CK1889" s="127"/>
      <c r="CL1889" s="127"/>
      <c r="CM1889" s="127"/>
      <c r="CN1889" s="127"/>
      <c r="CO1889" s="127"/>
      <c r="CP1889" s="127"/>
      <c r="CQ1889" s="127"/>
      <c r="CR1889" s="127"/>
      <c r="CS1889" s="127"/>
      <c r="CT1889" s="127"/>
      <c r="CU1889" s="127"/>
      <c r="CV1889" s="127"/>
      <c r="CW1889" s="127"/>
      <c r="CX1889" s="127"/>
      <c r="CY1889" s="127"/>
      <c r="CZ1889" s="127"/>
      <c r="DA1889" s="127"/>
      <c r="DB1889" s="127"/>
      <c r="DC1889" s="127"/>
      <c r="DD1889" s="127"/>
      <c r="DE1889" s="127"/>
      <c r="DF1889" s="127"/>
      <c r="DG1889" s="127"/>
      <c r="DH1889" s="127"/>
      <c r="DI1889" s="127"/>
      <c r="DJ1889" s="127"/>
      <c r="DK1889" s="127"/>
      <c r="DL1889" s="127"/>
      <c r="DM1889" s="127"/>
      <c r="DN1889" s="127"/>
      <c r="DO1889" s="127"/>
      <c r="DP1889" s="127"/>
      <c r="DQ1889" s="127"/>
      <c r="DR1889" s="127"/>
      <c r="DS1889" s="127"/>
      <c r="DT1889" s="127"/>
      <c r="DU1889" s="127"/>
      <c r="DV1889" s="127"/>
      <c r="DW1889" s="127"/>
      <c r="DX1889" s="127"/>
      <c r="DY1889" s="127"/>
      <c r="DZ1889" s="127"/>
      <c r="EA1889" s="127"/>
      <c r="EB1889" s="127"/>
      <c r="EC1889" s="127"/>
      <c r="ED1889" s="127"/>
      <c r="EE1889" s="127"/>
      <c r="EF1889" s="127"/>
      <c r="EG1889" s="127"/>
      <c r="EH1889" s="127"/>
      <c r="EI1889" s="127"/>
      <c r="EJ1889" s="127"/>
      <c r="EK1889" s="127"/>
      <c r="EL1889" s="127"/>
      <c r="EM1889" s="127"/>
      <c r="EN1889" s="127"/>
      <c r="EO1889" s="127"/>
      <c r="EP1889" s="127"/>
      <c r="EQ1889" s="127"/>
      <c r="ER1889" s="127"/>
      <c r="ES1889" s="127"/>
      <c r="ET1889" s="127"/>
      <c r="EU1889" s="127"/>
      <c r="EV1889" s="127"/>
      <c r="EW1889" s="127"/>
      <c r="EX1889" s="127"/>
      <c r="EY1889" s="127"/>
      <c r="EZ1889" s="127"/>
      <c r="FA1889" s="127"/>
      <c r="FB1889" s="127"/>
      <c r="FC1889" s="127"/>
      <c r="FD1889" s="127"/>
      <c r="FE1889" s="127"/>
      <c r="FF1889" s="127"/>
      <c r="FG1889" s="127"/>
      <c r="FH1889" s="127"/>
      <c r="FI1889" s="127"/>
      <c r="FJ1889" s="127"/>
      <c r="FK1889" s="127"/>
      <c r="FL1889" s="127"/>
      <c r="FM1889" s="127"/>
      <c r="FN1889" s="127"/>
      <c r="FO1889" s="127"/>
      <c r="FP1889" s="127"/>
      <c r="FQ1889" s="127"/>
      <c r="FR1889" s="127"/>
      <c r="FS1889" s="127"/>
      <c r="FT1889" s="127"/>
      <c r="FU1889" s="127"/>
      <c r="FV1889" s="127"/>
      <c r="FW1889" s="127"/>
      <c r="FX1889" s="127"/>
      <c r="FY1889" s="127"/>
      <c r="FZ1889" s="127"/>
      <c r="GA1889" s="127"/>
      <c r="GB1889" s="127"/>
      <c r="GC1889" s="127"/>
      <c r="GD1889" s="127"/>
      <c r="GE1889" s="127"/>
      <c r="GF1889" s="127"/>
      <c r="GG1889" s="127"/>
      <c r="GH1889" s="127"/>
      <c r="GI1889" s="127"/>
      <c r="GJ1889" s="127"/>
      <c r="GK1889" s="127"/>
      <c r="GL1889" s="127"/>
      <c r="GM1889" s="127"/>
      <c r="GN1889" s="127"/>
      <c r="GO1889" s="127"/>
      <c r="GP1889" s="127"/>
      <c r="GQ1889" s="127"/>
      <c r="GR1889" s="127"/>
      <c r="GS1889" s="127"/>
      <c r="GT1889" s="127"/>
      <c r="GU1889" s="127"/>
      <c r="GV1889" s="127"/>
      <c r="GW1889" s="127"/>
      <c r="GX1889" s="127"/>
      <c r="GY1889" s="127"/>
      <c r="GZ1889" s="127"/>
      <c r="HA1889" s="127"/>
      <c r="HB1889" s="127"/>
      <c r="HC1889" s="127"/>
      <c r="HD1889" s="127"/>
      <c r="HE1889" s="127"/>
      <c r="HF1889" s="127"/>
      <c r="HG1889" s="127"/>
      <c r="HH1889" s="127"/>
      <c r="HI1889" s="127"/>
      <c r="HJ1889" s="127"/>
      <c r="HK1889" s="127"/>
      <c r="HL1889" s="127"/>
      <c r="HM1889" s="127"/>
      <c r="HN1889" s="127"/>
      <c r="HO1889" s="127"/>
      <c r="HP1889" s="127"/>
      <c r="HQ1889" s="127"/>
      <c r="HR1889" s="127"/>
      <c r="HS1889" s="127"/>
      <c r="HT1889" s="127"/>
      <c r="HU1889" s="127"/>
      <c r="HV1889" s="127"/>
      <c r="HW1889" s="127"/>
      <c r="HX1889" s="127"/>
      <c r="HY1889" s="127"/>
      <c r="HZ1889" s="127"/>
      <c r="IA1889" s="127"/>
      <c r="IB1889" s="127"/>
      <c r="IC1889" s="127"/>
      <c r="ID1889" s="127"/>
      <c r="IE1889" s="127"/>
      <c r="IF1889" s="127"/>
      <c r="IG1889" s="127"/>
      <c r="IH1889" s="127"/>
      <c r="II1889" s="127"/>
      <c r="IJ1889" s="127"/>
    </row>
    <row r="1890" spans="1:244" ht="12.75" customHeight="1">
      <c r="A1890" s="118">
        <v>1889</v>
      </c>
      <c r="B1890" s="128">
        <v>21</v>
      </c>
      <c r="C1890" s="156">
        <v>37377</v>
      </c>
      <c r="D1890" s="157" t="s">
        <v>48</v>
      </c>
      <c r="E1890" s="8">
        <v>2002</v>
      </c>
      <c r="F1890" s="158"/>
      <c r="G1890" s="162"/>
      <c r="J1890" s="11"/>
      <c r="K1890" s="11"/>
      <c r="L1890" s="11"/>
      <c r="O1890" s="11"/>
      <c r="T1890" s="11"/>
      <c r="V1890" s="11"/>
      <c r="W1890" s="11"/>
      <c r="X1890" s="127"/>
      <c r="Y1890" s="127"/>
      <c r="Z1890" s="127"/>
      <c r="AA1890" s="127"/>
      <c r="AB1890" s="127"/>
      <c r="AC1890" s="127"/>
      <c r="AD1890" s="127"/>
      <c r="AE1890" s="127"/>
      <c r="AF1890" s="127"/>
      <c r="AG1890" s="127"/>
      <c r="AH1890" s="127"/>
      <c r="AI1890" s="127"/>
      <c r="AJ1890" s="127"/>
      <c r="AK1890" s="127"/>
      <c r="AL1890" s="127"/>
      <c r="AM1890" s="127"/>
      <c r="AN1890" s="127"/>
      <c r="AO1890" s="127"/>
      <c r="AP1890" s="127"/>
      <c r="AQ1890" s="127"/>
      <c r="AR1890" s="127"/>
      <c r="AS1890" s="127"/>
      <c r="AT1890" s="127"/>
      <c r="AU1890" s="127"/>
      <c r="AV1890" s="127"/>
      <c r="AW1890" s="127"/>
      <c r="AX1890" s="127"/>
      <c r="AY1890" s="127"/>
      <c r="AZ1890" s="127"/>
      <c r="BA1890" s="127"/>
      <c r="BB1890" s="127"/>
      <c r="BC1890" s="127"/>
      <c r="BD1890" s="127"/>
      <c r="BE1890" s="127"/>
      <c r="BF1890" s="127"/>
      <c r="BG1890" s="127"/>
      <c r="BH1890" s="127"/>
      <c r="BI1890" s="127"/>
      <c r="BJ1890" s="127"/>
      <c r="BK1890" s="127"/>
      <c r="BL1890" s="127"/>
      <c r="BM1890" s="127"/>
      <c r="BN1890" s="127"/>
      <c r="BO1890" s="127"/>
      <c r="BP1890" s="127"/>
      <c r="BQ1890" s="127"/>
      <c r="BR1890" s="127"/>
      <c r="BS1890" s="127"/>
      <c r="BT1890" s="127"/>
      <c r="BU1890" s="127"/>
      <c r="BV1890" s="127"/>
      <c r="BW1890" s="127"/>
      <c r="BX1890" s="127"/>
      <c r="BY1890" s="127"/>
      <c r="BZ1890" s="127"/>
      <c r="CA1890" s="127"/>
      <c r="CB1890" s="127"/>
      <c r="CC1890" s="127"/>
      <c r="CD1890" s="127"/>
      <c r="CE1890" s="127"/>
      <c r="CF1890" s="127"/>
      <c r="CG1890" s="127"/>
      <c r="CH1890" s="127"/>
      <c r="CI1890" s="127"/>
      <c r="CJ1890" s="127"/>
      <c r="CK1890" s="127"/>
      <c r="CL1890" s="127"/>
      <c r="CM1890" s="127"/>
      <c r="CN1890" s="127"/>
      <c r="CO1890" s="127"/>
      <c r="CP1890" s="127"/>
      <c r="CQ1890" s="127"/>
      <c r="CR1890" s="127"/>
      <c r="CS1890" s="127"/>
      <c r="CT1890" s="127"/>
      <c r="CU1890" s="127"/>
      <c r="CV1890" s="127"/>
      <c r="CW1890" s="127"/>
      <c r="CX1890" s="127"/>
      <c r="CY1890" s="127"/>
      <c r="CZ1890" s="127"/>
      <c r="DA1890" s="127"/>
      <c r="DB1890" s="127"/>
      <c r="DC1890" s="127"/>
      <c r="DD1890" s="127"/>
      <c r="DE1890" s="127"/>
      <c r="DF1890" s="127"/>
      <c r="DG1890" s="127"/>
      <c r="DH1890" s="127"/>
      <c r="DI1890" s="127"/>
      <c r="DJ1890" s="127"/>
      <c r="DK1890" s="127"/>
      <c r="DL1890" s="127"/>
      <c r="DM1890" s="127"/>
      <c r="DN1890" s="127"/>
      <c r="DO1890" s="127"/>
      <c r="DP1890" s="127"/>
      <c r="DQ1890" s="127"/>
      <c r="DR1890" s="127"/>
      <c r="DS1890" s="127"/>
      <c r="DT1890" s="127"/>
      <c r="DU1890" s="127"/>
      <c r="DV1890" s="127"/>
      <c r="DW1890" s="127"/>
      <c r="DX1890" s="127"/>
      <c r="DY1890" s="127"/>
      <c r="DZ1890" s="127"/>
      <c r="EA1890" s="127"/>
      <c r="EB1890" s="127"/>
      <c r="EC1890" s="127"/>
      <c r="ED1890" s="127"/>
      <c r="EE1890" s="127"/>
      <c r="EF1890" s="127"/>
      <c r="EG1890" s="127"/>
      <c r="EH1890" s="127"/>
      <c r="EI1890" s="127"/>
      <c r="EJ1890" s="127"/>
      <c r="EK1890" s="127"/>
      <c r="EL1890" s="127"/>
      <c r="EM1890" s="127"/>
      <c r="EN1890" s="127"/>
      <c r="EO1890" s="127"/>
      <c r="EP1890" s="127"/>
      <c r="EQ1890" s="127"/>
      <c r="ER1890" s="127"/>
      <c r="ES1890" s="127"/>
      <c r="ET1890" s="127"/>
      <c r="EU1890" s="127"/>
      <c r="EV1890" s="127"/>
      <c r="EW1890" s="127"/>
      <c r="EX1890" s="127"/>
      <c r="EY1890" s="127"/>
      <c r="EZ1890" s="127"/>
      <c r="FA1890" s="127"/>
      <c r="FB1890" s="127"/>
      <c r="FC1890" s="127"/>
      <c r="FD1890" s="127"/>
      <c r="FE1890" s="127"/>
      <c r="FF1890" s="127"/>
      <c r="FG1890" s="127"/>
      <c r="FH1890" s="127"/>
      <c r="FI1890" s="127"/>
      <c r="FJ1890" s="127"/>
      <c r="FK1890" s="127"/>
      <c r="FL1890" s="127"/>
      <c r="FM1890" s="127"/>
      <c r="FN1890" s="127"/>
      <c r="FO1890" s="127"/>
      <c r="FP1890" s="127"/>
      <c r="FQ1890" s="127"/>
      <c r="FR1890" s="127"/>
      <c r="FS1890" s="127"/>
      <c r="FT1890" s="127"/>
      <c r="FU1890" s="127"/>
      <c r="FV1890" s="127"/>
      <c r="FW1890" s="127"/>
      <c r="FX1890" s="127"/>
      <c r="FY1890" s="127"/>
      <c r="FZ1890" s="127"/>
      <c r="GA1890" s="127"/>
      <c r="GB1890" s="127"/>
      <c r="GC1890" s="127"/>
      <c r="GD1890" s="127"/>
      <c r="GE1890" s="127"/>
      <c r="GF1890" s="127"/>
      <c r="GG1890" s="127"/>
      <c r="GH1890" s="127"/>
      <c r="GI1890" s="127"/>
      <c r="GJ1890" s="127"/>
      <c r="GK1890" s="127"/>
      <c r="GL1890" s="127"/>
      <c r="GM1890" s="127"/>
      <c r="GN1890" s="127"/>
      <c r="GO1890" s="127"/>
      <c r="GP1890" s="127"/>
      <c r="GQ1890" s="127"/>
      <c r="GR1890" s="127"/>
      <c r="GS1890" s="127"/>
      <c r="GT1890" s="127"/>
      <c r="GU1890" s="127"/>
      <c r="GV1890" s="127"/>
      <c r="GW1890" s="127"/>
      <c r="GX1890" s="127"/>
      <c r="GY1890" s="127"/>
      <c r="GZ1890" s="127"/>
      <c r="HA1890" s="127"/>
      <c r="HB1890" s="127"/>
      <c r="HC1890" s="127"/>
      <c r="HD1890" s="127"/>
      <c r="HE1890" s="127"/>
      <c r="HF1890" s="127"/>
      <c r="HG1890" s="127"/>
      <c r="HH1890" s="127"/>
      <c r="HI1890" s="127"/>
      <c r="HJ1890" s="127"/>
      <c r="HK1890" s="127"/>
      <c r="HL1890" s="127"/>
      <c r="HM1890" s="127"/>
      <c r="HN1890" s="127"/>
      <c r="HO1890" s="127"/>
      <c r="HP1890" s="127"/>
      <c r="HQ1890" s="127"/>
      <c r="HR1890" s="127"/>
      <c r="HS1890" s="127"/>
      <c r="HT1890" s="127"/>
      <c r="HU1890" s="127"/>
      <c r="HV1890" s="127"/>
      <c r="HW1890" s="127"/>
      <c r="HX1890" s="127"/>
      <c r="HY1890" s="127"/>
      <c r="HZ1890" s="127"/>
      <c r="IA1890" s="127"/>
      <c r="IB1890" s="127"/>
      <c r="IC1890" s="127"/>
      <c r="ID1890" s="127"/>
      <c r="IE1890" s="127"/>
      <c r="IF1890" s="127"/>
      <c r="IG1890" s="127"/>
      <c r="IH1890" s="127"/>
      <c r="II1890" s="127"/>
      <c r="IJ1890" s="127"/>
    </row>
    <row r="1891" spans="1:244" ht="12.75" customHeight="1">
      <c r="A1891" s="118">
        <v>1890</v>
      </c>
      <c r="B1891" s="128">
        <v>21</v>
      </c>
      <c r="C1891" s="156">
        <v>37408</v>
      </c>
      <c r="D1891" s="157" t="s">
        <v>49</v>
      </c>
      <c r="E1891" s="8">
        <v>2002</v>
      </c>
      <c r="F1891" s="158"/>
      <c r="G1891" s="162"/>
      <c r="X1891" s="127"/>
      <c r="Y1891" s="127"/>
      <c r="Z1891" s="127"/>
      <c r="AA1891" s="127"/>
      <c r="AB1891" s="127"/>
      <c r="AC1891" s="127"/>
      <c r="AD1891" s="127"/>
      <c r="AE1891" s="127"/>
      <c r="AF1891" s="127"/>
      <c r="AG1891" s="127"/>
      <c r="AH1891" s="127"/>
      <c r="AI1891" s="127"/>
      <c r="AJ1891" s="127"/>
      <c r="AK1891" s="127"/>
      <c r="AL1891" s="127"/>
      <c r="AM1891" s="127"/>
      <c r="AN1891" s="127"/>
      <c r="AO1891" s="127"/>
      <c r="AP1891" s="127"/>
      <c r="AQ1891" s="127"/>
      <c r="AR1891" s="127"/>
      <c r="AS1891" s="127"/>
      <c r="AT1891" s="127"/>
      <c r="AU1891" s="127"/>
      <c r="AV1891" s="127"/>
      <c r="AW1891" s="127"/>
      <c r="AX1891" s="127"/>
      <c r="AY1891" s="127"/>
      <c r="AZ1891" s="127"/>
      <c r="BA1891" s="127"/>
      <c r="BB1891" s="127"/>
      <c r="BC1891" s="127"/>
      <c r="BD1891" s="127"/>
      <c r="BE1891" s="127"/>
      <c r="BF1891" s="127"/>
      <c r="BG1891" s="127"/>
      <c r="BH1891" s="127"/>
      <c r="BI1891" s="127"/>
      <c r="BJ1891" s="127"/>
      <c r="BK1891" s="127"/>
      <c r="BL1891" s="127"/>
      <c r="BM1891" s="127"/>
      <c r="BN1891" s="127"/>
      <c r="BO1891" s="127"/>
      <c r="BP1891" s="127"/>
      <c r="BQ1891" s="127"/>
      <c r="BR1891" s="127"/>
      <c r="BS1891" s="127"/>
      <c r="BT1891" s="127"/>
      <c r="BU1891" s="127"/>
      <c r="BV1891" s="127"/>
      <c r="BW1891" s="127"/>
      <c r="BX1891" s="127"/>
      <c r="BY1891" s="127"/>
      <c r="BZ1891" s="127"/>
      <c r="CA1891" s="127"/>
      <c r="CB1891" s="127"/>
      <c r="CC1891" s="127"/>
      <c r="CD1891" s="127"/>
      <c r="CE1891" s="127"/>
      <c r="CF1891" s="127"/>
      <c r="CG1891" s="127"/>
      <c r="CH1891" s="127"/>
      <c r="CI1891" s="127"/>
      <c r="CJ1891" s="127"/>
      <c r="CK1891" s="127"/>
      <c r="CL1891" s="127"/>
      <c r="CM1891" s="127"/>
      <c r="CN1891" s="127"/>
      <c r="CO1891" s="127"/>
      <c r="CP1891" s="127"/>
      <c r="CQ1891" s="127"/>
      <c r="CR1891" s="127"/>
      <c r="CS1891" s="127"/>
      <c r="CT1891" s="127"/>
      <c r="CU1891" s="127"/>
      <c r="CV1891" s="127"/>
      <c r="CW1891" s="127"/>
      <c r="CX1891" s="127"/>
      <c r="CY1891" s="127"/>
      <c r="CZ1891" s="127"/>
      <c r="DA1891" s="127"/>
      <c r="DB1891" s="127"/>
      <c r="DC1891" s="127"/>
      <c r="DD1891" s="127"/>
      <c r="DE1891" s="127"/>
      <c r="DF1891" s="127"/>
      <c r="DG1891" s="127"/>
      <c r="DH1891" s="127"/>
      <c r="DI1891" s="127"/>
      <c r="DJ1891" s="127"/>
      <c r="DK1891" s="127"/>
      <c r="DL1891" s="127"/>
      <c r="DM1891" s="127"/>
      <c r="DN1891" s="127"/>
      <c r="DO1891" s="127"/>
      <c r="DP1891" s="127"/>
      <c r="DQ1891" s="127"/>
      <c r="DR1891" s="127"/>
      <c r="DS1891" s="127"/>
      <c r="DT1891" s="127"/>
      <c r="DU1891" s="127"/>
      <c r="DV1891" s="127"/>
      <c r="DW1891" s="127"/>
      <c r="DX1891" s="127"/>
      <c r="DY1891" s="127"/>
      <c r="DZ1891" s="127"/>
      <c r="EA1891" s="127"/>
      <c r="EB1891" s="127"/>
      <c r="EC1891" s="127"/>
      <c r="ED1891" s="127"/>
      <c r="EE1891" s="127"/>
      <c r="EF1891" s="127"/>
      <c r="EG1891" s="127"/>
      <c r="EH1891" s="127"/>
      <c r="EI1891" s="127"/>
      <c r="EJ1891" s="127"/>
      <c r="EK1891" s="127"/>
      <c r="EL1891" s="127"/>
      <c r="EM1891" s="127"/>
      <c r="EN1891" s="127"/>
      <c r="EO1891" s="127"/>
      <c r="EP1891" s="127"/>
      <c r="EQ1891" s="127"/>
      <c r="ER1891" s="127"/>
      <c r="ES1891" s="127"/>
      <c r="ET1891" s="127"/>
      <c r="EU1891" s="127"/>
      <c r="EV1891" s="127"/>
      <c r="EW1891" s="127"/>
      <c r="EX1891" s="127"/>
      <c r="EY1891" s="127"/>
      <c r="EZ1891" s="127"/>
      <c r="FA1891" s="127"/>
      <c r="FB1891" s="127"/>
      <c r="FC1891" s="127"/>
      <c r="FD1891" s="127"/>
      <c r="FE1891" s="127"/>
      <c r="FF1891" s="127"/>
      <c r="FG1891" s="127"/>
      <c r="FH1891" s="127"/>
      <c r="FI1891" s="127"/>
      <c r="FJ1891" s="127"/>
      <c r="FK1891" s="127"/>
      <c r="FL1891" s="127"/>
      <c r="FM1891" s="127"/>
      <c r="FN1891" s="127"/>
      <c r="FO1891" s="127"/>
      <c r="FP1891" s="127"/>
      <c r="FQ1891" s="127"/>
      <c r="FR1891" s="127"/>
      <c r="FS1891" s="127"/>
      <c r="FT1891" s="127"/>
      <c r="FU1891" s="127"/>
      <c r="FV1891" s="127"/>
      <c r="FW1891" s="127"/>
      <c r="FX1891" s="127"/>
      <c r="FY1891" s="127"/>
      <c r="FZ1891" s="127"/>
      <c r="GA1891" s="127"/>
      <c r="GB1891" s="127"/>
      <c r="GC1891" s="127"/>
      <c r="GD1891" s="127"/>
      <c r="GE1891" s="127"/>
      <c r="GF1891" s="127"/>
      <c r="GG1891" s="127"/>
      <c r="GH1891" s="127"/>
      <c r="GI1891" s="127"/>
      <c r="GJ1891" s="127"/>
      <c r="GK1891" s="127"/>
      <c r="GL1891" s="127"/>
      <c r="GM1891" s="127"/>
      <c r="GN1891" s="127"/>
      <c r="GO1891" s="127"/>
      <c r="GP1891" s="127"/>
      <c r="GQ1891" s="127"/>
      <c r="GR1891" s="127"/>
      <c r="GS1891" s="127"/>
      <c r="GT1891" s="127"/>
      <c r="GU1891" s="127"/>
      <c r="GV1891" s="127"/>
      <c r="GW1891" s="127"/>
      <c r="GX1891" s="127"/>
      <c r="GY1891" s="127"/>
      <c r="GZ1891" s="127"/>
      <c r="HA1891" s="127"/>
      <c r="HB1891" s="127"/>
      <c r="HC1891" s="127"/>
      <c r="HD1891" s="127"/>
      <c r="HE1891" s="127"/>
      <c r="HF1891" s="127"/>
      <c r="HG1891" s="127"/>
      <c r="HH1891" s="127"/>
      <c r="HI1891" s="127"/>
      <c r="HJ1891" s="127"/>
      <c r="HK1891" s="127"/>
      <c r="HL1891" s="127"/>
      <c r="HM1891" s="127"/>
      <c r="HN1891" s="127"/>
      <c r="HO1891" s="127"/>
      <c r="HP1891" s="127"/>
      <c r="HQ1891" s="127"/>
      <c r="HR1891" s="127"/>
      <c r="HS1891" s="127"/>
      <c r="HT1891" s="127"/>
      <c r="HU1891" s="127"/>
      <c r="HV1891" s="127"/>
      <c r="HW1891" s="127"/>
      <c r="HX1891" s="127"/>
      <c r="HY1891" s="127"/>
      <c r="HZ1891" s="127"/>
      <c r="IA1891" s="127"/>
      <c r="IB1891" s="127"/>
      <c r="IC1891" s="127"/>
      <c r="ID1891" s="127"/>
      <c r="IE1891" s="127"/>
      <c r="IF1891" s="127"/>
      <c r="IG1891" s="127"/>
      <c r="IH1891" s="127"/>
      <c r="II1891" s="127"/>
      <c r="IJ1891" s="127"/>
    </row>
    <row r="1892" spans="1:244" ht="12.75" customHeight="1">
      <c r="A1892" s="118">
        <v>1891</v>
      </c>
      <c r="B1892" s="128">
        <v>21</v>
      </c>
      <c r="C1892" s="156">
        <v>37438</v>
      </c>
      <c r="D1892" s="157" t="s">
        <v>50</v>
      </c>
      <c r="E1892" s="8">
        <v>2002</v>
      </c>
      <c r="F1892" s="158"/>
      <c r="G1892" s="162"/>
      <c r="X1892" s="127"/>
      <c r="Y1892" s="127"/>
      <c r="Z1892" s="127"/>
      <c r="AA1892" s="127"/>
      <c r="AB1892" s="127"/>
      <c r="AC1892" s="127"/>
      <c r="AD1892" s="127"/>
      <c r="AE1892" s="127"/>
      <c r="AF1892" s="127"/>
      <c r="AG1892" s="127"/>
      <c r="AH1892" s="127"/>
      <c r="AI1892" s="127"/>
      <c r="AJ1892" s="127"/>
      <c r="AK1892" s="127"/>
      <c r="AL1892" s="127"/>
      <c r="AM1892" s="127"/>
      <c r="AN1892" s="127"/>
      <c r="AO1892" s="127"/>
      <c r="AP1892" s="127"/>
      <c r="AQ1892" s="127"/>
      <c r="AR1892" s="127"/>
      <c r="AS1892" s="127"/>
      <c r="AT1892" s="127"/>
      <c r="AU1892" s="127"/>
      <c r="AV1892" s="127"/>
      <c r="AW1892" s="127"/>
      <c r="AX1892" s="127"/>
      <c r="AY1892" s="127"/>
      <c r="AZ1892" s="127"/>
      <c r="BA1892" s="127"/>
      <c r="BB1892" s="127"/>
      <c r="BC1892" s="127"/>
      <c r="BD1892" s="127"/>
      <c r="BE1892" s="127"/>
      <c r="BF1892" s="127"/>
      <c r="BG1892" s="127"/>
      <c r="BH1892" s="127"/>
      <c r="BI1892" s="127"/>
      <c r="BJ1892" s="127"/>
      <c r="BK1892" s="127"/>
      <c r="BL1892" s="127"/>
      <c r="BM1892" s="127"/>
      <c r="BN1892" s="127"/>
      <c r="BO1892" s="127"/>
      <c r="BP1892" s="127"/>
      <c r="BQ1892" s="127"/>
      <c r="BR1892" s="127"/>
      <c r="BS1892" s="127"/>
      <c r="BT1892" s="127"/>
      <c r="BU1892" s="127"/>
      <c r="BV1892" s="127"/>
      <c r="BW1892" s="127"/>
      <c r="BX1892" s="127"/>
      <c r="BY1892" s="127"/>
      <c r="BZ1892" s="127"/>
      <c r="CA1892" s="127"/>
      <c r="CB1892" s="127"/>
      <c r="CC1892" s="127"/>
      <c r="CD1892" s="127"/>
      <c r="CE1892" s="127"/>
      <c r="CF1892" s="127"/>
      <c r="CG1892" s="127"/>
      <c r="CH1892" s="127"/>
      <c r="CI1892" s="127"/>
      <c r="CJ1892" s="127"/>
      <c r="CK1892" s="127"/>
      <c r="CL1892" s="127"/>
      <c r="CM1892" s="127"/>
      <c r="CN1892" s="127"/>
      <c r="CO1892" s="127"/>
      <c r="CP1892" s="127"/>
      <c r="CQ1892" s="127"/>
      <c r="CR1892" s="127"/>
      <c r="CS1892" s="127"/>
      <c r="CT1892" s="127"/>
      <c r="CU1892" s="127"/>
      <c r="CV1892" s="127"/>
      <c r="CW1892" s="127"/>
      <c r="CX1892" s="127"/>
      <c r="CY1892" s="127"/>
      <c r="CZ1892" s="127"/>
      <c r="DA1892" s="127"/>
      <c r="DB1892" s="127"/>
      <c r="DC1892" s="127"/>
      <c r="DD1892" s="127"/>
      <c r="DE1892" s="127"/>
      <c r="DF1892" s="127"/>
      <c r="DG1892" s="127"/>
      <c r="DH1892" s="127"/>
      <c r="DI1892" s="127"/>
      <c r="DJ1892" s="127"/>
      <c r="DK1892" s="127"/>
      <c r="DL1892" s="127"/>
      <c r="DM1892" s="127"/>
      <c r="DN1892" s="127"/>
      <c r="DO1892" s="127"/>
      <c r="DP1892" s="127"/>
      <c r="DQ1892" s="127"/>
      <c r="DR1892" s="127"/>
      <c r="DS1892" s="127"/>
      <c r="DT1892" s="127"/>
      <c r="DU1892" s="127"/>
      <c r="DV1892" s="127"/>
      <c r="DW1892" s="127"/>
      <c r="DX1892" s="127"/>
      <c r="DY1892" s="127"/>
      <c r="DZ1892" s="127"/>
      <c r="EA1892" s="127"/>
      <c r="EB1892" s="127"/>
      <c r="EC1892" s="127"/>
      <c r="ED1892" s="127"/>
      <c r="EE1892" s="127"/>
      <c r="EF1892" s="127"/>
      <c r="EG1892" s="127"/>
      <c r="EH1892" s="127"/>
      <c r="EI1892" s="127"/>
      <c r="EJ1892" s="127"/>
      <c r="EK1892" s="127"/>
      <c r="EL1892" s="127"/>
      <c r="EM1892" s="127"/>
      <c r="EN1892" s="127"/>
      <c r="EO1892" s="127"/>
      <c r="EP1892" s="127"/>
      <c r="EQ1892" s="127"/>
      <c r="ER1892" s="127"/>
      <c r="ES1892" s="127"/>
      <c r="ET1892" s="127"/>
      <c r="EU1892" s="127"/>
      <c r="EV1892" s="127"/>
      <c r="EW1892" s="127"/>
      <c r="EX1892" s="127"/>
      <c r="EY1892" s="127"/>
      <c r="EZ1892" s="127"/>
      <c r="FA1892" s="127"/>
      <c r="FB1892" s="127"/>
      <c r="FC1892" s="127"/>
      <c r="FD1892" s="127"/>
      <c r="FE1892" s="127"/>
      <c r="FF1892" s="127"/>
      <c r="FG1892" s="127"/>
      <c r="FH1892" s="127"/>
      <c r="FI1892" s="127"/>
      <c r="FJ1892" s="127"/>
      <c r="FK1892" s="127"/>
      <c r="FL1892" s="127"/>
      <c r="FM1892" s="127"/>
      <c r="FN1892" s="127"/>
      <c r="FO1892" s="127"/>
      <c r="FP1892" s="127"/>
      <c r="FQ1892" s="127"/>
      <c r="FR1892" s="127"/>
      <c r="FS1892" s="127"/>
      <c r="FT1892" s="127"/>
      <c r="FU1892" s="127"/>
      <c r="FV1892" s="127"/>
      <c r="FW1892" s="127"/>
      <c r="FX1892" s="127"/>
      <c r="FY1892" s="127"/>
      <c r="FZ1892" s="127"/>
      <c r="GA1892" s="127"/>
      <c r="GB1892" s="127"/>
      <c r="GC1892" s="127"/>
      <c r="GD1892" s="127"/>
      <c r="GE1892" s="127"/>
      <c r="GF1892" s="127"/>
      <c r="GG1892" s="127"/>
      <c r="GH1892" s="127"/>
      <c r="GI1892" s="127"/>
      <c r="GJ1892" s="127"/>
      <c r="GK1892" s="127"/>
      <c r="GL1892" s="127"/>
      <c r="GM1892" s="127"/>
      <c r="GN1892" s="127"/>
      <c r="GO1892" s="127"/>
      <c r="GP1892" s="127"/>
      <c r="GQ1892" s="127"/>
      <c r="GR1892" s="127"/>
      <c r="GS1892" s="127"/>
      <c r="GT1892" s="127"/>
      <c r="GU1892" s="127"/>
      <c r="GV1892" s="127"/>
      <c r="GW1892" s="127"/>
      <c r="GX1892" s="127"/>
      <c r="GY1892" s="127"/>
      <c r="GZ1892" s="127"/>
      <c r="HA1892" s="127"/>
      <c r="HB1892" s="127"/>
      <c r="HC1892" s="127"/>
      <c r="HD1892" s="127"/>
      <c r="HE1892" s="127"/>
      <c r="HF1892" s="127"/>
      <c r="HG1892" s="127"/>
      <c r="HH1892" s="127"/>
      <c r="HI1892" s="127"/>
      <c r="HJ1892" s="127"/>
      <c r="HK1892" s="127"/>
      <c r="HL1892" s="127"/>
      <c r="HM1892" s="127"/>
      <c r="HN1892" s="127"/>
      <c r="HO1892" s="127"/>
      <c r="HP1892" s="127"/>
      <c r="HQ1892" s="127"/>
      <c r="HR1892" s="127"/>
      <c r="HS1892" s="127"/>
      <c r="HT1892" s="127"/>
      <c r="HU1892" s="127"/>
      <c r="HV1892" s="127"/>
      <c r="HW1892" s="127"/>
      <c r="HX1892" s="127"/>
      <c r="HY1892" s="127"/>
      <c r="HZ1892" s="127"/>
      <c r="IA1892" s="127"/>
      <c r="IB1892" s="127"/>
      <c r="IC1892" s="127"/>
      <c r="ID1892" s="127"/>
      <c r="IE1892" s="127"/>
      <c r="IF1892" s="127"/>
      <c r="IG1892" s="127"/>
      <c r="IH1892" s="127"/>
      <c r="II1892" s="127"/>
      <c r="IJ1892" s="127"/>
    </row>
    <row r="1893" spans="1:244" ht="12.75" customHeight="1">
      <c r="A1893" s="118">
        <v>1892</v>
      </c>
      <c r="B1893" s="128">
        <v>21</v>
      </c>
      <c r="C1893" s="156">
        <v>37469</v>
      </c>
      <c r="D1893" s="157" t="s">
        <v>51</v>
      </c>
      <c r="E1893" s="8">
        <v>2002</v>
      </c>
      <c r="F1893" s="158"/>
      <c r="G1893" s="162"/>
      <c r="X1893" s="127"/>
      <c r="Y1893" s="127"/>
      <c r="Z1893" s="127"/>
      <c r="AA1893" s="127"/>
      <c r="AB1893" s="127"/>
      <c r="AC1893" s="127"/>
      <c r="AD1893" s="127"/>
      <c r="AE1893" s="127"/>
      <c r="AF1893" s="127"/>
      <c r="AG1893" s="127"/>
      <c r="AH1893" s="127"/>
      <c r="AI1893" s="127"/>
      <c r="AJ1893" s="127"/>
      <c r="AK1893" s="127"/>
      <c r="AL1893" s="127"/>
      <c r="AM1893" s="127"/>
      <c r="AN1893" s="127"/>
      <c r="AO1893" s="127"/>
      <c r="AP1893" s="127"/>
      <c r="AQ1893" s="127"/>
      <c r="AR1893" s="127"/>
      <c r="AS1893" s="127"/>
      <c r="AT1893" s="127"/>
      <c r="AU1893" s="127"/>
      <c r="AV1893" s="127"/>
      <c r="AW1893" s="127"/>
      <c r="AX1893" s="127"/>
      <c r="AY1893" s="127"/>
      <c r="AZ1893" s="127"/>
      <c r="BA1893" s="127"/>
      <c r="BB1893" s="127"/>
      <c r="BC1893" s="127"/>
      <c r="BD1893" s="127"/>
      <c r="BE1893" s="127"/>
      <c r="BF1893" s="127"/>
      <c r="BG1893" s="127"/>
      <c r="BH1893" s="127"/>
      <c r="BI1893" s="127"/>
      <c r="BJ1893" s="127"/>
      <c r="BK1893" s="127"/>
      <c r="BL1893" s="127"/>
      <c r="BM1893" s="127"/>
      <c r="BN1893" s="127"/>
      <c r="BO1893" s="127"/>
      <c r="BP1893" s="127"/>
      <c r="BQ1893" s="127"/>
      <c r="BR1893" s="127"/>
      <c r="BS1893" s="127"/>
      <c r="BT1893" s="127"/>
      <c r="BU1893" s="127"/>
      <c r="BV1893" s="127"/>
      <c r="BW1893" s="127"/>
      <c r="BX1893" s="127"/>
      <c r="BY1893" s="127"/>
      <c r="BZ1893" s="127"/>
      <c r="CA1893" s="127"/>
      <c r="CB1893" s="127"/>
      <c r="CC1893" s="127"/>
      <c r="CD1893" s="127"/>
      <c r="CE1893" s="127"/>
      <c r="CF1893" s="127"/>
      <c r="CG1893" s="127"/>
      <c r="CH1893" s="127"/>
      <c r="CI1893" s="127"/>
      <c r="CJ1893" s="127"/>
      <c r="CK1893" s="127"/>
      <c r="CL1893" s="127"/>
      <c r="CM1893" s="127"/>
      <c r="CN1893" s="127"/>
      <c r="CO1893" s="127"/>
      <c r="CP1893" s="127"/>
      <c r="CQ1893" s="127"/>
      <c r="CR1893" s="127"/>
      <c r="CS1893" s="127"/>
      <c r="CT1893" s="127"/>
      <c r="CU1893" s="127"/>
      <c r="CV1893" s="127"/>
      <c r="CW1893" s="127"/>
      <c r="CX1893" s="127"/>
      <c r="CY1893" s="127"/>
      <c r="CZ1893" s="127"/>
      <c r="DA1893" s="127"/>
      <c r="DB1893" s="127"/>
      <c r="DC1893" s="127"/>
      <c r="DD1893" s="127"/>
      <c r="DE1893" s="127"/>
      <c r="DF1893" s="127"/>
      <c r="DG1893" s="127"/>
      <c r="DH1893" s="127"/>
      <c r="DI1893" s="127"/>
      <c r="DJ1893" s="127"/>
      <c r="DK1893" s="127"/>
      <c r="DL1893" s="127"/>
      <c r="DM1893" s="127"/>
      <c r="DN1893" s="127"/>
      <c r="DO1893" s="127"/>
      <c r="DP1893" s="127"/>
      <c r="DQ1893" s="127"/>
      <c r="DR1893" s="127"/>
      <c r="DS1893" s="127"/>
      <c r="DT1893" s="127"/>
      <c r="DU1893" s="127"/>
      <c r="DV1893" s="127"/>
      <c r="DW1893" s="127"/>
      <c r="DX1893" s="127"/>
      <c r="DY1893" s="127"/>
      <c r="DZ1893" s="127"/>
      <c r="EA1893" s="127"/>
      <c r="EB1893" s="127"/>
      <c r="EC1893" s="127"/>
      <c r="ED1893" s="127"/>
      <c r="EE1893" s="127"/>
      <c r="EF1893" s="127"/>
      <c r="EG1893" s="127"/>
      <c r="EH1893" s="127"/>
      <c r="EI1893" s="127"/>
      <c r="EJ1893" s="127"/>
      <c r="EK1893" s="127"/>
      <c r="EL1893" s="127"/>
      <c r="EM1893" s="127"/>
      <c r="EN1893" s="127"/>
      <c r="EO1893" s="127"/>
      <c r="EP1893" s="127"/>
      <c r="EQ1893" s="127"/>
      <c r="ER1893" s="127"/>
      <c r="ES1893" s="127"/>
      <c r="ET1893" s="127"/>
      <c r="EU1893" s="127"/>
      <c r="EV1893" s="127"/>
      <c r="EW1893" s="127"/>
      <c r="EX1893" s="127"/>
      <c r="EY1893" s="127"/>
      <c r="EZ1893" s="127"/>
      <c r="FA1893" s="127"/>
      <c r="FB1893" s="127"/>
      <c r="FC1893" s="127"/>
      <c r="FD1893" s="127"/>
      <c r="FE1893" s="127"/>
      <c r="FF1893" s="127"/>
      <c r="FG1893" s="127"/>
      <c r="FH1893" s="127"/>
      <c r="FI1893" s="127"/>
      <c r="FJ1893" s="127"/>
      <c r="FK1893" s="127"/>
      <c r="FL1893" s="127"/>
      <c r="FM1893" s="127"/>
      <c r="FN1893" s="127"/>
      <c r="FO1893" s="127"/>
      <c r="FP1893" s="127"/>
      <c r="FQ1893" s="127"/>
      <c r="FR1893" s="127"/>
      <c r="FS1893" s="127"/>
      <c r="FT1893" s="127"/>
      <c r="FU1893" s="127"/>
      <c r="FV1893" s="127"/>
      <c r="FW1893" s="127"/>
      <c r="FX1893" s="127"/>
      <c r="FY1893" s="127"/>
      <c r="FZ1893" s="127"/>
      <c r="GA1893" s="127"/>
      <c r="GB1893" s="127"/>
      <c r="GC1893" s="127"/>
      <c r="GD1893" s="127"/>
      <c r="GE1893" s="127"/>
      <c r="GF1893" s="127"/>
      <c r="GG1893" s="127"/>
      <c r="GH1893" s="127"/>
      <c r="GI1893" s="127"/>
      <c r="GJ1893" s="127"/>
      <c r="GK1893" s="127"/>
      <c r="GL1893" s="127"/>
      <c r="GM1893" s="127"/>
      <c r="GN1893" s="127"/>
      <c r="GO1893" s="127"/>
      <c r="GP1893" s="127"/>
      <c r="GQ1893" s="127"/>
      <c r="GR1893" s="127"/>
      <c r="GS1893" s="127"/>
      <c r="GT1893" s="127"/>
      <c r="GU1893" s="127"/>
      <c r="GV1893" s="127"/>
      <c r="GW1893" s="127"/>
      <c r="GX1893" s="127"/>
      <c r="GY1893" s="127"/>
      <c r="GZ1893" s="127"/>
      <c r="HA1893" s="127"/>
      <c r="HB1893" s="127"/>
      <c r="HC1893" s="127"/>
      <c r="HD1893" s="127"/>
      <c r="HE1893" s="127"/>
      <c r="HF1893" s="127"/>
      <c r="HG1893" s="127"/>
      <c r="HH1893" s="127"/>
      <c r="HI1893" s="127"/>
      <c r="HJ1893" s="127"/>
      <c r="HK1893" s="127"/>
      <c r="HL1893" s="127"/>
      <c r="HM1893" s="127"/>
      <c r="HN1893" s="127"/>
      <c r="HO1893" s="127"/>
      <c r="HP1893" s="127"/>
      <c r="HQ1893" s="127"/>
      <c r="HR1893" s="127"/>
      <c r="HS1893" s="127"/>
      <c r="HT1893" s="127"/>
      <c r="HU1893" s="127"/>
      <c r="HV1893" s="127"/>
      <c r="HW1893" s="127"/>
      <c r="HX1893" s="127"/>
      <c r="HY1893" s="127"/>
      <c r="HZ1893" s="127"/>
      <c r="IA1893" s="127"/>
      <c r="IB1893" s="127"/>
      <c r="IC1893" s="127"/>
      <c r="ID1893" s="127"/>
      <c r="IE1893" s="127"/>
      <c r="IF1893" s="127"/>
      <c r="IG1893" s="127"/>
      <c r="IH1893" s="127"/>
      <c r="II1893" s="127"/>
      <c r="IJ1893" s="127"/>
    </row>
    <row r="1894" spans="1:244" ht="12.75" customHeight="1">
      <c r="A1894" s="118">
        <v>1893</v>
      </c>
      <c r="B1894" s="128">
        <v>21</v>
      </c>
      <c r="C1894" s="156">
        <v>37500</v>
      </c>
      <c r="D1894" s="157" t="s">
        <v>52</v>
      </c>
      <c r="E1894" s="8">
        <v>2002</v>
      </c>
      <c r="F1894" s="158"/>
      <c r="G1894" s="162"/>
      <c r="J1894" s="11"/>
      <c r="K1894" s="11"/>
      <c r="L1894" s="11"/>
      <c r="O1894" s="11"/>
      <c r="T1894" s="11"/>
      <c r="V1894" s="11"/>
      <c r="W1894" s="11"/>
      <c r="X1894" s="127"/>
      <c r="Y1894" s="127"/>
      <c r="Z1894" s="127"/>
      <c r="AA1894" s="127"/>
      <c r="AB1894" s="127"/>
      <c r="AC1894" s="127"/>
      <c r="AD1894" s="127"/>
      <c r="AE1894" s="127"/>
      <c r="AF1894" s="127"/>
      <c r="AG1894" s="127"/>
      <c r="AH1894" s="127"/>
      <c r="AI1894" s="127"/>
      <c r="AJ1894" s="127"/>
      <c r="AK1894" s="127"/>
      <c r="AL1894" s="127"/>
      <c r="AM1894" s="127"/>
      <c r="AN1894" s="127"/>
      <c r="AO1894" s="127"/>
      <c r="AP1894" s="127"/>
      <c r="AQ1894" s="127"/>
      <c r="AR1894" s="127"/>
      <c r="AS1894" s="127"/>
      <c r="AT1894" s="127"/>
      <c r="AU1894" s="127"/>
      <c r="AV1894" s="127"/>
      <c r="AW1894" s="127"/>
      <c r="AX1894" s="127"/>
      <c r="AY1894" s="127"/>
      <c r="AZ1894" s="127"/>
      <c r="BA1894" s="127"/>
      <c r="BB1894" s="127"/>
      <c r="BC1894" s="127"/>
      <c r="BD1894" s="127"/>
      <c r="BE1894" s="127"/>
      <c r="BF1894" s="127"/>
      <c r="BG1894" s="127"/>
      <c r="BH1894" s="127"/>
      <c r="BI1894" s="127"/>
      <c r="BJ1894" s="127"/>
      <c r="BK1894" s="127"/>
      <c r="BL1894" s="127"/>
      <c r="BM1894" s="127"/>
      <c r="BN1894" s="127"/>
      <c r="BO1894" s="127"/>
      <c r="BP1894" s="127"/>
      <c r="BQ1894" s="127"/>
      <c r="BR1894" s="127"/>
      <c r="BS1894" s="127"/>
      <c r="BT1894" s="127"/>
      <c r="BU1894" s="127"/>
      <c r="BV1894" s="127"/>
      <c r="BW1894" s="127"/>
      <c r="BX1894" s="127"/>
      <c r="BY1894" s="127"/>
      <c r="BZ1894" s="127"/>
      <c r="CA1894" s="127"/>
      <c r="CB1894" s="127"/>
      <c r="CC1894" s="127"/>
      <c r="CD1894" s="127"/>
      <c r="CE1894" s="127"/>
      <c r="CF1894" s="127"/>
      <c r="CG1894" s="127"/>
      <c r="CH1894" s="127"/>
      <c r="CI1894" s="127"/>
      <c r="CJ1894" s="127"/>
      <c r="CK1894" s="127"/>
      <c r="CL1894" s="127"/>
      <c r="CM1894" s="127"/>
      <c r="CN1894" s="127"/>
      <c r="CO1894" s="127"/>
      <c r="CP1894" s="127"/>
      <c r="CQ1894" s="127"/>
      <c r="CR1894" s="127"/>
      <c r="CS1894" s="127"/>
      <c r="CT1894" s="127"/>
      <c r="CU1894" s="127"/>
      <c r="CV1894" s="127"/>
      <c r="CW1894" s="127"/>
      <c r="CX1894" s="127"/>
      <c r="CY1894" s="127"/>
      <c r="CZ1894" s="127"/>
      <c r="DA1894" s="127"/>
      <c r="DB1894" s="127"/>
      <c r="DC1894" s="127"/>
      <c r="DD1894" s="127"/>
      <c r="DE1894" s="127"/>
      <c r="DF1894" s="127"/>
      <c r="DG1894" s="127"/>
      <c r="DH1894" s="127"/>
      <c r="DI1894" s="127"/>
      <c r="DJ1894" s="127"/>
      <c r="DK1894" s="127"/>
      <c r="DL1894" s="127"/>
      <c r="DM1894" s="127"/>
      <c r="DN1894" s="127"/>
      <c r="DO1894" s="127"/>
      <c r="DP1894" s="127"/>
      <c r="DQ1894" s="127"/>
      <c r="DR1894" s="127"/>
      <c r="DS1894" s="127"/>
      <c r="DT1894" s="127"/>
      <c r="DU1894" s="127"/>
      <c r="DV1894" s="127"/>
      <c r="DW1894" s="127"/>
      <c r="DX1894" s="127"/>
      <c r="DY1894" s="127"/>
      <c r="DZ1894" s="127"/>
      <c r="EA1894" s="127"/>
      <c r="EB1894" s="127"/>
      <c r="EC1894" s="127"/>
      <c r="ED1894" s="127"/>
      <c r="EE1894" s="127"/>
      <c r="EF1894" s="127"/>
      <c r="EG1894" s="127"/>
      <c r="EH1894" s="127"/>
      <c r="EI1894" s="127"/>
      <c r="EJ1894" s="127"/>
      <c r="EK1894" s="127"/>
      <c r="EL1894" s="127"/>
      <c r="EM1894" s="127"/>
      <c r="EN1894" s="127"/>
      <c r="EO1894" s="127"/>
      <c r="EP1894" s="127"/>
      <c r="EQ1894" s="127"/>
      <c r="ER1894" s="127"/>
      <c r="ES1894" s="127"/>
      <c r="ET1894" s="127"/>
      <c r="EU1894" s="127"/>
      <c r="EV1894" s="127"/>
      <c r="EW1894" s="127"/>
      <c r="EX1894" s="127"/>
      <c r="EY1894" s="127"/>
      <c r="EZ1894" s="127"/>
      <c r="FA1894" s="127"/>
      <c r="FB1894" s="127"/>
      <c r="FC1894" s="127"/>
      <c r="FD1894" s="127"/>
      <c r="FE1894" s="127"/>
      <c r="FF1894" s="127"/>
      <c r="FG1894" s="127"/>
      <c r="FH1894" s="127"/>
      <c r="FI1894" s="127"/>
      <c r="FJ1894" s="127"/>
      <c r="FK1894" s="127"/>
      <c r="FL1894" s="127"/>
      <c r="FM1894" s="127"/>
      <c r="FN1894" s="127"/>
      <c r="FO1894" s="127"/>
      <c r="FP1894" s="127"/>
      <c r="FQ1894" s="127"/>
      <c r="FR1894" s="127"/>
      <c r="FS1894" s="127"/>
      <c r="FT1894" s="127"/>
      <c r="FU1894" s="127"/>
      <c r="FV1894" s="127"/>
      <c r="FW1894" s="127"/>
      <c r="FX1894" s="127"/>
      <c r="FY1894" s="127"/>
      <c r="FZ1894" s="127"/>
      <c r="GA1894" s="127"/>
      <c r="GB1894" s="127"/>
      <c r="GC1894" s="127"/>
      <c r="GD1894" s="127"/>
      <c r="GE1894" s="127"/>
      <c r="GF1894" s="127"/>
      <c r="GG1894" s="127"/>
      <c r="GH1894" s="127"/>
      <c r="GI1894" s="127"/>
      <c r="GJ1894" s="127"/>
      <c r="GK1894" s="127"/>
      <c r="GL1894" s="127"/>
      <c r="GM1894" s="127"/>
      <c r="GN1894" s="127"/>
      <c r="GO1894" s="127"/>
      <c r="GP1894" s="127"/>
      <c r="GQ1894" s="127"/>
      <c r="GR1894" s="127"/>
      <c r="GS1894" s="127"/>
      <c r="GT1894" s="127"/>
      <c r="GU1894" s="127"/>
      <c r="GV1894" s="127"/>
      <c r="GW1894" s="127"/>
      <c r="GX1894" s="127"/>
      <c r="GY1894" s="127"/>
      <c r="GZ1894" s="127"/>
      <c r="HA1894" s="127"/>
      <c r="HB1894" s="127"/>
      <c r="HC1894" s="127"/>
      <c r="HD1894" s="127"/>
      <c r="HE1894" s="127"/>
      <c r="HF1894" s="127"/>
      <c r="HG1894" s="127"/>
      <c r="HH1894" s="127"/>
      <c r="HI1894" s="127"/>
      <c r="HJ1894" s="127"/>
      <c r="HK1894" s="127"/>
      <c r="HL1894" s="127"/>
      <c r="HM1894" s="127"/>
      <c r="HN1894" s="127"/>
      <c r="HO1894" s="127"/>
      <c r="HP1894" s="127"/>
      <c r="HQ1894" s="127"/>
      <c r="HR1894" s="127"/>
      <c r="HS1894" s="127"/>
      <c r="HT1894" s="127"/>
      <c r="HU1894" s="127"/>
      <c r="HV1894" s="127"/>
      <c r="HW1894" s="127"/>
      <c r="HX1894" s="127"/>
      <c r="HY1894" s="127"/>
      <c r="HZ1894" s="127"/>
      <c r="IA1894" s="127"/>
      <c r="IB1894" s="127"/>
      <c r="IC1894" s="127"/>
      <c r="ID1894" s="127"/>
      <c r="IE1894" s="127"/>
      <c r="IF1894" s="127"/>
      <c r="IG1894" s="127"/>
      <c r="IH1894" s="127"/>
      <c r="II1894" s="127"/>
      <c r="IJ1894" s="127"/>
    </row>
    <row r="1895" spans="1:244" ht="12.75" customHeight="1">
      <c r="A1895" s="118">
        <v>1894</v>
      </c>
      <c r="B1895" s="128">
        <v>21</v>
      </c>
      <c r="C1895" s="156">
        <v>37530</v>
      </c>
      <c r="D1895" s="157" t="s">
        <v>53</v>
      </c>
      <c r="E1895" s="8">
        <v>2002</v>
      </c>
      <c r="F1895" s="158"/>
      <c r="G1895" s="162"/>
      <c r="J1895" s="11"/>
      <c r="K1895" s="11"/>
      <c r="L1895" s="11"/>
      <c r="O1895" s="11"/>
      <c r="T1895" s="11"/>
      <c r="V1895" s="11"/>
      <c r="W1895" s="11"/>
      <c r="X1895" s="127"/>
      <c r="Y1895" s="127"/>
      <c r="Z1895" s="127"/>
      <c r="AA1895" s="127"/>
      <c r="AB1895" s="127"/>
      <c r="AC1895" s="127"/>
      <c r="AD1895" s="127"/>
      <c r="AE1895" s="127"/>
      <c r="AF1895" s="127"/>
      <c r="AG1895" s="127"/>
      <c r="AH1895" s="127"/>
      <c r="AI1895" s="127"/>
      <c r="AJ1895" s="127"/>
      <c r="AK1895" s="127"/>
      <c r="AL1895" s="127"/>
      <c r="AM1895" s="127"/>
      <c r="AN1895" s="127"/>
      <c r="AO1895" s="127"/>
      <c r="AP1895" s="127"/>
      <c r="AQ1895" s="127"/>
      <c r="AR1895" s="127"/>
      <c r="AS1895" s="127"/>
      <c r="AT1895" s="127"/>
      <c r="AU1895" s="127"/>
      <c r="AV1895" s="127"/>
      <c r="AW1895" s="127"/>
      <c r="AX1895" s="127"/>
      <c r="AY1895" s="127"/>
      <c r="AZ1895" s="127"/>
      <c r="BA1895" s="127"/>
      <c r="BB1895" s="127"/>
      <c r="BC1895" s="127"/>
      <c r="BD1895" s="127"/>
      <c r="BE1895" s="127"/>
      <c r="BF1895" s="127"/>
      <c r="BG1895" s="127"/>
      <c r="BH1895" s="127"/>
      <c r="BI1895" s="127"/>
      <c r="BJ1895" s="127"/>
      <c r="BK1895" s="127"/>
      <c r="BL1895" s="127"/>
      <c r="BM1895" s="127"/>
      <c r="BN1895" s="127"/>
      <c r="BO1895" s="127"/>
      <c r="BP1895" s="127"/>
      <c r="BQ1895" s="127"/>
      <c r="BR1895" s="127"/>
      <c r="BS1895" s="127"/>
      <c r="BT1895" s="127"/>
      <c r="BU1895" s="127"/>
      <c r="BV1895" s="127"/>
      <c r="BW1895" s="127"/>
      <c r="BX1895" s="127"/>
      <c r="BY1895" s="127"/>
      <c r="BZ1895" s="127"/>
      <c r="CA1895" s="127"/>
      <c r="CB1895" s="127"/>
      <c r="CC1895" s="127"/>
      <c r="CD1895" s="127"/>
      <c r="CE1895" s="127"/>
      <c r="CF1895" s="127"/>
      <c r="CG1895" s="127"/>
      <c r="CH1895" s="127"/>
      <c r="CI1895" s="127"/>
      <c r="CJ1895" s="127"/>
      <c r="CK1895" s="127"/>
      <c r="CL1895" s="127"/>
      <c r="CM1895" s="127"/>
      <c r="CN1895" s="127"/>
      <c r="CO1895" s="127"/>
      <c r="CP1895" s="127"/>
      <c r="CQ1895" s="127"/>
      <c r="CR1895" s="127"/>
      <c r="CS1895" s="127"/>
      <c r="CT1895" s="127"/>
      <c r="CU1895" s="127"/>
      <c r="CV1895" s="127"/>
      <c r="CW1895" s="127"/>
      <c r="CX1895" s="127"/>
      <c r="CY1895" s="127"/>
      <c r="CZ1895" s="127"/>
      <c r="DA1895" s="127"/>
      <c r="DB1895" s="127"/>
      <c r="DC1895" s="127"/>
      <c r="DD1895" s="127"/>
      <c r="DE1895" s="127"/>
      <c r="DF1895" s="127"/>
      <c r="DG1895" s="127"/>
      <c r="DH1895" s="127"/>
      <c r="DI1895" s="127"/>
      <c r="DJ1895" s="127"/>
      <c r="DK1895" s="127"/>
      <c r="DL1895" s="127"/>
      <c r="DM1895" s="127"/>
      <c r="DN1895" s="127"/>
      <c r="DO1895" s="127"/>
      <c r="DP1895" s="127"/>
      <c r="DQ1895" s="127"/>
      <c r="DR1895" s="127"/>
      <c r="DS1895" s="127"/>
      <c r="DT1895" s="127"/>
      <c r="DU1895" s="127"/>
      <c r="DV1895" s="127"/>
      <c r="DW1895" s="127"/>
      <c r="DX1895" s="127"/>
      <c r="DY1895" s="127"/>
      <c r="DZ1895" s="127"/>
      <c r="EA1895" s="127"/>
      <c r="EB1895" s="127"/>
      <c r="EC1895" s="127"/>
      <c r="ED1895" s="127"/>
      <c r="EE1895" s="127"/>
      <c r="EF1895" s="127"/>
      <c r="EG1895" s="127"/>
      <c r="EH1895" s="127"/>
      <c r="EI1895" s="127"/>
      <c r="EJ1895" s="127"/>
      <c r="EK1895" s="127"/>
      <c r="EL1895" s="127"/>
      <c r="EM1895" s="127"/>
      <c r="EN1895" s="127"/>
      <c r="EO1895" s="127"/>
      <c r="EP1895" s="127"/>
      <c r="EQ1895" s="127"/>
      <c r="ER1895" s="127"/>
      <c r="ES1895" s="127"/>
      <c r="ET1895" s="127"/>
      <c r="EU1895" s="127"/>
      <c r="EV1895" s="127"/>
      <c r="EW1895" s="127"/>
      <c r="EX1895" s="127"/>
      <c r="EY1895" s="127"/>
      <c r="EZ1895" s="127"/>
      <c r="FA1895" s="127"/>
      <c r="FB1895" s="127"/>
      <c r="FC1895" s="127"/>
      <c r="FD1895" s="127"/>
      <c r="FE1895" s="127"/>
      <c r="FF1895" s="127"/>
      <c r="FG1895" s="127"/>
      <c r="FH1895" s="127"/>
      <c r="FI1895" s="127"/>
      <c r="FJ1895" s="127"/>
      <c r="FK1895" s="127"/>
      <c r="FL1895" s="127"/>
      <c r="FM1895" s="127"/>
      <c r="FN1895" s="127"/>
      <c r="FO1895" s="127"/>
      <c r="FP1895" s="127"/>
      <c r="FQ1895" s="127"/>
      <c r="FR1895" s="127"/>
      <c r="FS1895" s="127"/>
      <c r="FT1895" s="127"/>
      <c r="FU1895" s="127"/>
      <c r="FV1895" s="127"/>
      <c r="FW1895" s="127"/>
      <c r="FX1895" s="127"/>
      <c r="FY1895" s="127"/>
      <c r="FZ1895" s="127"/>
      <c r="GA1895" s="127"/>
      <c r="GB1895" s="127"/>
      <c r="GC1895" s="127"/>
      <c r="GD1895" s="127"/>
      <c r="GE1895" s="127"/>
      <c r="GF1895" s="127"/>
      <c r="GG1895" s="127"/>
      <c r="GH1895" s="127"/>
      <c r="GI1895" s="127"/>
      <c r="GJ1895" s="127"/>
      <c r="GK1895" s="127"/>
      <c r="GL1895" s="127"/>
      <c r="GM1895" s="127"/>
      <c r="GN1895" s="127"/>
      <c r="GO1895" s="127"/>
      <c r="GP1895" s="127"/>
      <c r="GQ1895" s="127"/>
      <c r="GR1895" s="127"/>
      <c r="GS1895" s="127"/>
      <c r="GT1895" s="127"/>
      <c r="GU1895" s="127"/>
      <c r="GV1895" s="127"/>
      <c r="GW1895" s="127"/>
      <c r="GX1895" s="127"/>
      <c r="GY1895" s="127"/>
      <c r="GZ1895" s="127"/>
      <c r="HA1895" s="127"/>
      <c r="HB1895" s="127"/>
      <c r="HC1895" s="127"/>
      <c r="HD1895" s="127"/>
      <c r="HE1895" s="127"/>
      <c r="HF1895" s="127"/>
      <c r="HG1895" s="127"/>
      <c r="HH1895" s="127"/>
      <c r="HI1895" s="127"/>
      <c r="HJ1895" s="127"/>
      <c r="HK1895" s="127"/>
      <c r="HL1895" s="127"/>
      <c r="HM1895" s="127"/>
      <c r="HN1895" s="127"/>
      <c r="HO1895" s="127"/>
      <c r="HP1895" s="127"/>
      <c r="HQ1895" s="127"/>
      <c r="HR1895" s="127"/>
      <c r="HS1895" s="127"/>
      <c r="HT1895" s="127"/>
      <c r="HU1895" s="127"/>
      <c r="HV1895" s="127"/>
      <c r="HW1895" s="127"/>
      <c r="HX1895" s="127"/>
      <c r="HY1895" s="127"/>
      <c r="HZ1895" s="127"/>
      <c r="IA1895" s="127"/>
      <c r="IB1895" s="127"/>
      <c r="IC1895" s="127"/>
      <c r="ID1895" s="127"/>
      <c r="IE1895" s="127"/>
      <c r="IF1895" s="127"/>
      <c r="IG1895" s="127"/>
      <c r="IH1895" s="127"/>
      <c r="II1895" s="127"/>
      <c r="IJ1895" s="127"/>
    </row>
    <row r="1896" spans="1:244" ht="12.75" customHeight="1">
      <c r="A1896" s="118">
        <v>1895</v>
      </c>
      <c r="B1896" s="128">
        <v>21</v>
      </c>
      <c r="C1896" s="156">
        <v>37561</v>
      </c>
      <c r="D1896" s="157" t="s">
        <v>54</v>
      </c>
      <c r="E1896" s="8">
        <v>2002</v>
      </c>
      <c r="F1896" s="158"/>
      <c r="G1896" s="162"/>
      <c r="J1896" s="11"/>
      <c r="K1896" s="11"/>
      <c r="L1896" s="11"/>
      <c r="O1896" s="11"/>
      <c r="T1896" s="11"/>
      <c r="V1896" s="11"/>
      <c r="W1896" s="11"/>
      <c r="X1896" s="127"/>
      <c r="Y1896" s="127"/>
      <c r="Z1896" s="127"/>
      <c r="AA1896" s="127"/>
      <c r="AB1896" s="127"/>
      <c r="AC1896" s="127"/>
      <c r="AD1896" s="127"/>
      <c r="AE1896" s="127"/>
      <c r="AF1896" s="127"/>
      <c r="AG1896" s="127"/>
      <c r="AH1896" s="127"/>
      <c r="AI1896" s="127"/>
      <c r="AJ1896" s="127"/>
      <c r="AK1896" s="127"/>
      <c r="AL1896" s="127"/>
      <c r="AM1896" s="127"/>
      <c r="AN1896" s="127"/>
      <c r="AO1896" s="127"/>
      <c r="AP1896" s="127"/>
      <c r="AQ1896" s="127"/>
      <c r="AR1896" s="127"/>
      <c r="AS1896" s="127"/>
      <c r="AT1896" s="127"/>
      <c r="AU1896" s="127"/>
      <c r="AV1896" s="127"/>
      <c r="AW1896" s="127"/>
      <c r="AX1896" s="127"/>
      <c r="AY1896" s="127"/>
      <c r="AZ1896" s="127"/>
      <c r="BA1896" s="127"/>
      <c r="BB1896" s="127"/>
      <c r="BC1896" s="127"/>
      <c r="BD1896" s="127"/>
      <c r="BE1896" s="127"/>
      <c r="BF1896" s="127"/>
      <c r="BG1896" s="127"/>
      <c r="BH1896" s="127"/>
      <c r="BI1896" s="127"/>
      <c r="BJ1896" s="127"/>
      <c r="BK1896" s="127"/>
      <c r="BL1896" s="127"/>
      <c r="BM1896" s="127"/>
      <c r="BN1896" s="127"/>
      <c r="BO1896" s="127"/>
      <c r="BP1896" s="127"/>
      <c r="BQ1896" s="127"/>
      <c r="BR1896" s="127"/>
      <c r="BS1896" s="127"/>
      <c r="BT1896" s="127"/>
      <c r="BU1896" s="127"/>
      <c r="BV1896" s="127"/>
      <c r="BW1896" s="127"/>
      <c r="BX1896" s="127"/>
      <c r="BY1896" s="127"/>
      <c r="BZ1896" s="127"/>
      <c r="CA1896" s="127"/>
      <c r="CB1896" s="127"/>
      <c r="CC1896" s="127"/>
      <c r="CD1896" s="127"/>
      <c r="CE1896" s="127"/>
      <c r="CF1896" s="127"/>
      <c r="CG1896" s="127"/>
      <c r="CH1896" s="127"/>
      <c r="CI1896" s="127"/>
      <c r="CJ1896" s="127"/>
      <c r="CK1896" s="127"/>
      <c r="CL1896" s="127"/>
      <c r="CM1896" s="127"/>
      <c r="CN1896" s="127"/>
      <c r="CO1896" s="127"/>
      <c r="CP1896" s="127"/>
      <c r="CQ1896" s="127"/>
      <c r="CR1896" s="127"/>
      <c r="CS1896" s="127"/>
      <c r="CT1896" s="127"/>
      <c r="CU1896" s="127"/>
      <c r="CV1896" s="127"/>
      <c r="CW1896" s="127"/>
      <c r="CX1896" s="127"/>
      <c r="CY1896" s="127"/>
      <c r="CZ1896" s="127"/>
      <c r="DA1896" s="127"/>
      <c r="DB1896" s="127"/>
      <c r="DC1896" s="127"/>
      <c r="DD1896" s="127"/>
      <c r="DE1896" s="127"/>
      <c r="DF1896" s="127"/>
      <c r="DG1896" s="127"/>
      <c r="DH1896" s="127"/>
      <c r="DI1896" s="127"/>
      <c r="DJ1896" s="127"/>
      <c r="DK1896" s="127"/>
      <c r="DL1896" s="127"/>
      <c r="DM1896" s="127"/>
      <c r="DN1896" s="127"/>
      <c r="DO1896" s="127"/>
      <c r="DP1896" s="127"/>
      <c r="DQ1896" s="127"/>
      <c r="DR1896" s="127"/>
      <c r="DS1896" s="127"/>
      <c r="DT1896" s="127"/>
      <c r="DU1896" s="127"/>
      <c r="DV1896" s="127"/>
      <c r="DW1896" s="127"/>
      <c r="DX1896" s="127"/>
      <c r="DY1896" s="127"/>
      <c r="DZ1896" s="127"/>
      <c r="EA1896" s="127"/>
      <c r="EB1896" s="127"/>
      <c r="EC1896" s="127"/>
      <c r="ED1896" s="127"/>
      <c r="EE1896" s="127"/>
      <c r="EF1896" s="127"/>
      <c r="EG1896" s="127"/>
      <c r="EH1896" s="127"/>
      <c r="EI1896" s="127"/>
      <c r="EJ1896" s="127"/>
      <c r="EK1896" s="127"/>
      <c r="EL1896" s="127"/>
      <c r="EM1896" s="127"/>
      <c r="EN1896" s="127"/>
      <c r="EO1896" s="127"/>
      <c r="EP1896" s="127"/>
      <c r="EQ1896" s="127"/>
      <c r="ER1896" s="127"/>
      <c r="ES1896" s="127"/>
      <c r="ET1896" s="127"/>
      <c r="EU1896" s="127"/>
      <c r="EV1896" s="127"/>
      <c r="EW1896" s="127"/>
      <c r="EX1896" s="127"/>
      <c r="EY1896" s="127"/>
      <c r="EZ1896" s="127"/>
      <c r="FA1896" s="127"/>
      <c r="FB1896" s="127"/>
      <c r="FC1896" s="127"/>
      <c r="FD1896" s="127"/>
      <c r="FE1896" s="127"/>
      <c r="FF1896" s="127"/>
      <c r="FG1896" s="127"/>
      <c r="FH1896" s="127"/>
      <c r="FI1896" s="127"/>
      <c r="FJ1896" s="127"/>
      <c r="FK1896" s="127"/>
      <c r="FL1896" s="127"/>
      <c r="FM1896" s="127"/>
      <c r="FN1896" s="127"/>
      <c r="FO1896" s="127"/>
      <c r="FP1896" s="127"/>
      <c r="FQ1896" s="127"/>
      <c r="FR1896" s="127"/>
      <c r="FS1896" s="127"/>
      <c r="FT1896" s="127"/>
      <c r="FU1896" s="127"/>
      <c r="FV1896" s="127"/>
      <c r="FW1896" s="127"/>
      <c r="FX1896" s="127"/>
      <c r="FY1896" s="127"/>
      <c r="FZ1896" s="127"/>
      <c r="GA1896" s="127"/>
      <c r="GB1896" s="127"/>
      <c r="GC1896" s="127"/>
      <c r="GD1896" s="127"/>
      <c r="GE1896" s="127"/>
      <c r="GF1896" s="127"/>
      <c r="GG1896" s="127"/>
      <c r="GH1896" s="127"/>
      <c r="GI1896" s="127"/>
      <c r="GJ1896" s="127"/>
      <c r="GK1896" s="127"/>
      <c r="GL1896" s="127"/>
      <c r="GM1896" s="127"/>
      <c r="GN1896" s="127"/>
      <c r="GO1896" s="127"/>
      <c r="GP1896" s="127"/>
      <c r="GQ1896" s="127"/>
      <c r="GR1896" s="127"/>
      <c r="GS1896" s="127"/>
      <c r="GT1896" s="127"/>
      <c r="GU1896" s="127"/>
      <c r="GV1896" s="127"/>
      <c r="GW1896" s="127"/>
      <c r="GX1896" s="127"/>
      <c r="GY1896" s="127"/>
      <c r="GZ1896" s="127"/>
      <c r="HA1896" s="127"/>
      <c r="HB1896" s="127"/>
      <c r="HC1896" s="127"/>
      <c r="HD1896" s="127"/>
      <c r="HE1896" s="127"/>
      <c r="HF1896" s="127"/>
      <c r="HG1896" s="127"/>
      <c r="HH1896" s="127"/>
      <c r="HI1896" s="127"/>
      <c r="HJ1896" s="127"/>
      <c r="HK1896" s="127"/>
      <c r="HL1896" s="127"/>
      <c r="HM1896" s="127"/>
      <c r="HN1896" s="127"/>
      <c r="HO1896" s="127"/>
      <c r="HP1896" s="127"/>
      <c r="HQ1896" s="127"/>
      <c r="HR1896" s="127"/>
      <c r="HS1896" s="127"/>
      <c r="HT1896" s="127"/>
      <c r="HU1896" s="127"/>
      <c r="HV1896" s="127"/>
      <c r="HW1896" s="127"/>
      <c r="HX1896" s="127"/>
      <c r="HY1896" s="127"/>
      <c r="HZ1896" s="127"/>
      <c r="IA1896" s="127"/>
      <c r="IB1896" s="127"/>
      <c r="IC1896" s="127"/>
      <c r="ID1896" s="127"/>
      <c r="IE1896" s="127"/>
      <c r="IF1896" s="127"/>
      <c r="IG1896" s="127"/>
      <c r="IH1896" s="127"/>
      <c r="II1896" s="127"/>
      <c r="IJ1896" s="127"/>
    </row>
    <row r="1897" spans="1:244" ht="12.75" customHeight="1">
      <c r="A1897" s="118">
        <v>1896</v>
      </c>
      <c r="B1897" s="128">
        <v>21</v>
      </c>
      <c r="C1897" s="156">
        <v>37591</v>
      </c>
      <c r="D1897" s="157" t="s">
        <v>55</v>
      </c>
      <c r="E1897" s="8">
        <v>2002</v>
      </c>
      <c r="F1897" s="158"/>
      <c r="G1897" s="162"/>
      <c r="X1897" s="127"/>
      <c r="Y1897" s="127"/>
      <c r="Z1897" s="127"/>
      <c r="AA1897" s="127"/>
      <c r="AB1897" s="127"/>
      <c r="AC1897" s="127"/>
      <c r="AD1897" s="127"/>
      <c r="AE1897" s="127"/>
      <c r="AF1897" s="127"/>
      <c r="AG1897" s="127"/>
      <c r="AH1897" s="127"/>
      <c r="AI1897" s="127"/>
      <c r="AJ1897" s="127"/>
      <c r="AK1897" s="127"/>
      <c r="AL1897" s="127"/>
      <c r="AM1897" s="127"/>
      <c r="AN1897" s="127"/>
      <c r="AO1897" s="127"/>
      <c r="AP1897" s="127"/>
      <c r="AQ1897" s="127"/>
      <c r="AR1897" s="127"/>
      <c r="AS1897" s="127"/>
      <c r="AT1897" s="127"/>
      <c r="AU1897" s="127"/>
      <c r="AV1897" s="127"/>
      <c r="AW1897" s="127"/>
      <c r="AX1897" s="127"/>
      <c r="AY1897" s="127"/>
      <c r="AZ1897" s="127"/>
      <c r="BA1897" s="127"/>
      <c r="BB1897" s="127"/>
      <c r="BC1897" s="127"/>
      <c r="BD1897" s="127"/>
      <c r="BE1897" s="127"/>
      <c r="BF1897" s="127"/>
      <c r="BG1897" s="127"/>
      <c r="BH1897" s="127"/>
      <c r="BI1897" s="127"/>
      <c r="BJ1897" s="127"/>
      <c r="BK1897" s="127"/>
      <c r="BL1897" s="127"/>
      <c r="BM1897" s="127"/>
      <c r="BN1897" s="127"/>
      <c r="BO1897" s="127"/>
      <c r="BP1897" s="127"/>
      <c r="BQ1897" s="127"/>
      <c r="BR1897" s="127"/>
      <c r="BS1897" s="127"/>
      <c r="BT1897" s="127"/>
      <c r="BU1897" s="127"/>
      <c r="BV1897" s="127"/>
      <c r="BW1897" s="127"/>
      <c r="BX1897" s="127"/>
      <c r="BY1897" s="127"/>
      <c r="BZ1897" s="127"/>
      <c r="CA1897" s="127"/>
      <c r="CB1897" s="127"/>
      <c r="CC1897" s="127"/>
      <c r="CD1897" s="127"/>
      <c r="CE1897" s="127"/>
      <c r="CF1897" s="127"/>
      <c r="CG1897" s="127"/>
      <c r="CH1897" s="127"/>
      <c r="CI1897" s="127"/>
      <c r="CJ1897" s="127"/>
      <c r="CK1897" s="127"/>
      <c r="CL1897" s="127"/>
      <c r="CM1897" s="127"/>
      <c r="CN1897" s="127"/>
      <c r="CO1897" s="127"/>
      <c r="CP1897" s="127"/>
      <c r="CQ1897" s="127"/>
      <c r="CR1897" s="127"/>
      <c r="CS1897" s="127"/>
      <c r="CT1897" s="127"/>
      <c r="CU1897" s="127"/>
      <c r="CV1897" s="127"/>
      <c r="CW1897" s="127"/>
      <c r="CX1897" s="127"/>
      <c r="CY1897" s="127"/>
      <c r="CZ1897" s="127"/>
      <c r="DA1897" s="127"/>
      <c r="DB1897" s="127"/>
      <c r="DC1897" s="127"/>
      <c r="DD1897" s="127"/>
      <c r="DE1897" s="127"/>
      <c r="DF1897" s="127"/>
      <c r="DG1897" s="127"/>
      <c r="DH1897" s="127"/>
      <c r="DI1897" s="127"/>
      <c r="DJ1897" s="127"/>
      <c r="DK1897" s="127"/>
      <c r="DL1897" s="127"/>
      <c r="DM1897" s="127"/>
      <c r="DN1897" s="127"/>
      <c r="DO1897" s="127"/>
      <c r="DP1897" s="127"/>
      <c r="DQ1897" s="127"/>
      <c r="DR1897" s="127"/>
      <c r="DS1897" s="127"/>
      <c r="DT1897" s="127"/>
      <c r="DU1897" s="127"/>
      <c r="DV1897" s="127"/>
      <c r="DW1897" s="127"/>
      <c r="DX1897" s="127"/>
      <c r="DY1897" s="127"/>
      <c r="DZ1897" s="127"/>
      <c r="EA1897" s="127"/>
      <c r="EB1897" s="127"/>
      <c r="EC1897" s="127"/>
      <c r="ED1897" s="127"/>
      <c r="EE1897" s="127"/>
      <c r="EF1897" s="127"/>
      <c r="EG1897" s="127"/>
      <c r="EH1897" s="127"/>
      <c r="EI1897" s="127"/>
      <c r="EJ1897" s="127"/>
      <c r="EK1897" s="127"/>
      <c r="EL1897" s="127"/>
      <c r="EM1897" s="127"/>
      <c r="EN1897" s="127"/>
      <c r="EO1897" s="127"/>
      <c r="EP1897" s="127"/>
      <c r="EQ1897" s="127"/>
      <c r="ER1897" s="127"/>
      <c r="ES1897" s="127"/>
      <c r="ET1897" s="127"/>
      <c r="EU1897" s="127"/>
      <c r="EV1897" s="127"/>
      <c r="EW1897" s="127"/>
      <c r="EX1897" s="127"/>
      <c r="EY1897" s="127"/>
      <c r="EZ1897" s="127"/>
      <c r="FA1897" s="127"/>
      <c r="FB1897" s="127"/>
      <c r="FC1897" s="127"/>
      <c r="FD1897" s="127"/>
      <c r="FE1897" s="127"/>
      <c r="FF1897" s="127"/>
      <c r="FG1897" s="127"/>
      <c r="FH1897" s="127"/>
      <c r="FI1897" s="127"/>
      <c r="FJ1897" s="127"/>
      <c r="FK1897" s="127"/>
      <c r="FL1897" s="127"/>
      <c r="FM1897" s="127"/>
      <c r="FN1897" s="127"/>
      <c r="FO1897" s="127"/>
      <c r="FP1897" s="127"/>
      <c r="FQ1897" s="127"/>
      <c r="FR1897" s="127"/>
      <c r="FS1897" s="127"/>
      <c r="FT1897" s="127"/>
      <c r="FU1897" s="127"/>
      <c r="FV1897" s="127"/>
      <c r="FW1897" s="127"/>
      <c r="FX1897" s="127"/>
      <c r="FY1897" s="127"/>
      <c r="FZ1897" s="127"/>
      <c r="GA1897" s="127"/>
      <c r="GB1897" s="127"/>
      <c r="GC1897" s="127"/>
      <c r="GD1897" s="127"/>
      <c r="GE1897" s="127"/>
      <c r="GF1897" s="127"/>
      <c r="GG1897" s="127"/>
      <c r="GH1897" s="127"/>
      <c r="GI1897" s="127"/>
      <c r="GJ1897" s="127"/>
      <c r="GK1897" s="127"/>
      <c r="GL1897" s="127"/>
      <c r="GM1897" s="127"/>
      <c r="GN1897" s="127"/>
      <c r="GO1897" s="127"/>
      <c r="GP1897" s="127"/>
      <c r="GQ1897" s="127"/>
      <c r="GR1897" s="127"/>
      <c r="GS1897" s="127"/>
      <c r="GT1897" s="127"/>
      <c r="GU1897" s="127"/>
      <c r="GV1897" s="127"/>
      <c r="GW1897" s="127"/>
      <c r="GX1897" s="127"/>
      <c r="GY1897" s="127"/>
      <c r="GZ1897" s="127"/>
      <c r="HA1897" s="127"/>
      <c r="HB1897" s="127"/>
      <c r="HC1897" s="127"/>
      <c r="HD1897" s="127"/>
      <c r="HE1897" s="127"/>
      <c r="HF1897" s="127"/>
      <c r="HG1897" s="127"/>
      <c r="HH1897" s="127"/>
      <c r="HI1897" s="127"/>
      <c r="HJ1897" s="127"/>
      <c r="HK1897" s="127"/>
      <c r="HL1897" s="127"/>
      <c r="HM1897" s="127"/>
      <c r="HN1897" s="127"/>
      <c r="HO1897" s="127"/>
      <c r="HP1897" s="127"/>
      <c r="HQ1897" s="127"/>
      <c r="HR1897" s="127"/>
      <c r="HS1897" s="127"/>
      <c r="HT1897" s="127"/>
      <c r="HU1897" s="127"/>
      <c r="HV1897" s="127"/>
      <c r="HW1897" s="127"/>
      <c r="HX1897" s="127"/>
      <c r="HY1897" s="127"/>
      <c r="HZ1897" s="127"/>
      <c r="IA1897" s="127"/>
      <c r="IB1897" s="127"/>
      <c r="IC1897" s="127"/>
      <c r="ID1897" s="127"/>
      <c r="IE1897" s="127"/>
      <c r="IF1897" s="127"/>
      <c r="IG1897" s="127"/>
      <c r="IH1897" s="127"/>
      <c r="II1897" s="127"/>
      <c r="IJ1897" s="127"/>
    </row>
    <row r="1898" spans="1:244" ht="12.75" customHeight="1">
      <c r="A1898" s="118">
        <v>1897</v>
      </c>
      <c r="B1898" s="128">
        <v>21</v>
      </c>
      <c r="C1898" s="156">
        <v>37622</v>
      </c>
      <c r="D1898" s="157" t="s">
        <v>44</v>
      </c>
      <c r="E1898" s="8">
        <v>2003</v>
      </c>
      <c r="F1898" s="158"/>
      <c r="H1898" s="162"/>
      <c r="I1898" s="194"/>
      <c r="X1898" s="127"/>
      <c r="Y1898" s="127"/>
      <c r="Z1898" s="127"/>
      <c r="AA1898" s="127"/>
      <c r="AB1898" s="127"/>
      <c r="AC1898" s="127"/>
      <c r="AD1898" s="127"/>
      <c r="AE1898" s="127"/>
      <c r="AF1898" s="127"/>
      <c r="AG1898" s="127"/>
      <c r="AH1898" s="127"/>
      <c r="AI1898" s="127"/>
      <c r="AJ1898" s="127"/>
      <c r="AK1898" s="127"/>
      <c r="AL1898" s="127"/>
      <c r="AM1898" s="127"/>
      <c r="AN1898" s="127"/>
      <c r="AO1898" s="127"/>
      <c r="AP1898" s="127"/>
      <c r="AQ1898" s="127"/>
      <c r="AR1898" s="127"/>
      <c r="AS1898" s="127"/>
      <c r="AT1898" s="127"/>
      <c r="AU1898" s="127"/>
      <c r="AV1898" s="127"/>
      <c r="AW1898" s="127"/>
      <c r="AX1898" s="127"/>
      <c r="AY1898" s="127"/>
      <c r="AZ1898" s="127"/>
      <c r="BA1898" s="127"/>
      <c r="BB1898" s="127"/>
      <c r="BC1898" s="127"/>
      <c r="BD1898" s="127"/>
      <c r="BE1898" s="127"/>
      <c r="BF1898" s="127"/>
      <c r="BG1898" s="127"/>
      <c r="BH1898" s="127"/>
      <c r="BI1898" s="127"/>
      <c r="BJ1898" s="127"/>
      <c r="BK1898" s="127"/>
      <c r="BL1898" s="127"/>
      <c r="BM1898" s="127"/>
      <c r="BN1898" s="127"/>
      <c r="BO1898" s="127"/>
      <c r="BP1898" s="127"/>
      <c r="BQ1898" s="127"/>
      <c r="BR1898" s="127"/>
      <c r="BS1898" s="127"/>
      <c r="BT1898" s="127"/>
      <c r="BU1898" s="127"/>
      <c r="BV1898" s="127"/>
      <c r="BW1898" s="127"/>
      <c r="BX1898" s="127"/>
      <c r="BY1898" s="127"/>
      <c r="BZ1898" s="127"/>
      <c r="CA1898" s="127"/>
      <c r="CB1898" s="127"/>
      <c r="CC1898" s="127"/>
      <c r="CD1898" s="127"/>
      <c r="CE1898" s="127"/>
      <c r="CF1898" s="127"/>
      <c r="CG1898" s="127"/>
      <c r="CH1898" s="127"/>
      <c r="CI1898" s="127"/>
      <c r="CJ1898" s="127"/>
      <c r="CK1898" s="127"/>
      <c r="CL1898" s="127"/>
      <c r="CM1898" s="127"/>
      <c r="CN1898" s="127"/>
      <c r="CO1898" s="127"/>
      <c r="CP1898" s="127"/>
      <c r="CQ1898" s="127"/>
      <c r="CR1898" s="127"/>
      <c r="CS1898" s="127"/>
      <c r="CT1898" s="127"/>
      <c r="CU1898" s="127"/>
      <c r="CV1898" s="127"/>
      <c r="CW1898" s="127"/>
      <c r="CX1898" s="127"/>
      <c r="CY1898" s="127"/>
      <c r="CZ1898" s="127"/>
      <c r="DA1898" s="127"/>
      <c r="DB1898" s="127"/>
      <c r="DC1898" s="127"/>
      <c r="DD1898" s="127"/>
      <c r="DE1898" s="127"/>
      <c r="DF1898" s="127"/>
      <c r="DG1898" s="127"/>
      <c r="DH1898" s="127"/>
      <c r="DI1898" s="127"/>
      <c r="DJ1898" s="127"/>
      <c r="DK1898" s="127"/>
      <c r="DL1898" s="127"/>
      <c r="DM1898" s="127"/>
      <c r="DN1898" s="127"/>
      <c r="DO1898" s="127"/>
      <c r="DP1898" s="127"/>
      <c r="DQ1898" s="127"/>
      <c r="DR1898" s="127"/>
      <c r="DS1898" s="127"/>
      <c r="DT1898" s="127"/>
      <c r="DU1898" s="127"/>
      <c r="DV1898" s="127"/>
      <c r="DW1898" s="127"/>
      <c r="DX1898" s="127"/>
      <c r="DY1898" s="127"/>
      <c r="DZ1898" s="127"/>
      <c r="EA1898" s="127"/>
      <c r="EB1898" s="127"/>
      <c r="EC1898" s="127"/>
      <c r="ED1898" s="127"/>
      <c r="EE1898" s="127"/>
      <c r="EF1898" s="127"/>
      <c r="EG1898" s="127"/>
      <c r="EH1898" s="127"/>
      <c r="EI1898" s="127"/>
      <c r="EJ1898" s="127"/>
      <c r="EK1898" s="127"/>
      <c r="EL1898" s="127"/>
      <c r="EM1898" s="127"/>
      <c r="EN1898" s="127"/>
      <c r="EO1898" s="127"/>
      <c r="EP1898" s="127"/>
      <c r="EQ1898" s="127"/>
      <c r="ER1898" s="127"/>
      <c r="ES1898" s="127"/>
      <c r="ET1898" s="127"/>
      <c r="EU1898" s="127"/>
      <c r="EV1898" s="127"/>
      <c r="EW1898" s="127"/>
      <c r="EX1898" s="127"/>
      <c r="EY1898" s="127"/>
      <c r="EZ1898" s="127"/>
      <c r="FA1898" s="127"/>
      <c r="FB1898" s="127"/>
      <c r="FC1898" s="127"/>
      <c r="FD1898" s="127"/>
      <c r="FE1898" s="127"/>
      <c r="FF1898" s="127"/>
      <c r="FG1898" s="127"/>
      <c r="FH1898" s="127"/>
      <c r="FI1898" s="127"/>
      <c r="FJ1898" s="127"/>
      <c r="FK1898" s="127"/>
      <c r="FL1898" s="127"/>
      <c r="FM1898" s="127"/>
      <c r="FN1898" s="127"/>
      <c r="FO1898" s="127"/>
      <c r="FP1898" s="127"/>
      <c r="FQ1898" s="127"/>
      <c r="FR1898" s="127"/>
      <c r="FS1898" s="127"/>
      <c r="FT1898" s="127"/>
      <c r="FU1898" s="127"/>
      <c r="FV1898" s="127"/>
      <c r="FW1898" s="127"/>
      <c r="FX1898" s="127"/>
      <c r="FY1898" s="127"/>
      <c r="FZ1898" s="127"/>
      <c r="GA1898" s="127"/>
      <c r="GB1898" s="127"/>
      <c r="GC1898" s="127"/>
      <c r="GD1898" s="127"/>
      <c r="GE1898" s="127"/>
      <c r="GF1898" s="127"/>
      <c r="GG1898" s="127"/>
      <c r="GH1898" s="127"/>
      <c r="GI1898" s="127"/>
      <c r="GJ1898" s="127"/>
      <c r="GK1898" s="127"/>
      <c r="GL1898" s="127"/>
      <c r="GM1898" s="127"/>
      <c r="GN1898" s="127"/>
      <c r="GO1898" s="127"/>
      <c r="GP1898" s="127"/>
      <c r="GQ1898" s="127"/>
      <c r="GR1898" s="127"/>
      <c r="GS1898" s="127"/>
      <c r="GT1898" s="127"/>
      <c r="GU1898" s="127"/>
      <c r="GV1898" s="127"/>
      <c r="GW1898" s="127"/>
      <c r="GX1898" s="127"/>
      <c r="GY1898" s="127"/>
      <c r="GZ1898" s="127"/>
      <c r="HA1898" s="127"/>
      <c r="HB1898" s="127"/>
      <c r="HC1898" s="127"/>
      <c r="HD1898" s="127"/>
      <c r="HE1898" s="127"/>
      <c r="HF1898" s="127"/>
      <c r="HG1898" s="127"/>
      <c r="HH1898" s="127"/>
      <c r="HI1898" s="127"/>
      <c r="HJ1898" s="127"/>
      <c r="HK1898" s="127"/>
      <c r="HL1898" s="127"/>
      <c r="HM1898" s="127"/>
      <c r="HN1898" s="127"/>
      <c r="HO1898" s="127"/>
      <c r="HP1898" s="127"/>
      <c r="HQ1898" s="127"/>
      <c r="HR1898" s="127"/>
      <c r="HS1898" s="127"/>
      <c r="HT1898" s="127"/>
      <c r="HU1898" s="127"/>
      <c r="HV1898" s="127"/>
      <c r="HW1898" s="127"/>
      <c r="HX1898" s="127"/>
      <c r="HY1898" s="127"/>
      <c r="HZ1898" s="127"/>
      <c r="IA1898" s="127"/>
      <c r="IB1898" s="127"/>
      <c r="IC1898" s="127"/>
      <c r="ID1898" s="127"/>
      <c r="IE1898" s="127"/>
      <c r="IF1898" s="127"/>
      <c r="IG1898" s="127"/>
      <c r="IH1898" s="127"/>
      <c r="II1898" s="127"/>
      <c r="IJ1898" s="127"/>
    </row>
    <row r="1899" spans="1:244" ht="12.75" customHeight="1">
      <c r="A1899" s="118">
        <v>1898</v>
      </c>
      <c r="B1899" s="128">
        <v>21</v>
      </c>
      <c r="C1899" s="156">
        <v>37653</v>
      </c>
      <c r="D1899" s="157" t="s">
        <v>45</v>
      </c>
      <c r="E1899" s="8">
        <v>2003</v>
      </c>
      <c r="F1899" s="158"/>
      <c r="H1899" s="162"/>
      <c r="I1899" s="194"/>
      <c r="X1899" s="127"/>
      <c r="Y1899" s="127"/>
      <c r="Z1899" s="127"/>
      <c r="AA1899" s="127"/>
      <c r="AB1899" s="127"/>
      <c r="AC1899" s="127"/>
      <c r="AD1899" s="127"/>
      <c r="AE1899" s="127"/>
      <c r="AF1899" s="127"/>
      <c r="AG1899" s="127"/>
      <c r="AH1899" s="127"/>
      <c r="AI1899" s="127"/>
      <c r="AJ1899" s="127"/>
      <c r="AK1899" s="127"/>
      <c r="AL1899" s="127"/>
      <c r="AM1899" s="127"/>
      <c r="AN1899" s="127"/>
      <c r="AO1899" s="127"/>
      <c r="AP1899" s="127"/>
      <c r="AQ1899" s="127"/>
      <c r="AR1899" s="127"/>
      <c r="AS1899" s="127"/>
      <c r="AT1899" s="127"/>
      <c r="AU1899" s="127"/>
      <c r="AV1899" s="127"/>
      <c r="AW1899" s="127"/>
      <c r="AX1899" s="127"/>
      <c r="AY1899" s="127"/>
      <c r="AZ1899" s="127"/>
      <c r="BA1899" s="127"/>
      <c r="BB1899" s="127"/>
      <c r="BC1899" s="127"/>
      <c r="BD1899" s="127"/>
      <c r="BE1899" s="127"/>
      <c r="BF1899" s="127"/>
      <c r="BG1899" s="127"/>
      <c r="BH1899" s="127"/>
      <c r="BI1899" s="127"/>
      <c r="BJ1899" s="127"/>
      <c r="BK1899" s="127"/>
      <c r="BL1899" s="127"/>
      <c r="BM1899" s="127"/>
      <c r="BN1899" s="127"/>
      <c r="BO1899" s="127"/>
      <c r="BP1899" s="127"/>
      <c r="BQ1899" s="127"/>
      <c r="BR1899" s="127"/>
      <c r="BS1899" s="127"/>
      <c r="BT1899" s="127"/>
      <c r="BU1899" s="127"/>
      <c r="BV1899" s="127"/>
      <c r="BW1899" s="127"/>
      <c r="BX1899" s="127"/>
      <c r="BY1899" s="127"/>
      <c r="BZ1899" s="127"/>
      <c r="CA1899" s="127"/>
      <c r="CB1899" s="127"/>
      <c r="CC1899" s="127"/>
      <c r="CD1899" s="127"/>
      <c r="CE1899" s="127"/>
      <c r="CF1899" s="127"/>
      <c r="CG1899" s="127"/>
      <c r="CH1899" s="127"/>
      <c r="CI1899" s="127"/>
      <c r="CJ1899" s="127"/>
      <c r="CK1899" s="127"/>
      <c r="CL1899" s="127"/>
      <c r="CM1899" s="127"/>
      <c r="CN1899" s="127"/>
      <c r="CO1899" s="127"/>
      <c r="CP1899" s="127"/>
      <c r="CQ1899" s="127"/>
      <c r="CR1899" s="127"/>
      <c r="CS1899" s="127"/>
      <c r="CT1899" s="127"/>
      <c r="CU1899" s="127"/>
      <c r="CV1899" s="127"/>
      <c r="CW1899" s="127"/>
      <c r="CX1899" s="127"/>
      <c r="CY1899" s="127"/>
      <c r="CZ1899" s="127"/>
      <c r="DA1899" s="127"/>
      <c r="DB1899" s="127"/>
      <c r="DC1899" s="127"/>
      <c r="DD1899" s="127"/>
      <c r="DE1899" s="127"/>
      <c r="DF1899" s="127"/>
      <c r="DG1899" s="127"/>
      <c r="DH1899" s="127"/>
      <c r="DI1899" s="127"/>
      <c r="DJ1899" s="127"/>
      <c r="DK1899" s="127"/>
      <c r="DL1899" s="127"/>
      <c r="DM1899" s="127"/>
      <c r="DN1899" s="127"/>
      <c r="DO1899" s="127"/>
      <c r="DP1899" s="127"/>
      <c r="DQ1899" s="127"/>
      <c r="DR1899" s="127"/>
      <c r="DS1899" s="127"/>
      <c r="DT1899" s="127"/>
      <c r="DU1899" s="127"/>
      <c r="DV1899" s="127"/>
      <c r="DW1899" s="127"/>
      <c r="DX1899" s="127"/>
      <c r="DY1899" s="127"/>
      <c r="DZ1899" s="127"/>
      <c r="EA1899" s="127"/>
      <c r="EB1899" s="127"/>
      <c r="EC1899" s="127"/>
      <c r="ED1899" s="127"/>
      <c r="EE1899" s="127"/>
      <c r="EF1899" s="127"/>
      <c r="EG1899" s="127"/>
      <c r="EH1899" s="127"/>
      <c r="EI1899" s="127"/>
      <c r="EJ1899" s="127"/>
      <c r="EK1899" s="127"/>
      <c r="EL1899" s="127"/>
      <c r="EM1899" s="127"/>
      <c r="EN1899" s="127"/>
      <c r="EO1899" s="127"/>
      <c r="EP1899" s="127"/>
      <c r="EQ1899" s="127"/>
      <c r="ER1899" s="127"/>
      <c r="ES1899" s="127"/>
      <c r="ET1899" s="127"/>
      <c r="EU1899" s="127"/>
      <c r="EV1899" s="127"/>
      <c r="EW1899" s="127"/>
      <c r="EX1899" s="127"/>
      <c r="EY1899" s="127"/>
      <c r="EZ1899" s="127"/>
      <c r="FA1899" s="127"/>
      <c r="FB1899" s="127"/>
      <c r="FC1899" s="127"/>
      <c r="FD1899" s="127"/>
      <c r="FE1899" s="127"/>
      <c r="FF1899" s="127"/>
      <c r="FG1899" s="127"/>
      <c r="FH1899" s="127"/>
      <c r="FI1899" s="127"/>
      <c r="FJ1899" s="127"/>
      <c r="FK1899" s="127"/>
      <c r="FL1899" s="127"/>
      <c r="FM1899" s="127"/>
      <c r="FN1899" s="127"/>
      <c r="FO1899" s="127"/>
      <c r="FP1899" s="127"/>
      <c r="FQ1899" s="127"/>
      <c r="FR1899" s="127"/>
      <c r="FS1899" s="127"/>
      <c r="FT1899" s="127"/>
      <c r="FU1899" s="127"/>
      <c r="FV1899" s="127"/>
      <c r="FW1899" s="127"/>
      <c r="FX1899" s="127"/>
      <c r="FY1899" s="127"/>
      <c r="FZ1899" s="127"/>
      <c r="GA1899" s="127"/>
      <c r="GB1899" s="127"/>
      <c r="GC1899" s="127"/>
      <c r="GD1899" s="127"/>
      <c r="GE1899" s="127"/>
      <c r="GF1899" s="127"/>
      <c r="GG1899" s="127"/>
      <c r="GH1899" s="127"/>
      <c r="GI1899" s="127"/>
      <c r="GJ1899" s="127"/>
      <c r="GK1899" s="127"/>
      <c r="GL1899" s="127"/>
      <c r="GM1899" s="127"/>
      <c r="GN1899" s="127"/>
      <c r="GO1899" s="127"/>
      <c r="GP1899" s="127"/>
      <c r="GQ1899" s="127"/>
      <c r="GR1899" s="127"/>
      <c r="GS1899" s="127"/>
      <c r="GT1899" s="127"/>
      <c r="GU1899" s="127"/>
      <c r="GV1899" s="127"/>
      <c r="GW1899" s="127"/>
      <c r="GX1899" s="127"/>
      <c r="GY1899" s="127"/>
      <c r="GZ1899" s="127"/>
      <c r="HA1899" s="127"/>
      <c r="HB1899" s="127"/>
      <c r="HC1899" s="127"/>
      <c r="HD1899" s="127"/>
      <c r="HE1899" s="127"/>
      <c r="HF1899" s="127"/>
      <c r="HG1899" s="127"/>
      <c r="HH1899" s="127"/>
      <c r="HI1899" s="127"/>
      <c r="HJ1899" s="127"/>
      <c r="HK1899" s="127"/>
      <c r="HL1899" s="127"/>
      <c r="HM1899" s="127"/>
      <c r="HN1899" s="127"/>
      <c r="HO1899" s="127"/>
      <c r="HP1899" s="127"/>
      <c r="HQ1899" s="127"/>
      <c r="HR1899" s="127"/>
      <c r="HS1899" s="127"/>
      <c r="HT1899" s="127"/>
      <c r="HU1899" s="127"/>
      <c r="HV1899" s="127"/>
      <c r="HW1899" s="127"/>
      <c r="HX1899" s="127"/>
      <c r="HY1899" s="127"/>
      <c r="HZ1899" s="127"/>
      <c r="IA1899" s="127"/>
      <c r="IB1899" s="127"/>
      <c r="IC1899" s="127"/>
      <c r="ID1899" s="127"/>
      <c r="IE1899" s="127"/>
      <c r="IF1899" s="127"/>
      <c r="IG1899" s="127"/>
      <c r="IH1899" s="127"/>
      <c r="II1899" s="127"/>
      <c r="IJ1899" s="127"/>
    </row>
    <row r="1900" spans="1:244" ht="12.75" customHeight="1">
      <c r="A1900" s="118">
        <v>1899</v>
      </c>
      <c r="B1900" s="128">
        <v>21</v>
      </c>
      <c r="C1900" s="156">
        <v>37681</v>
      </c>
      <c r="D1900" s="157" t="s">
        <v>46</v>
      </c>
      <c r="E1900" s="8">
        <v>2003</v>
      </c>
      <c r="F1900" s="158"/>
      <c r="H1900" s="162"/>
      <c r="I1900" s="194"/>
      <c r="X1900" s="127"/>
      <c r="Y1900" s="127"/>
      <c r="Z1900" s="127"/>
      <c r="AA1900" s="127"/>
      <c r="AB1900" s="127"/>
      <c r="AC1900" s="127"/>
      <c r="AD1900" s="127"/>
      <c r="AE1900" s="127"/>
      <c r="AF1900" s="127"/>
      <c r="AG1900" s="127"/>
      <c r="AH1900" s="127"/>
      <c r="AI1900" s="127"/>
      <c r="AJ1900" s="127"/>
      <c r="AK1900" s="127"/>
      <c r="AL1900" s="127"/>
      <c r="AM1900" s="127"/>
      <c r="AN1900" s="127"/>
      <c r="AO1900" s="127"/>
      <c r="AP1900" s="127"/>
      <c r="AQ1900" s="127"/>
      <c r="AR1900" s="127"/>
      <c r="AS1900" s="127"/>
      <c r="AT1900" s="127"/>
      <c r="AU1900" s="127"/>
      <c r="AV1900" s="127"/>
      <c r="AW1900" s="127"/>
      <c r="AX1900" s="127"/>
      <c r="AY1900" s="127"/>
      <c r="AZ1900" s="127"/>
      <c r="BA1900" s="127"/>
      <c r="BB1900" s="127"/>
      <c r="BC1900" s="127"/>
      <c r="BD1900" s="127"/>
      <c r="BE1900" s="127"/>
      <c r="BF1900" s="127"/>
      <c r="BG1900" s="127"/>
      <c r="BH1900" s="127"/>
      <c r="BI1900" s="127"/>
      <c r="BJ1900" s="127"/>
      <c r="BK1900" s="127"/>
      <c r="BL1900" s="127"/>
      <c r="BM1900" s="127"/>
      <c r="BN1900" s="127"/>
      <c r="BO1900" s="127"/>
      <c r="BP1900" s="127"/>
      <c r="BQ1900" s="127"/>
      <c r="BR1900" s="127"/>
      <c r="BS1900" s="127"/>
      <c r="BT1900" s="127"/>
      <c r="BU1900" s="127"/>
      <c r="BV1900" s="127"/>
      <c r="BW1900" s="127"/>
      <c r="BX1900" s="127"/>
      <c r="BY1900" s="127"/>
      <c r="BZ1900" s="127"/>
      <c r="CA1900" s="127"/>
      <c r="CB1900" s="127"/>
      <c r="CC1900" s="127"/>
      <c r="CD1900" s="127"/>
      <c r="CE1900" s="127"/>
      <c r="CF1900" s="127"/>
      <c r="CG1900" s="127"/>
      <c r="CH1900" s="127"/>
      <c r="CI1900" s="127"/>
      <c r="CJ1900" s="127"/>
      <c r="CK1900" s="127"/>
      <c r="CL1900" s="127"/>
      <c r="CM1900" s="127"/>
      <c r="CN1900" s="127"/>
      <c r="CO1900" s="127"/>
      <c r="CP1900" s="127"/>
      <c r="CQ1900" s="127"/>
      <c r="CR1900" s="127"/>
      <c r="CS1900" s="127"/>
      <c r="CT1900" s="127"/>
      <c r="CU1900" s="127"/>
      <c r="CV1900" s="127"/>
      <c r="CW1900" s="127"/>
      <c r="CX1900" s="127"/>
      <c r="CY1900" s="127"/>
      <c r="CZ1900" s="127"/>
      <c r="DA1900" s="127"/>
      <c r="DB1900" s="127"/>
      <c r="DC1900" s="127"/>
      <c r="DD1900" s="127"/>
      <c r="DE1900" s="127"/>
      <c r="DF1900" s="127"/>
      <c r="DG1900" s="127"/>
      <c r="DH1900" s="127"/>
      <c r="DI1900" s="127"/>
      <c r="DJ1900" s="127"/>
      <c r="DK1900" s="127"/>
      <c r="DL1900" s="127"/>
      <c r="DM1900" s="127"/>
      <c r="DN1900" s="127"/>
      <c r="DO1900" s="127"/>
      <c r="DP1900" s="127"/>
      <c r="DQ1900" s="127"/>
      <c r="DR1900" s="127"/>
      <c r="DS1900" s="127"/>
      <c r="DT1900" s="127"/>
      <c r="DU1900" s="127"/>
      <c r="DV1900" s="127"/>
      <c r="DW1900" s="127"/>
      <c r="DX1900" s="127"/>
      <c r="DY1900" s="127"/>
      <c r="DZ1900" s="127"/>
      <c r="EA1900" s="127"/>
      <c r="EB1900" s="127"/>
      <c r="EC1900" s="127"/>
      <c r="ED1900" s="127"/>
      <c r="EE1900" s="127"/>
      <c r="EF1900" s="127"/>
      <c r="EG1900" s="127"/>
      <c r="EH1900" s="127"/>
      <c r="EI1900" s="127"/>
      <c r="EJ1900" s="127"/>
      <c r="EK1900" s="127"/>
      <c r="EL1900" s="127"/>
      <c r="EM1900" s="127"/>
      <c r="EN1900" s="127"/>
      <c r="EO1900" s="127"/>
      <c r="EP1900" s="127"/>
      <c r="EQ1900" s="127"/>
      <c r="ER1900" s="127"/>
      <c r="ES1900" s="127"/>
      <c r="ET1900" s="127"/>
      <c r="EU1900" s="127"/>
      <c r="EV1900" s="127"/>
      <c r="EW1900" s="127"/>
      <c r="EX1900" s="127"/>
      <c r="EY1900" s="127"/>
      <c r="EZ1900" s="127"/>
      <c r="FA1900" s="127"/>
      <c r="FB1900" s="127"/>
      <c r="FC1900" s="127"/>
      <c r="FD1900" s="127"/>
      <c r="FE1900" s="127"/>
      <c r="FF1900" s="127"/>
      <c r="FG1900" s="127"/>
      <c r="FH1900" s="127"/>
      <c r="FI1900" s="127"/>
      <c r="FJ1900" s="127"/>
      <c r="FK1900" s="127"/>
      <c r="FL1900" s="127"/>
      <c r="FM1900" s="127"/>
      <c r="FN1900" s="127"/>
      <c r="FO1900" s="127"/>
      <c r="FP1900" s="127"/>
      <c r="FQ1900" s="127"/>
      <c r="FR1900" s="127"/>
      <c r="FS1900" s="127"/>
      <c r="FT1900" s="127"/>
      <c r="FU1900" s="127"/>
      <c r="FV1900" s="127"/>
      <c r="FW1900" s="127"/>
      <c r="FX1900" s="127"/>
      <c r="FY1900" s="127"/>
      <c r="FZ1900" s="127"/>
      <c r="GA1900" s="127"/>
      <c r="GB1900" s="127"/>
      <c r="GC1900" s="127"/>
      <c r="GD1900" s="127"/>
      <c r="GE1900" s="127"/>
      <c r="GF1900" s="127"/>
      <c r="GG1900" s="127"/>
      <c r="GH1900" s="127"/>
      <c r="GI1900" s="127"/>
      <c r="GJ1900" s="127"/>
      <c r="GK1900" s="127"/>
      <c r="GL1900" s="127"/>
      <c r="GM1900" s="127"/>
      <c r="GN1900" s="127"/>
      <c r="GO1900" s="127"/>
      <c r="GP1900" s="127"/>
      <c r="GQ1900" s="127"/>
      <c r="GR1900" s="127"/>
      <c r="GS1900" s="127"/>
      <c r="GT1900" s="127"/>
      <c r="GU1900" s="127"/>
      <c r="GV1900" s="127"/>
      <c r="GW1900" s="127"/>
      <c r="GX1900" s="127"/>
      <c r="GY1900" s="127"/>
      <c r="GZ1900" s="127"/>
      <c r="HA1900" s="127"/>
      <c r="HB1900" s="127"/>
      <c r="HC1900" s="127"/>
      <c r="HD1900" s="127"/>
      <c r="HE1900" s="127"/>
      <c r="HF1900" s="127"/>
      <c r="HG1900" s="127"/>
      <c r="HH1900" s="127"/>
      <c r="HI1900" s="127"/>
      <c r="HJ1900" s="127"/>
      <c r="HK1900" s="127"/>
      <c r="HL1900" s="127"/>
      <c r="HM1900" s="127"/>
      <c r="HN1900" s="127"/>
      <c r="HO1900" s="127"/>
      <c r="HP1900" s="127"/>
      <c r="HQ1900" s="127"/>
      <c r="HR1900" s="127"/>
      <c r="HS1900" s="127"/>
      <c r="HT1900" s="127"/>
      <c r="HU1900" s="127"/>
      <c r="HV1900" s="127"/>
      <c r="HW1900" s="127"/>
      <c r="HX1900" s="127"/>
      <c r="HY1900" s="127"/>
      <c r="HZ1900" s="127"/>
      <c r="IA1900" s="127"/>
      <c r="IB1900" s="127"/>
      <c r="IC1900" s="127"/>
      <c r="ID1900" s="127"/>
      <c r="IE1900" s="127"/>
      <c r="IF1900" s="127"/>
      <c r="IG1900" s="127"/>
      <c r="IH1900" s="127"/>
      <c r="II1900" s="127"/>
      <c r="IJ1900" s="127"/>
    </row>
    <row r="1901" spans="1:244" ht="12.75" customHeight="1">
      <c r="A1901" s="118">
        <v>1900</v>
      </c>
      <c r="B1901" s="128">
        <v>21</v>
      </c>
      <c r="C1901" s="156">
        <v>37712</v>
      </c>
      <c r="D1901" s="157" t="s">
        <v>47</v>
      </c>
      <c r="E1901" s="8">
        <v>2003</v>
      </c>
      <c r="F1901" s="158">
        <f t="shared" ref="F1901:F1925" si="485">C1901-H1901</f>
        <v>0</v>
      </c>
      <c r="G1901" s="158">
        <f t="shared" ref="G1901:G1924" si="486">IF(F1901&lt;365,1,2)</f>
        <v>1</v>
      </c>
      <c r="H1901" s="162">
        <v>37712</v>
      </c>
      <c r="I1901" s="194">
        <v>643197</v>
      </c>
      <c r="L1901" s="165">
        <v>0</v>
      </c>
      <c r="N1901" s="528" t="s">
        <v>794</v>
      </c>
      <c r="O1901" s="165">
        <v>0</v>
      </c>
      <c r="U1901" s="161">
        <f t="shared" ref="U1901:U1925" si="487">$I1901*L1901</f>
        <v>0</v>
      </c>
      <c r="V1901" s="161">
        <f t="shared" ref="V1901:V1925" si="488">$I1901*O1901</f>
        <v>0</v>
      </c>
      <c r="W1901" s="161">
        <f t="shared" ref="W1901:W1925" si="489">V1901*0.4</f>
        <v>0</v>
      </c>
      <c r="X1901" s="127"/>
      <c r="Y1901" s="127"/>
      <c r="Z1901" s="127"/>
      <c r="AA1901" s="127"/>
      <c r="AB1901" s="127"/>
      <c r="AC1901" s="127"/>
      <c r="AD1901" s="127"/>
      <c r="AE1901" s="127"/>
      <c r="AF1901" s="127"/>
      <c r="AG1901" s="127"/>
      <c r="AH1901" s="127"/>
      <c r="AI1901" s="127"/>
      <c r="AJ1901" s="127"/>
      <c r="AK1901" s="127"/>
      <c r="AL1901" s="127"/>
      <c r="AM1901" s="127"/>
      <c r="AN1901" s="127"/>
      <c r="AO1901" s="127"/>
      <c r="AP1901" s="127"/>
      <c r="AQ1901" s="127"/>
      <c r="AR1901" s="127"/>
      <c r="AS1901" s="127"/>
      <c r="AT1901" s="127"/>
      <c r="AU1901" s="127"/>
      <c r="AV1901" s="127"/>
      <c r="AW1901" s="127"/>
      <c r="AX1901" s="127"/>
      <c r="AY1901" s="127"/>
      <c r="AZ1901" s="127"/>
      <c r="BA1901" s="127"/>
      <c r="BB1901" s="127"/>
      <c r="BC1901" s="127"/>
      <c r="BD1901" s="127"/>
      <c r="BE1901" s="127"/>
      <c r="BF1901" s="127"/>
      <c r="BG1901" s="127"/>
      <c r="BH1901" s="127"/>
      <c r="BI1901" s="127"/>
      <c r="BJ1901" s="127"/>
      <c r="BK1901" s="127"/>
      <c r="BL1901" s="127"/>
      <c r="BM1901" s="127"/>
      <c r="BN1901" s="127"/>
      <c r="BO1901" s="127"/>
      <c r="BP1901" s="127"/>
      <c r="BQ1901" s="127"/>
      <c r="BR1901" s="127"/>
      <c r="BS1901" s="127"/>
      <c r="BT1901" s="127"/>
      <c r="BU1901" s="127"/>
      <c r="BV1901" s="127"/>
      <c r="BW1901" s="127"/>
      <c r="BX1901" s="127"/>
      <c r="BY1901" s="127"/>
      <c r="BZ1901" s="127"/>
      <c r="CA1901" s="127"/>
      <c r="CB1901" s="127"/>
      <c r="CC1901" s="127"/>
      <c r="CD1901" s="127"/>
      <c r="CE1901" s="127"/>
      <c r="CF1901" s="127"/>
      <c r="CG1901" s="127"/>
      <c r="CH1901" s="127"/>
      <c r="CI1901" s="127"/>
      <c r="CJ1901" s="127"/>
      <c r="CK1901" s="127"/>
      <c r="CL1901" s="127"/>
      <c r="CM1901" s="127"/>
      <c r="CN1901" s="127"/>
      <c r="CO1901" s="127"/>
      <c r="CP1901" s="127"/>
      <c r="CQ1901" s="127"/>
      <c r="CR1901" s="127"/>
      <c r="CS1901" s="127"/>
      <c r="CT1901" s="127"/>
      <c r="CU1901" s="127"/>
      <c r="CV1901" s="127"/>
      <c r="CW1901" s="127"/>
      <c r="CX1901" s="127"/>
      <c r="CY1901" s="127"/>
      <c r="CZ1901" s="127"/>
      <c r="DA1901" s="127"/>
      <c r="DB1901" s="127"/>
      <c r="DC1901" s="127"/>
      <c r="DD1901" s="127"/>
      <c r="DE1901" s="127"/>
      <c r="DF1901" s="127"/>
      <c r="DG1901" s="127"/>
      <c r="DH1901" s="127"/>
      <c r="DI1901" s="127"/>
      <c r="DJ1901" s="127"/>
      <c r="DK1901" s="127"/>
      <c r="DL1901" s="127"/>
      <c r="DM1901" s="127"/>
      <c r="DN1901" s="127"/>
      <c r="DO1901" s="127"/>
      <c r="DP1901" s="127"/>
      <c r="DQ1901" s="127"/>
      <c r="DR1901" s="127"/>
      <c r="DS1901" s="127"/>
      <c r="DT1901" s="127"/>
      <c r="DU1901" s="127"/>
      <c r="DV1901" s="127"/>
      <c r="DW1901" s="127"/>
      <c r="DX1901" s="127"/>
      <c r="DY1901" s="127"/>
      <c r="DZ1901" s="127"/>
      <c r="EA1901" s="127"/>
      <c r="EB1901" s="127"/>
      <c r="EC1901" s="127"/>
      <c r="ED1901" s="127"/>
      <c r="EE1901" s="127"/>
      <c r="EF1901" s="127"/>
      <c r="EG1901" s="127"/>
      <c r="EH1901" s="127"/>
      <c r="EI1901" s="127"/>
      <c r="EJ1901" s="127"/>
      <c r="EK1901" s="127"/>
      <c r="EL1901" s="127"/>
      <c r="EM1901" s="127"/>
      <c r="EN1901" s="127"/>
      <c r="EO1901" s="127"/>
      <c r="EP1901" s="127"/>
      <c r="EQ1901" s="127"/>
      <c r="ER1901" s="127"/>
      <c r="ES1901" s="127"/>
      <c r="ET1901" s="127"/>
      <c r="EU1901" s="127"/>
      <c r="EV1901" s="127"/>
      <c r="EW1901" s="127"/>
      <c r="EX1901" s="127"/>
      <c r="EY1901" s="127"/>
      <c r="EZ1901" s="127"/>
      <c r="FA1901" s="127"/>
      <c r="FB1901" s="127"/>
      <c r="FC1901" s="127"/>
      <c r="FD1901" s="127"/>
      <c r="FE1901" s="127"/>
      <c r="FF1901" s="127"/>
      <c r="FG1901" s="127"/>
      <c r="FH1901" s="127"/>
      <c r="FI1901" s="127"/>
      <c r="FJ1901" s="127"/>
      <c r="FK1901" s="127"/>
      <c r="FL1901" s="127"/>
      <c r="FM1901" s="127"/>
      <c r="FN1901" s="127"/>
      <c r="FO1901" s="127"/>
      <c r="FP1901" s="127"/>
      <c r="FQ1901" s="127"/>
      <c r="FR1901" s="127"/>
      <c r="FS1901" s="127"/>
      <c r="FT1901" s="127"/>
      <c r="FU1901" s="127"/>
      <c r="FV1901" s="127"/>
      <c r="FW1901" s="127"/>
      <c r="FX1901" s="127"/>
      <c r="FY1901" s="127"/>
      <c r="FZ1901" s="127"/>
      <c r="GA1901" s="127"/>
      <c r="GB1901" s="127"/>
      <c r="GC1901" s="127"/>
      <c r="GD1901" s="127"/>
      <c r="GE1901" s="127"/>
      <c r="GF1901" s="127"/>
      <c r="GG1901" s="127"/>
      <c r="GH1901" s="127"/>
      <c r="GI1901" s="127"/>
      <c r="GJ1901" s="127"/>
      <c r="GK1901" s="127"/>
      <c r="GL1901" s="127"/>
      <c r="GM1901" s="127"/>
      <c r="GN1901" s="127"/>
      <c r="GO1901" s="127"/>
      <c r="GP1901" s="127"/>
      <c r="GQ1901" s="127"/>
      <c r="GR1901" s="127"/>
      <c r="GS1901" s="127"/>
      <c r="GT1901" s="127"/>
      <c r="GU1901" s="127"/>
      <c r="GV1901" s="127"/>
      <c r="GW1901" s="127"/>
      <c r="GX1901" s="127"/>
      <c r="GY1901" s="127"/>
      <c r="GZ1901" s="127"/>
      <c r="HA1901" s="127"/>
      <c r="HB1901" s="127"/>
      <c r="HC1901" s="127"/>
      <c r="HD1901" s="127"/>
      <c r="HE1901" s="127"/>
      <c r="HF1901" s="127"/>
      <c r="HG1901" s="127"/>
      <c r="HH1901" s="127"/>
      <c r="HI1901" s="127"/>
      <c r="HJ1901" s="127"/>
      <c r="HK1901" s="127"/>
      <c r="HL1901" s="127"/>
      <c r="HM1901" s="127"/>
      <c r="HN1901" s="127"/>
      <c r="HO1901" s="127"/>
      <c r="HP1901" s="127"/>
      <c r="HQ1901" s="127"/>
      <c r="HR1901" s="127"/>
      <c r="HS1901" s="127"/>
      <c r="HT1901" s="127"/>
      <c r="HU1901" s="127"/>
      <c r="HV1901" s="127"/>
      <c r="HW1901" s="127"/>
      <c r="HX1901" s="127"/>
      <c r="HY1901" s="127"/>
      <c r="HZ1901" s="127"/>
      <c r="IA1901" s="127"/>
      <c r="IB1901" s="127"/>
      <c r="IC1901" s="127"/>
      <c r="ID1901" s="127"/>
      <c r="IE1901" s="127"/>
      <c r="IF1901" s="127"/>
      <c r="IG1901" s="127"/>
      <c r="IH1901" s="127"/>
      <c r="II1901" s="127"/>
      <c r="IJ1901" s="127"/>
    </row>
    <row r="1902" spans="1:244" ht="12.75" customHeight="1">
      <c r="A1902" s="118">
        <v>1901</v>
      </c>
      <c r="B1902" s="128">
        <v>21</v>
      </c>
      <c r="C1902" s="156">
        <v>37742</v>
      </c>
      <c r="D1902" s="157" t="s">
        <v>48</v>
      </c>
      <c r="E1902" s="8">
        <v>2003</v>
      </c>
      <c r="F1902" s="158">
        <f t="shared" si="485"/>
        <v>30</v>
      </c>
      <c r="G1902" s="158">
        <f t="shared" si="486"/>
        <v>1</v>
      </c>
      <c r="H1902" s="162">
        <v>37712</v>
      </c>
      <c r="I1902" s="194">
        <v>639826</v>
      </c>
      <c r="J1902" s="15">
        <v>1.73</v>
      </c>
      <c r="K1902" s="15">
        <v>0.13</v>
      </c>
      <c r="L1902" s="15">
        <v>0.03</v>
      </c>
      <c r="O1902" s="15">
        <v>2.23</v>
      </c>
      <c r="Q1902" s="11">
        <v>9.6</v>
      </c>
      <c r="R1902" s="11">
        <v>28.7</v>
      </c>
      <c r="T1902" s="161">
        <f t="shared" ref="T1902:T1924" si="490">$I1902*K1902</f>
        <v>83177.38</v>
      </c>
      <c r="U1902" s="161">
        <f t="shared" si="487"/>
        <v>19194.78</v>
      </c>
      <c r="V1902" s="161">
        <f t="shared" si="488"/>
        <v>1426811.98</v>
      </c>
      <c r="W1902" s="161">
        <f t="shared" si="489"/>
        <v>570724.79200000002</v>
      </c>
      <c r="X1902" s="127"/>
      <c r="Y1902" s="127"/>
      <c r="Z1902" s="127"/>
      <c r="AA1902" s="127"/>
      <c r="AB1902" s="127"/>
      <c r="AC1902" s="127"/>
      <c r="AD1902" s="127"/>
      <c r="AE1902" s="127"/>
      <c r="AF1902" s="127"/>
      <c r="AG1902" s="127"/>
      <c r="AH1902" s="127"/>
      <c r="AI1902" s="127"/>
      <c r="AJ1902" s="127"/>
      <c r="AK1902" s="127"/>
      <c r="AL1902" s="127"/>
      <c r="AM1902" s="127"/>
      <c r="AN1902" s="127"/>
      <c r="AO1902" s="127"/>
      <c r="AP1902" s="127"/>
      <c r="AQ1902" s="127"/>
      <c r="AR1902" s="127"/>
      <c r="AS1902" s="127"/>
      <c r="AT1902" s="127"/>
      <c r="AU1902" s="127"/>
      <c r="AV1902" s="127"/>
      <c r="AW1902" s="127"/>
      <c r="AX1902" s="127"/>
      <c r="AY1902" s="127"/>
      <c r="AZ1902" s="127"/>
      <c r="BA1902" s="127"/>
      <c r="BB1902" s="127"/>
      <c r="BC1902" s="127"/>
      <c r="BD1902" s="127"/>
      <c r="BE1902" s="127"/>
      <c r="BF1902" s="127"/>
      <c r="BG1902" s="127"/>
      <c r="BH1902" s="127"/>
      <c r="BI1902" s="127"/>
      <c r="BJ1902" s="127"/>
      <c r="BK1902" s="127"/>
      <c r="BL1902" s="127"/>
      <c r="BM1902" s="127"/>
      <c r="BN1902" s="127"/>
      <c r="BO1902" s="127"/>
      <c r="BP1902" s="127"/>
      <c r="BQ1902" s="127"/>
      <c r="BR1902" s="127"/>
      <c r="BS1902" s="127"/>
      <c r="BT1902" s="127"/>
      <c r="BU1902" s="127"/>
      <c r="BV1902" s="127"/>
      <c r="BW1902" s="127"/>
      <c r="BX1902" s="127"/>
      <c r="BY1902" s="127"/>
      <c r="BZ1902" s="127"/>
      <c r="CA1902" s="127"/>
      <c r="CB1902" s="127"/>
      <c r="CC1902" s="127"/>
      <c r="CD1902" s="127"/>
      <c r="CE1902" s="127"/>
      <c r="CF1902" s="127"/>
      <c r="CG1902" s="127"/>
      <c r="CH1902" s="127"/>
      <c r="CI1902" s="127"/>
      <c r="CJ1902" s="127"/>
      <c r="CK1902" s="127"/>
      <c r="CL1902" s="127"/>
      <c r="CM1902" s="127"/>
      <c r="CN1902" s="127"/>
      <c r="CO1902" s="127"/>
      <c r="CP1902" s="127"/>
      <c r="CQ1902" s="127"/>
      <c r="CR1902" s="127"/>
      <c r="CS1902" s="127"/>
      <c r="CT1902" s="127"/>
      <c r="CU1902" s="127"/>
      <c r="CV1902" s="127"/>
      <c r="CW1902" s="127"/>
      <c r="CX1902" s="127"/>
      <c r="CY1902" s="127"/>
      <c r="CZ1902" s="127"/>
      <c r="DA1902" s="127"/>
      <c r="DB1902" s="127"/>
      <c r="DC1902" s="127"/>
      <c r="DD1902" s="127"/>
      <c r="DE1902" s="127"/>
      <c r="DF1902" s="127"/>
      <c r="DG1902" s="127"/>
      <c r="DH1902" s="127"/>
      <c r="DI1902" s="127"/>
      <c r="DJ1902" s="127"/>
      <c r="DK1902" s="127"/>
      <c r="DL1902" s="127"/>
      <c r="DM1902" s="127"/>
      <c r="DN1902" s="127"/>
      <c r="DO1902" s="127"/>
      <c r="DP1902" s="127"/>
      <c r="DQ1902" s="127"/>
      <c r="DR1902" s="127"/>
      <c r="DS1902" s="127"/>
      <c r="DT1902" s="127"/>
      <c r="DU1902" s="127"/>
      <c r="DV1902" s="127"/>
      <c r="DW1902" s="127"/>
      <c r="DX1902" s="127"/>
      <c r="DY1902" s="127"/>
      <c r="DZ1902" s="127"/>
      <c r="EA1902" s="127"/>
      <c r="EB1902" s="127"/>
      <c r="EC1902" s="127"/>
      <c r="ED1902" s="127"/>
      <c r="EE1902" s="127"/>
      <c r="EF1902" s="127"/>
      <c r="EG1902" s="127"/>
      <c r="EH1902" s="127"/>
      <c r="EI1902" s="127"/>
      <c r="EJ1902" s="127"/>
      <c r="EK1902" s="127"/>
      <c r="EL1902" s="127"/>
      <c r="EM1902" s="127"/>
      <c r="EN1902" s="127"/>
      <c r="EO1902" s="127"/>
      <c r="EP1902" s="127"/>
      <c r="EQ1902" s="127"/>
      <c r="ER1902" s="127"/>
      <c r="ES1902" s="127"/>
      <c r="ET1902" s="127"/>
      <c r="EU1902" s="127"/>
      <c r="EV1902" s="127"/>
      <c r="EW1902" s="127"/>
      <c r="EX1902" s="127"/>
      <c r="EY1902" s="127"/>
      <c r="EZ1902" s="127"/>
      <c r="FA1902" s="127"/>
      <c r="FB1902" s="127"/>
      <c r="FC1902" s="127"/>
      <c r="FD1902" s="127"/>
      <c r="FE1902" s="127"/>
      <c r="FF1902" s="127"/>
      <c r="FG1902" s="127"/>
      <c r="FH1902" s="127"/>
      <c r="FI1902" s="127"/>
      <c r="FJ1902" s="127"/>
      <c r="FK1902" s="127"/>
      <c r="FL1902" s="127"/>
      <c r="FM1902" s="127"/>
      <c r="FN1902" s="127"/>
      <c r="FO1902" s="127"/>
      <c r="FP1902" s="127"/>
      <c r="FQ1902" s="127"/>
      <c r="FR1902" s="127"/>
      <c r="FS1902" s="127"/>
      <c r="FT1902" s="127"/>
      <c r="FU1902" s="127"/>
      <c r="FV1902" s="127"/>
      <c r="FW1902" s="127"/>
      <c r="FX1902" s="127"/>
      <c r="FY1902" s="127"/>
      <c r="FZ1902" s="127"/>
      <c r="GA1902" s="127"/>
      <c r="GB1902" s="127"/>
      <c r="GC1902" s="127"/>
      <c r="GD1902" s="127"/>
      <c r="GE1902" s="127"/>
      <c r="GF1902" s="127"/>
      <c r="GG1902" s="127"/>
      <c r="GH1902" s="127"/>
      <c r="GI1902" s="127"/>
      <c r="GJ1902" s="127"/>
      <c r="GK1902" s="127"/>
      <c r="GL1902" s="127"/>
      <c r="GM1902" s="127"/>
      <c r="GN1902" s="127"/>
      <c r="GO1902" s="127"/>
      <c r="GP1902" s="127"/>
      <c r="GQ1902" s="127"/>
      <c r="GR1902" s="127"/>
      <c r="GS1902" s="127"/>
      <c r="GT1902" s="127"/>
      <c r="GU1902" s="127"/>
      <c r="GV1902" s="127"/>
      <c r="GW1902" s="127"/>
      <c r="GX1902" s="127"/>
      <c r="GY1902" s="127"/>
      <c r="GZ1902" s="127"/>
      <c r="HA1902" s="127"/>
      <c r="HB1902" s="127"/>
      <c r="HC1902" s="127"/>
      <c r="HD1902" s="127"/>
      <c r="HE1902" s="127"/>
      <c r="HF1902" s="127"/>
      <c r="HG1902" s="127"/>
      <c r="HH1902" s="127"/>
      <c r="HI1902" s="127"/>
      <c r="HJ1902" s="127"/>
      <c r="HK1902" s="127"/>
      <c r="HL1902" s="127"/>
      <c r="HM1902" s="127"/>
      <c r="HN1902" s="127"/>
      <c r="HO1902" s="127"/>
      <c r="HP1902" s="127"/>
      <c r="HQ1902" s="127"/>
      <c r="HR1902" s="127"/>
      <c r="HS1902" s="127"/>
      <c r="HT1902" s="127"/>
      <c r="HU1902" s="127"/>
      <c r="HV1902" s="127"/>
      <c r="HW1902" s="127"/>
      <c r="HX1902" s="127"/>
      <c r="HY1902" s="127"/>
      <c r="HZ1902" s="127"/>
      <c r="IA1902" s="127"/>
      <c r="IB1902" s="127"/>
      <c r="IC1902" s="127"/>
      <c r="ID1902" s="127"/>
      <c r="IE1902" s="127"/>
      <c r="IF1902" s="127"/>
      <c r="IG1902" s="127"/>
      <c r="IH1902" s="127"/>
      <c r="II1902" s="127"/>
      <c r="IJ1902" s="127"/>
    </row>
    <row r="1903" spans="1:244" ht="12.75" customHeight="1">
      <c r="A1903" s="118">
        <v>1902</v>
      </c>
      <c r="B1903" s="128">
        <v>21</v>
      </c>
      <c r="C1903" s="156">
        <v>37773</v>
      </c>
      <c r="D1903" s="157" t="s">
        <v>49</v>
      </c>
      <c r="E1903" s="8">
        <v>2003</v>
      </c>
      <c r="F1903" s="158">
        <f t="shared" si="485"/>
        <v>61</v>
      </c>
      <c r="G1903" s="158">
        <f t="shared" si="486"/>
        <v>1</v>
      </c>
      <c r="H1903" s="162">
        <v>37712</v>
      </c>
      <c r="I1903" s="194">
        <v>630567</v>
      </c>
      <c r="J1903" s="15">
        <v>0.23</v>
      </c>
      <c r="K1903" s="15">
        <v>0.1</v>
      </c>
      <c r="L1903" s="15">
        <v>0</v>
      </c>
      <c r="M1903" s="174">
        <v>0</v>
      </c>
      <c r="O1903" s="15">
        <v>0.33</v>
      </c>
      <c r="Q1903" s="11">
        <v>11.5</v>
      </c>
      <c r="R1903" s="11">
        <v>18.3</v>
      </c>
      <c r="T1903" s="161">
        <f t="shared" si="490"/>
        <v>63056.700000000004</v>
      </c>
      <c r="U1903" s="161">
        <f t="shared" si="487"/>
        <v>0</v>
      </c>
      <c r="V1903" s="161">
        <f t="shared" si="488"/>
        <v>208087.11000000002</v>
      </c>
      <c r="W1903" s="161">
        <f t="shared" si="489"/>
        <v>83234.844000000012</v>
      </c>
      <c r="X1903" s="127"/>
      <c r="Y1903" s="127"/>
      <c r="Z1903" s="127"/>
      <c r="AA1903" s="127"/>
      <c r="AB1903" s="127"/>
      <c r="AC1903" s="127"/>
      <c r="AD1903" s="127"/>
      <c r="AE1903" s="127"/>
      <c r="AF1903" s="127"/>
      <c r="AG1903" s="127"/>
      <c r="AH1903" s="127"/>
      <c r="AI1903" s="127"/>
      <c r="AJ1903" s="127"/>
      <c r="AK1903" s="127"/>
      <c r="AL1903" s="127"/>
      <c r="AM1903" s="127"/>
      <c r="AN1903" s="127"/>
      <c r="AO1903" s="127"/>
      <c r="AP1903" s="127"/>
      <c r="AQ1903" s="127"/>
      <c r="AR1903" s="127"/>
      <c r="AS1903" s="127"/>
      <c r="AT1903" s="127"/>
      <c r="AU1903" s="127"/>
      <c r="AV1903" s="127"/>
      <c r="AW1903" s="127"/>
      <c r="AX1903" s="127"/>
      <c r="AY1903" s="127"/>
      <c r="AZ1903" s="127"/>
      <c r="BA1903" s="127"/>
      <c r="BB1903" s="127"/>
      <c r="BC1903" s="127"/>
      <c r="BD1903" s="127"/>
      <c r="BE1903" s="127"/>
      <c r="BF1903" s="127"/>
      <c r="BG1903" s="127"/>
      <c r="BH1903" s="127"/>
      <c r="BI1903" s="127"/>
      <c r="BJ1903" s="127"/>
      <c r="BK1903" s="127"/>
      <c r="BL1903" s="127"/>
      <c r="BM1903" s="127"/>
      <c r="BN1903" s="127"/>
      <c r="BO1903" s="127"/>
      <c r="BP1903" s="127"/>
      <c r="BQ1903" s="127"/>
      <c r="BR1903" s="127"/>
      <c r="BS1903" s="127"/>
      <c r="BT1903" s="127"/>
      <c r="BU1903" s="127"/>
      <c r="BV1903" s="127"/>
      <c r="BW1903" s="127"/>
      <c r="BX1903" s="127"/>
      <c r="BY1903" s="127"/>
      <c r="BZ1903" s="127"/>
      <c r="CA1903" s="127"/>
      <c r="CB1903" s="127"/>
      <c r="CC1903" s="127"/>
      <c r="CD1903" s="127"/>
      <c r="CE1903" s="127"/>
      <c r="CF1903" s="127"/>
      <c r="CG1903" s="127"/>
      <c r="CH1903" s="127"/>
      <c r="CI1903" s="127"/>
      <c r="CJ1903" s="127"/>
      <c r="CK1903" s="127"/>
      <c r="CL1903" s="127"/>
      <c r="CM1903" s="127"/>
      <c r="CN1903" s="127"/>
      <c r="CO1903" s="127"/>
      <c r="CP1903" s="127"/>
      <c r="CQ1903" s="127"/>
      <c r="CR1903" s="127"/>
      <c r="CS1903" s="127"/>
      <c r="CT1903" s="127"/>
      <c r="CU1903" s="127"/>
      <c r="CV1903" s="127"/>
      <c r="CW1903" s="127"/>
      <c r="CX1903" s="127"/>
      <c r="CY1903" s="127"/>
      <c r="CZ1903" s="127"/>
      <c r="DA1903" s="127"/>
      <c r="DB1903" s="127"/>
      <c r="DC1903" s="127"/>
      <c r="DD1903" s="127"/>
      <c r="DE1903" s="127"/>
      <c r="DF1903" s="127"/>
      <c r="DG1903" s="127"/>
      <c r="DH1903" s="127"/>
      <c r="DI1903" s="127"/>
      <c r="DJ1903" s="127"/>
      <c r="DK1903" s="127"/>
      <c r="DL1903" s="127"/>
      <c r="DM1903" s="127"/>
      <c r="DN1903" s="127"/>
      <c r="DO1903" s="127"/>
      <c r="DP1903" s="127"/>
      <c r="DQ1903" s="127"/>
      <c r="DR1903" s="127"/>
      <c r="DS1903" s="127"/>
      <c r="DT1903" s="127"/>
      <c r="DU1903" s="127"/>
      <c r="DV1903" s="127"/>
      <c r="DW1903" s="127"/>
      <c r="DX1903" s="127"/>
      <c r="DY1903" s="127"/>
      <c r="DZ1903" s="127"/>
      <c r="EA1903" s="127"/>
      <c r="EB1903" s="127"/>
      <c r="EC1903" s="127"/>
      <c r="ED1903" s="127"/>
      <c r="EE1903" s="127"/>
      <c r="EF1903" s="127"/>
      <c r="EG1903" s="127"/>
      <c r="EH1903" s="127"/>
      <c r="EI1903" s="127"/>
      <c r="EJ1903" s="127"/>
      <c r="EK1903" s="127"/>
      <c r="EL1903" s="127"/>
      <c r="EM1903" s="127"/>
      <c r="EN1903" s="127"/>
      <c r="EO1903" s="127"/>
      <c r="EP1903" s="127"/>
      <c r="EQ1903" s="127"/>
      <c r="ER1903" s="127"/>
      <c r="ES1903" s="127"/>
      <c r="ET1903" s="127"/>
      <c r="EU1903" s="127"/>
      <c r="EV1903" s="127"/>
      <c r="EW1903" s="127"/>
      <c r="EX1903" s="127"/>
      <c r="EY1903" s="127"/>
      <c r="EZ1903" s="127"/>
      <c r="FA1903" s="127"/>
      <c r="FB1903" s="127"/>
      <c r="FC1903" s="127"/>
      <c r="FD1903" s="127"/>
      <c r="FE1903" s="127"/>
      <c r="FF1903" s="127"/>
      <c r="FG1903" s="127"/>
      <c r="FH1903" s="127"/>
      <c r="FI1903" s="127"/>
      <c r="FJ1903" s="127"/>
      <c r="FK1903" s="127"/>
      <c r="FL1903" s="127"/>
      <c r="FM1903" s="127"/>
      <c r="FN1903" s="127"/>
      <c r="FO1903" s="127"/>
      <c r="FP1903" s="127"/>
      <c r="FQ1903" s="127"/>
      <c r="FR1903" s="127"/>
      <c r="FS1903" s="127"/>
      <c r="FT1903" s="127"/>
      <c r="FU1903" s="127"/>
      <c r="FV1903" s="127"/>
      <c r="FW1903" s="127"/>
      <c r="FX1903" s="127"/>
      <c r="FY1903" s="127"/>
      <c r="FZ1903" s="127"/>
      <c r="GA1903" s="127"/>
      <c r="GB1903" s="127"/>
      <c r="GC1903" s="127"/>
      <c r="GD1903" s="127"/>
      <c r="GE1903" s="127"/>
      <c r="GF1903" s="127"/>
      <c r="GG1903" s="127"/>
      <c r="GH1903" s="127"/>
      <c r="GI1903" s="127"/>
      <c r="GJ1903" s="127"/>
      <c r="GK1903" s="127"/>
      <c r="GL1903" s="127"/>
      <c r="GM1903" s="127"/>
      <c r="GN1903" s="127"/>
      <c r="GO1903" s="127"/>
      <c r="GP1903" s="127"/>
      <c r="GQ1903" s="127"/>
      <c r="GR1903" s="127"/>
      <c r="GS1903" s="127"/>
      <c r="GT1903" s="127"/>
      <c r="GU1903" s="127"/>
      <c r="GV1903" s="127"/>
      <c r="GW1903" s="127"/>
      <c r="GX1903" s="127"/>
      <c r="GY1903" s="127"/>
      <c r="GZ1903" s="127"/>
      <c r="HA1903" s="127"/>
      <c r="HB1903" s="127"/>
      <c r="HC1903" s="127"/>
      <c r="HD1903" s="127"/>
      <c r="HE1903" s="127"/>
      <c r="HF1903" s="127"/>
      <c r="HG1903" s="127"/>
      <c r="HH1903" s="127"/>
      <c r="HI1903" s="127"/>
      <c r="HJ1903" s="127"/>
      <c r="HK1903" s="127"/>
      <c r="HL1903" s="127"/>
      <c r="HM1903" s="127"/>
      <c r="HN1903" s="127"/>
      <c r="HO1903" s="127"/>
      <c r="HP1903" s="127"/>
      <c r="HQ1903" s="127"/>
      <c r="HR1903" s="127"/>
      <c r="HS1903" s="127"/>
      <c r="HT1903" s="127"/>
      <c r="HU1903" s="127"/>
      <c r="HV1903" s="127"/>
      <c r="HW1903" s="127"/>
      <c r="HX1903" s="127"/>
      <c r="HY1903" s="127"/>
      <c r="HZ1903" s="127"/>
      <c r="IA1903" s="127"/>
      <c r="IB1903" s="127"/>
      <c r="IC1903" s="127"/>
      <c r="ID1903" s="127"/>
      <c r="IE1903" s="127"/>
      <c r="IF1903" s="127"/>
      <c r="IG1903" s="127"/>
      <c r="IH1903" s="127"/>
      <c r="II1903" s="127"/>
      <c r="IJ1903" s="127"/>
    </row>
    <row r="1904" spans="1:244" ht="12.75" customHeight="1">
      <c r="A1904" s="118">
        <v>1903</v>
      </c>
      <c r="B1904" s="128">
        <v>21</v>
      </c>
      <c r="C1904" s="156">
        <v>37803</v>
      </c>
      <c r="D1904" s="157" t="s">
        <v>50</v>
      </c>
      <c r="E1904" s="8">
        <v>2003</v>
      </c>
      <c r="F1904" s="158">
        <f t="shared" si="485"/>
        <v>91</v>
      </c>
      <c r="G1904" s="158">
        <f t="shared" si="486"/>
        <v>1</v>
      </c>
      <c r="H1904" s="162">
        <v>37712</v>
      </c>
      <c r="I1904" s="198">
        <v>630000</v>
      </c>
      <c r="J1904" s="15">
        <v>0.1</v>
      </c>
      <c r="K1904" s="15">
        <v>0.2</v>
      </c>
      <c r="L1904" s="15">
        <v>0</v>
      </c>
      <c r="M1904" s="174">
        <v>0</v>
      </c>
      <c r="O1904" s="15">
        <v>0</v>
      </c>
      <c r="Q1904" s="11">
        <v>11.2</v>
      </c>
      <c r="R1904" s="11">
        <v>11</v>
      </c>
      <c r="T1904" s="161">
        <f t="shared" si="490"/>
        <v>126000</v>
      </c>
      <c r="U1904" s="161">
        <f t="shared" si="487"/>
        <v>0</v>
      </c>
      <c r="V1904" s="161">
        <f t="shared" si="488"/>
        <v>0</v>
      </c>
      <c r="W1904" s="161">
        <f t="shared" si="489"/>
        <v>0</v>
      </c>
      <c r="X1904" s="127"/>
      <c r="Y1904" s="127"/>
      <c r="Z1904" s="127"/>
      <c r="AA1904" s="127"/>
      <c r="AB1904" s="127"/>
      <c r="AC1904" s="127"/>
      <c r="AD1904" s="127"/>
      <c r="AE1904" s="127"/>
      <c r="AF1904" s="127"/>
      <c r="AG1904" s="127"/>
      <c r="AH1904" s="127"/>
      <c r="AI1904" s="127"/>
      <c r="AJ1904" s="127"/>
      <c r="AK1904" s="127"/>
      <c r="AL1904" s="127"/>
      <c r="AM1904" s="127"/>
      <c r="AN1904" s="127"/>
      <c r="AO1904" s="127"/>
      <c r="AP1904" s="127"/>
      <c r="AQ1904" s="127"/>
      <c r="AR1904" s="127"/>
      <c r="AS1904" s="127"/>
      <c r="AT1904" s="127"/>
      <c r="AU1904" s="127"/>
      <c r="AV1904" s="127"/>
      <c r="AW1904" s="127"/>
      <c r="AX1904" s="127"/>
      <c r="AY1904" s="127"/>
      <c r="AZ1904" s="127"/>
      <c r="BA1904" s="127"/>
      <c r="BB1904" s="127"/>
      <c r="BC1904" s="127"/>
      <c r="BD1904" s="127"/>
      <c r="BE1904" s="127"/>
      <c r="BF1904" s="127"/>
      <c r="BG1904" s="127"/>
      <c r="BH1904" s="127"/>
      <c r="BI1904" s="127"/>
      <c r="BJ1904" s="127"/>
      <c r="BK1904" s="127"/>
      <c r="BL1904" s="127"/>
      <c r="BM1904" s="127"/>
      <c r="BN1904" s="127"/>
      <c r="BO1904" s="127"/>
      <c r="BP1904" s="127"/>
      <c r="BQ1904" s="127"/>
      <c r="BR1904" s="127"/>
      <c r="BS1904" s="127"/>
      <c r="BT1904" s="127"/>
      <c r="BU1904" s="127"/>
      <c r="BV1904" s="127"/>
      <c r="BW1904" s="127"/>
      <c r="BX1904" s="127"/>
      <c r="BY1904" s="127"/>
      <c r="BZ1904" s="127"/>
      <c r="CA1904" s="127"/>
      <c r="CB1904" s="127"/>
      <c r="CC1904" s="127"/>
      <c r="CD1904" s="127"/>
      <c r="CE1904" s="127"/>
      <c r="CF1904" s="127"/>
      <c r="CG1904" s="127"/>
      <c r="CH1904" s="127"/>
      <c r="CI1904" s="127"/>
      <c r="CJ1904" s="127"/>
      <c r="CK1904" s="127"/>
      <c r="CL1904" s="127"/>
      <c r="CM1904" s="127"/>
      <c r="CN1904" s="127"/>
      <c r="CO1904" s="127"/>
      <c r="CP1904" s="127"/>
      <c r="CQ1904" s="127"/>
      <c r="CR1904" s="127"/>
      <c r="CS1904" s="127"/>
      <c r="CT1904" s="127"/>
      <c r="CU1904" s="127"/>
      <c r="CV1904" s="127"/>
      <c r="CW1904" s="127"/>
      <c r="CX1904" s="127"/>
      <c r="CY1904" s="127"/>
      <c r="CZ1904" s="127"/>
      <c r="DA1904" s="127"/>
      <c r="DB1904" s="127"/>
      <c r="DC1904" s="127"/>
      <c r="DD1904" s="127"/>
      <c r="DE1904" s="127"/>
      <c r="DF1904" s="127"/>
      <c r="DG1904" s="127"/>
      <c r="DH1904" s="127"/>
      <c r="DI1904" s="127"/>
      <c r="DJ1904" s="127"/>
      <c r="DK1904" s="127"/>
      <c r="DL1904" s="127"/>
      <c r="DM1904" s="127"/>
      <c r="DN1904" s="127"/>
      <c r="DO1904" s="127"/>
      <c r="DP1904" s="127"/>
      <c r="DQ1904" s="127"/>
      <c r="DR1904" s="127"/>
      <c r="DS1904" s="127"/>
      <c r="DT1904" s="127"/>
      <c r="DU1904" s="127"/>
      <c r="DV1904" s="127"/>
      <c r="DW1904" s="127"/>
      <c r="DX1904" s="127"/>
      <c r="DY1904" s="127"/>
      <c r="DZ1904" s="127"/>
      <c r="EA1904" s="127"/>
      <c r="EB1904" s="127"/>
      <c r="EC1904" s="127"/>
      <c r="ED1904" s="127"/>
      <c r="EE1904" s="127"/>
      <c r="EF1904" s="127"/>
      <c r="EG1904" s="127"/>
      <c r="EH1904" s="127"/>
      <c r="EI1904" s="127"/>
      <c r="EJ1904" s="127"/>
      <c r="EK1904" s="127"/>
      <c r="EL1904" s="127"/>
      <c r="EM1904" s="127"/>
      <c r="EN1904" s="127"/>
      <c r="EO1904" s="127"/>
      <c r="EP1904" s="127"/>
      <c r="EQ1904" s="127"/>
      <c r="ER1904" s="127"/>
      <c r="ES1904" s="127"/>
      <c r="ET1904" s="127"/>
      <c r="EU1904" s="127"/>
      <c r="EV1904" s="127"/>
      <c r="EW1904" s="127"/>
      <c r="EX1904" s="127"/>
      <c r="EY1904" s="127"/>
      <c r="EZ1904" s="127"/>
      <c r="FA1904" s="127"/>
      <c r="FB1904" s="127"/>
      <c r="FC1904" s="127"/>
      <c r="FD1904" s="127"/>
      <c r="FE1904" s="127"/>
      <c r="FF1904" s="127"/>
      <c r="FG1904" s="127"/>
      <c r="FH1904" s="127"/>
      <c r="FI1904" s="127"/>
      <c r="FJ1904" s="127"/>
      <c r="FK1904" s="127"/>
      <c r="FL1904" s="127"/>
      <c r="FM1904" s="127"/>
      <c r="FN1904" s="127"/>
      <c r="FO1904" s="127"/>
      <c r="FP1904" s="127"/>
      <c r="FQ1904" s="127"/>
      <c r="FR1904" s="127"/>
      <c r="FS1904" s="127"/>
      <c r="FT1904" s="127"/>
      <c r="FU1904" s="127"/>
      <c r="FV1904" s="127"/>
      <c r="FW1904" s="127"/>
      <c r="FX1904" s="127"/>
      <c r="FY1904" s="127"/>
      <c r="FZ1904" s="127"/>
      <c r="GA1904" s="127"/>
      <c r="GB1904" s="127"/>
      <c r="GC1904" s="127"/>
      <c r="GD1904" s="127"/>
      <c r="GE1904" s="127"/>
      <c r="GF1904" s="127"/>
      <c r="GG1904" s="127"/>
      <c r="GH1904" s="127"/>
      <c r="GI1904" s="127"/>
      <c r="GJ1904" s="127"/>
      <c r="GK1904" s="127"/>
      <c r="GL1904" s="127"/>
      <c r="GM1904" s="127"/>
      <c r="GN1904" s="127"/>
      <c r="GO1904" s="127"/>
      <c r="GP1904" s="127"/>
      <c r="GQ1904" s="127"/>
      <c r="GR1904" s="127"/>
      <c r="GS1904" s="127"/>
      <c r="GT1904" s="127"/>
      <c r="GU1904" s="127"/>
      <c r="GV1904" s="127"/>
      <c r="GW1904" s="127"/>
      <c r="GX1904" s="127"/>
      <c r="GY1904" s="127"/>
      <c r="GZ1904" s="127"/>
      <c r="HA1904" s="127"/>
      <c r="HB1904" s="127"/>
      <c r="HC1904" s="127"/>
      <c r="HD1904" s="127"/>
      <c r="HE1904" s="127"/>
      <c r="HF1904" s="127"/>
      <c r="HG1904" s="127"/>
      <c r="HH1904" s="127"/>
      <c r="HI1904" s="127"/>
      <c r="HJ1904" s="127"/>
      <c r="HK1904" s="127"/>
      <c r="HL1904" s="127"/>
      <c r="HM1904" s="127"/>
      <c r="HN1904" s="127"/>
      <c r="HO1904" s="127"/>
      <c r="HP1904" s="127"/>
      <c r="HQ1904" s="127"/>
      <c r="HR1904" s="127"/>
      <c r="HS1904" s="127"/>
      <c r="HT1904" s="127"/>
      <c r="HU1904" s="127"/>
      <c r="HV1904" s="127"/>
      <c r="HW1904" s="127"/>
      <c r="HX1904" s="127"/>
      <c r="HY1904" s="127"/>
      <c r="HZ1904" s="127"/>
      <c r="IA1904" s="127"/>
      <c r="IB1904" s="127"/>
      <c r="IC1904" s="127"/>
      <c r="ID1904" s="127"/>
      <c r="IE1904" s="127"/>
      <c r="IF1904" s="127"/>
      <c r="IG1904" s="127"/>
      <c r="IH1904" s="127"/>
      <c r="II1904" s="127"/>
      <c r="IJ1904" s="127"/>
    </row>
    <row r="1905" spans="1:244" ht="12.75" customHeight="1">
      <c r="A1905" s="118">
        <v>1904</v>
      </c>
      <c r="B1905" s="128">
        <v>21</v>
      </c>
      <c r="C1905" s="156">
        <v>37834</v>
      </c>
      <c r="D1905" s="157" t="s">
        <v>51</v>
      </c>
      <c r="E1905" s="8">
        <v>2003</v>
      </c>
      <c r="F1905" s="158">
        <f t="shared" si="485"/>
        <v>122</v>
      </c>
      <c r="G1905" s="158">
        <f t="shared" si="486"/>
        <v>1</v>
      </c>
      <c r="H1905" s="162">
        <v>37712</v>
      </c>
      <c r="I1905" s="198">
        <v>625000</v>
      </c>
      <c r="J1905" s="15">
        <v>0.2</v>
      </c>
      <c r="K1905" s="15">
        <v>0.3</v>
      </c>
      <c r="L1905" s="15">
        <v>0.1</v>
      </c>
      <c r="M1905" s="174">
        <v>0</v>
      </c>
      <c r="O1905" s="15">
        <v>0.2</v>
      </c>
      <c r="Q1905" s="11">
        <v>9.1999999999999993</v>
      </c>
      <c r="R1905" s="11">
        <v>16</v>
      </c>
      <c r="T1905" s="161">
        <f t="shared" si="490"/>
        <v>187500</v>
      </c>
      <c r="U1905" s="161">
        <f t="shared" si="487"/>
        <v>62500</v>
      </c>
      <c r="V1905" s="161">
        <f t="shared" si="488"/>
        <v>125000</v>
      </c>
      <c r="W1905" s="161">
        <f t="shared" si="489"/>
        <v>50000</v>
      </c>
      <c r="X1905" s="127"/>
      <c r="Y1905" s="127"/>
      <c r="Z1905" s="127"/>
      <c r="AA1905" s="127"/>
      <c r="AB1905" s="127"/>
      <c r="AC1905" s="127"/>
      <c r="AD1905" s="127"/>
      <c r="AE1905" s="127"/>
      <c r="AF1905" s="127"/>
      <c r="AG1905" s="127"/>
      <c r="AH1905" s="127"/>
      <c r="AI1905" s="127"/>
      <c r="AJ1905" s="127"/>
      <c r="AK1905" s="127"/>
      <c r="AL1905" s="127"/>
      <c r="AM1905" s="127"/>
      <c r="AN1905" s="127"/>
      <c r="AO1905" s="127"/>
      <c r="AP1905" s="127"/>
      <c r="AQ1905" s="127"/>
      <c r="AR1905" s="127"/>
      <c r="AS1905" s="127"/>
      <c r="AT1905" s="127"/>
      <c r="AU1905" s="127"/>
      <c r="AV1905" s="127"/>
      <c r="AW1905" s="127"/>
      <c r="AX1905" s="127"/>
      <c r="AY1905" s="127"/>
      <c r="AZ1905" s="127"/>
      <c r="BA1905" s="127"/>
      <c r="BB1905" s="127"/>
      <c r="BC1905" s="127"/>
      <c r="BD1905" s="127"/>
      <c r="BE1905" s="127"/>
      <c r="BF1905" s="127"/>
      <c r="BG1905" s="127"/>
      <c r="BH1905" s="127"/>
      <c r="BI1905" s="127"/>
      <c r="BJ1905" s="127"/>
      <c r="BK1905" s="127"/>
      <c r="BL1905" s="127"/>
      <c r="BM1905" s="127"/>
      <c r="BN1905" s="127"/>
      <c r="BO1905" s="127"/>
      <c r="BP1905" s="127"/>
      <c r="BQ1905" s="127"/>
      <c r="BR1905" s="127"/>
      <c r="BS1905" s="127"/>
      <c r="BT1905" s="127"/>
      <c r="BU1905" s="127"/>
      <c r="BV1905" s="127"/>
      <c r="BW1905" s="127"/>
      <c r="BX1905" s="127"/>
      <c r="BY1905" s="127"/>
      <c r="BZ1905" s="127"/>
      <c r="CA1905" s="127"/>
      <c r="CB1905" s="127"/>
      <c r="CC1905" s="127"/>
      <c r="CD1905" s="127"/>
      <c r="CE1905" s="127"/>
      <c r="CF1905" s="127"/>
      <c r="CG1905" s="127"/>
      <c r="CH1905" s="127"/>
      <c r="CI1905" s="127"/>
      <c r="CJ1905" s="127"/>
      <c r="CK1905" s="127"/>
      <c r="CL1905" s="127"/>
      <c r="CM1905" s="127"/>
      <c r="CN1905" s="127"/>
      <c r="CO1905" s="127"/>
      <c r="CP1905" s="127"/>
      <c r="CQ1905" s="127"/>
      <c r="CR1905" s="127"/>
      <c r="CS1905" s="127"/>
      <c r="CT1905" s="127"/>
      <c r="CU1905" s="127"/>
      <c r="CV1905" s="127"/>
      <c r="CW1905" s="127"/>
      <c r="CX1905" s="127"/>
      <c r="CY1905" s="127"/>
      <c r="CZ1905" s="127"/>
      <c r="DA1905" s="127"/>
      <c r="DB1905" s="127"/>
      <c r="DC1905" s="127"/>
      <c r="DD1905" s="127"/>
      <c r="DE1905" s="127"/>
      <c r="DF1905" s="127"/>
      <c r="DG1905" s="127"/>
      <c r="DH1905" s="127"/>
      <c r="DI1905" s="127"/>
      <c r="DJ1905" s="127"/>
      <c r="DK1905" s="127"/>
      <c r="DL1905" s="127"/>
      <c r="DM1905" s="127"/>
      <c r="DN1905" s="127"/>
      <c r="DO1905" s="127"/>
      <c r="DP1905" s="127"/>
      <c r="DQ1905" s="127"/>
      <c r="DR1905" s="127"/>
      <c r="DS1905" s="127"/>
      <c r="DT1905" s="127"/>
      <c r="DU1905" s="127"/>
      <c r="DV1905" s="127"/>
      <c r="DW1905" s="127"/>
      <c r="DX1905" s="127"/>
      <c r="DY1905" s="127"/>
      <c r="DZ1905" s="127"/>
      <c r="EA1905" s="127"/>
      <c r="EB1905" s="127"/>
      <c r="EC1905" s="127"/>
      <c r="ED1905" s="127"/>
      <c r="EE1905" s="127"/>
      <c r="EF1905" s="127"/>
      <c r="EG1905" s="127"/>
      <c r="EH1905" s="127"/>
      <c r="EI1905" s="127"/>
      <c r="EJ1905" s="127"/>
      <c r="EK1905" s="127"/>
      <c r="EL1905" s="127"/>
      <c r="EM1905" s="127"/>
      <c r="EN1905" s="127"/>
      <c r="EO1905" s="127"/>
      <c r="EP1905" s="127"/>
      <c r="EQ1905" s="127"/>
      <c r="ER1905" s="127"/>
      <c r="ES1905" s="127"/>
      <c r="ET1905" s="127"/>
      <c r="EU1905" s="127"/>
      <c r="EV1905" s="127"/>
      <c r="EW1905" s="127"/>
      <c r="EX1905" s="127"/>
      <c r="EY1905" s="127"/>
      <c r="EZ1905" s="127"/>
      <c r="FA1905" s="127"/>
      <c r="FB1905" s="127"/>
      <c r="FC1905" s="127"/>
      <c r="FD1905" s="127"/>
      <c r="FE1905" s="127"/>
      <c r="FF1905" s="127"/>
      <c r="FG1905" s="127"/>
      <c r="FH1905" s="127"/>
      <c r="FI1905" s="127"/>
      <c r="FJ1905" s="127"/>
      <c r="FK1905" s="127"/>
      <c r="FL1905" s="127"/>
      <c r="FM1905" s="127"/>
      <c r="FN1905" s="127"/>
      <c r="FO1905" s="127"/>
      <c r="FP1905" s="127"/>
      <c r="FQ1905" s="127"/>
      <c r="FR1905" s="127"/>
      <c r="FS1905" s="127"/>
      <c r="FT1905" s="127"/>
      <c r="FU1905" s="127"/>
      <c r="FV1905" s="127"/>
      <c r="FW1905" s="127"/>
      <c r="FX1905" s="127"/>
      <c r="FY1905" s="127"/>
      <c r="FZ1905" s="127"/>
      <c r="GA1905" s="127"/>
      <c r="GB1905" s="127"/>
      <c r="GC1905" s="127"/>
      <c r="GD1905" s="127"/>
      <c r="GE1905" s="127"/>
      <c r="GF1905" s="127"/>
      <c r="GG1905" s="127"/>
      <c r="GH1905" s="127"/>
      <c r="GI1905" s="127"/>
      <c r="GJ1905" s="127"/>
      <c r="GK1905" s="127"/>
      <c r="GL1905" s="127"/>
      <c r="GM1905" s="127"/>
      <c r="GN1905" s="127"/>
      <c r="GO1905" s="127"/>
      <c r="GP1905" s="127"/>
      <c r="GQ1905" s="127"/>
      <c r="GR1905" s="127"/>
      <c r="GS1905" s="127"/>
      <c r="GT1905" s="127"/>
      <c r="GU1905" s="127"/>
      <c r="GV1905" s="127"/>
      <c r="GW1905" s="127"/>
      <c r="GX1905" s="127"/>
      <c r="GY1905" s="127"/>
      <c r="GZ1905" s="127"/>
      <c r="HA1905" s="127"/>
      <c r="HB1905" s="127"/>
      <c r="HC1905" s="127"/>
      <c r="HD1905" s="127"/>
      <c r="HE1905" s="127"/>
      <c r="HF1905" s="127"/>
      <c r="HG1905" s="127"/>
      <c r="HH1905" s="127"/>
      <c r="HI1905" s="127"/>
      <c r="HJ1905" s="127"/>
      <c r="HK1905" s="127"/>
      <c r="HL1905" s="127"/>
      <c r="HM1905" s="127"/>
      <c r="HN1905" s="127"/>
      <c r="HO1905" s="127"/>
      <c r="HP1905" s="127"/>
      <c r="HQ1905" s="127"/>
      <c r="HR1905" s="127"/>
      <c r="HS1905" s="127"/>
      <c r="HT1905" s="127"/>
      <c r="HU1905" s="127"/>
      <c r="HV1905" s="127"/>
      <c r="HW1905" s="127"/>
      <c r="HX1905" s="127"/>
      <c r="HY1905" s="127"/>
      <c r="HZ1905" s="127"/>
      <c r="IA1905" s="127"/>
      <c r="IB1905" s="127"/>
      <c r="IC1905" s="127"/>
      <c r="ID1905" s="127"/>
      <c r="IE1905" s="127"/>
      <c r="IF1905" s="127"/>
      <c r="IG1905" s="127"/>
      <c r="IH1905" s="127"/>
      <c r="II1905" s="127"/>
      <c r="IJ1905" s="127"/>
    </row>
    <row r="1906" spans="1:244">
      <c r="A1906" s="118">
        <v>1905</v>
      </c>
      <c r="B1906" s="128">
        <v>21</v>
      </c>
      <c r="C1906" s="156">
        <v>37865</v>
      </c>
      <c r="D1906" s="157" t="s">
        <v>52</v>
      </c>
      <c r="E1906" s="8">
        <v>2003</v>
      </c>
      <c r="F1906" s="158">
        <f t="shared" si="485"/>
        <v>153</v>
      </c>
      <c r="G1906" s="158">
        <f t="shared" si="486"/>
        <v>1</v>
      </c>
      <c r="H1906" s="162">
        <v>37712</v>
      </c>
      <c r="I1906" s="198">
        <v>620000</v>
      </c>
      <c r="J1906" s="15">
        <v>0</v>
      </c>
      <c r="K1906" s="15">
        <v>0.3</v>
      </c>
      <c r="L1906" s="15">
        <v>0.1</v>
      </c>
      <c r="M1906" s="174">
        <v>0</v>
      </c>
      <c r="O1906" s="15">
        <v>0.1</v>
      </c>
      <c r="Q1906" s="11">
        <v>8.8000000000000007</v>
      </c>
      <c r="R1906" s="11">
        <v>21</v>
      </c>
      <c r="T1906" s="161">
        <f t="shared" si="490"/>
        <v>186000</v>
      </c>
      <c r="U1906" s="161">
        <f t="shared" si="487"/>
        <v>62000</v>
      </c>
      <c r="V1906" s="161">
        <f t="shared" si="488"/>
        <v>62000</v>
      </c>
      <c r="W1906" s="161">
        <f t="shared" si="489"/>
        <v>24800</v>
      </c>
      <c r="X1906" s="127"/>
      <c r="Y1906" s="127"/>
      <c r="Z1906" s="127"/>
      <c r="AA1906" s="127"/>
      <c r="AB1906" s="127"/>
      <c r="AC1906" s="127"/>
      <c r="AD1906" s="127"/>
      <c r="AE1906" s="127"/>
      <c r="AF1906" s="127"/>
      <c r="AG1906" s="127"/>
      <c r="AH1906" s="127"/>
      <c r="AI1906" s="127"/>
      <c r="AJ1906" s="127"/>
      <c r="AK1906" s="127"/>
      <c r="AL1906" s="127"/>
      <c r="AM1906" s="127"/>
      <c r="AN1906" s="127"/>
      <c r="AO1906" s="127"/>
      <c r="AP1906" s="127"/>
      <c r="AQ1906" s="127"/>
      <c r="AR1906" s="127"/>
      <c r="AS1906" s="127"/>
      <c r="AT1906" s="127"/>
      <c r="AU1906" s="127"/>
      <c r="AV1906" s="127"/>
      <c r="AW1906" s="127"/>
      <c r="AX1906" s="127"/>
      <c r="AY1906" s="127"/>
      <c r="AZ1906" s="127"/>
      <c r="BA1906" s="127"/>
      <c r="BB1906" s="127"/>
      <c r="BC1906" s="127"/>
      <c r="BD1906" s="127"/>
      <c r="BE1906" s="127"/>
      <c r="BF1906" s="127"/>
      <c r="BG1906" s="127"/>
      <c r="BH1906" s="127"/>
      <c r="BI1906" s="127"/>
      <c r="BJ1906" s="127"/>
      <c r="BK1906" s="127"/>
      <c r="BL1906" s="127"/>
      <c r="BM1906" s="127"/>
      <c r="BN1906" s="127"/>
      <c r="BO1906" s="127"/>
      <c r="BP1906" s="127"/>
      <c r="BQ1906" s="127"/>
      <c r="BR1906" s="127"/>
      <c r="BS1906" s="127"/>
      <c r="BT1906" s="127"/>
      <c r="BU1906" s="127"/>
      <c r="BV1906" s="127"/>
      <c r="BW1906" s="127"/>
      <c r="BX1906" s="127"/>
      <c r="BY1906" s="127"/>
      <c r="BZ1906" s="127"/>
      <c r="CA1906" s="127"/>
      <c r="CB1906" s="127"/>
      <c r="CC1906" s="127"/>
      <c r="CD1906" s="127"/>
      <c r="CE1906" s="127"/>
      <c r="CF1906" s="127"/>
      <c r="CG1906" s="127"/>
      <c r="CH1906" s="127"/>
      <c r="CI1906" s="127"/>
      <c r="CJ1906" s="127"/>
      <c r="CK1906" s="127"/>
      <c r="CL1906" s="127"/>
      <c r="CM1906" s="127"/>
      <c r="CN1906" s="127"/>
      <c r="CO1906" s="127"/>
      <c r="CP1906" s="127"/>
      <c r="CQ1906" s="127"/>
      <c r="CR1906" s="127"/>
      <c r="CS1906" s="127"/>
      <c r="CT1906" s="127"/>
      <c r="CU1906" s="127"/>
      <c r="CV1906" s="127"/>
      <c r="CW1906" s="127"/>
      <c r="CX1906" s="127"/>
      <c r="CY1906" s="127"/>
      <c r="CZ1906" s="127"/>
      <c r="DA1906" s="127"/>
      <c r="DB1906" s="127"/>
      <c r="DC1906" s="127"/>
      <c r="DD1906" s="127"/>
      <c r="DE1906" s="127"/>
      <c r="DF1906" s="127"/>
      <c r="DG1906" s="127"/>
      <c r="DH1906" s="127"/>
      <c r="DI1906" s="127"/>
      <c r="DJ1906" s="127"/>
      <c r="DK1906" s="127"/>
      <c r="DL1906" s="127"/>
      <c r="DM1906" s="127"/>
      <c r="DN1906" s="127"/>
      <c r="DO1906" s="127"/>
      <c r="DP1906" s="127"/>
      <c r="DQ1906" s="127"/>
      <c r="DR1906" s="127"/>
      <c r="DS1906" s="127"/>
      <c r="DT1906" s="127"/>
      <c r="DU1906" s="127"/>
      <c r="DV1906" s="127"/>
      <c r="DW1906" s="127"/>
      <c r="DX1906" s="127"/>
      <c r="DY1906" s="127"/>
      <c r="DZ1906" s="127"/>
      <c r="EA1906" s="127"/>
      <c r="EB1906" s="127"/>
      <c r="EC1906" s="127"/>
      <c r="ED1906" s="127"/>
      <c r="EE1906" s="127"/>
      <c r="EF1906" s="127"/>
      <c r="EG1906" s="127"/>
      <c r="EH1906" s="127"/>
      <c r="EI1906" s="127"/>
      <c r="EJ1906" s="127"/>
      <c r="EK1906" s="127"/>
      <c r="EL1906" s="127"/>
      <c r="EM1906" s="127"/>
      <c r="EN1906" s="127"/>
      <c r="EO1906" s="127"/>
      <c r="EP1906" s="127"/>
      <c r="EQ1906" s="127"/>
      <c r="ER1906" s="127"/>
      <c r="ES1906" s="127"/>
      <c r="ET1906" s="127"/>
      <c r="EU1906" s="127"/>
      <c r="EV1906" s="127"/>
      <c r="EW1906" s="127"/>
      <c r="EX1906" s="127"/>
      <c r="EY1906" s="127"/>
      <c r="EZ1906" s="127"/>
      <c r="FA1906" s="127"/>
      <c r="FB1906" s="127"/>
      <c r="FC1906" s="127"/>
      <c r="FD1906" s="127"/>
      <c r="FE1906" s="127"/>
      <c r="FF1906" s="127"/>
      <c r="FG1906" s="127"/>
      <c r="FH1906" s="127"/>
      <c r="FI1906" s="127"/>
      <c r="FJ1906" s="127"/>
      <c r="FK1906" s="127"/>
      <c r="FL1906" s="127"/>
      <c r="FM1906" s="127"/>
      <c r="FN1906" s="127"/>
      <c r="FO1906" s="127"/>
      <c r="FP1906" s="127"/>
      <c r="FQ1906" s="127"/>
      <c r="FR1906" s="127"/>
      <c r="FS1906" s="127"/>
      <c r="FT1906" s="127"/>
      <c r="FU1906" s="127"/>
      <c r="FV1906" s="127"/>
      <c r="FW1906" s="127"/>
      <c r="FX1906" s="127"/>
      <c r="FY1906" s="127"/>
      <c r="FZ1906" s="127"/>
      <c r="GA1906" s="127"/>
      <c r="GB1906" s="127"/>
      <c r="GC1906" s="127"/>
      <c r="GD1906" s="127"/>
      <c r="GE1906" s="127"/>
      <c r="GF1906" s="127"/>
      <c r="GG1906" s="127"/>
      <c r="GH1906" s="127"/>
      <c r="GI1906" s="127"/>
      <c r="GJ1906" s="127"/>
      <c r="GK1906" s="127"/>
      <c r="GL1906" s="127"/>
      <c r="GM1906" s="127"/>
      <c r="GN1906" s="127"/>
      <c r="GO1906" s="127"/>
      <c r="GP1906" s="127"/>
      <c r="GQ1906" s="127"/>
      <c r="GR1906" s="127"/>
      <c r="GS1906" s="127"/>
      <c r="GT1906" s="127"/>
      <c r="GU1906" s="127"/>
      <c r="GV1906" s="127"/>
      <c r="GW1906" s="127"/>
      <c r="GX1906" s="127"/>
      <c r="GY1906" s="127"/>
      <c r="GZ1906" s="127"/>
      <c r="HA1906" s="127"/>
      <c r="HB1906" s="127"/>
      <c r="HC1906" s="127"/>
      <c r="HD1906" s="127"/>
      <c r="HE1906" s="127"/>
      <c r="HF1906" s="127"/>
      <c r="HG1906" s="127"/>
      <c r="HH1906" s="127"/>
      <c r="HI1906" s="127"/>
      <c r="HJ1906" s="127"/>
      <c r="HK1906" s="127"/>
      <c r="HL1906" s="127"/>
      <c r="HM1906" s="127"/>
      <c r="HN1906" s="127"/>
      <c r="HO1906" s="127"/>
      <c r="HP1906" s="127"/>
      <c r="HQ1906" s="127"/>
      <c r="HR1906" s="127"/>
      <c r="HS1906" s="127"/>
      <c r="HT1906" s="127"/>
      <c r="HU1906" s="127"/>
      <c r="HV1906" s="127"/>
      <c r="HW1906" s="127"/>
      <c r="HX1906" s="127"/>
      <c r="HY1906" s="127"/>
      <c r="HZ1906" s="127"/>
      <c r="IA1906" s="127"/>
      <c r="IB1906" s="127"/>
      <c r="IC1906" s="127"/>
      <c r="ID1906" s="127"/>
      <c r="IE1906" s="127"/>
      <c r="IF1906" s="127"/>
      <c r="IG1906" s="127"/>
      <c r="IH1906" s="127"/>
      <c r="II1906" s="127"/>
      <c r="IJ1906" s="127"/>
    </row>
    <row r="1907" spans="1:244" ht="12.75" customHeight="1">
      <c r="A1907" s="118">
        <v>1906</v>
      </c>
      <c r="B1907" s="128">
        <v>21</v>
      </c>
      <c r="C1907" s="156">
        <v>37895</v>
      </c>
      <c r="D1907" s="157" t="s">
        <v>53</v>
      </c>
      <c r="E1907" s="8">
        <v>2003</v>
      </c>
      <c r="F1907" s="158">
        <f t="shared" si="485"/>
        <v>183</v>
      </c>
      <c r="G1907" s="158">
        <f t="shared" si="486"/>
        <v>1</v>
      </c>
      <c r="H1907" s="162">
        <v>37712</v>
      </c>
      <c r="I1907" s="198">
        <v>615000</v>
      </c>
      <c r="J1907" s="15">
        <v>0.03</v>
      </c>
      <c r="K1907" s="15">
        <v>0.33</v>
      </c>
      <c r="L1907" s="15">
        <v>0.1</v>
      </c>
      <c r="M1907" s="174">
        <v>0</v>
      </c>
      <c r="O1907" s="15">
        <v>7.0000000000000007E-2</v>
      </c>
      <c r="Q1907" s="11">
        <v>8.8000000000000007</v>
      </c>
      <c r="T1907" s="161">
        <f t="shared" si="490"/>
        <v>202950</v>
      </c>
      <c r="U1907" s="161">
        <f t="shared" si="487"/>
        <v>61500</v>
      </c>
      <c r="V1907" s="161">
        <f t="shared" si="488"/>
        <v>43050.000000000007</v>
      </c>
      <c r="W1907" s="161">
        <f t="shared" si="489"/>
        <v>17220.000000000004</v>
      </c>
      <c r="X1907" s="127"/>
      <c r="Y1907" s="127"/>
      <c r="Z1907" s="127"/>
      <c r="AA1907" s="127"/>
      <c r="AB1907" s="127"/>
      <c r="AC1907" s="127"/>
      <c r="AD1907" s="127"/>
      <c r="AE1907" s="127"/>
      <c r="AF1907" s="127"/>
      <c r="AG1907" s="127"/>
      <c r="AH1907" s="127"/>
      <c r="AI1907" s="127"/>
      <c r="AJ1907" s="127"/>
      <c r="AK1907" s="127"/>
      <c r="AL1907" s="127"/>
      <c r="AM1907" s="127"/>
      <c r="AN1907" s="127"/>
      <c r="AO1907" s="127"/>
      <c r="AP1907" s="127"/>
      <c r="AQ1907" s="127"/>
      <c r="AR1907" s="127"/>
      <c r="AS1907" s="127"/>
      <c r="AT1907" s="127"/>
      <c r="AU1907" s="127"/>
      <c r="AV1907" s="127"/>
      <c r="AW1907" s="127"/>
      <c r="AX1907" s="127"/>
      <c r="AY1907" s="127"/>
      <c r="AZ1907" s="127"/>
      <c r="BA1907" s="127"/>
      <c r="BB1907" s="127"/>
      <c r="BC1907" s="127"/>
      <c r="BD1907" s="127"/>
      <c r="BE1907" s="127"/>
      <c r="BF1907" s="127"/>
      <c r="BG1907" s="127"/>
      <c r="BH1907" s="127"/>
      <c r="BI1907" s="127"/>
      <c r="BJ1907" s="127"/>
      <c r="BK1907" s="127"/>
      <c r="BL1907" s="127"/>
      <c r="BM1907" s="127"/>
      <c r="BN1907" s="127"/>
      <c r="BO1907" s="127"/>
      <c r="BP1907" s="127"/>
      <c r="BQ1907" s="127"/>
      <c r="BR1907" s="127"/>
      <c r="BS1907" s="127"/>
      <c r="BT1907" s="127"/>
      <c r="BU1907" s="127"/>
      <c r="BV1907" s="127"/>
      <c r="BW1907" s="127"/>
      <c r="BX1907" s="127"/>
      <c r="BY1907" s="127"/>
      <c r="BZ1907" s="127"/>
      <c r="CA1907" s="127"/>
      <c r="CB1907" s="127"/>
      <c r="CC1907" s="127"/>
      <c r="CD1907" s="127"/>
      <c r="CE1907" s="127"/>
      <c r="CF1907" s="127"/>
      <c r="CG1907" s="127"/>
      <c r="CH1907" s="127"/>
      <c r="CI1907" s="127"/>
      <c r="CJ1907" s="127"/>
      <c r="CK1907" s="127"/>
      <c r="CL1907" s="127"/>
      <c r="CM1907" s="127"/>
      <c r="CN1907" s="127"/>
      <c r="CO1907" s="127"/>
      <c r="CP1907" s="127"/>
      <c r="CQ1907" s="127"/>
      <c r="CR1907" s="127"/>
      <c r="CS1907" s="127"/>
      <c r="CT1907" s="127"/>
      <c r="CU1907" s="127"/>
      <c r="CV1907" s="127"/>
      <c r="CW1907" s="127"/>
      <c r="CX1907" s="127"/>
      <c r="CY1907" s="127"/>
      <c r="CZ1907" s="127"/>
      <c r="DA1907" s="127"/>
      <c r="DB1907" s="127"/>
      <c r="DC1907" s="127"/>
      <c r="DD1907" s="127"/>
      <c r="DE1907" s="127"/>
      <c r="DF1907" s="127"/>
      <c r="DG1907" s="127"/>
      <c r="DH1907" s="127"/>
      <c r="DI1907" s="127"/>
      <c r="DJ1907" s="127"/>
      <c r="DK1907" s="127"/>
      <c r="DL1907" s="127"/>
      <c r="DM1907" s="127"/>
      <c r="DN1907" s="127"/>
      <c r="DO1907" s="127"/>
      <c r="DP1907" s="127"/>
      <c r="DQ1907" s="127"/>
      <c r="DR1907" s="127"/>
      <c r="DS1907" s="127"/>
      <c r="DT1907" s="127"/>
      <c r="DU1907" s="127"/>
      <c r="DV1907" s="127"/>
      <c r="DW1907" s="127"/>
      <c r="DX1907" s="127"/>
      <c r="DY1907" s="127"/>
      <c r="DZ1907" s="127"/>
      <c r="EA1907" s="127"/>
      <c r="EB1907" s="127"/>
      <c r="EC1907" s="127"/>
      <c r="ED1907" s="127"/>
      <c r="EE1907" s="127"/>
      <c r="EF1907" s="127"/>
      <c r="EG1907" s="127"/>
      <c r="EH1907" s="127"/>
      <c r="EI1907" s="127"/>
      <c r="EJ1907" s="127"/>
      <c r="EK1907" s="127"/>
      <c r="EL1907" s="127"/>
      <c r="EM1907" s="127"/>
      <c r="EN1907" s="127"/>
      <c r="EO1907" s="127"/>
      <c r="EP1907" s="127"/>
      <c r="EQ1907" s="127"/>
      <c r="ER1907" s="127"/>
      <c r="ES1907" s="127"/>
      <c r="ET1907" s="127"/>
      <c r="EU1907" s="127"/>
      <c r="EV1907" s="127"/>
      <c r="EW1907" s="127"/>
      <c r="EX1907" s="127"/>
      <c r="EY1907" s="127"/>
      <c r="EZ1907" s="127"/>
      <c r="FA1907" s="127"/>
      <c r="FB1907" s="127"/>
      <c r="FC1907" s="127"/>
      <c r="FD1907" s="127"/>
      <c r="FE1907" s="127"/>
      <c r="FF1907" s="127"/>
      <c r="FG1907" s="127"/>
      <c r="FH1907" s="127"/>
      <c r="FI1907" s="127"/>
      <c r="FJ1907" s="127"/>
      <c r="FK1907" s="127"/>
      <c r="FL1907" s="127"/>
      <c r="FM1907" s="127"/>
      <c r="FN1907" s="127"/>
      <c r="FO1907" s="127"/>
      <c r="FP1907" s="127"/>
      <c r="FQ1907" s="127"/>
      <c r="FR1907" s="127"/>
      <c r="FS1907" s="127"/>
      <c r="FT1907" s="127"/>
      <c r="FU1907" s="127"/>
      <c r="FV1907" s="127"/>
      <c r="FW1907" s="127"/>
      <c r="FX1907" s="127"/>
      <c r="FY1907" s="127"/>
      <c r="FZ1907" s="127"/>
      <c r="GA1907" s="127"/>
      <c r="GB1907" s="127"/>
      <c r="GC1907" s="127"/>
      <c r="GD1907" s="127"/>
      <c r="GE1907" s="127"/>
      <c r="GF1907" s="127"/>
      <c r="GG1907" s="127"/>
      <c r="GH1907" s="127"/>
      <c r="GI1907" s="127"/>
      <c r="GJ1907" s="127"/>
      <c r="GK1907" s="127"/>
      <c r="GL1907" s="127"/>
      <c r="GM1907" s="127"/>
      <c r="GN1907" s="127"/>
      <c r="GO1907" s="127"/>
      <c r="GP1907" s="127"/>
      <c r="GQ1907" s="127"/>
      <c r="GR1907" s="127"/>
      <c r="GS1907" s="127"/>
      <c r="GT1907" s="127"/>
      <c r="GU1907" s="127"/>
      <c r="GV1907" s="127"/>
      <c r="GW1907" s="127"/>
      <c r="GX1907" s="127"/>
      <c r="GY1907" s="127"/>
      <c r="GZ1907" s="127"/>
      <c r="HA1907" s="127"/>
      <c r="HB1907" s="127"/>
      <c r="HC1907" s="127"/>
      <c r="HD1907" s="127"/>
      <c r="HE1907" s="127"/>
      <c r="HF1907" s="127"/>
      <c r="HG1907" s="127"/>
      <c r="HH1907" s="127"/>
      <c r="HI1907" s="127"/>
      <c r="HJ1907" s="127"/>
      <c r="HK1907" s="127"/>
      <c r="HL1907" s="127"/>
      <c r="HM1907" s="127"/>
      <c r="HN1907" s="127"/>
      <c r="HO1907" s="127"/>
      <c r="HP1907" s="127"/>
      <c r="HQ1907" s="127"/>
      <c r="HR1907" s="127"/>
      <c r="HS1907" s="127"/>
      <c r="HT1907" s="127"/>
      <c r="HU1907" s="127"/>
      <c r="HV1907" s="127"/>
      <c r="HW1907" s="127"/>
      <c r="HX1907" s="127"/>
      <c r="HY1907" s="127"/>
      <c r="HZ1907" s="127"/>
      <c r="IA1907" s="127"/>
      <c r="IB1907" s="127"/>
      <c r="IC1907" s="127"/>
      <c r="ID1907" s="127"/>
      <c r="IE1907" s="127"/>
      <c r="IF1907" s="127"/>
      <c r="IG1907" s="127"/>
      <c r="IH1907" s="127"/>
      <c r="II1907" s="127"/>
      <c r="IJ1907" s="127"/>
    </row>
    <row r="1908" spans="1:244">
      <c r="A1908" s="118">
        <v>1907</v>
      </c>
      <c r="B1908" s="128">
        <v>21</v>
      </c>
      <c r="C1908" s="156">
        <v>37926</v>
      </c>
      <c r="D1908" s="157" t="s">
        <v>54</v>
      </c>
      <c r="E1908" s="8">
        <v>2003</v>
      </c>
      <c r="F1908" s="158">
        <f t="shared" si="485"/>
        <v>214</v>
      </c>
      <c r="G1908" s="158">
        <f t="shared" si="486"/>
        <v>1</v>
      </c>
      <c r="H1908" s="162">
        <v>37712</v>
      </c>
      <c r="I1908" s="198">
        <v>611000</v>
      </c>
      <c r="J1908" s="15">
        <v>7.0000000000000007E-2</v>
      </c>
      <c r="K1908" s="15">
        <v>0.7</v>
      </c>
      <c r="L1908" s="15">
        <v>0.25</v>
      </c>
      <c r="O1908" s="15">
        <v>0</v>
      </c>
      <c r="Q1908" s="11">
        <v>7.6</v>
      </c>
      <c r="R1908" s="11">
        <v>30</v>
      </c>
      <c r="T1908" s="161">
        <f t="shared" si="490"/>
        <v>427700</v>
      </c>
      <c r="U1908" s="161">
        <f t="shared" si="487"/>
        <v>152750</v>
      </c>
      <c r="V1908" s="161">
        <f t="shared" si="488"/>
        <v>0</v>
      </c>
      <c r="W1908" s="161">
        <f t="shared" si="489"/>
        <v>0</v>
      </c>
    </row>
    <row r="1909" spans="1:244">
      <c r="A1909" s="118">
        <v>1908</v>
      </c>
      <c r="B1909" s="128">
        <v>21</v>
      </c>
      <c r="C1909" s="156">
        <v>37956</v>
      </c>
      <c r="D1909" s="157" t="s">
        <v>55</v>
      </c>
      <c r="E1909" s="8">
        <v>2003</v>
      </c>
      <c r="F1909" s="158">
        <f t="shared" si="485"/>
        <v>244</v>
      </c>
      <c r="G1909" s="158">
        <f t="shared" si="486"/>
        <v>1</v>
      </c>
      <c r="H1909" s="162">
        <v>37712</v>
      </c>
      <c r="I1909" s="194">
        <v>607900</v>
      </c>
      <c r="J1909" s="173"/>
      <c r="K1909" s="165">
        <f>(K1908+K1910)/2</f>
        <v>0.88500000000000001</v>
      </c>
      <c r="L1909" s="165">
        <f>(L1908+L1910)/2</f>
        <v>0.26</v>
      </c>
      <c r="N1909" s="528">
        <v>1</v>
      </c>
      <c r="O1909" s="165">
        <f>(O1908+O1910)/2</f>
        <v>3.5000000000000003E-2</v>
      </c>
      <c r="T1909" s="161">
        <f t="shared" si="490"/>
        <v>537991.5</v>
      </c>
      <c r="U1909" s="161">
        <f t="shared" si="487"/>
        <v>158054</v>
      </c>
      <c r="V1909" s="161">
        <f t="shared" si="488"/>
        <v>21276.500000000004</v>
      </c>
      <c r="W1909" s="161">
        <f t="shared" si="489"/>
        <v>8510.6000000000022</v>
      </c>
    </row>
    <row r="1910" spans="1:244">
      <c r="A1910" s="118">
        <v>1909</v>
      </c>
      <c r="B1910" s="128">
        <v>21</v>
      </c>
      <c r="C1910" s="156">
        <v>37987</v>
      </c>
      <c r="D1910" s="157" t="s">
        <v>44</v>
      </c>
      <c r="E1910" s="8">
        <v>2004</v>
      </c>
      <c r="F1910" s="158">
        <f t="shared" si="485"/>
        <v>275</v>
      </c>
      <c r="G1910" s="158">
        <f t="shared" si="486"/>
        <v>1</v>
      </c>
      <c r="H1910" s="162">
        <v>37712</v>
      </c>
      <c r="I1910" s="198">
        <v>607000</v>
      </c>
      <c r="J1910" s="15">
        <v>0.13</v>
      </c>
      <c r="K1910" s="15">
        <v>1.07</v>
      </c>
      <c r="L1910" s="15">
        <v>0.27</v>
      </c>
      <c r="O1910" s="15">
        <v>7.0000000000000007E-2</v>
      </c>
      <c r="Q1910" s="11">
        <v>7.1</v>
      </c>
      <c r="R1910" s="11">
        <v>30</v>
      </c>
      <c r="T1910" s="161">
        <f t="shared" si="490"/>
        <v>649490</v>
      </c>
      <c r="U1910" s="161">
        <f t="shared" si="487"/>
        <v>163890</v>
      </c>
      <c r="V1910" s="161">
        <f t="shared" si="488"/>
        <v>42490.000000000007</v>
      </c>
      <c r="W1910" s="161">
        <f t="shared" si="489"/>
        <v>16996.000000000004</v>
      </c>
    </row>
    <row r="1911" spans="1:244">
      <c r="A1911" s="118">
        <v>1910</v>
      </c>
      <c r="B1911" s="128">
        <v>21</v>
      </c>
      <c r="C1911" s="156">
        <v>38018</v>
      </c>
      <c r="D1911" s="157" t="s">
        <v>45</v>
      </c>
      <c r="E1911" s="8">
        <v>2004</v>
      </c>
      <c r="F1911" s="158">
        <f t="shared" si="485"/>
        <v>306</v>
      </c>
      <c r="G1911" s="158">
        <f t="shared" si="486"/>
        <v>1</v>
      </c>
      <c r="H1911" s="162">
        <v>37712</v>
      </c>
      <c r="I1911" s="198">
        <v>606000</v>
      </c>
      <c r="J1911" s="15">
        <v>0.3</v>
      </c>
      <c r="K1911" s="15">
        <v>2.4</v>
      </c>
      <c r="L1911" s="15">
        <v>0.8</v>
      </c>
      <c r="M1911" s="174">
        <v>0</v>
      </c>
      <c r="O1911" s="15">
        <v>0.5</v>
      </c>
      <c r="Q1911" s="11">
        <v>6.6</v>
      </c>
      <c r="R1911" s="11">
        <v>28</v>
      </c>
      <c r="T1911" s="161">
        <f t="shared" si="490"/>
        <v>1454400</v>
      </c>
      <c r="U1911" s="161">
        <f t="shared" si="487"/>
        <v>484800</v>
      </c>
      <c r="V1911" s="161">
        <f t="shared" si="488"/>
        <v>303000</v>
      </c>
      <c r="W1911" s="161">
        <f t="shared" si="489"/>
        <v>121200</v>
      </c>
    </row>
    <row r="1912" spans="1:244">
      <c r="A1912" s="118">
        <v>1911</v>
      </c>
      <c r="B1912" s="128">
        <v>21</v>
      </c>
      <c r="C1912" s="156">
        <v>38047</v>
      </c>
      <c r="D1912" s="157" t="s">
        <v>46</v>
      </c>
      <c r="E1912" s="8">
        <v>2004</v>
      </c>
      <c r="F1912" s="158">
        <f t="shared" si="485"/>
        <v>335</v>
      </c>
      <c r="G1912" s="158">
        <f t="shared" si="486"/>
        <v>1</v>
      </c>
      <c r="H1912" s="162">
        <v>37712</v>
      </c>
      <c r="I1912" s="194">
        <v>605343</v>
      </c>
      <c r="J1912" s="15">
        <v>0.7</v>
      </c>
      <c r="K1912" s="15">
        <v>2.4</v>
      </c>
      <c r="L1912" s="15">
        <v>1</v>
      </c>
      <c r="M1912" s="174">
        <v>0</v>
      </c>
      <c r="O1912" s="15">
        <v>0.5</v>
      </c>
      <c r="Q1912" s="11">
        <v>7.2</v>
      </c>
      <c r="R1912" s="11">
        <v>29</v>
      </c>
      <c r="T1912" s="161">
        <f t="shared" si="490"/>
        <v>1452823.2</v>
      </c>
      <c r="U1912" s="161">
        <f t="shared" si="487"/>
        <v>605343</v>
      </c>
      <c r="V1912" s="161">
        <f t="shared" si="488"/>
        <v>302671.5</v>
      </c>
      <c r="W1912" s="161">
        <f t="shared" si="489"/>
        <v>121068.6</v>
      </c>
    </row>
    <row r="1913" spans="1:244">
      <c r="A1913" s="118">
        <v>1912</v>
      </c>
      <c r="B1913" s="128">
        <v>21</v>
      </c>
      <c r="C1913" s="156">
        <v>38078</v>
      </c>
      <c r="D1913" s="157" t="s">
        <v>47</v>
      </c>
      <c r="E1913" s="8">
        <v>2004</v>
      </c>
      <c r="F1913" s="158">
        <f t="shared" si="485"/>
        <v>366</v>
      </c>
      <c r="G1913" s="158">
        <f t="shared" si="486"/>
        <v>2</v>
      </c>
      <c r="H1913" s="162">
        <v>37712</v>
      </c>
      <c r="I1913" s="194">
        <v>603918</v>
      </c>
      <c r="J1913" s="15">
        <v>7.67</v>
      </c>
      <c r="K1913" s="15">
        <v>6.74</v>
      </c>
      <c r="L1913" s="15">
        <v>1.45</v>
      </c>
      <c r="M1913" s="174">
        <v>0</v>
      </c>
      <c r="O1913" s="15">
        <v>2</v>
      </c>
      <c r="Q1913" s="11">
        <v>9.8000000000000007</v>
      </c>
      <c r="R1913" s="11">
        <v>31</v>
      </c>
      <c r="T1913" s="161">
        <f t="shared" si="490"/>
        <v>4070407.3200000003</v>
      </c>
      <c r="U1913" s="161">
        <f t="shared" si="487"/>
        <v>875681.1</v>
      </c>
      <c r="V1913" s="161">
        <f t="shared" si="488"/>
        <v>1207836</v>
      </c>
      <c r="W1913" s="161">
        <f t="shared" si="489"/>
        <v>483134.4</v>
      </c>
    </row>
    <row r="1914" spans="1:244">
      <c r="A1914" s="118">
        <v>1913</v>
      </c>
      <c r="B1914" s="128">
        <v>21</v>
      </c>
      <c r="C1914" s="156">
        <v>38108</v>
      </c>
      <c r="D1914" s="157" t="s">
        <v>48</v>
      </c>
      <c r="E1914" s="8">
        <v>2004</v>
      </c>
      <c r="F1914" s="158">
        <f t="shared" si="485"/>
        <v>396</v>
      </c>
      <c r="G1914" s="158">
        <f t="shared" si="486"/>
        <v>2</v>
      </c>
      <c r="H1914" s="162">
        <v>37712</v>
      </c>
      <c r="I1914" s="194">
        <v>603135</v>
      </c>
      <c r="J1914" s="15">
        <v>0.9</v>
      </c>
      <c r="K1914" s="15">
        <v>6.36</v>
      </c>
      <c r="L1914" s="15">
        <v>2.3199999999999998</v>
      </c>
      <c r="M1914" s="174">
        <v>2</v>
      </c>
      <c r="O1914" s="15">
        <v>0.65</v>
      </c>
      <c r="P1914" s="8">
        <v>1</v>
      </c>
      <c r="T1914" s="161">
        <f t="shared" si="490"/>
        <v>3835938.6</v>
      </c>
      <c r="U1914" s="161">
        <f t="shared" si="487"/>
        <v>1399273.2</v>
      </c>
      <c r="V1914" s="161">
        <f t="shared" si="488"/>
        <v>392037.75</v>
      </c>
      <c r="W1914" s="161">
        <f t="shared" si="489"/>
        <v>156815.1</v>
      </c>
    </row>
    <row r="1915" spans="1:244">
      <c r="A1915" s="118">
        <v>1914</v>
      </c>
      <c r="B1915" s="128">
        <v>21</v>
      </c>
      <c r="C1915" s="156">
        <v>38139</v>
      </c>
      <c r="D1915" s="157" t="s">
        <v>49</v>
      </c>
      <c r="E1915" s="8">
        <v>2004</v>
      </c>
      <c r="F1915" s="158">
        <f t="shared" si="485"/>
        <v>427</v>
      </c>
      <c r="G1915" s="158">
        <f t="shared" si="486"/>
        <v>2</v>
      </c>
      <c r="H1915" s="162">
        <v>37712</v>
      </c>
      <c r="I1915" s="194">
        <v>600436</v>
      </c>
      <c r="J1915" s="15">
        <v>0</v>
      </c>
      <c r="K1915" s="15">
        <v>1.3</v>
      </c>
      <c r="L1915" s="15">
        <v>0.85</v>
      </c>
      <c r="M1915" s="174">
        <v>0</v>
      </c>
      <c r="O1915" s="15">
        <v>0</v>
      </c>
      <c r="Q1915" s="11">
        <v>10.25</v>
      </c>
      <c r="R1915" s="11">
        <v>24.5</v>
      </c>
      <c r="T1915" s="161">
        <f t="shared" si="490"/>
        <v>780566.8</v>
      </c>
      <c r="U1915" s="161">
        <f t="shared" si="487"/>
        <v>510370.6</v>
      </c>
      <c r="V1915" s="161">
        <f t="shared" si="488"/>
        <v>0</v>
      </c>
      <c r="W1915" s="161">
        <f t="shared" si="489"/>
        <v>0</v>
      </c>
    </row>
    <row r="1916" spans="1:244">
      <c r="A1916" s="118">
        <v>1915</v>
      </c>
      <c r="B1916" s="128">
        <v>21</v>
      </c>
      <c r="C1916" s="156">
        <v>38169</v>
      </c>
      <c r="D1916" s="157" t="s">
        <v>50</v>
      </c>
      <c r="E1916" s="8">
        <v>2004</v>
      </c>
      <c r="F1916" s="158">
        <f t="shared" si="485"/>
        <v>457</v>
      </c>
      <c r="G1916" s="158">
        <f t="shared" si="486"/>
        <v>2</v>
      </c>
      <c r="H1916" s="162">
        <v>37712</v>
      </c>
      <c r="I1916" s="194">
        <v>599727</v>
      </c>
      <c r="J1916" s="15">
        <v>0</v>
      </c>
      <c r="K1916" s="15">
        <v>0.1</v>
      </c>
      <c r="L1916" s="15">
        <v>0</v>
      </c>
      <c r="M1916" s="174">
        <v>0</v>
      </c>
      <c r="O1916" s="15">
        <v>0</v>
      </c>
      <c r="Q1916" s="11">
        <v>13.1</v>
      </c>
      <c r="R1916" s="11">
        <v>23</v>
      </c>
      <c r="T1916" s="161">
        <f t="shared" si="490"/>
        <v>59972.700000000004</v>
      </c>
      <c r="U1916" s="161">
        <f t="shared" si="487"/>
        <v>0</v>
      </c>
      <c r="V1916" s="161">
        <f t="shared" si="488"/>
        <v>0</v>
      </c>
      <c r="W1916" s="161">
        <f t="shared" si="489"/>
        <v>0</v>
      </c>
    </row>
    <row r="1917" spans="1:244">
      <c r="A1917" s="118">
        <v>1916</v>
      </c>
      <c r="B1917" s="128">
        <v>21</v>
      </c>
      <c r="C1917" s="156">
        <v>38200</v>
      </c>
      <c r="D1917" s="157" t="s">
        <v>51</v>
      </c>
      <c r="E1917" s="8">
        <v>2004</v>
      </c>
      <c r="F1917" s="158">
        <f t="shared" si="485"/>
        <v>488</v>
      </c>
      <c r="G1917" s="158">
        <f t="shared" si="486"/>
        <v>2</v>
      </c>
      <c r="H1917" s="162">
        <v>37712</v>
      </c>
      <c r="I1917" s="218">
        <v>598571</v>
      </c>
      <c r="J1917" s="15">
        <v>0</v>
      </c>
      <c r="K1917" s="15">
        <v>7.0000000000000007E-2</v>
      </c>
      <c r="L1917" s="15">
        <v>7.0000000000000007E-2</v>
      </c>
      <c r="M1917" s="174">
        <v>0</v>
      </c>
      <c r="O1917" s="15">
        <v>0</v>
      </c>
      <c r="Q1917" s="11">
        <v>12.2</v>
      </c>
      <c r="R1917" s="11">
        <v>17.2</v>
      </c>
      <c r="T1917" s="161">
        <f t="shared" si="490"/>
        <v>41899.97</v>
      </c>
      <c r="U1917" s="161">
        <f t="shared" si="487"/>
        <v>41899.97</v>
      </c>
      <c r="V1917" s="161">
        <f t="shared" si="488"/>
        <v>0</v>
      </c>
      <c r="W1917" s="161">
        <f t="shared" si="489"/>
        <v>0</v>
      </c>
    </row>
    <row r="1918" spans="1:244">
      <c r="A1918" s="118">
        <v>1917</v>
      </c>
      <c r="B1918" s="128">
        <v>21</v>
      </c>
      <c r="C1918" s="156">
        <v>38231</v>
      </c>
      <c r="D1918" s="157" t="s">
        <v>52</v>
      </c>
      <c r="E1918" s="8">
        <v>2004</v>
      </c>
      <c r="F1918" s="158">
        <f t="shared" si="485"/>
        <v>519</v>
      </c>
      <c r="G1918" s="158">
        <f t="shared" si="486"/>
        <v>2</v>
      </c>
      <c r="H1918" s="162">
        <v>37712</v>
      </c>
      <c r="I1918" s="253">
        <v>598000</v>
      </c>
      <c r="J1918" s="15">
        <v>0</v>
      </c>
      <c r="K1918" s="15">
        <v>0.1</v>
      </c>
      <c r="L1918" s="15">
        <v>0</v>
      </c>
      <c r="M1918" s="174">
        <v>0</v>
      </c>
      <c r="O1918" s="15">
        <v>0</v>
      </c>
      <c r="Q1918" s="11">
        <v>9.9</v>
      </c>
      <c r="R1918" s="11">
        <v>18.3</v>
      </c>
      <c r="T1918" s="161">
        <f t="shared" si="490"/>
        <v>59800</v>
      </c>
      <c r="U1918" s="161">
        <f t="shared" si="487"/>
        <v>0</v>
      </c>
      <c r="V1918" s="161">
        <f t="shared" si="488"/>
        <v>0</v>
      </c>
      <c r="W1918" s="161">
        <f t="shared" si="489"/>
        <v>0</v>
      </c>
    </row>
    <row r="1919" spans="1:244">
      <c r="A1919" s="118">
        <v>1918</v>
      </c>
      <c r="B1919" s="128">
        <v>21</v>
      </c>
      <c r="C1919" s="156">
        <v>38261</v>
      </c>
      <c r="D1919" s="157" t="s">
        <v>53</v>
      </c>
      <c r="E1919" s="8">
        <v>2004</v>
      </c>
      <c r="F1919" s="158">
        <f t="shared" si="485"/>
        <v>549</v>
      </c>
      <c r="G1919" s="158">
        <f t="shared" si="486"/>
        <v>2</v>
      </c>
      <c r="H1919" s="162">
        <v>37712</v>
      </c>
      <c r="I1919" s="218">
        <v>595143</v>
      </c>
      <c r="J1919" s="15">
        <v>0.03</v>
      </c>
      <c r="K1919" s="15">
        <v>0.03</v>
      </c>
      <c r="L1919" s="15">
        <v>0.03</v>
      </c>
      <c r="M1919" s="174">
        <v>0</v>
      </c>
      <c r="O1919" s="15">
        <v>0</v>
      </c>
      <c r="Q1919" s="11">
        <v>8.8000000000000007</v>
      </c>
      <c r="R1919" s="11">
        <v>27.6</v>
      </c>
      <c r="T1919" s="161">
        <f t="shared" si="490"/>
        <v>17854.29</v>
      </c>
      <c r="U1919" s="161">
        <f t="shared" si="487"/>
        <v>17854.29</v>
      </c>
      <c r="V1919" s="161">
        <f t="shared" si="488"/>
        <v>0</v>
      </c>
      <c r="W1919" s="161">
        <f t="shared" si="489"/>
        <v>0</v>
      </c>
    </row>
    <row r="1920" spans="1:244" ht="12.75" customHeight="1">
      <c r="A1920" s="118">
        <v>1919</v>
      </c>
      <c r="B1920" s="128">
        <v>21</v>
      </c>
      <c r="C1920" s="156">
        <v>38292</v>
      </c>
      <c r="D1920" s="157" t="s">
        <v>54</v>
      </c>
      <c r="E1920" s="8">
        <v>2004</v>
      </c>
      <c r="F1920" s="158">
        <f t="shared" si="485"/>
        <v>580</v>
      </c>
      <c r="G1920" s="158">
        <f t="shared" si="486"/>
        <v>2</v>
      </c>
      <c r="H1920" s="162">
        <v>37712</v>
      </c>
      <c r="I1920" s="218">
        <v>591771</v>
      </c>
      <c r="J1920" s="15">
        <v>0.27</v>
      </c>
      <c r="K1920" s="15">
        <v>0.1</v>
      </c>
      <c r="L1920" s="15">
        <v>7.0000000000000007E-2</v>
      </c>
      <c r="M1920" s="174">
        <v>0</v>
      </c>
      <c r="O1920" s="15">
        <v>0.03</v>
      </c>
      <c r="Q1920" s="11">
        <v>7.9</v>
      </c>
      <c r="R1920" s="11">
        <v>27.5</v>
      </c>
      <c r="T1920" s="161">
        <f t="shared" si="490"/>
        <v>59177.100000000006</v>
      </c>
      <c r="U1920" s="161">
        <f t="shared" si="487"/>
        <v>41423.97</v>
      </c>
      <c r="V1920" s="161">
        <f t="shared" si="488"/>
        <v>17753.13</v>
      </c>
      <c r="W1920" s="161">
        <f t="shared" si="489"/>
        <v>7101.2520000000004</v>
      </c>
    </row>
    <row r="1921" spans="1:23" ht="12.75" customHeight="1">
      <c r="A1921" s="118">
        <v>1920</v>
      </c>
      <c r="B1921" s="128">
        <v>21</v>
      </c>
      <c r="C1921" s="156">
        <v>38322</v>
      </c>
      <c r="D1921" s="157" t="s">
        <v>55</v>
      </c>
      <c r="E1921" s="8">
        <v>2004</v>
      </c>
      <c r="F1921" s="158">
        <f t="shared" si="485"/>
        <v>610</v>
      </c>
      <c r="G1921" s="158">
        <f t="shared" si="486"/>
        <v>2</v>
      </c>
      <c r="H1921" s="162">
        <v>37712</v>
      </c>
      <c r="I1921" s="218">
        <v>590900</v>
      </c>
      <c r="J1921" s="15">
        <v>0.95</v>
      </c>
      <c r="K1921" s="15">
        <v>2.1800000000000002</v>
      </c>
      <c r="L1921" s="15">
        <v>0.37</v>
      </c>
      <c r="M1921" s="174">
        <v>0</v>
      </c>
      <c r="O1921" s="15">
        <v>0.03</v>
      </c>
      <c r="Q1921" s="11">
        <v>7</v>
      </c>
      <c r="R1921" s="11">
        <v>29</v>
      </c>
      <c r="T1921" s="161">
        <f t="shared" si="490"/>
        <v>1288162</v>
      </c>
      <c r="U1921" s="161">
        <f t="shared" si="487"/>
        <v>218633</v>
      </c>
      <c r="V1921" s="161">
        <f t="shared" si="488"/>
        <v>17727</v>
      </c>
      <c r="W1921" s="161">
        <f t="shared" si="489"/>
        <v>7090.8</v>
      </c>
    </row>
    <row r="1922" spans="1:23" ht="12.75" customHeight="1">
      <c r="A1922" s="118">
        <v>1921</v>
      </c>
      <c r="B1922" s="128">
        <v>21</v>
      </c>
      <c r="C1922" s="156">
        <v>38353</v>
      </c>
      <c r="D1922" s="157" t="s">
        <v>44</v>
      </c>
      <c r="E1922" s="8">
        <v>2005</v>
      </c>
      <c r="F1922" s="158">
        <f t="shared" si="485"/>
        <v>641</v>
      </c>
      <c r="G1922" s="158">
        <f t="shared" si="486"/>
        <v>2</v>
      </c>
      <c r="H1922" s="162">
        <v>37712</v>
      </c>
      <c r="I1922" s="218">
        <v>532979</v>
      </c>
      <c r="J1922" s="15">
        <v>0.7</v>
      </c>
      <c r="K1922" s="15">
        <v>3.57</v>
      </c>
      <c r="L1922" s="15">
        <v>2.85</v>
      </c>
      <c r="M1922" s="174">
        <v>2</v>
      </c>
      <c r="O1922" s="15">
        <v>0.03</v>
      </c>
      <c r="P1922" s="8">
        <v>1</v>
      </c>
      <c r="Q1922" s="11">
        <v>7</v>
      </c>
      <c r="R1922" s="11">
        <v>28</v>
      </c>
      <c r="T1922" s="161">
        <f t="shared" si="490"/>
        <v>1902735.03</v>
      </c>
      <c r="U1922" s="161">
        <f t="shared" si="487"/>
        <v>1518990.1500000001</v>
      </c>
      <c r="V1922" s="161">
        <f t="shared" si="488"/>
        <v>15989.369999999999</v>
      </c>
      <c r="W1922" s="161">
        <f t="shared" si="489"/>
        <v>6395.7479999999996</v>
      </c>
    </row>
    <row r="1923" spans="1:23" ht="12.75" customHeight="1">
      <c r="A1923" s="118">
        <v>1922</v>
      </c>
      <c r="B1923" s="128">
        <v>21</v>
      </c>
      <c r="C1923" s="156">
        <v>38384</v>
      </c>
      <c r="D1923" s="157" t="s">
        <v>45</v>
      </c>
      <c r="E1923" s="8">
        <v>2005</v>
      </c>
      <c r="F1923" s="158">
        <f t="shared" si="485"/>
        <v>672</v>
      </c>
      <c r="G1923" s="158">
        <f t="shared" si="486"/>
        <v>2</v>
      </c>
      <c r="H1923" s="162">
        <v>37712</v>
      </c>
      <c r="I1923" s="218">
        <v>405995</v>
      </c>
      <c r="J1923" s="15">
        <v>7.0000000000000007E-2</v>
      </c>
      <c r="K1923" s="15">
        <v>2.17</v>
      </c>
      <c r="L1923" s="15">
        <v>1.33</v>
      </c>
      <c r="M1923" s="174">
        <v>0</v>
      </c>
      <c r="O1923" s="15">
        <v>0</v>
      </c>
      <c r="Q1923" s="11">
        <v>7</v>
      </c>
      <c r="R1923" s="11">
        <v>23</v>
      </c>
      <c r="T1923" s="161">
        <f t="shared" si="490"/>
        <v>881009.15</v>
      </c>
      <c r="U1923" s="161">
        <f t="shared" si="487"/>
        <v>539973.35</v>
      </c>
      <c r="V1923" s="161">
        <f t="shared" si="488"/>
        <v>0</v>
      </c>
      <c r="W1923" s="161">
        <f t="shared" si="489"/>
        <v>0</v>
      </c>
    </row>
    <row r="1924" spans="1:23" ht="12.75" customHeight="1">
      <c r="A1924" s="118">
        <v>1923</v>
      </c>
      <c r="B1924" s="128">
        <v>21</v>
      </c>
      <c r="C1924" s="156">
        <v>38412</v>
      </c>
      <c r="D1924" s="157" t="s">
        <v>46</v>
      </c>
      <c r="E1924" s="8">
        <v>2005</v>
      </c>
      <c r="F1924" s="158">
        <f t="shared" si="485"/>
        <v>700</v>
      </c>
      <c r="G1924" s="158">
        <f t="shared" si="486"/>
        <v>2</v>
      </c>
      <c r="H1924" s="162">
        <v>37712</v>
      </c>
      <c r="I1924" s="218">
        <v>405394</v>
      </c>
      <c r="J1924" s="15">
        <v>0</v>
      </c>
      <c r="K1924" s="15">
        <v>0.33</v>
      </c>
      <c r="L1924" s="15">
        <v>0.23</v>
      </c>
      <c r="O1924" s="15">
        <v>0</v>
      </c>
      <c r="Q1924" s="11">
        <v>8</v>
      </c>
      <c r="R1924" s="11">
        <v>32</v>
      </c>
      <c r="S1924" s="155" t="s">
        <v>7</v>
      </c>
      <c r="T1924" s="161">
        <f t="shared" si="490"/>
        <v>133780.02000000002</v>
      </c>
      <c r="U1924" s="161">
        <f t="shared" si="487"/>
        <v>93240.62000000001</v>
      </c>
      <c r="V1924" s="161">
        <f t="shared" si="488"/>
        <v>0</v>
      </c>
      <c r="W1924" s="161">
        <f t="shared" si="489"/>
        <v>0</v>
      </c>
    </row>
    <row r="1925" spans="1:23" ht="12.75" customHeight="1">
      <c r="A1925" s="118">
        <v>1924</v>
      </c>
      <c r="B1925" s="128">
        <v>21</v>
      </c>
      <c r="C1925" s="156">
        <v>38443</v>
      </c>
      <c r="D1925" s="157" t="s">
        <v>47</v>
      </c>
      <c r="E1925" s="8">
        <v>2005</v>
      </c>
      <c r="F1925" s="158">
        <f t="shared" si="485"/>
        <v>731</v>
      </c>
      <c r="G1925" s="158">
        <v>3</v>
      </c>
      <c r="H1925" s="162">
        <v>37712</v>
      </c>
      <c r="I1925" s="218">
        <v>324898</v>
      </c>
      <c r="L1925" s="165">
        <v>0.05</v>
      </c>
      <c r="N1925" s="528" t="s">
        <v>795</v>
      </c>
      <c r="O1925" s="165">
        <v>0</v>
      </c>
      <c r="S1925" s="155" t="s">
        <v>7</v>
      </c>
      <c r="U1925" s="161">
        <f t="shared" si="487"/>
        <v>16244.900000000001</v>
      </c>
      <c r="V1925" s="161">
        <f t="shared" si="488"/>
        <v>0</v>
      </c>
      <c r="W1925" s="161">
        <f t="shared" si="489"/>
        <v>0</v>
      </c>
    </row>
    <row r="1926" spans="1:23" ht="12.75" customHeight="1">
      <c r="A1926" s="118">
        <v>1925</v>
      </c>
      <c r="B1926" s="128">
        <v>21</v>
      </c>
      <c r="C1926" s="156">
        <v>38473</v>
      </c>
      <c r="D1926" s="157" t="s">
        <v>48</v>
      </c>
      <c r="E1926" s="8">
        <v>2005</v>
      </c>
      <c r="F1926" s="158"/>
      <c r="H1926" s="162"/>
      <c r="I1926" s="194"/>
    </row>
    <row r="1927" spans="1:23" ht="12.75" customHeight="1">
      <c r="A1927" s="118">
        <v>1926</v>
      </c>
      <c r="B1927" s="128">
        <v>21</v>
      </c>
      <c r="C1927" s="156">
        <v>38504</v>
      </c>
      <c r="D1927" s="157" t="s">
        <v>49</v>
      </c>
      <c r="E1927" s="8">
        <v>2005</v>
      </c>
      <c r="F1927" s="158"/>
      <c r="H1927" s="162"/>
      <c r="I1927" s="194"/>
    </row>
    <row r="1928" spans="1:23" ht="12.75" customHeight="1">
      <c r="A1928" s="118">
        <v>1927</v>
      </c>
      <c r="B1928" s="128">
        <v>21</v>
      </c>
      <c r="C1928" s="156">
        <v>38534</v>
      </c>
      <c r="D1928" s="157" t="s">
        <v>50</v>
      </c>
      <c r="E1928" s="8">
        <v>2005</v>
      </c>
      <c r="F1928" s="158"/>
      <c r="H1928" s="162"/>
      <c r="I1928" s="194"/>
    </row>
    <row r="1929" spans="1:23" ht="12.75" customHeight="1">
      <c r="A1929" s="118">
        <v>1928</v>
      </c>
      <c r="B1929" s="128">
        <v>21</v>
      </c>
      <c r="C1929" s="156">
        <v>38565</v>
      </c>
      <c r="D1929" s="157" t="s">
        <v>51</v>
      </c>
      <c r="E1929" s="8">
        <v>2005</v>
      </c>
      <c r="F1929" s="158"/>
      <c r="H1929" s="162"/>
      <c r="I1929" s="194"/>
    </row>
    <row r="1930" spans="1:23" ht="12.75" customHeight="1">
      <c r="A1930" s="118">
        <v>1929</v>
      </c>
      <c r="B1930" s="128">
        <v>21</v>
      </c>
      <c r="C1930" s="156">
        <v>38596</v>
      </c>
      <c r="D1930" s="157" t="s">
        <v>52</v>
      </c>
      <c r="E1930" s="8">
        <v>2005</v>
      </c>
      <c r="F1930" s="158">
        <f t="shared" ref="F1930:F1950" si="491">C1930-H1930</f>
        <v>212</v>
      </c>
      <c r="G1930" s="158">
        <f t="shared" ref="G1930:G1946" si="492">IF(F1930&lt;365,1,2)</f>
        <v>1</v>
      </c>
      <c r="H1930" s="162">
        <v>38384</v>
      </c>
      <c r="I1930" s="194">
        <v>710033</v>
      </c>
      <c r="L1930" s="165">
        <v>0.87</v>
      </c>
      <c r="N1930" s="528" t="s">
        <v>446</v>
      </c>
      <c r="O1930" s="165">
        <v>0.06</v>
      </c>
      <c r="S1930" s="180" t="s">
        <v>345</v>
      </c>
      <c r="U1930" s="161">
        <f t="shared" ref="U1930:U1950" si="493">$I1930*L1930</f>
        <v>617728.71</v>
      </c>
      <c r="V1930" s="161">
        <f t="shared" ref="V1930:V1950" si="494">$I1930*O1930</f>
        <v>42601.979999999996</v>
      </c>
      <c r="W1930" s="161">
        <f t="shared" ref="W1930:W1950" si="495">V1930*0.4</f>
        <v>17040.791999999998</v>
      </c>
    </row>
    <row r="1931" spans="1:23" ht="12.75" customHeight="1">
      <c r="A1931" s="118">
        <v>1930</v>
      </c>
      <c r="B1931" s="128">
        <v>21</v>
      </c>
      <c r="C1931" s="181">
        <v>38626</v>
      </c>
      <c r="D1931" s="157" t="s">
        <v>53</v>
      </c>
      <c r="E1931" s="8">
        <v>2005</v>
      </c>
      <c r="F1931" s="158">
        <f t="shared" si="491"/>
        <v>242</v>
      </c>
      <c r="G1931" s="158">
        <f t="shared" si="492"/>
        <v>1</v>
      </c>
      <c r="H1931" s="172">
        <v>38384</v>
      </c>
      <c r="I1931" s="194">
        <v>709621</v>
      </c>
      <c r="J1931" s="173">
        <v>0.03</v>
      </c>
      <c r="K1931" s="173">
        <v>1.3</v>
      </c>
      <c r="L1931" s="173">
        <v>0.87</v>
      </c>
      <c r="O1931" s="173">
        <v>0.08</v>
      </c>
      <c r="P1931" s="170"/>
      <c r="Q1931" s="128">
        <v>9</v>
      </c>
      <c r="R1931" s="128">
        <v>21</v>
      </c>
      <c r="S1931" s="180"/>
      <c r="T1931" s="161">
        <f t="shared" ref="T1931:T1947" si="496">$I1931*K1931</f>
        <v>922507.3</v>
      </c>
      <c r="U1931" s="161">
        <f t="shared" si="493"/>
        <v>617370.27</v>
      </c>
      <c r="V1931" s="161">
        <f t="shared" si="494"/>
        <v>56769.68</v>
      </c>
      <c r="W1931" s="161">
        <f t="shared" si="495"/>
        <v>22707.872000000003</v>
      </c>
    </row>
    <row r="1932" spans="1:23" ht="12.75" customHeight="1">
      <c r="A1932" s="118">
        <v>1931</v>
      </c>
      <c r="B1932" s="128">
        <v>21</v>
      </c>
      <c r="C1932" s="181">
        <v>38657</v>
      </c>
      <c r="D1932" s="157" t="s">
        <v>54</v>
      </c>
      <c r="E1932" s="8">
        <v>2005</v>
      </c>
      <c r="F1932" s="158">
        <f t="shared" si="491"/>
        <v>273</v>
      </c>
      <c r="G1932" s="158">
        <f t="shared" si="492"/>
        <v>1</v>
      </c>
      <c r="H1932" s="172">
        <v>38384</v>
      </c>
      <c r="I1932" s="194">
        <v>709064</v>
      </c>
      <c r="J1932" s="173">
        <v>0.17</v>
      </c>
      <c r="K1932" s="173">
        <v>1.92</v>
      </c>
      <c r="L1932" s="173">
        <v>1</v>
      </c>
      <c r="M1932" s="174">
        <v>0</v>
      </c>
      <c r="O1932" s="173">
        <v>0.05</v>
      </c>
      <c r="P1932" s="170"/>
      <c r="Q1932" s="128">
        <v>8</v>
      </c>
      <c r="R1932" s="128">
        <v>29</v>
      </c>
      <c r="S1932" s="180"/>
      <c r="T1932" s="161">
        <f t="shared" si="496"/>
        <v>1361402.8799999999</v>
      </c>
      <c r="U1932" s="161">
        <f t="shared" si="493"/>
        <v>709064</v>
      </c>
      <c r="V1932" s="161">
        <f t="shared" si="494"/>
        <v>35453.200000000004</v>
      </c>
      <c r="W1932" s="161">
        <f t="shared" si="495"/>
        <v>14181.280000000002</v>
      </c>
    </row>
    <row r="1933" spans="1:23" ht="12.75" customHeight="1">
      <c r="A1933" s="118">
        <v>1932</v>
      </c>
      <c r="B1933" s="128">
        <v>21</v>
      </c>
      <c r="C1933" s="181">
        <v>38687</v>
      </c>
      <c r="D1933" s="157" t="s">
        <v>55</v>
      </c>
      <c r="E1933" s="8">
        <v>2005</v>
      </c>
      <c r="F1933" s="158">
        <f t="shared" si="491"/>
        <v>303</v>
      </c>
      <c r="G1933" s="158">
        <f t="shared" si="492"/>
        <v>1</v>
      </c>
      <c r="H1933" s="172">
        <v>38384</v>
      </c>
      <c r="I1933" s="194">
        <v>708327</v>
      </c>
      <c r="J1933" s="173">
        <v>0.23</v>
      </c>
      <c r="K1933" s="173">
        <v>1.63</v>
      </c>
      <c r="L1933" s="173">
        <v>1.1000000000000001</v>
      </c>
      <c r="M1933" s="174">
        <v>0</v>
      </c>
      <c r="O1933" s="173">
        <v>0.15</v>
      </c>
      <c r="P1933" s="170"/>
      <c r="Q1933" s="128">
        <v>7</v>
      </c>
      <c r="R1933" s="128">
        <v>30</v>
      </c>
      <c r="S1933" s="180"/>
      <c r="T1933" s="161">
        <f t="shared" si="496"/>
        <v>1154573.01</v>
      </c>
      <c r="U1933" s="161">
        <f t="shared" si="493"/>
        <v>779159.70000000007</v>
      </c>
      <c r="V1933" s="161">
        <f t="shared" si="494"/>
        <v>106249.05</v>
      </c>
      <c r="W1933" s="161">
        <f t="shared" si="495"/>
        <v>42499.62</v>
      </c>
    </row>
    <row r="1934" spans="1:23" ht="12.75" customHeight="1">
      <c r="A1934" s="118">
        <v>1933</v>
      </c>
      <c r="B1934" s="128">
        <v>21</v>
      </c>
      <c r="C1934" s="181">
        <v>38718</v>
      </c>
      <c r="D1934" s="157" t="s">
        <v>44</v>
      </c>
      <c r="E1934" s="8">
        <v>2006</v>
      </c>
      <c r="F1934" s="158">
        <f t="shared" si="491"/>
        <v>334</v>
      </c>
      <c r="G1934" s="158">
        <f t="shared" si="492"/>
        <v>1</v>
      </c>
      <c r="H1934" s="172">
        <v>38384</v>
      </c>
      <c r="I1934" s="194">
        <v>707221</v>
      </c>
      <c r="J1934" s="173">
        <v>0.28000000000000003</v>
      </c>
      <c r="K1934" s="173">
        <v>1.82</v>
      </c>
      <c r="L1934" s="173">
        <v>1.18</v>
      </c>
      <c r="M1934" s="174">
        <v>0</v>
      </c>
      <c r="O1934" s="173">
        <v>0.23</v>
      </c>
      <c r="P1934" s="170"/>
      <c r="Q1934" s="128">
        <v>7</v>
      </c>
      <c r="R1934" s="128">
        <v>29</v>
      </c>
      <c r="S1934" s="180"/>
      <c r="T1934" s="161">
        <f t="shared" si="496"/>
        <v>1287142.22</v>
      </c>
      <c r="U1934" s="161">
        <f t="shared" si="493"/>
        <v>834520.77999999991</v>
      </c>
      <c r="V1934" s="161">
        <f t="shared" si="494"/>
        <v>162660.83000000002</v>
      </c>
      <c r="W1934" s="161">
        <f t="shared" si="495"/>
        <v>65064.332000000009</v>
      </c>
    </row>
    <row r="1935" spans="1:23" ht="12.75" customHeight="1">
      <c r="A1935" s="118">
        <v>1934</v>
      </c>
      <c r="B1935" s="128">
        <v>21</v>
      </c>
      <c r="C1935" s="181">
        <v>38749</v>
      </c>
      <c r="D1935" s="157" t="s">
        <v>45</v>
      </c>
      <c r="E1935" s="8">
        <v>2006</v>
      </c>
      <c r="F1935" s="158">
        <f t="shared" si="491"/>
        <v>365</v>
      </c>
      <c r="G1935" s="158">
        <f t="shared" si="492"/>
        <v>2</v>
      </c>
      <c r="H1935" s="172">
        <v>38384</v>
      </c>
      <c r="I1935" s="194">
        <v>706322</v>
      </c>
      <c r="J1935" s="173">
        <v>1.68</v>
      </c>
      <c r="K1935" s="173">
        <v>5.13</v>
      </c>
      <c r="L1935" s="173">
        <v>2.62</v>
      </c>
      <c r="M1935" s="174">
        <v>2</v>
      </c>
      <c r="O1935" s="173">
        <v>0.38</v>
      </c>
      <c r="P1935" s="8">
        <v>1</v>
      </c>
      <c r="Q1935" s="128">
        <v>8</v>
      </c>
      <c r="R1935" s="128">
        <v>30</v>
      </c>
      <c r="S1935" s="180"/>
      <c r="T1935" s="161">
        <f t="shared" si="496"/>
        <v>3623431.86</v>
      </c>
      <c r="U1935" s="161">
        <f t="shared" si="493"/>
        <v>1850563.6400000001</v>
      </c>
      <c r="V1935" s="161">
        <f t="shared" si="494"/>
        <v>268402.36</v>
      </c>
      <c r="W1935" s="161">
        <f t="shared" si="495"/>
        <v>107360.944</v>
      </c>
    </row>
    <row r="1936" spans="1:23" ht="14.25" customHeight="1">
      <c r="A1936" s="118">
        <v>1935</v>
      </c>
      <c r="B1936" s="128">
        <v>21</v>
      </c>
      <c r="C1936" s="181">
        <v>38777</v>
      </c>
      <c r="D1936" s="157" t="s">
        <v>46</v>
      </c>
      <c r="E1936" s="8">
        <v>2006</v>
      </c>
      <c r="F1936" s="158">
        <f t="shared" si="491"/>
        <v>393</v>
      </c>
      <c r="G1936" s="158">
        <f t="shared" si="492"/>
        <v>2</v>
      </c>
      <c r="H1936" s="172">
        <v>38384</v>
      </c>
      <c r="I1936" s="194">
        <v>706249</v>
      </c>
      <c r="J1936" s="173">
        <v>0.44</v>
      </c>
      <c r="K1936" s="173">
        <v>1.69</v>
      </c>
      <c r="L1936" s="173">
        <v>0.68</v>
      </c>
      <c r="M1936" s="174">
        <v>0</v>
      </c>
      <c r="O1936" s="173">
        <v>0.06</v>
      </c>
      <c r="P1936" s="170"/>
      <c r="Q1936" s="128">
        <v>7</v>
      </c>
      <c r="R1936" s="128">
        <v>30</v>
      </c>
      <c r="S1936" s="180"/>
      <c r="T1936" s="161">
        <f t="shared" si="496"/>
        <v>1193560.81</v>
      </c>
      <c r="U1936" s="161">
        <f t="shared" si="493"/>
        <v>480249.32</v>
      </c>
      <c r="V1936" s="161">
        <f t="shared" si="494"/>
        <v>42374.939999999995</v>
      </c>
      <c r="W1936" s="161">
        <f t="shared" si="495"/>
        <v>16949.975999999999</v>
      </c>
    </row>
    <row r="1937" spans="1:23" ht="12.75" customHeight="1">
      <c r="A1937" s="118">
        <v>1936</v>
      </c>
      <c r="B1937" s="128">
        <v>21</v>
      </c>
      <c r="C1937" s="181">
        <v>38808</v>
      </c>
      <c r="D1937" s="157" t="s">
        <v>47</v>
      </c>
      <c r="E1937" s="8">
        <v>2006</v>
      </c>
      <c r="F1937" s="158">
        <f t="shared" si="491"/>
        <v>424</v>
      </c>
      <c r="G1937" s="158">
        <f t="shared" si="492"/>
        <v>2</v>
      </c>
      <c r="H1937" s="172">
        <v>38384</v>
      </c>
      <c r="I1937" s="194">
        <v>704734</v>
      </c>
      <c r="J1937" s="173">
        <v>0.35</v>
      </c>
      <c r="K1937" s="173">
        <v>0.52</v>
      </c>
      <c r="L1937" s="173">
        <v>0.09</v>
      </c>
      <c r="M1937" s="174">
        <v>0</v>
      </c>
      <c r="O1937" s="173">
        <v>0.03</v>
      </c>
      <c r="P1937" s="170"/>
      <c r="Q1937" s="128">
        <v>8</v>
      </c>
      <c r="R1937" s="128">
        <v>30</v>
      </c>
      <c r="S1937" s="180"/>
      <c r="T1937" s="161">
        <f t="shared" si="496"/>
        <v>366461.68</v>
      </c>
      <c r="U1937" s="161">
        <f t="shared" si="493"/>
        <v>63426.06</v>
      </c>
      <c r="V1937" s="161">
        <f t="shared" si="494"/>
        <v>21142.02</v>
      </c>
      <c r="W1937" s="161">
        <f t="shared" si="495"/>
        <v>8456.8080000000009</v>
      </c>
    </row>
    <row r="1938" spans="1:23" ht="12.75" customHeight="1">
      <c r="A1938" s="118">
        <v>1937</v>
      </c>
      <c r="B1938" s="128">
        <v>21</v>
      </c>
      <c r="C1938" s="181">
        <v>38838</v>
      </c>
      <c r="D1938" s="157" t="s">
        <v>48</v>
      </c>
      <c r="E1938" s="8">
        <v>2006</v>
      </c>
      <c r="F1938" s="158">
        <f t="shared" si="491"/>
        <v>454</v>
      </c>
      <c r="G1938" s="158">
        <f t="shared" si="492"/>
        <v>2</v>
      </c>
      <c r="H1938" s="172">
        <v>38384</v>
      </c>
      <c r="I1938" s="194">
        <v>704251</v>
      </c>
      <c r="J1938" s="173">
        <v>0.52</v>
      </c>
      <c r="K1938" s="173">
        <v>0.14000000000000001</v>
      </c>
      <c r="L1938" s="173">
        <v>0.11</v>
      </c>
      <c r="M1938" s="174">
        <v>0</v>
      </c>
      <c r="O1938" s="173">
        <v>0.03</v>
      </c>
      <c r="P1938" s="170"/>
      <c r="Q1938" s="128">
        <v>10</v>
      </c>
      <c r="R1938" s="128">
        <v>27</v>
      </c>
      <c r="S1938" s="180"/>
      <c r="T1938" s="161">
        <f t="shared" si="496"/>
        <v>98595.140000000014</v>
      </c>
      <c r="U1938" s="161">
        <f t="shared" si="493"/>
        <v>77467.61</v>
      </c>
      <c r="V1938" s="161">
        <f t="shared" si="494"/>
        <v>21127.53</v>
      </c>
      <c r="W1938" s="161">
        <f t="shared" si="495"/>
        <v>8451.0120000000006</v>
      </c>
    </row>
    <row r="1939" spans="1:23" ht="12.75" customHeight="1">
      <c r="A1939" s="118">
        <v>1938</v>
      </c>
      <c r="B1939" s="128">
        <v>21</v>
      </c>
      <c r="C1939" s="181">
        <v>38869</v>
      </c>
      <c r="D1939" s="157" t="s">
        <v>49</v>
      </c>
      <c r="E1939" s="8">
        <v>2006</v>
      </c>
      <c r="F1939" s="158">
        <f t="shared" si="491"/>
        <v>485</v>
      </c>
      <c r="G1939" s="158">
        <f t="shared" si="492"/>
        <v>2</v>
      </c>
      <c r="H1939" s="172">
        <v>38384</v>
      </c>
      <c r="I1939" s="194">
        <v>703557</v>
      </c>
      <c r="J1939" s="173">
        <v>0.2</v>
      </c>
      <c r="K1939" s="173">
        <v>0.28000000000000003</v>
      </c>
      <c r="L1939" s="173">
        <v>0.2</v>
      </c>
      <c r="M1939" s="174">
        <v>0</v>
      </c>
      <c r="O1939" s="173">
        <v>0.04</v>
      </c>
      <c r="P1939" s="170"/>
      <c r="Q1939" s="128">
        <v>11</v>
      </c>
      <c r="R1939" s="128">
        <v>19</v>
      </c>
      <c r="S1939" s="180"/>
      <c r="T1939" s="161">
        <f t="shared" si="496"/>
        <v>196995.96000000002</v>
      </c>
      <c r="U1939" s="161">
        <f t="shared" si="493"/>
        <v>140711.4</v>
      </c>
      <c r="V1939" s="161">
        <f t="shared" si="494"/>
        <v>28142.28</v>
      </c>
      <c r="W1939" s="161">
        <f t="shared" si="495"/>
        <v>11256.912</v>
      </c>
    </row>
    <row r="1940" spans="1:23" ht="12.75" customHeight="1">
      <c r="A1940" s="118">
        <v>1939</v>
      </c>
      <c r="B1940" s="128">
        <v>21</v>
      </c>
      <c r="C1940" s="181">
        <v>38899</v>
      </c>
      <c r="D1940" s="157" t="s">
        <v>50</v>
      </c>
      <c r="E1940" s="8">
        <v>2006</v>
      </c>
      <c r="F1940" s="158">
        <f t="shared" si="491"/>
        <v>515</v>
      </c>
      <c r="G1940" s="158">
        <f t="shared" si="492"/>
        <v>2</v>
      </c>
      <c r="H1940" s="172">
        <v>38384</v>
      </c>
      <c r="I1940" s="194">
        <v>665403</v>
      </c>
      <c r="J1940" s="173">
        <v>0.02</v>
      </c>
      <c r="K1940" s="173">
        <v>0.17</v>
      </c>
      <c r="L1940" s="173">
        <v>0.13</v>
      </c>
      <c r="M1940" s="174">
        <v>0</v>
      </c>
      <c r="O1940" s="173">
        <v>0</v>
      </c>
      <c r="P1940" s="170"/>
      <c r="Q1940" s="128">
        <v>12</v>
      </c>
      <c r="R1940" s="128">
        <v>16</v>
      </c>
      <c r="S1940" s="180"/>
      <c r="T1940" s="161">
        <f t="shared" si="496"/>
        <v>113118.51000000001</v>
      </c>
      <c r="U1940" s="161">
        <f t="shared" si="493"/>
        <v>86502.39</v>
      </c>
      <c r="V1940" s="161">
        <f t="shared" si="494"/>
        <v>0</v>
      </c>
      <c r="W1940" s="161">
        <f t="shared" si="495"/>
        <v>0</v>
      </c>
    </row>
    <row r="1941" spans="1:23" ht="12.75" customHeight="1">
      <c r="A1941" s="118">
        <v>1940</v>
      </c>
      <c r="B1941" s="128">
        <v>21</v>
      </c>
      <c r="C1941" s="181">
        <v>38930</v>
      </c>
      <c r="D1941" s="157" t="s">
        <v>51</v>
      </c>
      <c r="E1941" s="8">
        <v>2006</v>
      </c>
      <c r="F1941" s="158">
        <f t="shared" si="491"/>
        <v>546</v>
      </c>
      <c r="G1941" s="158">
        <f t="shared" si="492"/>
        <v>2</v>
      </c>
      <c r="H1941" s="172">
        <v>38384</v>
      </c>
      <c r="I1941" s="194">
        <v>653694</v>
      </c>
      <c r="J1941" s="173">
        <v>6.6666600000000006E-2</v>
      </c>
      <c r="K1941" s="173">
        <v>0.31666660000000002</v>
      </c>
      <c r="L1941" s="173">
        <v>0.15</v>
      </c>
      <c r="O1941" s="173">
        <v>0</v>
      </c>
      <c r="P1941" s="170"/>
      <c r="Q1941" s="128">
        <v>11</v>
      </c>
      <c r="R1941" s="128">
        <v>18</v>
      </c>
      <c r="S1941" s="180"/>
      <c r="T1941" s="161">
        <f t="shared" si="496"/>
        <v>207003.05642040001</v>
      </c>
      <c r="U1941" s="161">
        <f t="shared" si="493"/>
        <v>98054.099999999991</v>
      </c>
      <c r="V1941" s="161">
        <f t="shared" si="494"/>
        <v>0</v>
      </c>
      <c r="W1941" s="161">
        <f t="shared" si="495"/>
        <v>0</v>
      </c>
    </row>
    <row r="1942" spans="1:23" ht="12.75" customHeight="1">
      <c r="A1942" s="118">
        <v>1941</v>
      </c>
      <c r="B1942" s="128">
        <v>21</v>
      </c>
      <c r="C1942" s="181">
        <v>38961</v>
      </c>
      <c r="D1942" s="157" t="s">
        <v>52</v>
      </c>
      <c r="E1942" s="8">
        <v>2006</v>
      </c>
      <c r="F1942" s="158">
        <f t="shared" si="491"/>
        <v>577</v>
      </c>
      <c r="G1942" s="158">
        <f t="shared" si="492"/>
        <v>2</v>
      </c>
      <c r="H1942" s="172">
        <v>38384</v>
      </c>
      <c r="I1942" s="194">
        <v>576708</v>
      </c>
      <c r="J1942" s="173"/>
      <c r="K1942" s="165">
        <f>(K1941+K1943)/2</f>
        <v>0.23333330000000002</v>
      </c>
      <c r="L1942" s="165">
        <f>(L1941+L1943)/2</f>
        <v>0.1</v>
      </c>
      <c r="N1942" s="528">
        <v>1</v>
      </c>
      <c r="O1942" s="165">
        <f>(O1941+O1943)/2</f>
        <v>0</v>
      </c>
      <c r="P1942" s="170"/>
      <c r="Q1942" s="128"/>
      <c r="R1942" s="128"/>
      <c r="S1942" s="180"/>
      <c r="T1942" s="161">
        <f t="shared" si="496"/>
        <v>134565.18077640003</v>
      </c>
      <c r="U1942" s="161">
        <f t="shared" si="493"/>
        <v>57670.8</v>
      </c>
      <c r="V1942" s="161">
        <f t="shared" si="494"/>
        <v>0</v>
      </c>
      <c r="W1942" s="161">
        <f t="shared" si="495"/>
        <v>0</v>
      </c>
    </row>
    <row r="1943" spans="1:23" ht="12.75" customHeight="1">
      <c r="A1943" s="118">
        <v>1942</v>
      </c>
      <c r="B1943" s="128">
        <v>21</v>
      </c>
      <c r="C1943" s="181">
        <v>38991</v>
      </c>
      <c r="D1943" s="157" t="s">
        <v>53</v>
      </c>
      <c r="E1943" s="8">
        <v>2006</v>
      </c>
      <c r="F1943" s="158">
        <f t="shared" si="491"/>
        <v>607</v>
      </c>
      <c r="G1943" s="158">
        <f t="shared" si="492"/>
        <v>2</v>
      </c>
      <c r="H1943" s="172">
        <v>38384</v>
      </c>
      <c r="I1943" s="194">
        <v>573223</v>
      </c>
      <c r="J1943" s="173">
        <v>0.08</v>
      </c>
      <c r="K1943" s="173">
        <v>0.15</v>
      </c>
      <c r="L1943" s="173">
        <v>0.05</v>
      </c>
      <c r="O1943" s="173">
        <v>0</v>
      </c>
      <c r="P1943" s="170"/>
      <c r="Q1943" s="128">
        <v>10</v>
      </c>
      <c r="R1943" s="128">
        <v>19</v>
      </c>
      <c r="S1943" s="180"/>
      <c r="T1943" s="161">
        <f t="shared" si="496"/>
        <v>85983.45</v>
      </c>
      <c r="U1943" s="161">
        <f t="shared" si="493"/>
        <v>28661.15</v>
      </c>
      <c r="V1943" s="161">
        <f t="shared" si="494"/>
        <v>0</v>
      </c>
      <c r="W1943" s="161">
        <f t="shared" si="495"/>
        <v>0</v>
      </c>
    </row>
    <row r="1944" spans="1:23" ht="12.75" customHeight="1">
      <c r="A1944" s="118">
        <v>1943</v>
      </c>
      <c r="B1944" s="128">
        <v>21</v>
      </c>
      <c r="C1944" s="181">
        <v>39022</v>
      </c>
      <c r="D1944" s="157" t="s">
        <v>54</v>
      </c>
      <c r="E1944" s="8">
        <v>2006</v>
      </c>
      <c r="F1944" s="158">
        <f t="shared" si="491"/>
        <v>638</v>
      </c>
      <c r="G1944" s="158">
        <f t="shared" si="492"/>
        <v>2</v>
      </c>
      <c r="H1944" s="172">
        <v>38384</v>
      </c>
      <c r="I1944" s="194">
        <v>495352</v>
      </c>
      <c r="J1944" s="173">
        <v>0.28333330000000001</v>
      </c>
      <c r="K1944" s="173">
        <v>0.9166666</v>
      </c>
      <c r="L1944" s="173">
        <v>0.1833333</v>
      </c>
      <c r="M1944" s="174">
        <v>0</v>
      </c>
      <c r="O1944" s="173">
        <v>0.26666659999999998</v>
      </c>
      <c r="P1944" s="170"/>
      <c r="Q1944" s="128">
        <v>8</v>
      </c>
      <c r="R1944" s="128">
        <v>27</v>
      </c>
      <c r="S1944" s="180"/>
      <c r="T1944" s="161">
        <f t="shared" si="496"/>
        <v>454072.63364319998</v>
      </c>
      <c r="U1944" s="161">
        <f t="shared" si="493"/>
        <v>90814.516821600002</v>
      </c>
      <c r="V1944" s="161">
        <f t="shared" si="494"/>
        <v>132093.83364319999</v>
      </c>
      <c r="W1944" s="161">
        <f t="shared" si="495"/>
        <v>52837.533457279998</v>
      </c>
    </row>
    <row r="1945" spans="1:23" ht="12.75" customHeight="1">
      <c r="A1945" s="118">
        <v>1944</v>
      </c>
      <c r="B1945" s="128">
        <v>21</v>
      </c>
      <c r="C1945" s="181">
        <v>39052</v>
      </c>
      <c r="D1945" s="157" t="s">
        <v>55</v>
      </c>
      <c r="E1945" s="8">
        <v>2006</v>
      </c>
      <c r="F1945" s="158">
        <f t="shared" si="491"/>
        <v>668</v>
      </c>
      <c r="G1945" s="158">
        <f t="shared" si="492"/>
        <v>2</v>
      </c>
      <c r="H1945" s="172">
        <v>38384</v>
      </c>
      <c r="I1945" s="194">
        <v>493926</v>
      </c>
      <c r="J1945" s="173">
        <v>0.2</v>
      </c>
      <c r="K1945" s="173">
        <v>1.93</v>
      </c>
      <c r="L1945" s="173">
        <v>0.73</v>
      </c>
      <c r="M1945" s="174">
        <v>0</v>
      </c>
      <c r="O1945" s="173">
        <v>0</v>
      </c>
      <c r="P1945" s="170"/>
      <c r="Q1945" s="128">
        <v>7</v>
      </c>
      <c r="R1945" s="128">
        <v>30</v>
      </c>
      <c r="S1945" s="180"/>
      <c r="T1945" s="161">
        <f t="shared" si="496"/>
        <v>953277.17999999993</v>
      </c>
      <c r="U1945" s="161">
        <f t="shared" si="493"/>
        <v>360565.98</v>
      </c>
      <c r="V1945" s="161">
        <f t="shared" si="494"/>
        <v>0</v>
      </c>
      <c r="W1945" s="161">
        <f t="shared" si="495"/>
        <v>0</v>
      </c>
    </row>
    <row r="1946" spans="1:23" ht="12.75" customHeight="1">
      <c r="A1946" s="118">
        <v>1945</v>
      </c>
      <c r="B1946" s="128">
        <v>21</v>
      </c>
      <c r="C1946" s="156">
        <v>39083</v>
      </c>
      <c r="D1946" s="157" t="s">
        <v>44</v>
      </c>
      <c r="E1946" s="8">
        <v>2007</v>
      </c>
      <c r="F1946" s="158">
        <f t="shared" si="491"/>
        <v>699</v>
      </c>
      <c r="G1946" s="158">
        <f t="shared" si="492"/>
        <v>2</v>
      </c>
      <c r="H1946" s="175">
        <v>38384</v>
      </c>
      <c r="I1946" s="160">
        <v>479634</v>
      </c>
      <c r="J1946" s="191">
        <v>0.6666666</v>
      </c>
      <c r="K1946" s="191">
        <v>2.4166666000000001</v>
      </c>
      <c r="L1946" s="191">
        <v>1.5</v>
      </c>
      <c r="M1946" s="193">
        <v>0</v>
      </c>
      <c r="N1946" s="529"/>
      <c r="O1946" s="191">
        <v>0.05</v>
      </c>
      <c r="P1946" s="192"/>
      <c r="Q1946" s="127">
        <v>7</v>
      </c>
      <c r="R1946" s="127">
        <v>29</v>
      </c>
      <c r="S1946" s="140" t="s">
        <v>7</v>
      </c>
      <c r="T1946" s="161">
        <f t="shared" si="496"/>
        <v>1159115.4680244001</v>
      </c>
      <c r="U1946" s="161">
        <f t="shared" si="493"/>
        <v>719451</v>
      </c>
      <c r="V1946" s="161">
        <f t="shared" si="494"/>
        <v>23981.7</v>
      </c>
      <c r="W1946" s="161">
        <f t="shared" si="495"/>
        <v>9592.68</v>
      </c>
    </row>
    <row r="1947" spans="1:23" ht="12.75" customHeight="1">
      <c r="A1947" s="118">
        <v>1946</v>
      </c>
      <c r="B1947" s="128">
        <v>21</v>
      </c>
      <c r="C1947" s="156">
        <v>39114</v>
      </c>
      <c r="D1947" s="157" t="s">
        <v>45</v>
      </c>
      <c r="E1947" s="8">
        <v>2007</v>
      </c>
      <c r="F1947" s="158">
        <f t="shared" si="491"/>
        <v>730</v>
      </c>
      <c r="G1947" s="158">
        <f>IF(F1947&lt;730,2,3)</f>
        <v>3</v>
      </c>
      <c r="H1947" s="175">
        <v>38384</v>
      </c>
      <c r="I1947" s="160">
        <v>288829</v>
      </c>
      <c r="J1947" s="191">
        <v>0.15</v>
      </c>
      <c r="K1947" s="191">
        <v>2.38</v>
      </c>
      <c r="L1947" s="191">
        <v>1.58</v>
      </c>
      <c r="M1947" s="193"/>
      <c r="N1947" s="529"/>
      <c r="O1947" s="191">
        <v>0.05</v>
      </c>
      <c r="P1947" s="192"/>
      <c r="Q1947" s="127">
        <v>7</v>
      </c>
      <c r="R1947" s="127">
        <v>29</v>
      </c>
      <c r="S1947" s="140"/>
      <c r="T1947" s="161">
        <f t="shared" si="496"/>
        <v>687413.02</v>
      </c>
      <c r="U1947" s="161">
        <f t="shared" si="493"/>
        <v>456349.82</v>
      </c>
      <c r="V1947" s="161">
        <f t="shared" si="494"/>
        <v>14441.45</v>
      </c>
      <c r="W1947" s="161">
        <f t="shared" si="495"/>
        <v>5776.5800000000008</v>
      </c>
    </row>
    <row r="1948" spans="1:23" ht="12.75" customHeight="1">
      <c r="A1948" s="118">
        <v>1947</v>
      </c>
      <c r="B1948" s="128">
        <v>21</v>
      </c>
      <c r="C1948" s="156">
        <v>39142</v>
      </c>
      <c r="D1948" s="157" t="s">
        <v>46</v>
      </c>
      <c r="E1948" s="8">
        <v>2007</v>
      </c>
      <c r="F1948" s="158">
        <f t="shared" si="491"/>
        <v>758</v>
      </c>
      <c r="G1948" s="158">
        <f>IF(F1948&lt;730,2,3)</f>
        <v>3</v>
      </c>
      <c r="H1948" s="175">
        <v>38384</v>
      </c>
      <c r="I1948" s="160">
        <v>126813</v>
      </c>
      <c r="J1948" s="191"/>
      <c r="K1948" s="191"/>
      <c r="L1948" s="195">
        <v>1.7</v>
      </c>
      <c r="M1948" s="193"/>
      <c r="N1948" s="529" t="s">
        <v>795</v>
      </c>
      <c r="O1948" s="195">
        <v>0.05</v>
      </c>
      <c r="P1948" s="192"/>
      <c r="Q1948" s="127"/>
      <c r="R1948" s="127"/>
      <c r="S1948" s="140"/>
      <c r="T1948" s="191"/>
      <c r="U1948" s="202">
        <f t="shared" si="493"/>
        <v>215582.1</v>
      </c>
      <c r="V1948" s="202">
        <f t="shared" si="494"/>
        <v>6340.6500000000005</v>
      </c>
      <c r="W1948" s="161">
        <f t="shared" si="495"/>
        <v>2536.2600000000002</v>
      </c>
    </row>
    <row r="1949" spans="1:23" ht="12.75" customHeight="1">
      <c r="A1949" s="118">
        <v>1948</v>
      </c>
      <c r="B1949" s="128">
        <v>21</v>
      </c>
      <c r="C1949" s="156">
        <v>39173</v>
      </c>
      <c r="D1949" s="157" t="s">
        <v>47</v>
      </c>
      <c r="E1949" s="8">
        <v>2007</v>
      </c>
      <c r="F1949" s="158">
        <f t="shared" si="491"/>
        <v>789</v>
      </c>
      <c r="G1949" s="158">
        <f>IF(F1949&lt;730,2,3)</f>
        <v>3</v>
      </c>
      <c r="H1949" s="175">
        <v>38384</v>
      </c>
      <c r="I1949" s="160">
        <v>81663</v>
      </c>
      <c r="J1949" s="191"/>
      <c r="K1949" s="191"/>
      <c r="L1949" s="195">
        <v>1.8</v>
      </c>
      <c r="M1949" s="193"/>
      <c r="N1949" s="529" t="s">
        <v>795</v>
      </c>
      <c r="O1949" s="195">
        <v>0.06</v>
      </c>
      <c r="P1949" s="192"/>
      <c r="Q1949" s="127"/>
      <c r="R1949" s="127"/>
      <c r="S1949" s="140"/>
      <c r="T1949" s="191"/>
      <c r="U1949" s="202">
        <f t="shared" si="493"/>
        <v>146993.4</v>
      </c>
      <c r="V1949" s="202">
        <f t="shared" si="494"/>
        <v>4899.78</v>
      </c>
      <c r="W1949" s="161">
        <f t="shared" si="495"/>
        <v>1959.912</v>
      </c>
    </row>
    <row r="1950" spans="1:23" ht="12.75" customHeight="1">
      <c r="A1950" s="118">
        <v>1949</v>
      </c>
      <c r="B1950" s="128">
        <v>21</v>
      </c>
      <c r="C1950" s="156">
        <v>39203</v>
      </c>
      <c r="D1950" s="157" t="s">
        <v>48</v>
      </c>
      <c r="E1950" s="8">
        <v>2007</v>
      </c>
      <c r="F1950" s="158">
        <f t="shared" si="491"/>
        <v>819</v>
      </c>
      <c r="G1950" s="158">
        <f>IF(F1950&lt;730,2,3)</f>
        <v>3</v>
      </c>
      <c r="H1950" s="175">
        <v>38384</v>
      </c>
      <c r="I1950" s="160">
        <v>27646</v>
      </c>
      <c r="J1950" s="191"/>
      <c r="K1950" s="191"/>
      <c r="L1950" s="195">
        <v>1.9</v>
      </c>
      <c r="M1950" s="193"/>
      <c r="N1950" s="529" t="s">
        <v>795</v>
      </c>
      <c r="O1950" s="195">
        <v>7.0000000000000007E-2</v>
      </c>
      <c r="P1950" s="192"/>
      <c r="Q1950" s="127"/>
      <c r="R1950" s="127"/>
      <c r="S1950" s="140"/>
      <c r="T1950" s="191"/>
      <c r="U1950" s="202">
        <f t="shared" si="493"/>
        <v>52527.399999999994</v>
      </c>
      <c r="V1950" s="202">
        <f t="shared" si="494"/>
        <v>1935.2200000000003</v>
      </c>
      <c r="W1950" s="161">
        <f t="shared" si="495"/>
        <v>774.08800000000019</v>
      </c>
    </row>
    <row r="1951" spans="1:23" ht="12.75" customHeight="1">
      <c r="A1951" s="118">
        <v>1950</v>
      </c>
      <c r="B1951" s="128">
        <v>21</v>
      </c>
      <c r="C1951" s="156">
        <v>39234</v>
      </c>
      <c r="D1951" s="157" t="s">
        <v>49</v>
      </c>
      <c r="E1951" s="8">
        <v>2007</v>
      </c>
      <c r="F1951" s="127"/>
      <c r="G1951" s="127"/>
      <c r="H1951" s="175"/>
      <c r="I1951" s="160"/>
      <c r="J1951" s="191"/>
      <c r="K1951" s="191"/>
      <c r="L1951" s="191"/>
      <c r="M1951" s="193"/>
      <c r="N1951" s="529"/>
      <c r="O1951" s="191"/>
      <c r="P1951" s="192"/>
      <c r="Q1951" s="127"/>
      <c r="R1951" s="127"/>
      <c r="S1951" s="140"/>
      <c r="T1951" s="191"/>
      <c r="U1951" s="202"/>
      <c r="V1951" s="191"/>
      <c r="W1951" s="191"/>
    </row>
    <row r="1952" spans="1:23">
      <c r="A1952" s="118">
        <v>1951</v>
      </c>
      <c r="B1952" s="128">
        <v>21</v>
      </c>
      <c r="C1952" s="156">
        <v>39264</v>
      </c>
      <c r="D1952" s="157" t="s">
        <v>50</v>
      </c>
      <c r="E1952" s="8">
        <v>2007</v>
      </c>
      <c r="F1952" s="127"/>
      <c r="G1952" s="127"/>
      <c r="H1952" s="175"/>
      <c r="I1952" s="160"/>
      <c r="J1952" s="191"/>
      <c r="K1952" s="191"/>
      <c r="L1952" s="191"/>
      <c r="M1952" s="193"/>
      <c r="N1952" s="529"/>
      <c r="O1952" s="191"/>
      <c r="P1952" s="192"/>
      <c r="Q1952" s="127"/>
      <c r="R1952" s="127"/>
      <c r="S1952" s="140"/>
      <c r="T1952" s="191"/>
      <c r="U1952" s="202"/>
      <c r="V1952" s="191"/>
      <c r="W1952" s="191"/>
    </row>
    <row r="1953" spans="1:244">
      <c r="A1953" s="118">
        <v>1952</v>
      </c>
      <c r="B1953" s="128">
        <v>21</v>
      </c>
      <c r="C1953" s="156">
        <v>39295</v>
      </c>
      <c r="D1953" s="157" t="s">
        <v>51</v>
      </c>
      <c r="E1953" s="8">
        <v>2007</v>
      </c>
      <c r="F1953" s="127"/>
      <c r="G1953" s="127"/>
      <c r="H1953" s="175"/>
      <c r="I1953" s="160"/>
      <c r="J1953" s="191"/>
      <c r="K1953" s="191"/>
      <c r="L1953" s="191"/>
      <c r="M1953" s="193"/>
      <c r="N1953" s="529"/>
      <c r="O1953" s="191"/>
      <c r="P1953" s="192"/>
      <c r="Q1953" s="127"/>
      <c r="R1953" s="127"/>
      <c r="S1953" s="140"/>
      <c r="T1953" s="191"/>
      <c r="U1953" s="202"/>
      <c r="V1953" s="191"/>
      <c r="W1953" s="191"/>
    </row>
    <row r="1954" spans="1:244">
      <c r="A1954" s="118">
        <v>1953</v>
      </c>
      <c r="B1954" s="128">
        <v>21</v>
      </c>
      <c r="C1954" s="156">
        <v>39326</v>
      </c>
      <c r="D1954" s="157" t="s">
        <v>52</v>
      </c>
      <c r="E1954" s="8">
        <v>2007</v>
      </c>
      <c r="F1954" s="158">
        <f t="shared" ref="F1954:F1971" si="497">C1954-H1954</f>
        <v>274</v>
      </c>
      <c r="G1954" s="158">
        <f t="shared" ref="G1954:G1968" si="498">IF(F1954&lt;365,1,2)</f>
        <v>1</v>
      </c>
      <c r="H1954" s="175">
        <v>39052</v>
      </c>
      <c r="I1954" s="160">
        <v>681286</v>
      </c>
      <c r="J1954" s="191">
        <v>0.03</v>
      </c>
      <c r="K1954" s="191">
        <v>7.0000000000000007E-2</v>
      </c>
      <c r="L1954" s="191">
        <v>0.03</v>
      </c>
      <c r="M1954" s="193"/>
      <c r="N1954" s="529"/>
      <c r="O1954" s="191">
        <v>0</v>
      </c>
      <c r="P1954" s="192"/>
      <c r="Q1954" s="127">
        <v>10</v>
      </c>
      <c r="R1954" s="127">
        <v>26</v>
      </c>
      <c r="S1954" s="140" t="s">
        <v>346</v>
      </c>
      <c r="T1954" s="161">
        <f t="shared" ref="T1954:T1970" si="499">$I1954*K1954</f>
        <v>47690.020000000004</v>
      </c>
      <c r="U1954" s="161">
        <f t="shared" ref="U1954:U1970" si="500">$I1954*L1954</f>
        <v>20438.579999999998</v>
      </c>
      <c r="V1954" s="161">
        <f t="shared" ref="V1954:V1971" si="501">$I1954*O1954</f>
        <v>0</v>
      </c>
      <c r="W1954" s="161">
        <f t="shared" ref="W1954:W1971" si="502">V1954*0.4</f>
        <v>0</v>
      </c>
    </row>
    <row r="1955" spans="1:244">
      <c r="A1955" s="118">
        <v>1954</v>
      </c>
      <c r="B1955" s="128">
        <v>21</v>
      </c>
      <c r="C1955" s="156">
        <v>39356</v>
      </c>
      <c r="D1955" s="157" t="s">
        <v>53</v>
      </c>
      <c r="E1955" s="8">
        <v>2007</v>
      </c>
      <c r="F1955" s="158">
        <f t="shared" si="497"/>
        <v>304</v>
      </c>
      <c r="G1955" s="158">
        <f t="shared" si="498"/>
        <v>1</v>
      </c>
      <c r="H1955" s="175">
        <v>39052</v>
      </c>
      <c r="I1955" s="160">
        <v>681026</v>
      </c>
      <c r="J1955" s="191">
        <v>0.02</v>
      </c>
      <c r="K1955" s="191">
        <v>0.28000000000000003</v>
      </c>
      <c r="L1955" s="191">
        <v>0.02</v>
      </c>
      <c r="M1955" s="193">
        <v>0</v>
      </c>
      <c r="N1955" s="529"/>
      <c r="O1955" s="191">
        <v>0</v>
      </c>
      <c r="P1955" s="192"/>
      <c r="Q1955" s="127">
        <v>9</v>
      </c>
      <c r="R1955" s="127"/>
      <c r="S1955" s="140"/>
      <c r="T1955" s="161">
        <f t="shared" si="499"/>
        <v>190687.28000000003</v>
      </c>
      <c r="U1955" s="161">
        <f t="shared" si="500"/>
        <v>13620.52</v>
      </c>
      <c r="V1955" s="161">
        <f t="shared" si="501"/>
        <v>0</v>
      </c>
      <c r="W1955" s="161">
        <f t="shared" si="502"/>
        <v>0</v>
      </c>
    </row>
    <row r="1956" spans="1:244">
      <c r="A1956" s="118">
        <v>1955</v>
      </c>
      <c r="B1956" s="128">
        <v>21</v>
      </c>
      <c r="C1956" s="156">
        <v>39387</v>
      </c>
      <c r="D1956" s="157" t="s">
        <v>54</v>
      </c>
      <c r="E1956" s="8">
        <v>2007</v>
      </c>
      <c r="F1956" s="158">
        <f t="shared" si="497"/>
        <v>335</v>
      </c>
      <c r="G1956" s="158">
        <f t="shared" si="498"/>
        <v>1</v>
      </c>
      <c r="H1956" s="175">
        <v>39052</v>
      </c>
      <c r="I1956" s="160">
        <v>680920</v>
      </c>
      <c r="J1956" s="191">
        <v>0.17</v>
      </c>
      <c r="K1956" s="191">
        <v>0.33</v>
      </c>
      <c r="L1956" s="191">
        <v>0.08</v>
      </c>
      <c r="M1956" s="193">
        <v>0</v>
      </c>
      <c r="N1956" s="529"/>
      <c r="O1956" s="191">
        <v>0</v>
      </c>
      <c r="P1956" s="192"/>
      <c r="Q1956" s="127">
        <v>8</v>
      </c>
      <c r="R1956" s="127"/>
      <c r="S1956" s="140"/>
      <c r="T1956" s="161">
        <f t="shared" si="499"/>
        <v>224703.6</v>
      </c>
      <c r="U1956" s="161">
        <f t="shared" si="500"/>
        <v>54473.599999999999</v>
      </c>
      <c r="V1956" s="161">
        <f t="shared" si="501"/>
        <v>0</v>
      </c>
      <c r="W1956" s="161">
        <f t="shared" si="502"/>
        <v>0</v>
      </c>
    </row>
    <row r="1957" spans="1:244">
      <c r="A1957" s="118">
        <v>1956</v>
      </c>
      <c r="B1957" s="128">
        <v>21</v>
      </c>
      <c r="C1957" s="156">
        <v>39417</v>
      </c>
      <c r="D1957" s="157" t="s">
        <v>55</v>
      </c>
      <c r="E1957" s="8">
        <v>2007</v>
      </c>
      <c r="F1957" s="158">
        <f t="shared" si="497"/>
        <v>365</v>
      </c>
      <c r="G1957" s="158">
        <f t="shared" si="498"/>
        <v>2</v>
      </c>
      <c r="H1957" s="175">
        <v>39052</v>
      </c>
      <c r="I1957" s="160">
        <v>680599</v>
      </c>
      <c r="J1957" s="191">
        <v>0.33</v>
      </c>
      <c r="K1957" s="191">
        <v>1.03</v>
      </c>
      <c r="L1957" s="191">
        <v>0.35</v>
      </c>
      <c r="M1957" s="193">
        <v>0</v>
      </c>
      <c r="N1957" s="529"/>
      <c r="O1957" s="191">
        <v>0</v>
      </c>
      <c r="P1957" s="192"/>
      <c r="Q1957" s="127">
        <v>7</v>
      </c>
      <c r="R1957" s="127"/>
      <c r="S1957" s="140"/>
      <c r="T1957" s="161">
        <f t="shared" si="499"/>
        <v>701016.97</v>
      </c>
      <c r="U1957" s="161">
        <f t="shared" si="500"/>
        <v>238209.65</v>
      </c>
      <c r="V1957" s="161">
        <f t="shared" si="501"/>
        <v>0</v>
      </c>
      <c r="W1957" s="161">
        <f t="shared" si="502"/>
        <v>0</v>
      </c>
    </row>
    <row r="1958" spans="1:244" ht="12.75" customHeight="1">
      <c r="A1958" s="118">
        <v>1957</v>
      </c>
      <c r="B1958" s="128">
        <v>21</v>
      </c>
      <c r="C1958" s="156">
        <v>39448</v>
      </c>
      <c r="D1958" s="157" t="s">
        <v>44</v>
      </c>
      <c r="E1958" s="127">
        <v>2008</v>
      </c>
      <c r="F1958" s="158">
        <f t="shared" si="497"/>
        <v>396</v>
      </c>
      <c r="G1958" s="158">
        <f t="shared" si="498"/>
        <v>2</v>
      </c>
      <c r="H1958" s="175">
        <v>39052</v>
      </c>
      <c r="I1958" s="160">
        <v>680546</v>
      </c>
      <c r="J1958" s="164">
        <v>0.2</v>
      </c>
      <c r="K1958" s="164">
        <v>0.47</v>
      </c>
      <c r="L1958" s="164">
        <v>0.32</v>
      </c>
      <c r="M1958" s="193">
        <v>0</v>
      </c>
      <c r="N1958" s="529"/>
      <c r="O1958" s="164">
        <v>0</v>
      </c>
      <c r="P1958" s="192">
        <v>1</v>
      </c>
      <c r="Q1958" s="193"/>
      <c r="R1958" s="193"/>
      <c r="S1958" s="140"/>
      <c r="T1958" s="161">
        <f t="shared" si="499"/>
        <v>319856.62</v>
      </c>
      <c r="U1958" s="161">
        <f t="shared" si="500"/>
        <v>217774.72</v>
      </c>
      <c r="V1958" s="161">
        <f t="shared" si="501"/>
        <v>0</v>
      </c>
      <c r="W1958" s="161">
        <f t="shared" si="502"/>
        <v>0</v>
      </c>
    </row>
    <row r="1959" spans="1:244" ht="12.75" customHeight="1">
      <c r="A1959" s="118">
        <v>1958</v>
      </c>
      <c r="B1959" s="128">
        <v>21</v>
      </c>
      <c r="C1959" s="156">
        <v>39479</v>
      </c>
      <c r="D1959" s="157" t="s">
        <v>45</v>
      </c>
      <c r="E1959" s="127">
        <v>2008</v>
      </c>
      <c r="F1959" s="158">
        <f t="shared" si="497"/>
        <v>427</v>
      </c>
      <c r="G1959" s="158">
        <f t="shared" si="498"/>
        <v>2</v>
      </c>
      <c r="H1959" s="175">
        <v>39052</v>
      </c>
      <c r="I1959" s="160">
        <v>679771</v>
      </c>
      <c r="J1959" s="164">
        <v>0.28333330000000001</v>
      </c>
      <c r="K1959" s="164">
        <v>0.78333330000000001</v>
      </c>
      <c r="L1959" s="164">
        <v>0.25</v>
      </c>
      <c r="M1959" s="193">
        <v>0</v>
      </c>
      <c r="N1959" s="529"/>
      <c r="O1959" s="164">
        <v>0</v>
      </c>
      <c r="P1959" s="192"/>
      <c r="Q1959" s="193"/>
      <c r="R1959" s="193"/>
      <c r="S1959" s="140"/>
      <c r="T1959" s="161">
        <f t="shared" si="499"/>
        <v>532487.26067430002</v>
      </c>
      <c r="U1959" s="161">
        <f t="shared" si="500"/>
        <v>169942.75</v>
      </c>
      <c r="V1959" s="161">
        <f t="shared" si="501"/>
        <v>0</v>
      </c>
      <c r="W1959" s="161">
        <f t="shared" si="502"/>
        <v>0</v>
      </c>
    </row>
    <row r="1960" spans="1:244" ht="12.75" customHeight="1">
      <c r="A1960" s="118">
        <v>1959</v>
      </c>
      <c r="B1960" s="128">
        <v>21</v>
      </c>
      <c r="C1960" s="156">
        <v>39508</v>
      </c>
      <c r="D1960" s="157" t="s">
        <v>46</v>
      </c>
      <c r="E1960" s="127">
        <v>2008</v>
      </c>
      <c r="F1960" s="158">
        <f t="shared" si="497"/>
        <v>456</v>
      </c>
      <c r="G1960" s="158">
        <f t="shared" si="498"/>
        <v>2</v>
      </c>
      <c r="H1960" s="175">
        <v>39052</v>
      </c>
      <c r="I1960" s="160">
        <v>679551</v>
      </c>
      <c r="J1960" s="164">
        <v>0</v>
      </c>
      <c r="K1960" s="164">
        <v>0.13</v>
      </c>
      <c r="L1960" s="164">
        <v>0.03</v>
      </c>
      <c r="M1960" s="193">
        <v>0</v>
      </c>
      <c r="N1960" s="529"/>
      <c r="O1960" s="164">
        <v>0</v>
      </c>
      <c r="P1960" s="192"/>
      <c r="Q1960" s="193"/>
      <c r="R1960" s="193"/>
      <c r="S1960" s="140"/>
      <c r="T1960" s="161">
        <f t="shared" si="499"/>
        <v>88341.63</v>
      </c>
      <c r="U1960" s="161">
        <f t="shared" si="500"/>
        <v>20386.53</v>
      </c>
      <c r="V1960" s="161">
        <f t="shared" si="501"/>
        <v>0</v>
      </c>
      <c r="W1960" s="161">
        <f t="shared" si="502"/>
        <v>0</v>
      </c>
    </row>
    <row r="1961" spans="1:244" ht="12.75" customHeight="1">
      <c r="A1961" s="118">
        <v>1960</v>
      </c>
      <c r="B1961" s="128">
        <v>21</v>
      </c>
      <c r="C1961" s="156">
        <v>39539</v>
      </c>
      <c r="D1961" s="157" t="s">
        <v>47</v>
      </c>
      <c r="E1961" s="127">
        <v>2008</v>
      </c>
      <c r="F1961" s="158">
        <f t="shared" si="497"/>
        <v>487</v>
      </c>
      <c r="G1961" s="158">
        <f t="shared" si="498"/>
        <v>2</v>
      </c>
      <c r="H1961" s="175">
        <v>39052</v>
      </c>
      <c r="I1961" s="160">
        <v>678879</v>
      </c>
      <c r="J1961" s="164">
        <v>0</v>
      </c>
      <c r="K1961" s="164">
        <v>0.02</v>
      </c>
      <c r="L1961" s="164">
        <v>0</v>
      </c>
      <c r="M1961" s="193">
        <v>0</v>
      </c>
      <c r="N1961" s="529"/>
      <c r="O1961" s="164">
        <v>0</v>
      </c>
      <c r="P1961" s="192"/>
      <c r="Q1961" s="193"/>
      <c r="R1961" s="193"/>
      <c r="S1961" s="140"/>
      <c r="T1961" s="161">
        <f t="shared" si="499"/>
        <v>13577.58</v>
      </c>
      <c r="U1961" s="161">
        <f t="shared" si="500"/>
        <v>0</v>
      </c>
      <c r="V1961" s="161">
        <f t="shared" si="501"/>
        <v>0</v>
      </c>
      <c r="W1961" s="161">
        <f t="shared" si="502"/>
        <v>0</v>
      </c>
    </row>
    <row r="1962" spans="1:244" s="127" customFormat="1" ht="12.75" customHeight="1">
      <c r="A1962" s="118">
        <v>1961</v>
      </c>
      <c r="B1962" s="128">
        <v>21</v>
      </c>
      <c r="C1962" s="156">
        <v>39569</v>
      </c>
      <c r="D1962" s="157" t="s">
        <v>48</v>
      </c>
      <c r="E1962" s="127">
        <v>2008</v>
      </c>
      <c r="F1962" s="158">
        <f t="shared" si="497"/>
        <v>517</v>
      </c>
      <c r="G1962" s="158">
        <f t="shared" si="498"/>
        <v>2</v>
      </c>
      <c r="H1962" s="175">
        <v>39052</v>
      </c>
      <c r="I1962" s="160">
        <v>678475</v>
      </c>
      <c r="J1962" s="191">
        <v>0.52</v>
      </c>
      <c r="K1962" s="191">
        <v>0</v>
      </c>
      <c r="L1962" s="191">
        <v>0</v>
      </c>
      <c r="M1962" s="193">
        <v>0</v>
      </c>
      <c r="N1962" s="529"/>
      <c r="O1962" s="191">
        <v>0</v>
      </c>
      <c r="P1962" s="192"/>
      <c r="Q1962" s="193"/>
      <c r="R1962" s="193"/>
      <c r="S1962" s="140"/>
      <c r="T1962" s="161">
        <f t="shared" si="499"/>
        <v>0</v>
      </c>
      <c r="U1962" s="161">
        <f t="shared" si="500"/>
        <v>0</v>
      </c>
      <c r="V1962" s="161">
        <f t="shared" si="501"/>
        <v>0</v>
      </c>
      <c r="W1962" s="161">
        <f t="shared" si="502"/>
        <v>0</v>
      </c>
      <c r="X1962" s="118"/>
      <c r="Y1962" s="118"/>
      <c r="Z1962" s="118"/>
      <c r="AA1962" s="118"/>
      <c r="AB1962" s="118"/>
      <c r="AC1962" s="118"/>
      <c r="AD1962" s="118"/>
      <c r="AE1962" s="118"/>
      <c r="AF1962" s="118"/>
      <c r="AG1962" s="118"/>
      <c r="AH1962" s="118"/>
      <c r="AI1962" s="118"/>
      <c r="AJ1962" s="118"/>
      <c r="AK1962" s="118"/>
      <c r="AL1962" s="118"/>
      <c r="AM1962" s="118"/>
      <c r="AN1962" s="118"/>
      <c r="AO1962" s="118"/>
      <c r="AP1962" s="118"/>
      <c r="AQ1962" s="118"/>
      <c r="AR1962" s="118"/>
      <c r="AS1962" s="118"/>
      <c r="AT1962" s="118"/>
      <c r="AU1962" s="118"/>
      <c r="AV1962" s="118"/>
      <c r="AW1962" s="118"/>
      <c r="AX1962" s="118"/>
      <c r="AY1962" s="118"/>
      <c r="AZ1962" s="118"/>
      <c r="BA1962" s="118"/>
      <c r="BB1962" s="118"/>
      <c r="BC1962" s="118"/>
      <c r="BD1962" s="118"/>
      <c r="BE1962" s="118"/>
      <c r="BF1962" s="118"/>
      <c r="BG1962" s="118"/>
      <c r="BH1962" s="118"/>
      <c r="BI1962" s="118"/>
      <c r="BJ1962" s="118"/>
      <c r="BK1962" s="118"/>
      <c r="BL1962" s="118"/>
      <c r="BM1962" s="118"/>
      <c r="BN1962" s="118"/>
      <c r="BO1962" s="118"/>
      <c r="BP1962" s="118"/>
      <c r="BQ1962" s="118"/>
      <c r="BR1962" s="118"/>
      <c r="BS1962" s="118"/>
      <c r="BT1962" s="118"/>
      <c r="BU1962" s="118"/>
      <c r="BV1962" s="118"/>
      <c r="BW1962" s="118"/>
      <c r="BX1962" s="118"/>
      <c r="BY1962" s="118"/>
      <c r="BZ1962" s="118"/>
      <c r="CA1962" s="118"/>
      <c r="CB1962" s="118"/>
      <c r="CC1962" s="118"/>
      <c r="CD1962" s="118"/>
      <c r="CE1962" s="118"/>
      <c r="CF1962" s="118"/>
      <c r="CG1962" s="118"/>
      <c r="CH1962" s="118"/>
      <c r="CI1962" s="118"/>
      <c r="CJ1962" s="118"/>
      <c r="CK1962" s="118"/>
      <c r="CL1962" s="118"/>
      <c r="CM1962" s="118"/>
      <c r="CN1962" s="118"/>
      <c r="CO1962" s="118"/>
      <c r="CP1962" s="118"/>
      <c r="CQ1962" s="118"/>
      <c r="CR1962" s="118"/>
      <c r="CS1962" s="118"/>
      <c r="CT1962" s="118"/>
      <c r="CU1962" s="118"/>
      <c r="CV1962" s="118"/>
      <c r="CW1962" s="118"/>
      <c r="CX1962" s="118"/>
      <c r="CY1962" s="118"/>
      <c r="CZ1962" s="118"/>
      <c r="DA1962" s="118"/>
      <c r="DB1962" s="118"/>
      <c r="DC1962" s="118"/>
      <c r="DD1962" s="118"/>
      <c r="DE1962" s="118"/>
      <c r="DF1962" s="118"/>
      <c r="DG1962" s="118"/>
      <c r="DH1962" s="118"/>
      <c r="DI1962" s="118"/>
      <c r="DJ1962" s="118"/>
      <c r="DK1962" s="118"/>
      <c r="DL1962" s="118"/>
      <c r="DM1962" s="118"/>
      <c r="DN1962" s="118"/>
      <c r="DO1962" s="118"/>
      <c r="DP1962" s="118"/>
      <c r="DQ1962" s="118"/>
      <c r="DR1962" s="118"/>
      <c r="DS1962" s="118"/>
      <c r="DT1962" s="118"/>
      <c r="DU1962" s="118"/>
      <c r="DV1962" s="118"/>
      <c r="DW1962" s="118"/>
      <c r="DX1962" s="118"/>
      <c r="DY1962" s="118"/>
      <c r="DZ1962" s="118"/>
      <c r="EA1962" s="118"/>
      <c r="EB1962" s="118"/>
      <c r="EC1962" s="118"/>
      <c r="ED1962" s="118"/>
      <c r="EE1962" s="118"/>
      <c r="EF1962" s="118"/>
      <c r="EG1962" s="118"/>
      <c r="EH1962" s="118"/>
      <c r="EI1962" s="118"/>
      <c r="EJ1962" s="118"/>
      <c r="EK1962" s="118"/>
      <c r="EL1962" s="118"/>
      <c r="EM1962" s="118"/>
      <c r="EN1962" s="118"/>
      <c r="EO1962" s="118"/>
      <c r="EP1962" s="118"/>
      <c r="EQ1962" s="118"/>
      <c r="ER1962" s="118"/>
      <c r="ES1962" s="118"/>
      <c r="ET1962" s="118"/>
      <c r="EU1962" s="118"/>
      <c r="EV1962" s="118"/>
      <c r="EW1962" s="118"/>
      <c r="EX1962" s="118"/>
      <c r="EY1962" s="118"/>
      <c r="EZ1962" s="118"/>
      <c r="FA1962" s="118"/>
      <c r="FB1962" s="118"/>
      <c r="FC1962" s="118"/>
      <c r="FD1962" s="118"/>
      <c r="FE1962" s="118"/>
      <c r="FF1962" s="118"/>
      <c r="FG1962" s="118"/>
      <c r="FH1962" s="118"/>
      <c r="FI1962" s="118"/>
      <c r="FJ1962" s="118"/>
      <c r="FK1962" s="118"/>
      <c r="FL1962" s="118"/>
      <c r="FM1962" s="118"/>
      <c r="FN1962" s="118"/>
      <c r="FO1962" s="118"/>
      <c r="FP1962" s="118"/>
      <c r="FQ1962" s="118"/>
      <c r="FR1962" s="118"/>
      <c r="FS1962" s="118"/>
      <c r="FT1962" s="118"/>
      <c r="FU1962" s="118"/>
      <c r="FV1962" s="118"/>
      <c r="FW1962" s="118"/>
      <c r="FX1962" s="118"/>
      <c r="FY1962" s="118"/>
      <c r="FZ1962" s="118"/>
      <c r="GA1962" s="118"/>
      <c r="GB1962" s="118"/>
      <c r="GC1962" s="118"/>
      <c r="GD1962" s="118"/>
      <c r="GE1962" s="118"/>
      <c r="GF1962" s="118"/>
      <c r="GG1962" s="118"/>
      <c r="GH1962" s="118"/>
      <c r="GI1962" s="118"/>
      <c r="GJ1962" s="118"/>
      <c r="GK1962" s="118"/>
      <c r="GL1962" s="118"/>
      <c r="GM1962" s="118"/>
      <c r="GN1962" s="118"/>
      <c r="GO1962" s="118"/>
      <c r="GP1962" s="118"/>
      <c r="GQ1962" s="118"/>
      <c r="GR1962" s="118"/>
      <c r="GS1962" s="118"/>
      <c r="GT1962" s="118"/>
      <c r="GU1962" s="118"/>
      <c r="GV1962" s="118"/>
      <c r="GW1962" s="118"/>
      <c r="GX1962" s="118"/>
      <c r="GY1962" s="118"/>
      <c r="GZ1962" s="118"/>
      <c r="HA1962" s="118"/>
      <c r="HB1962" s="118"/>
      <c r="HC1962" s="118"/>
      <c r="HD1962" s="118"/>
      <c r="HE1962" s="118"/>
      <c r="HF1962" s="118"/>
      <c r="HG1962" s="118"/>
      <c r="HH1962" s="118"/>
      <c r="HI1962" s="118"/>
      <c r="HJ1962" s="118"/>
      <c r="HK1962" s="118"/>
      <c r="HL1962" s="118"/>
      <c r="HM1962" s="118"/>
      <c r="HN1962" s="118"/>
      <c r="HO1962" s="118"/>
      <c r="HP1962" s="118"/>
      <c r="HQ1962" s="118"/>
      <c r="HR1962" s="118"/>
      <c r="HS1962" s="118"/>
      <c r="HT1962" s="118"/>
      <c r="HU1962" s="118"/>
      <c r="HV1962" s="118"/>
      <c r="HW1962" s="118"/>
      <c r="HX1962" s="118"/>
      <c r="HY1962" s="118"/>
      <c r="HZ1962" s="118"/>
      <c r="IA1962" s="118"/>
      <c r="IB1962" s="118"/>
      <c r="IC1962" s="118"/>
      <c r="ID1962" s="118"/>
      <c r="IE1962" s="118"/>
      <c r="IF1962" s="118"/>
      <c r="IG1962" s="118"/>
      <c r="IH1962" s="118"/>
      <c r="II1962" s="118"/>
      <c r="IJ1962" s="118"/>
    </row>
    <row r="1963" spans="1:244" ht="12.75" customHeight="1">
      <c r="A1963" s="118">
        <v>1962</v>
      </c>
      <c r="B1963" s="128">
        <v>21</v>
      </c>
      <c r="C1963" s="156">
        <v>39600</v>
      </c>
      <c r="D1963" s="157" t="s">
        <v>49</v>
      </c>
      <c r="E1963" s="127">
        <v>2008</v>
      </c>
      <c r="F1963" s="158">
        <f t="shared" si="497"/>
        <v>548</v>
      </c>
      <c r="G1963" s="158">
        <f t="shared" si="498"/>
        <v>2</v>
      </c>
      <c r="H1963" s="175">
        <v>39052</v>
      </c>
      <c r="I1963" s="160">
        <v>678250</v>
      </c>
      <c r="J1963" s="164">
        <v>3.3333333333333333E-2</v>
      </c>
      <c r="K1963" s="164">
        <v>0</v>
      </c>
      <c r="L1963" s="164">
        <v>0</v>
      </c>
      <c r="M1963" s="193">
        <v>0</v>
      </c>
      <c r="N1963" s="529"/>
      <c r="O1963" s="164">
        <v>0</v>
      </c>
      <c r="P1963" s="192"/>
      <c r="Q1963" s="193"/>
      <c r="R1963" s="193"/>
      <c r="S1963" s="140"/>
      <c r="T1963" s="161">
        <f t="shared" si="499"/>
        <v>0</v>
      </c>
      <c r="U1963" s="161">
        <f t="shared" si="500"/>
        <v>0</v>
      </c>
      <c r="V1963" s="161">
        <f t="shared" si="501"/>
        <v>0</v>
      </c>
      <c r="W1963" s="161">
        <f t="shared" si="502"/>
        <v>0</v>
      </c>
    </row>
    <row r="1964" spans="1:244" ht="12.75" customHeight="1">
      <c r="A1964" s="118">
        <v>1963</v>
      </c>
      <c r="B1964" s="128">
        <v>21</v>
      </c>
      <c r="C1964" s="156">
        <v>39630</v>
      </c>
      <c r="D1964" s="176" t="s">
        <v>50</v>
      </c>
      <c r="E1964" s="127">
        <v>2008</v>
      </c>
      <c r="F1964" s="158">
        <f t="shared" si="497"/>
        <v>578</v>
      </c>
      <c r="G1964" s="158">
        <f t="shared" si="498"/>
        <v>2</v>
      </c>
      <c r="H1964" s="175">
        <v>39052</v>
      </c>
      <c r="I1964" s="160">
        <v>678000</v>
      </c>
      <c r="J1964" s="164">
        <v>0</v>
      </c>
      <c r="K1964" s="164">
        <v>7.0000000000000007E-2</v>
      </c>
      <c r="L1964" s="164">
        <v>0.05</v>
      </c>
      <c r="M1964" s="193">
        <v>0</v>
      </c>
      <c r="N1964" s="529"/>
      <c r="O1964" s="164">
        <v>0</v>
      </c>
      <c r="P1964" s="127"/>
      <c r="Q1964" s="127"/>
      <c r="R1964" s="193"/>
      <c r="S1964" s="240"/>
      <c r="T1964" s="161">
        <f t="shared" si="499"/>
        <v>47460.000000000007</v>
      </c>
      <c r="U1964" s="161">
        <f t="shared" si="500"/>
        <v>33900</v>
      </c>
      <c r="V1964" s="161">
        <f t="shared" si="501"/>
        <v>0</v>
      </c>
      <c r="W1964" s="161">
        <f t="shared" si="502"/>
        <v>0</v>
      </c>
    </row>
    <row r="1965" spans="1:244" ht="12.75" customHeight="1">
      <c r="A1965" s="118">
        <v>1964</v>
      </c>
      <c r="B1965" s="128">
        <v>21</v>
      </c>
      <c r="C1965" s="156">
        <v>39661</v>
      </c>
      <c r="D1965" s="176" t="s">
        <v>51</v>
      </c>
      <c r="E1965" s="127">
        <v>2008</v>
      </c>
      <c r="F1965" s="158">
        <f t="shared" si="497"/>
        <v>609</v>
      </c>
      <c r="G1965" s="158">
        <f t="shared" si="498"/>
        <v>2</v>
      </c>
      <c r="H1965" s="175">
        <v>39052</v>
      </c>
      <c r="I1965" s="160">
        <v>678000</v>
      </c>
      <c r="J1965" s="164">
        <v>0</v>
      </c>
      <c r="K1965" s="164">
        <v>0</v>
      </c>
      <c r="L1965" s="164">
        <v>0</v>
      </c>
      <c r="M1965" s="193">
        <v>0</v>
      </c>
      <c r="N1965" s="529"/>
      <c r="O1965" s="164">
        <v>0</v>
      </c>
      <c r="P1965" s="127"/>
      <c r="Q1965" s="127"/>
      <c r="R1965" s="193"/>
      <c r="S1965" s="240"/>
      <c r="T1965" s="161">
        <f t="shared" si="499"/>
        <v>0</v>
      </c>
      <c r="U1965" s="161">
        <f t="shared" si="500"/>
        <v>0</v>
      </c>
      <c r="V1965" s="161">
        <f t="shared" si="501"/>
        <v>0</v>
      </c>
      <c r="W1965" s="161">
        <f t="shared" si="502"/>
        <v>0</v>
      </c>
    </row>
    <row r="1966" spans="1:244" ht="12.75" customHeight="1">
      <c r="A1966" s="118">
        <v>1965</v>
      </c>
      <c r="B1966" s="128">
        <v>21</v>
      </c>
      <c r="C1966" s="156">
        <v>39692</v>
      </c>
      <c r="D1966" s="176" t="s">
        <v>52</v>
      </c>
      <c r="E1966" s="127">
        <v>2008</v>
      </c>
      <c r="F1966" s="158">
        <f t="shared" si="497"/>
        <v>640</v>
      </c>
      <c r="G1966" s="158">
        <f t="shared" si="498"/>
        <v>2</v>
      </c>
      <c r="H1966" s="175">
        <v>39052</v>
      </c>
      <c r="I1966" s="160">
        <v>677000</v>
      </c>
      <c r="J1966" s="164">
        <v>0</v>
      </c>
      <c r="K1966" s="164">
        <v>0.02</v>
      </c>
      <c r="L1966" s="164">
        <v>0.02</v>
      </c>
      <c r="M1966" s="193">
        <v>0</v>
      </c>
      <c r="N1966" s="529"/>
      <c r="O1966" s="164">
        <v>0</v>
      </c>
      <c r="P1966" s="127"/>
      <c r="Q1966" s="127"/>
      <c r="R1966" s="193"/>
      <c r="S1966" s="240"/>
      <c r="T1966" s="161">
        <f t="shared" si="499"/>
        <v>13540</v>
      </c>
      <c r="U1966" s="161">
        <f t="shared" si="500"/>
        <v>13540</v>
      </c>
      <c r="V1966" s="161">
        <f t="shared" si="501"/>
        <v>0</v>
      </c>
      <c r="W1966" s="161">
        <f t="shared" si="502"/>
        <v>0</v>
      </c>
    </row>
    <row r="1967" spans="1:244" ht="12.75" customHeight="1">
      <c r="A1967" s="118">
        <v>1966</v>
      </c>
      <c r="B1967" s="128">
        <v>21</v>
      </c>
      <c r="C1967" s="156">
        <v>39722</v>
      </c>
      <c r="D1967" s="176" t="s">
        <v>53</v>
      </c>
      <c r="E1967" s="127">
        <v>2008</v>
      </c>
      <c r="F1967" s="158">
        <f t="shared" si="497"/>
        <v>670</v>
      </c>
      <c r="G1967" s="158">
        <f t="shared" si="498"/>
        <v>2</v>
      </c>
      <c r="H1967" s="175">
        <v>39052</v>
      </c>
      <c r="I1967" s="160">
        <v>675000</v>
      </c>
      <c r="J1967" s="164">
        <v>0</v>
      </c>
      <c r="K1967" s="164">
        <v>0.08</v>
      </c>
      <c r="L1967" s="164">
        <v>0.05</v>
      </c>
      <c r="M1967" s="193">
        <v>0</v>
      </c>
      <c r="N1967" s="529"/>
      <c r="O1967" s="164">
        <v>0</v>
      </c>
      <c r="P1967" s="127"/>
      <c r="Q1967" s="127"/>
      <c r="R1967" s="193"/>
      <c r="S1967" s="240"/>
      <c r="T1967" s="161">
        <f t="shared" si="499"/>
        <v>54000</v>
      </c>
      <c r="U1967" s="161">
        <f t="shared" si="500"/>
        <v>33750</v>
      </c>
      <c r="V1967" s="161">
        <f t="shared" si="501"/>
        <v>0</v>
      </c>
      <c r="W1967" s="161">
        <f t="shared" si="502"/>
        <v>0</v>
      </c>
    </row>
    <row r="1968" spans="1:244" ht="12.75" customHeight="1">
      <c r="A1968" s="118">
        <v>1967</v>
      </c>
      <c r="B1968" s="128">
        <v>21</v>
      </c>
      <c r="C1968" s="156">
        <v>39753</v>
      </c>
      <c r="D1968" s="176" t="s">
        <v>54</v>
      </c>
      <c r="E1968" s="127">
        <v>2008</v>
      </c>
      <c r="F1968" s="158">
        <f t="shared" si="497"/>
        <v>701</v>
      </c>
      <c r="G1968" s="158">
        <f t="shared" si="498"/>
        <v>2</v>
      </c>
      <c r="H1968" s="175">
        <v>39052</v>
      </c>
      <c r="I1968" s="160">
        <v>674000</v>
      </c>
      <c r="J1968" s="164">
        <v>2.0299999999999998</v>
      </c>
      <c r="K1968" s="164">
        <v>0.13</v>
      </c>
      <c r="L1968" s="164">
        <v>0.12</v>
      </c>
      <c r="M1968" s="193"/>
      <c r="N1968" s="529"/>
      <c r="O1968" s="164">
        <v>0</v>
      </c>
      <c r="P1968" s="127"/>
      <c r="Q1968" s="127"/>
      <c r="R1968" s="193"/>
      <c r="S1968" s="240"/>
      <c r="T1968" s="161">
        <f t="shared" si="499"/>
        <v>87620</v>
      </c>
      <c r="U1968" s="161">
        <f t="shared" si="500"/>
        <v>80880</v>
      </c>
      <c r="V1968" s="161">
        <f t="shared" si="501"/>
        <v>0</v>
      </c>
      <c r="W1968" s="161">
        <f t="shared" si="502"/>
        <v>0</v>
      </c>
    </row>
    <row r="1969" spans="1:23" ht="12.75" customHeight="1">
      <c r="A1969" s="118">
        <v>1968</v>
      </c>
      <c r="B1969" s="128">
        <v>21</v>
      </c>
      <c r="C1969" s="156">
        <v>39783</v>
      </c>
      <c r="D1969" s="176" t="s">
        <v>55</v>
      </c>
      <c r="E1969" s="127">
        <v>2008</v>
      </c>
      <c r="F1969" s="158">
        <f t="shared" si="497"/>
        <v>731</v>
      </c>
      <c r="G1969" s="158">
        <f>IF(F1969&lt;730,2,3)</f>
        <v>3</v>
      </c>
      <c r="H1969" s="175">
        <v>39052</v>
      </c>
      <c r="I1969" s="211">
        <v>673000</v>
      </c>
      <c r="J1969" s="191"/>
      <c r="K1969" s="177">
        <v>0.3</v>
      </c>
      <c r="L1969" s="177">
        <v>0.2</v>
      </c>
      <c r="M1969" s="193"/>
      <c r="N1969" s="529">
        <v>1</v>
      </c>
      <c r="O1969" s="177">
        <v>0</v>
      </c>
      <c r="P1969" s="127"/>
      <c r="Q1969" s="127"/>
      <c r="R1969" s="193"/>
      <c r="S1969" s="240"/>
      <c r="T1969" s="171">
        <f t="shared" si="499"/>
        <v>201900</v>
      </c>
      <c r="U1969" s="171">
        <f t="shared" si="500"/>
        <v>134600</v>
      </c>
      <c r="V1969" s="171">
        <f t="shared" si="501"/>
        <v>0</v>
      </c>
      <c r="W1969" s="171">
        <f t="shared" si="502"/>
        <v>0</v>
      </c>
    </row>
    <row r="1970" spans="1:23" ht="12.75" customHeight="1">
      <c r="A1970" s="118">
        <v>1969</v>
      </c>
      <c r="B1970" s="128">
        <v>21</v>
      </c>
      <c r="C1970" s="156">
        <v>39814</v>
      </c>
      <c r="D1970" s="157" t="s">
        <v>44</v>
      </c>
      <c r="E1970" s="127">
        <v>2009</v>
      </c>
      <c r="F1970" s="158">
        <f t="shared" si="497"/>
        <v>762</v>
      </c>
      <c r="G1970" s="158">
        <f>IF(F1970&lt;730,2,3)</f>
        <v>3</v>
      </c>
      <c r="H1970" s="178">
        <v>39052</v>
      </c>
      <c r="I1970" s="125">
        <v>673683</v>
      </c>
      <c r="J1970" s="164">
        <v>0</v>
      </c>
      <c r="K1970" s="164">
        <v>0.35833333333333334</v>
      </c>
      <c r="L1970" s="164">
        <v>0.17499999999999999</v>
      </c>
      <c r="M1970" s="193"/>
      <c r="N1970" s="529"/>
      <c r="O1970" s="164">
        <v>7.4999999999999997E-2</v>
      </c>
      <c r="P1970" s="118"/>
      <c r="Q1970" s="118"/>
      <c r="R1970" s="118"/>
      <c r="S1970" s="221"/>
      <c r="T1970" s="161">
        <f t="shared" si="499"/>
        <v>241403.07500000001</v>
      </c>
      <c r="U1970" s="161">
        <f t="shared" si="500"/>
        <v>117894.52499999999</v>
      </c>
      <c r="V1970" s="161">
        <f t="shared" si="501"/>
        <v>50526.224999999999</v>
      </c>
      <c r="W1970" s="161">
        <f t="shared" si="502"/>
        <v>20210.490000000002</v>
      </c>
    </row>
    <row r="1971" spans="1:23" ht="12.75" customHeight="1">
      <c r="A1971" s="118">
        <v>1970</v>
      </c>
      <c r="B1971" s="128">
        <v>21</v>
      </c>
      <c r="C1971" s="156">
        <v>39845</v>
      </c>
      <c r="D1971" s="157" t="s">
        <v>45</v>
      </c>
      <c r="E1971" s="127">
        <v>2009</v>
      </c>
      <c r="F1971" s="158">
        <f t="shared" si="497"/>
        <v>793</v>
      </c>
      <c r="G1971" s="158">
        <f>IF(F1971&lt;730,2,3)</f>
        <v>3</v>
      </c>
      <c r="H1971" s="178">
        <v>39052</v>
      </c>
      <c r="I1971" s="125">
        <v>24973</v>
      </c>
      <c r="J1971" s="164"/>
      <c r="K1971" s="164"/>
      <c r="L1971" s="177">
        <v>0.3</v>
      </c>
      <c r="M1971" s="193"/>
      <c r="N1971" s="529" t="s">
        <v>795</v>
      </c>
      <c r="O1971" s="177">
        <v>0.16</v>
      </c>
      <c r="P1971" s="118"/>
      <c r="Q1971" s="118"/>
      <c r="R1971" s="118"/>
      <c r="S1971" s="221" t="s">
        <v>250</v>
      </c>
      <c r="T1971" s="118"/>
      <c r="U1971" s="171">
        <f>$I1971*L1971</f>
        <v>7491.9</v>
      </c>
      <c r="V1971" s="171">
        <f t="shared" si="501"/>
        <v>3995.6800000000003</v>
      </c>
      <c r="W1971" s="171">
        <f t="shared" si="502"/>
        <v>1598.2720000000002</v>
      </c>
    </row>
    <row r="1972" spans="1:23" ht="12.75" customHeight="1">
      <c r="A1972" s="118">
        <v>1971</v>
      </c>
      <c r="B1972" s="128">
        <v>21</v>
      </c>
      <c r="C1972" s="156">
        <v>39873</v>
      </c>
      <c r="D1972" s="157" t="s">
        <v>46</v>
      </c>
      <c r="E1972" s="127">
        <v>2009</v>
      </c>
      <c r="F1972" s="118"/>
      <c r="G1972" s="118"/>
      <c r="H1972" s="118"/>
      <c r="I1972" s="125"/>
      <c r="J1972" s="164"/>
      <c r="K1972" s="164"/>
      <c r="L1972" s="164"/>
      <c r="M1972" s="193"/>
      <c r="N1972" s="529"/>
      <c r="O1972" s="164"/>
      <c r="P1972" s="118"/>
      <c r="Q1972" s="118"/>
      <c r="R1972" s="118"/>
      <c r="S1972" s="221" t="s">
        <v>251</v>
      </c>
      <c r="T1972" s="118"/>
      <c r="U1972" s="118"/>
      <c r="V1972" s="118"/>
      <c r="W1972" s="118"/>
    </row>
    <row r="1973" spans="1:23" ht="12.75" customHeight="1">
      <c r="A1973" s="118">
        <v>1972</v>
      </c>
      <c r="B1973" s="128">
        <v>21</v>
      </c>
      <c r="C1973" s="156">
        <v>39904</v>
      </c>
      <c r="D1973" s="157" t="s">
        <v>47</v>
      </c>
      <c r="E1973" s="127">
        <v>2009</v>
      </c>
      <c r="F1973" s="118"/>
      <c r="G1973" s="118"/>
      <c r="H1973" s="118"/>
      <c r="I1973" s="125"/>
      <c r="J1973" s="164"/>
      <c r="K1973" s="164"/>
      <c r="L1973" s="164"/>
      <c r="M1973" s="193"/>
      <c r="N1973" s="529"/>
      <c r="O1973" s="164"/>
      <c r="P1973" s="118"/>
      <c r="Q1973" s="118"/>
      <c r="R1973" s="118"/>
      <c r="S1973" s="221"/>
      <c r="T1973" s="118"/>
      <c r="U1973" s="118"/>
      <c r="V1973" s="118"/>
      <c r="W1973" s="118"/>
    </row>
    <row r="1974" spans="1:23" ht="12.75" customHeight="1">
      <c r="A1974" s="118">
        <v>1973</v>
      </c>
      <c r="B1974" s="128">
        <v>21</v>
      </c>
      <c r="C1974" s="156">
        <v>39934</v>
      </c>
      <c r="D1974" s="157" t="s">
        <v>48</v>
      </c>
      <c r="E1974" s="127">
        <v>2009</v>
      </c>
      <c r="F1974" s="118"/>
      <c r="G1974" s="118"/>
      <c r="H1974" s="118"/>
      <c r="I1974" s="125"/>
      <c r="J1974" s="164"/>
      <c r="K1974" s="164"/>
      <c r="L1974" s="164"/>
      <c r="M1974" s="193"/>
      <c r="N1974" s="529"/>
      <c r="O1974" s="164"/>
      <c r="P1974" s="118"/>
      <c r="Q1974" s="118"/>
      <c r="R1974" s="118"/>
      <c r="S1974" s="221"/>
      <c r="T1974" s="118"/>
      <c r="U1974" s="118"/>
      <c r="V1974" s="118"/>
      <c r="W1974" s="118"/>
    </row>
    <row r="1975" spans="1:23" ht="12.75" customHeight="1">
      <c r="A1975" s="118">
        <v>1974</v>
      </c>
      <c r="B1975" s="128">
        <v>21</v>
      </c>
      <c r="C1975" s="156">
        <v>39965</v>
      </c>
      <c r="D1975" s="157" t="s">
        <v>49</v>
      </c>
      <c r="E1975" s="127">
        <v>2009</v>
      </c>
      <c r="F1975" s="118"/>
      <c r="G1975" s="118"/>
      <c r="H1975" s="118"/>
      <c r="I1975" s="125"/>
      <c r="J1975" s="164"/>
      <c r="K1975" s="164"/>
      <c r="L1975" s="164"/>
      <c r="M1975" s="193"/>
      <c r="N1975" s="529"/>
      <c r="O1975" s="164"/>
      <c r="P1975" s="118"/>
      <c r="Q1975" s="118"/>
      <c r="R1975" s="118"/>
      <c r="S1975" s="221"/>
      <c r="T1975" s="118"/>
      <c r="U1975" s="118"/>
      <c r="V1975" s="118"/>
      <c r="W1975" s="118"/>
    </row>
    <row r="1976" spans="1:23" ht="12.75" customHeight="1">
      <c r="A1976" s="118">
        <v>1975</v>
      </c>
      <c r="B1976" s="128">
        <v>21</v>
      </c>
      <c r="C1976" s="156">
        <v>39995</v>
      </c>
      <c r="D1976" s="157" t="s">
        <v>50</v>
      </c>
      <c r="E1976" s="127">
        <v>2009</v>
      </c>
      <c r="F1976" s="158">
        <f t="shared" ref="F1976:F1981" si="503">C1976-H1976</f>
        <v>266</v>
      </c>
      <c r="G1976" s="158">
        <f t="shared" ref="G1976:G1981" si="504">IF(F1976&lt;365,1,2)</f>
        <v>1</v>
      </c>
      <c r="H1976" s="175">
        <v>39729</v>
      </c>
      <c r="I1976" s="125">
        <v>457070</v>
      </c>
      <c r="J1976" s="191">
        <v>0</v>
      </c>
      <c r="K1976" s="191">
        <v>0.02</v>
      </c>
      <c r="L1976" s="191">
        <v>0</v>
      </c>
      <c r="M1976" s="193"/>
      <c r="N1976" s="529"/>
      <c r="O1976" s="191">
        <v>0</v>
      </c>
      <c r="P1976" s="127"/>
      <c r="Q1976" s="127"/>
      <c r="R1976" s="127"/>
      <c r="S1976" s="140"/>
      <c r="T1976" s="171">
        <f t="shared" ref="T1976:T1981" si="505">$I1976*K1976</f>
        <v>9141.4</v>
      </c>
      <c r="U1976" s="171">
        <f t="shared" ref="U1976:U1981" si="506">$I1976*L1976</f>
        <v>0</v>
      </c>
      <c r="V1976" s="171">
        <f t="shared" ref="V1976:V1981" si="507">$I1976*O1976</f>
        <v>0</v>
      </c>
      <c r="W1976" s="171">
        <f t="shared" ref="W1976:W1981" si="508">V1976*0.4</f>
        <v>0</v>
      </c>
    </row>
    <row r="1977" spans="1:23" ht="12.75" customHeight="1">
      <c r="A1977" s="118">
        <v>1976</v>
      </c>
      <c r="B1977" s="128">
        <v>21</v>
      </c>
      <c r="C1977" s="156">
        <v>40026</v>
      </c>
      <c r="D1977" s="157" t="s">
        <v>51</v>
      </c>
      <c r="E1977" s="127">
        <v>2009</v>
      </c>
      <c r="F1977" s="158">
        <f t="shared" si="503"/>
        <v>297</v>
      </c>
      <c r="G1977" s="158">
        <f t="shared" si="504"/>
        <v>1</v>
      </c>
      <c r="H1977" s="175">
        <v>39729</v>
      </c>
      <c r="I1977" s="125">
        <v>539476</v>
      </c>
      <c r="J1977" s="191">
        <v>0</v>
      </c>
      <c r="K1977" s="191">
        <v>8.3000000000000004E-2</v>
      </c>
      <c r="L1977" s="191">
        <v>1.7000000000000001E-2</v>
      </c>
      <c r="M1977" s="193">
        <v>0</v>
      </c>
      <c r="N1977" s="529"/>
      <c r="O1977" s="191">
        <v>0</v>
      </c>
      <c r="P1977" s="127"/>
      <c r="Q1977" s="127"/>
      <c r="R1977" s="127"/>
      <c r="S1977" s="140"/>
      <c r="T1977" s="171">
        <f t="shared" si="505"/>
        <v>44776.508000000002</v>
      </c>
      <c r="U1977" s="171">
        <f t="shared" si="506"/>
        <v>9171.0920000000006</v>
      </c>
      <c r="V1977" s="171">
        <f t="shared" si="507"/>
        <v>0</v>
      </c>
      <c r="W1977" s="171">
        <f t="shared" si="508"/>
        <v>0</v>
      </c>
    </row>
    <row r="1978" spans="1:23" ht="12.75" customHeight="1">
      <c r="A1978" s="118">
        <v>1977</v>
      </c>
      <c r="B1978" s="128">
        <v>21</v>
      </c>
      <c r="C1978" s="156">
        <v>40057</v>
      </c>
      <c r="D1978" s="157" t="s">
        <v>52</v>
      </c>
      <c r="E1978" s="127">
        <v>2009</v>
      </c>
      <c r="F1978" s="158">
        <f t="shared" si="503"/>
        <v>328</v>
      </c>
      <c r="G1978" s="158">
        <f t="shared" si="504"/>
        <v>1</v>
      </c>
      <c r="H1978" s="175">
        <v>39729</v>
      </c>
      <c r="I1978" s="205">
        <v>539456</v>
      </c>
      <c r="J1978" s="191">
        <v>0</v>
      </c>
      <c r="K1978" s="191">
        <v>0.33</v>
      </c>
      <c r="L1978" s="191">
        <v>0.03</v>
      </c>
      <c r="M1978" s="193">
        <v>0</v>
      </c>
      <c r="N1978" s="529"/>
      <c r="O1978" s="191">
        <v>0.02</v>
      </c>
      <c r="P1978" s="127"/>
      <c r="Q1978" s="127"/>
      <c r="R1978" s="127"/>
      <c r="S1978" s="140"/>
      <c r="T1978" s="171">
        <f t="shared" si="505"/>
        <v>178020.48000000001</v>
      </c>
      <c r="U1978" s="171">
        <f t="shared" si="506"/>
        <v>16183.68</v>
      </c>
      <c r="V1978" s="171">
        <f t="shared" si="507"/>
        <v>10789.12</v>
      </c>
      <c r="W1978" s="171">
        <f t="shared" si="508"/>
        <v>4315.6480000000001</v>
      </c>
    </row>
    <row r="1979" spans="1:23" ht="12.75" customHeight="1">
      <c r="A1979" s="118">
        <v>1978</v>
      </c>
      <c r="B1979" s="128">
        <v>21</v>
      </c>
      <c r="C1979" s="156">
        <v>40087</v>
      </c>
      <c r="D1979" s="157" t="s">
        <v>53</v>
      </c>
      <c r="E1979" s="127">
        <v>2009</v>
      </c>
      <c r="F1979" s="158">
        <f t="shared" si="503"/>
        <v>358</v>
      </c>
      <c r="G1979" s="158">
        <f t="shared" si="504"/>
        <v>1</v>
      </c>
      <c r="H1979" s="175">
        <v>39729</v>
      </c>
      <c r="I1979" s="205">
        <v>539006</v>
      </c>
      <c r="J1979" s="191">
        <v>0.2</v>
      </c>
      <c r="K1979" s="191">
        <v>0.45</v>
      </c>
      <c r="L1979" s="191">
        <v>0.15</v>
      </c>
      <c r="M1979" s="193">
        <v>0</v>
      </c>
      <c r="N1979" s="529"/>
      <c r="O1979" s="191">
        <v>0</v>
      </c>
      <c r="P1979" s="127"/>
      <c r="Q1979" s="127"/>
      <c r="R1979" s="127"/>
      <c r="S1979" s="140"/>
      <c r="T1979" s="171">
        <f t="shared" si="505"/>
        <v>242552.7</v>
      </c>
      <c r="U1979" s="171">
        <f t="shared" si="506"/>
        <v>80850.899999999994</v>
      </c>
      <c r="V1979" s="171">
        <f t="shared" si="507"/>
        <v>0</v>
      </c>
      <c r="W1979" s="171">
        <f t="shared" si="508"/>
        <v>0</v>
      </c>
    </row>
    <row r="1980" spans="1:23" ht="12.75" customHeight="1">
      <c r="A1980" s="118">
        <v>1979</v>
      </c>
      <c r="B1980" s="128">
        <v>21</v>
      </c>
      <c r="C1980" s="156">
        <v>40118</v>
      </c>
      <c r="D1980" s="157" t="s">
        <v>54</v>
      </c>
      <c r="E1980" s="127">
        <v>2009</v>
      </c>
      <c r="F1980" s="158">
        <f t="shared" si="503"/>
        <v>389</v>
      </c>
      <c r="G1980" s="158">
        <f t="shared" si="504"/>
        <v>2</v>
      </c>
      <c r="H1980" s="175">
        <v>39729</v>
      </c>
      <c r="I1980" s="205">
        <v>538558</v>
      </c>
      <c r="J1980" s="191">
        <v>0.433</v>
      </c>
      <c r="K1980" s="191">
        <v>0.46700000000000003</v>
      </c>
      <c r="L1980" s="191">
        <v>0.25</v>
      </c>
      <c r="M1980" s="193">
        <v>2</v>
      </c>
      <c r="N1980" s="529"/>
      <c r="O1980" s="191">
        <v>1.7000000000000001E-2</v>
      </c>
      <c r="P1980" s="192">
        <v>1</v>
      </c>
      <c r="Q1980" s="192"/>
      <c r="R1980" s="192"/>
      <c r="S1980" s="244"/>
      <c r="T1980" s="171">
        <f t="shared" si="505"/>
        <v>251506.58600000001</v>
      </c>
      <c r="U1980" s="171">
        <f t="shared" si="506"/>
        <v>134639.5</v>
      </c>
      <c r="V1980" s="171">
        <f t="shared" si="507"/>
        <v>9155.4860000000008</v>
      </c>
      <c r="W1980" s="171">
        <f t="shared" si="508"/>
        <v>3662.1944000000003</v>
      </c>
    </row>
    <row r="1981" spans="1:23" ht="12.75" customHeight="1">
      <c r="A1981" s="118">
        <v>1980</v>
      </c>
      <c r="B1981" s="128">
        <v>21</v>
      </c>
      <c r="C1981" s="156">
        <v>40148</v>
      </c>
      <c r="D1981" s="157" t="s">
        <v>55</v>
      </c>
      <c r="E1981" s="127">
        <v>2009</v>
      </c>
      <c r="F1981" s="158">
        <f t="shared" si="503"/>
        <v>419</v>
      </c>
      <c r="G1981" s="158">
        <f t="shared" si="504"/>
        <v>2</v>
      </c>
      <c r="H1981" s="175">
        <v>39729</v>
      </c>
      <c r="I1981" s="205">
        <v>538245</v>
      </c>
      <c r="J1981" s="191">
        <v>0.08</v>
      </c>
      <c r="K1981" s="191">
        <v>0.03</v>
      </c>
      <c r="L1981" s="191">
        <v>0.02</v>
      </c>
      <c r="M1981" s="193"/>
      <c r="N1981" s="529"/>
      <c r="O1981" s="191">
        <v>0</v>
      </c>
      <c r="P1981" s="192"/>
      <c r="Q1981" s="192"/>
      <c r="R1981" s="192"/>
      <c r="S1981" s="140"/>
      <c r="T1981" s="171">
        <f t="shared" si="505"/>
        <v>16147.349999999999</v>
      </c>
      <c r="U1981" s="171">
        <f t="shared" si="506"/>
        <v>10764.9</v>
      </c>
      <c r="V1981" s="171">
        <f t="shared" si="507"/>
        <v>0</v>
      </c>
      <c r="W1981" s="171">
        <f t="shared" si="508"/>
        <v>0</v>
      </c>
    </row>
    <row r="1982" spans="1:23" ht="12.75" customHeight="1">
      <c r="A1982" s="118">
        <v>1981</v>
      </c>
      <c r="B1982" s="128">
        <v>22</v>
      </c>
      <c r="C1982" s="156">
        <v>36526</v>
      </c>
      <c r="D1982" s="157" t="s">
        <v>44</v>
      </c>
      <c r="E1982" s="8">
        <v>2000</v>
      </c>
      <c r="F1982" s="158">
        <f t="shared" ref="F1982:F1993" si="509">C1982-H1982</f>
        <v>306</v>
      </c>
      <c r="G1982" s="158">
        <f t="shared" ref="G1982:G1993" si="510">IF(F1982&lt;365,1,2)</f>
        <v>1</v>
      </c>
      <c r="H1982" s="162">
        <v>36220</v>
      </c>
      <c r="I1982" s="163">
        <v>351411</v>
      </c>
      <c r="J1982" s="11"/>
      <c r="K1982" s="11"/>
      <c r="L1982" s="11"/>
      <c r="O1982" s="11"/>
      <c r="T1982" s="11"/>
      <c r="V1982" s="11"/>
      <c r="W1982" s="11"/>
    </row>
    <row r="1983" spans="1:23" ht="12.75" customHeight="1">
      <c r="A1983" s="118">
        <v>1982</v>
      </c>
      <c r="B1983" s="128">
        <v>22</v>
      </c>
      <c r="C1983" s="156">
        <v>36557</v>
      </c>
      <c r="D1983" s="157" t="s">
        <v>45</v>
      </c>
      <c r="E1983" s="8">
        <v>2000</v>
      </c>
      <c r="F1983" s="158">
        <f t="shared" si="509"/>
        <v>337</v>
      </c>
      <c r="G1983" s="158">
        <f t="shared" si="510"/>
        <v>1</v>
      </c>
      <c r="H1983" s="162">
        <v>36220</v>
      </c>
      <c r="I1983" s="163">
        <v>350907</v>
      </c>
      <c r="J1983" s="11"/>
      <c r="K1983" s="11"/>
      <c r="L1983" s="11"/>
      <c r="O1983" s="11"/>
      <c r="T1983" s="11"/>
      <c r="V1983" s="11"/>
      <c r="W1983" s="11"/>
    </row>
    <row r="1984" spans="1:23" ht="12.75" customHeight="1">
      <c r="A1984" s="118">
        <v>1983</v>
      </c>
      <c r="B1984" s="128">
        <v>22</v>
      </c>
      <c r="C1984" s="156">
        <v>36586</v>
      </c>
      <c r="D1984" s="157" t="s">
        <v>46</v>
      </c>
      <c r="E1984" s="8">
        <v>2000</v>
      </c>
      <c r="F1984" s="158">
        <f t="shared" si="509"/>
        <v>366</v>
      </c>
      <c r="G1984" s="158">
        <f t="shared" si="510"/>
        <v>2</v>
      </c>
      <c r="H1984" s="162">
        <v>36220</v>
      </c>
      <c r="I1984" s="163">
        <v>350853</v>
      </c>
      <c r="J1984" s="11"/>
      <c r="K1984" s="11"/>
      <c r="L1984" s="11"/>
      <c r="O1984" s="11"/>
      <c r="T1984" s="11"/>
      <c r="V1984" s="11"/>
      <c r="W1984" s="11"/>
    </row>
    <row r="1985" spans="1:244" ht="12.75" customHeight="1">
      <c r="A1985" s="118">
        <v>1984</v>
      </c>
      <c r="B1985" s="128">
        <v>22</v>
      </c>
      <c r="C1985" s="156">
        <v>36617</v>
      </c>
      <c r="D1985" s="157" t="s">
        <v>47</v>
      </c>
      <c r="E1985" s="8">
        <v>2000</v>
      </c>
      <c r="F1985" s="158">
        <f t="shared" si="509"/>
        <v>397</v>
      </c>
      <c r="G1985" s="158">
        <f t="shared" si="510"/>
        <v>2</v>
      </c>
      <c r="H1985" s="162">
        <v>36220</v>
      </c>
      <c r="I1985" s="163">
        <v>261149</v>
      </c>
      <c r="J1985" s="11"/>
      <c r="K1985" s="11"/>
      <c r="L1985" s="11"/>
      <c r="O1985" s="11"/>
      <c r="T1985" s="11"/>
      <c r="V1985" s="11"/>
      <c r="W1985" s="11"/>
    </row>
    <row r="1986" spans="1:244" ht="12.75" customHeight="1">
      <c r="A1986" s="118">
        <v>1985</v>
      </c>
      <c r="B1986" s="128">
        <v>22</v>
      </c>
      <c r="C1986" s="156">
        <v>36647</v>
      </c>
      <c r="D1986" s="157" t="s">
        <v>48</v>
      </c>
      <c r="E1986" s="8">
        <v>2000</v>
      </c>
      <c r="F1986" s="158">
        <f t="shared" si="509"/>
        <v>427</v>
      </c>
      <c r="G1986" s="158">
        <f t="shared" si="510"/>
        <v>2</v>
      </c>
      <c r="H1986" s="162">
        <v>36220</v>
      </c>
      <c r="I1986" s="163">
        <v>260939</v>
      </c>
      <c r="J1986" s="11"/>
      <c r="K1986" s="11"/>
      <c r="L1986" s="11"/>
      <c r="O1986" s="11"/>
      <c r="T1986" s="11"/>
      <c r="V1986" s="11"/>
      <c r="W1986" s="11"/>
    </row>
    <row r="1987" spans="1:244" ht="12.75" customHeight="1">
      <c r="A1987" s="118">
        <v>1986</v>
      </c>
      <c r="B1987" s="128">
        <v>22</v>
      </c>
      <c r="C1987" s="156">
        <v>36678</v>
      </c>
      <c r="D1987" s="157" t="s">
        <v>49</v>
      </c>
      <c r="E1987" s="8">
        <v>2000</v>
      </c>
      <c r="F1987" s="158">
        <f t="shared" si="509"/>
        <v>458</v>
      </c>
      <c r="G1987" s="158">
        <f t="shared" si="510"/>
        <v>2</v>
      </c>
      <c r="H1987" s="162">
        <v>36220</v>
      </c>
      <c r="I1987" s="163">
        <v>256852</v>
      </c>
      <c r="J1987" s="11"/>
      <c r="K1987" s="11"/>
      <c r="L1987" s="11"/>
      <c r="O1987" s="11"/>
      <c r="T1987" s="11"/>
      <c r="V1987" s="11"/>
      <c r="W1987" s="11"/>
    </row>
    <row r="1988" spans="1:244" ht="12.75" customHeight="1">
      <c r="A1988" s="118">
        <v>1987</v>
      </c>
      <c r="B1988" s="128">
        <v>22</v>
      </c>
      <c r="C1988" s="156">
        <v>36708</v>
      </c>
      <c r="D1988" s="157" t="s">
        <v>50</v>
      </c>
      <c r="E1988" s="8">
        <v>2000</v>
      </c>
      <c r="F1988" s="158">
        <f t="shared" si="509"/>
        <v>488</v>
      </c>
      <c r="G1988" s="158">
        <f t="shared" si="510"/>
        <v>2</v>
      </c>
      <c r="H1988" s="162">
        <v>36220</v>
      </c>
      <c r="I1988" s="163">
        <v>254840</v>
      </c>
      <c r="J1988" s="11"/>
      <c r="K1988" s="11"/>
      <c r="L1988" s="11"/>
      <c r="O1988" s="11"/>
      <c r="T1988" s="11"/>
      <c r="V1988" s="11"/>
      <c r="W1988" s="11"/>
    </row>
    <row r="1989" spans="1:244" ht="12.75" customHeight="1">
      <c r="A1989" s="118">
        <v>1988</v>
      </c>
      <c r="B1989" s="128">
        <v>22</v>
      </c>
      <c r="C1989" s="156">
        <v>36739</v>
      </c>
      <c r="D1989" s="157" t="s">
        <v>51</v>
      </c>
      <c r="E1989" s="8">
        <v>2000</v>
      </c>
      <c r="F1989" s="158">
        <f t="shared" si="509"/>
        <v>519</v>
      </c>
      <c r="G1989" s="158">
        <f t="shared" si="510"/>
        <v>2</v>
      </c>
      <c r="H1989" s="162">
        <v>36220</v>
      </c>
      <c r="I1989" s="163">
        <v>222714</v>
      </c>
      <c r="J1989" s="11"/>
      <c r="K1989" s="11"/>
      <c r="L1989" s="11"/>
      <c r="O1989" s="11"/>
      <c r="S1989" s="155" t="s">
        <v>2</v>
      </c>
      <c r="T1989" s="11"/>
      <c r="V1989" s="11"/>
      <c r="W1989" s="11"/>
    </row>
    <row r="1990" spans="1:244" ht="12.75" customHeight="1">
      <c r="A1990" s="118">
        <v>1989</v>
      </c>
      <c r="B1990" s="128">
        <v>22</v>
      </c>
      <c r="C1990" s="156">
        <v>36770</v>
      </c>
      <c r="D1990" s="157" t="s">
        <v>52</v>
      </c>
      <c r="E1990" s="8">
        <v>2000</v>
      </c>
      <c r="F1990" s="158">
        <f t="shared" si="509"/>
        <v>550</v>
      </c>
      <c r="G1990" s="158">
        <f t="shared" si="510"/>
        <v>2</v>
      </c>
      <c r="H1990" s="162">
        <v>36220</v>
      </c>
      <c r="I1990" s="163">
        <v>177385</v>
      </c>
      <c r="J1990" s="11"/>
      <c r="K1990" s="11"/>
      <c r="L1990" s="11"/>
      <c r="O1990" s="11"/>
      <c r="T1990" s="11"/>
      <c r="V1990" s="11"/>
      <c r="W1990" s="11"/>
    </row>
    <row r="1991" spans="1:244" ht="12.75" customHeight="1">
      <c r="A1991" s="118">
        <v>1990</v>
      </c>
      <c r="B1991" s="128">
        <v>22</v>
      </c>
      <c r="C1991" s="156">
        <v>36800</v>
      </c>
      <c r="D1991" s="157" t="s">
        <v>53</v>
      </c>
      <c r="E1991" s="8">
        <v>2000</v>
      </c>
      <c r="F1991" s="158">
        <f t="shared" si="509"/>
        <v>580</v>
      </c>
      <c r="G1991" s="158">
        <f t="shared" si="510"/>
        <v>2</v>
      </c>
      <c r="H1991" s="162">
        <v>36220</v>
      </c>
      <c r="I1991" s="163">
        <v>141978</v>
      </c>
      <c r="J1991" s="11"/>
      <c r="K1991" s="11"/>
      <c r="L1991" s="11"/>
      <c r="O1991" s="11"/>
      <c r="T1991" s="11"/>
      <c r="V1991" s="11"/>
      <c r="W1991" s="11"/>
    </row>
    <row r="1992" spans="1:244" s="127" customFormat="1" ht="12.75" customHeight="1">
      <c r="A1992" s="118">
        <v>1991</v>
      </c>
      <c r="B1992" s="260">
        <v>22</v>
      </c>
      <c r="C1992" s="156">
        <v>36831</v>
      </c>
      <c r="D1992" s="157" t="s">
        <v>54</v>
      </c>
      <c r="E1992" s="8">
        <v>2000</v>
      </c>
      <c r="F1992" s="158">
        <f t="shared" si="509"/>
        <v>611</v>
      </c>
      <c r="G1992" s="158">
        <f t="shared" si="510"/>
        <v>2</v>
      </c>
      <c r="H1992" s="162">
        <v>36220</v>
      </c>
      <c r="I1992" s="163">
        <v>14667</v>
      </c>
      <c r="J1992" s="11"/>
      <c r="K1992" s="11"/>
      <c r="L1992" s="11"/>
      <c r="M1992" s="174"/>
      <c r="N1992" s="528"/>
      <c r="O1992" s="11"/>
      <c r="P1992" s="8"/>
      <c r="Q1992" s="11"/>
      <c r="R1992" s="11"/>
      <c r="S1992" s="155"/>
      <c r="T1992" s="11"/>
      <c r="U1992" s="161"/>
      <c r="V1992" s="11"/>
      <c r="W1992" s="11"/>
      <c r="X1992" s="118"/>
      <c r="Y1992" s="118"/>
      <c r="Z1992" s="118"/>
      <c r="AA1992" s="118"/>
      <c r="AB1992" s="118"/>
      <c r="AC1992" s="118"/>
      <c r="AD1992" s="118"/>
      <c r="AE1992" s="118"/>
      <c r="AF1992" s="118"/>
      <c r="AG1992" s="118"/>
      <c r="AH1992" s="118"/>
      <c r="AI1992" s="118"/>
      <c r="AJ1992" s="118"/>
      <c r="AK1992" s="118"/>
      <c r="AL1992" s="118"/>
      <c r="AM1992" s="118"/>
      <c r="AN1992" s="118"/>
      <c r="AO1992" s="118"/>
      <c r="AP1992" s="118"/>
      <c r="AQ1992" s="118"/>
      <c r="AR1992" s="118"/>
      <c r="AS1992" s="118"/>
      <c r="AT1992" s="118"/>
      <c r="AU1992" s="118"/>
      <c r="AV1992" s="118"/>
      <c r="AW1992" s="118"/>
      <c r="AX1992" s="118"/>
      <c r="AY1992" s="118"/>
      <c r="AZ1992" s="118"/>
      <c r="BA1992" s="118"/>
      <c r="BB1992" s="118"/>
      <c r="BC1992" s="118"/>
      <c r="BD1992" s="118"/>
      <c r="BE1992" s="118"/>
      <c r="BF1992" s="118"/>
      <c r="BG1992" s="118"/>
      <c r="BH1992" s="118"/>
      <c r="BI1992" s="118"/>
      <c r="BJ1992" s="118"/>
      <c r="BK1992" s="118"/>
      <c r="BL1992" s="118"/>
      <c r="BM1992" s="118"/>
      <c r="BN1992" s="118"/>
      <c r="BO1992" s="118"/>
      <c r="BP1992" s="118"/>
      <c r="BQ1992" s="118"/>
      <c r="BR1992" s="118"/>
      <c r="BS1992" s="118"/>
      <c r="BT1992" s="118"/>
      <c r="BU1992" s="118"/>
      <c r="BV1992" s="118"/>
      <c r="BW1992" s="118"/>
      <c r="BX1992" s="118"/>
      <c r="BY1992" s="118"/>
      <c r="BZ1992" s="118"/>
      <c r="CA1992" s="118"/>
      <c r="CB1992" s="118"/>
      <c r="CC1992" s="118"/>
      <c r="CD1992" s="118"/>
      <c r="CE1992" s="118"/>
      <c r="CF1992" s="118"/>
      <c r="CG1992" s="118"/>
      <c r="CH1992" s="118"/>
      <c r="CI1992" s="118"/>
      <c r="CJ1992" s="118"/>
      <c r="CK1992" s="118"/>
      <c r="CL1992" s="118"/>
      <c r="CM1992" s="118"/>
      <c r="CN1992" s="118"/>
      <c r="CO1992" s="118"/>
      <c r="CP1992" s="118"/>
      <c r="CQ1992" s="118"/>
      <c r="CR1992" s="118"/>
      <c r="CS1992" s="118"/>
      <c r="CT1992" s="118"/>
      <c r="CU1992" s="118"/>
      <c r="CV1992" s="118"/>
      <c r="CW1992" s="118"/>
      <c r="CX1992" s="118"/>
      <c r="CY1992" s="118"/>
      <c r="CZ1992" s="118"/>
      <c r="DA1992" s="118"/>
      <c r="DB1992" s="118"/>
      <c r="DC1992" s="118"/>
      <c r="DD1992" s="118"/>
      <c r="DE1992" s="118"/>
      <c r="DF1992" s="118"/>
      <c r="DG1992" s="118"/>
      <c r="DH1992" s="118"/>
      <c r="DI1992" s="118"/>
      <c r="DJ1992" s="118"/>
      <c r="DK1992" s="118"/>
      <c r="DL1992" s="118"/>
      <c r="DM1992" s="118"/>
      <c r="DN1992" s="118"/>
      <c r="DO1992" s="118"/>
      <c r="DP1992" s="118"/>
      <c r="DQ1992" s="118"/>
      <c r="DR1992" s="118"/>
      <c r="DS1992" s="118"/>
      <c r="DT1992" s="118"/>
      <c r="DU1992" s="118"/>
      <c r="DV1992" s="118"/>
      <c r="DW1992" s="118"/>
      <c r="DX1992" s="118"/>
      <c r="DY1992" s="118"/>
      <c r="DZ1992" s="118"/>
      <c r="EA1992" s="118"/>
      <c r="EB1992" s="118"/>
      <c r="EC1992" s="118"/>
      <c r="ED1992" s="118"/>
      <c r="EE1992" s="118"/>
      <c r="EF1992" s="118"/>
      <c r="EG1992" s="118"/>
      <c r="EH1992" s="118"/>
      <c r="EI1992" s="118"/>
      <c r="EJ1992" s="118"/>
      <c r="EK1992" s="118"/>
      <c r="EL1992" s="118"/>
      <c r="EM1992" s="118"/>
      <c r="EN1992" s="118"/>
      <c r="EO1992" s="118"/>
      <c r="EP1992" s="118"/>
      <c r="EQ1992" s="118"/>
      <c r="ER1992" s="118"/>
      <c r="ES1992" s="118"/>
      <c r="ET1992" s="118"/>
      <c r="EU1992" s="118"/>
      <c r="EV1992" s="118"/>
      <c r="EW1992" s="118"/>
      <c r="EX1992" s="118"/>
      <c r="EY1992" s="118"/>
      <c r="EZ1992" s="118"/>
      <c r="FA1992" s="118"/>
      <c r="FB1992" s="118"/>
      <c r="FC1992" s="118"/>
      <c r="FD1992" s="118"/>
      <c r="FE1992" s="118"/>
      <c r="FF1992" s="118"/>
      <c r="FG1992" s="118"/>
      <c r="FH1992" s="118"/>
      <c r="FI1992" s="118"/>
      <c r="FJ1992" s="118"/>
      <c r="FK1992" s="118"/>
      <c r="FL1992" s="118"/>
      <c r="FM1992" s="118"/>
      <c r="FN1992" s="118"/>
      <c r="FO1992" s="118"/>
      <c r="FP1992" s="118"/>
      <c r="FQ1992" s="118"/>
      <c r="FR1992" s="118"/>
      <c r="FS1992" s="118"/>
      <c r="FT1992" s="118"/>
      <c r="FU1992" s="118"/>
      <c r="FV1992" s="118"/>
      <c r="FW1992" s="118"/>
      <c r="FX1992" s="118"/>
      <c r="FY1992" s="118"/>
      <c r="FZ1992" s="118"/>
      <c r="GA1992" s="118"/>
      <c r="GB1992" s="118"/>
      <c r="GC1992" s="118"/>
      <c r="GD1992" s="118"/>
      <c r="GE1992" s="118"/>
      <c r="GF1992" s="118"/>
      <c r="GG1992" s="118"/>
      <c r="GH1992" s="118"/>
      <c r="GI1992" s="118"/>
      <c r="GJ1992" s="118"/>
      <c r="GK1992" s="118"/>
      <c r="GL1992" s="118"/>
      <c r="GM1992" s="118"/>
      <c r="GN1992" s="118"/>
      <c r="GO1992" s="118"/>
      <c r="GP1992" s="118"/>
      <c r="GQ1992" s="118"/>
      <c r="GR1992" s="118"/>
      <c r="GS1992" s="118"/>
      <c r="GT1992" s="118"/>
      <c r="GU1992" s="118"/>
      <c r="GV1992" s="118"/>
      <c r="GW1992" s="118"/>
      <c r="GX1992" s="118"/>
      <c r="GY1992" s="118"/>
      <c r="GZ1992" s="118"/>
      <c r="HA1992" s="118"/>
      <c r="HB1992" s="118"/>
      <c r="HC1992" s="118"/>
      <c r="HD1992" s="118"/>
      <c r="HE1992" s="118"/>
      <c r="HF1992" s="118"/>
      <c r="HG1992" s="118"/>
      <c r="HH1992" s="118"/>
      <c r="HI1992" s="118"/>
      <c r="HJ1992" s="118"/>
      <c r="HK1992" s="118"/>
      <c r="HL1992" s="118"/>
      <c r="HM1992" s="118"/>
      <c r="HN1992" s="118"/>
      <c r="HO1992" s="118"/>
      <c r="HP1992" s="118"/>
      <c r="HQ1992" s="118"/>
      <c r="HR1992" s="118"/>
      <c r="HS1992" s="118"/>
      <c r="HT1992" s="118"/>
      <c r="HU1992" s="118"/>
      <c r="HV1992" s="118"/>
      <c r="HW1992" s="118"/>
      <c r="HX1992" s="118"/>
      <c r="HY1992" s="118"/>
      <c r="HZ1992" s="118"/>
      <c r="IA1992" s="118"/>
      <c r="IB1992" s="118"/>
      <c r="IC1992" s="118"/>
      <c r="ID1992" s="118"/>
      <c r="IE1992" s="118"/>
      <c r="IF1992" s="118"/>
      <c r="IG1992" s="118"/>
      <c r="IH1992" s="118"/>
      <c r="II1992" s="118"/>
      <c r="IJ1992" s="118"/>
    </row>
    <row r="1993" spans="1:244" s="127" customFormat="1" ht="12.75" customHeight="1">
      <c r="A1993" s="118">
        <v>1992</v>
      </c>
      <c r="B1993" s="260">
        <v>22</v>
      </c>
      <c r="C1993" s="156">
        <v>36861</v>
      </c>
      <c r="D1993" s="157" t="s">
        <v>55</v>
      </c>
      <c r="E1993" s="8">
        <v>2000</v>
      </c>
      <c r="F1993" s="158">
        <f t="shared" si="509"/>
        <v>641</v>
      </c>
      <c r="G1993" s="158">
        <f t="shared" si="510"/>
        <v>2</v>
      </c>
      <c r="H1993" s="162">
        <v>36220</v>
      </c>
      <c r="I1993" s="163">
        <v>5030</v>
      </c>
      <c r="J1993" s="11"/>
      <c r="K1993" s="11"/>
      <c r="L1993" s="11"/>
      <c r="M1993" s="174"/>
      <c r="N1993" s="528"/>
      <c r="O1993" s="11"/>
      <c r="P1993" s="8"/>
      <c r="Q1993" s="11"/>
      <c r="R1993" s="11"/>
      <c r="S1993" s="155"/>
      <c r="T1993" s="11"/>
      <c r="U1993" s="161"/>
      <c r="V1993" s="11"/>
      <c r="W1993" s="11"/>
      <c r="X1993" s="118"/>
      <c r="Y1993" s="118"/>
      <c r="Z1993" s="118"/>
      <c r="AA1993" s="118"/>
      <c r="AB1993" s="118"/>
      <c r="AC1993" s="118"/>
      <c r="AD1993" s="118"/>
      <c r="AE1993" s="118"/>
      <c r="AF1993" s="118"/>
      <c r="AG1993" s="118"/>
      <c r="AH1993" s="118"/>
      <c r="AI1993" s="118"/>
      <c r="AJ1993" s="118"/>
      <c r="AK1993" s="118"/>
      <c r="AL1993" s="118"/>
      <c r="AM1993" s="118"/>
      <c r="AN1993" s="118"/>
      <c r="AO1993" s="118"/>
      <c r="AP1993" s="118"/>
      <c r="AQ1993" s="118"/>
      <c r="AR1993" s="118"/>
      <c r="AS1993" s="118"/>
      <c r="AT1993" s="118"/>
      <c r="AU1993" s="118"/>
      <c r="AV1993" s="118"/>
      <c r="AW1993" s="118"/>
      <c r="AX1993" s="118"/>
      <c r="AY1993" s="118"/>
      <c r="AZ1993" s="118"/>
      <c r="BA1993" s="118"/>
      <c r="BB1993" s="118"/>
      <c r="BC1993" s="118"/>
      <c r="BD1993" s="118"/>
      <c r="BE1993" s="118"/>
      <c r="BF1993" s="118"/>
      <c r="BG1993" s="118"/>
      <c r="BH1993" s="118"/>
      <c r="BI1993" s="118"/>
      <c r="BJ1993" s="118"/>
      <c r="BK1993" s="118"/>
      <c r="BL1993" s="118"/>
      <c r="BM1993" s="118"/>
      <c r="BN1993" s="118"/>
      <c r="BO1993" s="118"/>
      <c r="BP1993" s="118"/>
      <c r="BQ1993" s="118"/>
      <c r="BR1993" s="118"/>
      <c r="BS1993" s="118"/>
      <c r="BT1993" s="118"/>
      <c r="BU1993" s="118"/>
      <c r="BV1993" s="118"/>
      <c r="BW1993" s="118"/>
      <c r="BX1993" s="118"/>
      <c r="BY1993" s="118"/>
      <c r="BZ1993" s="118"/>
      <c r="CA1993" s="118"/>
      <c r="CB1993" s="118"/>
      <c r="CC1993" s="118"/>
      <c r="CD1993" s="118"/>
      <c r="CE1993" s="118"/>
      <c r="CF1993" s="118"/>
      <c r="CG1993" s="118"/>
      <c r="CH1993" s="118"/>
      <c r="CI1993" s="118"/>
      <c r="CJ1993" s="118"/>
      <c r="CK1993" s="118"/>
      <c r="CL1993" s="118"/>
      <c r="CM1993" s="118"/>
      <c r="CN1993" s="118"/>
      <c r="CO1993" s="118"/>
      <c r="CP1993" s="118"/>
      <c r="CQ1993" s="118"/>
      <c r="CR1993" s="118"/>
      <c r="CS1993" s="118"/>
      <c r="CT1993" s="118"/>
      <c r="CU1993" s="118"/>
      <c r="CV1993" s="118"/>
      <c r="CW1993" s="118"/>
      <c r="CX1993" s="118"/>
      <c r="CY1993" s="118"/>
      <c r="CZ1993" s="118"/>
      <c r="DA1993" s="118"/>
      <c r="DB1993" s="118"/>
      <c r="DC1993" s="118"/>
      <c r="DD1993" s="118"/>
      <c r="DE1993" s="118"/>
      <c r="DF1993" s="118"/>
      <c r="DG1993" s="118"/>
      <c r="DH1993" s="118"/>
      <c r="DI1993" s="118"/>
      <c r="DJ1993" s="118"/>
      <c r="DK1993" s="118"/>
      <c r="DL1993" s="118"/>
      <c r="DM1993" s="118"/>
      <c r="DN1993" s="118"/>
      <c r="DO1993" s="118"/>
      <c r="DP1993" s="118"/>
      <c r="DQ1993" s="118"/>
      <c r="DR1993" s="118"/>
      <c r="DS1993" s="118"/>
      <c r="DT1993" s="118"/>
      <c r="DU1993" s="118"/>
      <c r="DV1993" s="118"/>
      <c r="DW1993" s="118"/>
      <c r="DX1993" s="118"/>
      <c r="DY1993" s="118"/>
      <c r="DZ1993" s="118"/>
      <c r="EA1993" s="118"/>
      <c r="EB1993" s="118"/>
      <c r="EC1993" s="118"/>
      <c r="ED1993" s="118"/>
      <c r="EE1993" s="118"/>
      <c r="EF1993" s="118"/>
      <c r="EG1993" s="118"/>
      <c r="EH1993" s="118"/>
      <c r="EI1993" s="118"/>
      <c r="EJ1993" s="118"/>
      <c r="EK1993" s="118"/>
      <c r="EL1993" s="118"/>
      <c r="EM1993" s="118"/>
      <c r="EN1993" s="118"/>
      <c r="EO1993" s="118"/>
      <c r="EP1993" s="118"/>
      <c r="EQ1993" s="118"/>
      <c r="ER1993" s="118"/>
      <c r="ES1993" s="118"/>
      <c r="ET1993" s="118"/>
      <c r="EU1993" s="118"/>
      <c r="EV1993" s="118"/>
      <c r="EW1993" s="118"/>
      <c r="EX1993" s="118"/>
      <c r="EY1993" s="118"/>
      <c r="EZ1993" s="118"/>
      <c r="FA1993" s="118"/>
      <c r="FB1993" s="118"/>
      <c r="FC1993" s="118"/>
      <c r="FD1993" s="118"/>
      <c r="FE1993" s="118"/>
      <c r="FF1993" s="118"/>
      <c r="FG1993" s="118"/>
      <c r="FH1993" s="118"/>
      <c r="FI1993" s="118"/>
      <c r="FJ1993" s="118"/>
      <c r="FK1993" s="118"/>
      <c r="FL1993" s="118"/>
      <c r="FM1993" s="118"/>
      <c r="FN1993" s="118"/>
      <c r="FO1993" s="118"/>
      <c r="FP1993" s="118"/>
      <c r="FQ1993" s="118"/>
      <c r="FR1993" s="118"/>
      <c r="FS1993" s="118"/>
      <c r="FT1993" s="118"/>
      <c r="FU1993" s="118"/>
      <c r="FV1993" s="118"/>
      <c r="FW1993" s="118"/>
      <c r="FX1993" s="118"/>
      <c r="FY1993" s="118"/>
      <c r="FZ1993" s="118"/>
      <c r="GA1993" s="118"/>
      <c r="GB1993" s="118"/>
      <c r="GC1993" s="118"/>
      <c r="GD1993" s="118"/>
      <c r="GE1993" s="118"/>
      <c r="GF1993" s="118"/>
      <c r="GG1993" s="118"/>
      <c r="GH1993" s="118"/>
      <c r="GI1993" s="118"/>
      <c r="GJ1993" s="118"/>
      <c r="GK1993" s="118"/>
      <c r="GL1993" s="118"/>
      <c r="GM1993" s="118"/>
      <c r="GN1993" s="118"/>
      <c r="GO1993" s="118"/>
      <c r="GP1993" s="118"/>
      <c r="GQ1993" s="118"/>
      <c r="GR1993" s="118"/>
      <c r="GS1993" s="118"/>
      <c r="GT1993" s="118"/>
      <c r="GU1993" s="118"/>
      <c r="GV1993" s="118"/>
      <c r="GW1993" s="118"/>
      <c r="GX1993" s="118"/>
      <c r="GY1993" s="118"/>
      <c r="GZ1993" s="118"/>
      <c r="HA1993" s="118"/>
      <c r="HB1993" s="118"/>
      <c r="HC1993" s="118"/>
      <c r="HD1993" s="118"/>
      <c r="HE1993" s="118"/>
      <c r="HF1993" s="118"/>
      <c r="HG1993" s="118"/>
      <c r="HH1993" s="118"/>
      <c r="HI1993" s="118"/>
      <c r="HJ1993" s="118"/>
      <c r="HK1993" s="118"/>
      <c r="HL1993" s="118"/>
      <c r="HM1993" s="118"/>
      <c r="HN1993" s="118"/>
      <c r="HO1993" s="118"/>
      <c r="HP1993" s="118"/>
      <c r="HQ1993" s="118"/>
      <c r="HR1993" s="118"/>
      <c r="HS1993" s="118"/>
      <c r="HT1993" s="118"/>
      <c r="HU1993" s="118"/>
      <c r="HV1993" s="118"/>
      <c r="HW1993" s="118"/>
      <c r="HX1993" s="118"/>
      <c r="HY1993" s="118"/>
      <c r="HZ1993" s="118"/>
      <c r="IA1993" s="118"/>
      <c r="IB1993" s="118"/>
      <c r="IC1993" s="118"/>
      <c r="ID1993" s="118"/>
      <c r="IE1993" s="118"/>
      <c r="IF1993" s="118"/>
      <c r="IG1993" s="118"/>
      <c r="IH1993" s="118"/>
      <c r="II1993" s="118"/>
      <c r="IJ1993" s="118"/>
    </row>
    <row r="1994" spans="1:244" s="127" customFormat="1" ht="12.75" customHeight="1">
      <c r="A1994" s="118">
        <v>1993</v>
      </c>
      <c r="B1994" s="128">
        <v>22</v>
      </c>
      <c r="C1994" s="156">
        <v>36892</v>
      </c>
      <c r="D1994" s="157" t="s">
        <v>44</v>
      </c>
      <c r="E1994" s="8">
        <v>2001</v>
      </c>
      <c r="F1994" s="158"/>
      <c r="G1994" s="162"/>
      <c r="H1994" s="11"/>
      <c r="I1994" s="163"/>
      <c r="J1994" s="11"/>
      <c r="K1994" s="11"/>
      <c r="L1994" s="11"/>
      <c r="M1994" s="174"/>
      <c r="N1994" s="528"/>
      <c r="O1994" s="11"/>
      <c r="P1994" s="8"/>
      <c r="Q1994" s="11"/>
      <c r="R1994" s="11"/>
      <c r="S1994" s="155"/>
      <c r="T1994" s="11"/>
      <c r="U1994" s="161"/>
      <c r="V1994" s="11"/>
      <c r="W1994" s="11"/>
      <c r="X1994" s="118"/>
      <c r="Y1994" s="118"/>
      <c r="Z1994" s="118"/>
      <c r="AA1994" s="118"/>
      <c r="AB1994" s="118"/>
      <c r="AC1994" s="118"/>
      <c r="AD1994" s="118"/>
      <c r="AE1994" s="118"/>
      <c r="AF1994" s="118"/>
      <c r="AG1994" s="118"/>
      <c r="AH1994" s="118"/>
      <c r="AI1994" s="118"/>
      <c r="AJ1994" s="118"/>
      <c r="AK1994" s="118"/>
      <c r="AL1994" s="118"/>
      <c r="AM1994" s="118"/>
      <c r="AN1994" s="118"/>
      <c r="AO1994" s="118"/>
      <c r="AP1994" s="118"/>
      <c r="AQ1994" s="118"/>
      <c r="AR1994" s="118"/>
      <c r="AS1994" s="118"/>
      <c r="AT1994" s="118"/>
      <c r="AU1994" s="118"/>
      <c r="AV1994" s="118"/>
      <c r="AW1994" s="118"/>
      <c r="AX1994" s="118"/>
      <c r="AY1994" s="118"/>
      <c r="AZ1994" s="118"/>
      <c r="BA1994" s="118"/>
      <c r="BB1994" s="118"/>
      <c r="BC1994" s="118"/>
      <c r="BD1994" s="118"/>
      <c r="BE1994" s="118"/>
      <c r="BF1994" s="118"/>
      <c r="BG1994" s="118"/>
      <c r="BH1994" s="118"/>
      <c r="BI1994" s="118"/>
      <c r="BJ1994" s="118"/>
      <c r="BK1994" s="118"/>
      <c r="BL1994" s="118"/>
      <c r="BM1994" s="118"/>
      <c r="BN1994" s="118"/>
      <c r="BO1994" s="118"/>
      <c r="BP1994" s="118"/>
      <c r="BQ1994" s="118"/>
      <c r="BR1994" s="118"/>
      <c r="BS1994" s="118"/>
      <c r="BT1994" s="118"/>
      <c r="BU1994" s="118"/>
      <c r="BV1994" s="118"/>
      <c r="BW1994" s="118"/>
      <c r="BX1994" s="118"/>
      <c r="BY1994" s="118"/>
      <c r="BZ1994" s="118"/>
      <c r="CA1994" s="118"/>
      <c r="CB1994" s="118"/>
      <c r="CC1994" s="118"/>
      <c r="CD1994" s="118"/>
      <c r="CE1994" s="118"/>
      <c r="CF1994" s="118"/>
      <c r="CG1994" s="118"/>
      <c r="CH1994" s="118"/>
      <c r="CI1994" s="118"/>
      <c r="CJ1994" s="118"/>
      <c r="CK1994" s="118"/>
      <c r="CL1994" s="118"/>
      <c r="CM1994" s="118"/>
      <c r="CN1994" s="118"/>
      <c r="CO1994" s="118"/>
      <c r="CP1994" s="118"/>
      <c r="CQ1994" s="118"/>
      <c r="CR1994" s="118"/>
      <c r="CS1994" s="118"/>
      <c r="CT1994" s="118"/>
      <c r="CU1994" s="118"/>
      <c r="CV1994" s="118"/>
      <c r="CW1994" s="118"/>
      <c r="CX1994" s="118"/>
      <c r="CY1994" s="118"/>
      <c r="CZ1994" s="118"/>
      <c r="DA1994" s="118"/>
      <c r="DB1994" s="118"/>
      <c r="DC1994" s="118"/>
      <c r="DD1994" s="118"/>
      <c r="DE1994" s="118"/>
      <c r="DF1994" s="118"/>
      <c r="DG1994" s="118"/>
      <c r="DH1994" s="118"/>
      <c r="DI1994" s="118"/>
      <c r="DJ1994" s="118"/>
      <c r="DK1994" s="118"/>
      <c r="DL1994" s="118"/>
      <c r="DM1994" s="118"/>
      <c r="DN1994" s="118"/>
      <c r="DO1994" s="118"/>
      <c r="DP1994" s="118"/>
      <c r="DQ1994" s="118"/>
      <c r="DR1994" s="118"/>
      <c r="DS1994" s="118"/>
      <c r="DT1994" s="118"/>
      <c r="DU1994" s="118"/>
      <c r="DV1994" s="118"/>
      <c r="DW1994" s="118"/>
      <c r="DX1994" s="118"/>
      <c r="DY1994" s="118"/>
      <c r="DZ1994" s="118"/>
      <c r="EA1994" s="118"/>
      <c r="EB1994" s="118"/>
      <c r="EC1994" s="118"/>
      <c r="ED1994" s="118"/>
      <c r="EE1994" s="118"/>
      <c r="EF1994" s="118"/>
      <c r="EG1994" s="118"/>
      <c r="EH1994" s="118"/>
      <c r="EI1994" s="118"/>
      <c r="EJ1994" s="118"/>
      <c r="EK1994" s="118"/>
      <c r="EL1994" s="118"/>
      <c r="EM1994" s="118"/>
      <c r="EN1994" s="118"/>
      <c r="EO1994" s="118"/>
      <c r="EP1994" s="118"/>
      <c r="EQ1994" s="118"/>
      <c r="ER1994" s="118"/>
      <c r="ES1994" s="118"/>
      <c r="ET1994" s="118"/>
      <c r="EU1994" s="118"/>
      <c r="EV1994" s="118"/>
      <c r="EW1994" s="118"/>
      <c r="EX1994" s="118"/>
      <c r="EY1994" s="118"/>
      <c r="EZ1994" s="118"/>
      <c r="FA1994" s="118"/>
      <c r="FB1994" s="118"/>
      <c r="FC1994" s="118"/>
      <c r="FD1994" s="118"/>
      <c r="FE1994" s="118"/>
      <c r="FF1994" s="118"/>
      <c r="FG1994" s="118"/>
      <c r="FH1994" s="118"/>
      <c r="FI1994" s="118"/>
      <c r="FJ1994" s="118"/>
      <c r="FK1994" s="118"/>
      <c r="FL1994" s="118"/>
      <c r="FM1994" s="118"/>
      <c r="FN1994" s="118"/>
      <c r="FO1994" s="118"/>
      <c r="FP1994" s="118"/>
      <c r="FQ1994" s="118"/>
      <c r="FR1994" s="118"/>
      <c r="FS1994" s="118"/>
      <c r="FT1994" s="118"/>
      <c r="FU1994" s="118"/>
      <c r="FV1994" s="118"/>
      <c r="FW1994" s="118"/>
      <c r="FX1994" s="118"/>
      <c r="FY1994" s="118"/>
      <c r="FZ1994" s="118"/>
      <c r="GA1994" s="118"/>
      <c r="GB1994" s="118"/>
      <c r="GC1994" s="118"/>
      <c r="GD1994" s="118"/>
      <c r="GE1994" s="118"/>
      <c r="GF1994" s="118"/>
      <c r="GG1994" s="118"/>
      <c r="GH1994" s="118"/>
      <c r="GI1994" s="118"/>
      <c r="GJ1994" s="118"/>
      <c r="GK1994" s="118"/>
      <c r="GL1994" s="118"/>
      <c r="GM1994" s="118"/>
      <c r="GN1994" s="118"/>
      <c r="GO1994" s="118"/>
      <c r="GP1994" s="118"/>
      <c r="GQ1994" s="118"/>
      <c r="GR1994" s="118"/>
      <c r="GS1994" s="118"/>
      <c r="GT1994" s="118"/>
      <c r="GU1994" s="118"/>
      <c r="GV1994" s="118"/>
      <c r="GW1994" s="118"/>
      <c r="GX1994" s="118"/>
      <c r="GY1994" s="118"/>
      <c r="GZ1994" s="118"/>
      <c r="HA1994" s="118"/>
      <c r="HB1994" s="118"/>
      <c r="HC1994" s="118"/>
      <c r="HD1994" s="118"/>
      <c r="HE1994" s="118"/>
      <c r="HF1994" s="118"/>
      <c r="HG1994" s="118"/>
      <c r="HH1994" s="118"/>
      <c r="HI1994" s="118"/>
      <c r="HJ1994" s="118"/>
      <c r="HK1994" s="118"/>
      <c r="HL1994" s="118"/>
      <c r="HM1994" s="118"/>
      <c r="HN1994" s="118"/>
      <c r="HO1994" s="118"/>
      <c r="HP1994" s="118"/>
      <c r="HQ1994" s="118"/>
      <c r="HR1994" s="118"/>
      <c r="HS1994" s="118"/>
      <c r="HT1994" s="118"/>
      <c r="HU1994" s="118"/>
      <c r="HV1994" s="118"/>
      <c r="HW1994" s="118"/>
      <c r="HX1994" s="118"/>
      <c r="HY1994" s="118"/>
      <c r="HZ1994" s="118"/>
      <c r="IA1994" s="118"/>
      <c r="IB1994" s="118"/>
      <c r="IC1994" s="118"/>
      <c r="ID1994" s="118"/>
      <c r="IE1994" s="118"/>
      <c r="IF1994" s="118"/>
      <c r="IG1994" s="118"/>
      <c r="IH1994" s="118"/>
      <c r="II1994" s="118"/>
      <c r="IJ1994" s="118"/>
    </row>
    <row r="1995" spans="1:244" s="127" customFormat="1" ht="12.75" customHeight="1">
      <c r="A1995" s="118">
        <v>1994</v>
      </c>
      <c r="B1995" s="128">
        <v>22</v>
      </c>
      <c r="C1995" s="156">
        <v>36923</v>
      </c>
      <c r="D1995" s="157" t="s">
        <v>45</v>
      </c>
      <c r="E1995" s="8">
        <v>2001</v>
      </c>
      <c r="F1995" s="158"/>
      <c r="G1995" s="162"/>
      <c r="H1995" s="11"/>
      <c r="I1995" s="163"/>
      <c r="J1995" s="11"/>
      <c r="K1995" s="11"/>
      <c r="L1995" s="11"/>
      <c r="M1995" s="174"/>
      <c r="N1995" s="528"/>
      <c r="O1995" s="11"/>
      <c r="P1995" s="8"/>
      <c r="Q1995" s="11"/>
      <c r="R1995" s="11"/>
      <c r="S1995" s="155"/>
      <c r="T1995" s="11"/>
      <c r="U1995" s="161"/>
      <c r="V1995" s="11"/>
      <c r="W1995" s="11"/>
      <c r="X1995" s="118"/>
      <c r="Y1995" s="118"/>
      <c r="Z1995" s="118"/>
      <c r="AA1995" s="118"/>
      <c r="AB1995" s="118"/>
      <c r="AC1995" s="118"/>
      <c r="AD1995" s="118"/>
      <c r="AE1995" s="118"/>
      <c r="AF1995" s="118"/>
      <c r="AG1995" s="118"/>
      <c r="AH1995" s="118"/>
      <c r="AI1995" s="118"/>
      <c r="AJ1995" s="118"/>
      <c r="AK1995" s="118"/>
      <c r="AL1995" s="118"/>
      <c r="AM1995" s="118"/>
      <c r="AN1995" s="118"/>
      <c r="AO1995" s="118"/>
      <c r="AP1995" s="118"/>
      <c r="AQ1995" s="118"/>
      <c r="AR1995" s="118"/>
      <c r="AS1995" s="118"/>
      <c r="AT1995" s="118"/>
      <c r="AU1995" s="118"/>
      <c r="AV1995" s="118"/>
      <c r="AW1995" s="118"/>
      <c r="AX1995" s="118"/>
      <c r="AY1995" s="118"/>
      <c r="AZ1995" s="118"/>
      <c r="BA1995" s="118"/>
      <c r="BB1995" s="118"/>
      <c r="BC1995" s="118"/>
      <c r="BD1995" s="118"/>
      <c r="BE1995" s="118"/>
      <c r="BF1995" s="118"/>
      <c r="BG1995" s="118"/>
      <c r="BH1995" s="118"/>
      <c r="BI1995" s="118"/>
      <c r="BJ1995" s="118"/>
      <c r="BK1995" s="118"/>
      <c r="BL1995" s="118"/>
      <c r="BM1995" s="118"/>
      <c r="BN1995" s="118"/>
      <c r="BO1995" s="118"/>
      <c r="BP1995" s="118"/>
      <c r="BQ1995" s="118"/>
      <c r="BR1995" s="118"/>
      <c r="BS1995" s="118"/>
      <c r="BT1995" s="118"/>
      <c r="BU1995" s="118"/>
      <c r="BV1995" s="118"/>
      <c r="BW1995" s="118"/>
      <c r="BX1995" s="118"/>
      <c r="BY1995" s="118"/>
      <c r="BZ1995" s="118"/>
      <c r="CA1995" s="118"/>
      <c r="CB1995" s="118"/>
      <c r="CC1995" s="118"/>
      <c r="CD1995" s="118"/>
      <c r="CE1995" s="118"/>
      <c r="CF1995" s="118"/>
      <c r="CG1995" s="118"/>
      <c r="CH1995" s="118"/>
      <c r="CI1995" s="118"/>
      <c r="CJ1995" s="118"/>
      <c r="CK1995" s="118"/>
      <c r="CL1995" s="118"/>
      <c r="CM1995" s="118"/>
      <c r="CN1995" s="118"/>
      <c r="CO1995" s="118"/>
      <c r="CP1995" s="118"/>
      <c r="CQ1995" s="118"/>
      <c r="CR1995" s="118"/>
      <c r="CS1995" s="118"/>
      <c r="CT1995" s="118"/>
      <c r="CU1995" s="118"/>
      <c r="CV1995" s="118"/>
      <c r="CW1995" s="118"/>
      <c r="CX1995" s="118"/>
      <c r="CY1995" s="118"/>
      <c r="CZ1995" s="118"/>
      <c r="DA1995" s="118"/>
      <c r="DB1995" s="118"/>
      <c r="DC1995" s="118"/>
      <c r="DD1995" s="118"/>
      <c r="DE1995" s="118"/>
      <c r="DF1995" s="118"/>
      <c r="DG1995" s="118"/>
      <c r="DH1995" s="118"/>
      <c r="DI1995" s="118"/>
      <c r="DJ1995" s="118"/>
      <c r="DK1995" s="118"/>
      <c r="DL1995" s="118"/>
      <c r="DM1995" s="118"/>
      <c r="DN1995" s="118"/>
      <c r="DO1995" s="118"/>
      <c r="DP1995" s="118"/>
      <c r="DQ1995" s="118"/>
      <c r="DR1995" s="118"/>
      <c r="DS1995" s="118"/>
      <c r="DT1995" s="118"/>
      <c r="DU1995" s="118"/>
      <c r="DV1995" s="118"/>
      <c r="DW1995" s="118"/>
      <c r="DX1995" s="118"/>
      <c r="DY1995" s="118"/>
      <c r="DZ1995" s="118"/>
      <c r="EA1995" s="118"/>
      <c r="EB1995" s="118"/>
      <c r="EC1995" s="118"/>
      <c r="ED1995" s="118"/>
      <c r="EE1995" s="118"/>
      <c r="EF1995" s="118"/>
      <c r="EG1995" s="118"/>
      <c r="EH1995" s="118"/>
      <c r="EI1995" s="118"/>
      <c r="EJ1995" s="118"/>
      <c r="EK1995" s="118"/>
      <c r="EL1995" s="118"/>
      <c r="EM1995" s="118"/>
      <c r="EN1995" s="118"/>
      <c r="EO1995" s="118"/>
      <c r="EP1995" s="118"/>
      <c r="EQ1995" s="118"/>
      <c r="ER1995" s="118"/>
      <c r="ES1995" s="118"/>
      <c r="ET1995" s="118"/>
      <c r="EU1995" s="118"/>
      <c r="EV1995" s="118"/>
      <c r="EW1995" s="118"/>
      <c r="EX1995" s="118"/>
      <c r="EY1995" s="118"/>
      <c r="EZ1995" s="118"/>
      <c r="FA1995" s="118"/>
      <c r="FB1995" s="118"/>
      <c r="FC1995" s="118"/>
      <c r="FD1995" s="118"/>
      <c r="FE1995" s="118"/>
      <c r="FF1995" s="118"/>
      <c r="FG1995" s="118"/>
      <c r="FH1995" s="118"/>
      <c r="FI1995" s="118"/>
      <c r="FJ1995" s="118"/>
      <c r="FK1995" s="118"/>
      <c r="FL1995" s="118"/>
      <c r="FM1995" s="118"/>
      <c r="FN1995" s="118"/>
      <c r="FO1995" s="118"/>
      <c r="FP1995" s="118"/>
      <c r="FQ1995" s="118"/>
      <c r="FR1995" s="118"/>
      <c r="FS1995" s="118"/>
      <c r="FT1995" s="118"/>
      <c r="FU1995" s="118"/>
      <c r="FV1995" s="118"/>
      <c r="FW1995" s="118"/>
      <c r="FX1995" s="118"/>
      <c r="FY1995" s="118"/>
      <c r="FZ1995" s="118"/>
      <c r="GA1995" s="118"/>
      <c r="GB1995" s="118"/>
      <c r="GC1995" s="118"/>
      <c r="GD1995" s="118"/>
      <c r="GE1995" s="118"/>
      <c r="GF1995" s="118"/>
      <c r="GG1995" s="118"/>
      <c r="GH1995" s="118"/>
      <c r="GI1995" s="118"/>
      <c r="GJ1995" s="118"/>
      <c r="GK1995" s="118"/>
      <c r="GL1995" s="118"/>
      <c r="GM1995" s="118"/>
      <c r="GN1995" s="118"/>
      <c r="GO1995" s="118"/>
      <c r="GP1995" s="118"/>
      <c r="GQ1995" s="118"/>
      <c r="GR1995" s="118"/>
      <c r="GS1995" s="118"/>
      <c r="GT1995" s="118"/>
      <c r="GU1995" s="118"/>
      <c r="GV1995" s="118"/>
      <c r="GW1995" s="118"/>
      <c r="GX1995" s="118"/>
      <c r="GY1995" s="118"/>
      <c r="GZ1995" s="118"/>
      <c r="HA1995" s="118"/>
      <c r="HB1995" s="118"/>
      <c r="HC1995" s="118"/>
      <c r="HD1995" s="118"/>
      <c r="HE1995" s="118"/>
      <c r="HF1995" s="118"/>
      <c r="HG1995" s="118"/>
      <c r="HH1995" s="118"/>
      <c r="HI1995" s="118"/>
      <c r="HJ1995" s="118"/>
      <c r="HK1995" s="118"/>
      <c r="HL1995" s="118"/>
      <c r="HM1995" s="118"/>
      <c r="HN1995" s="118"/>
      <c r="HO1995" s="118"/>
      <c r="HP1995" s="118"/>
      <c r="HQ1995" s="118"/>
      <c r="HR1995" s="118"/>
      <c r="HS1995" s="118"/>
      <c r="HT1995" s="118"/>
      <c r="HU1995" s="118"/>
      <c r="HV1995" s="118"/>
      <c r="HW1995" s="118"/>
      <c r="HX1995" s="118"/>
      <c r="HY1995" s="118"/>
      <c r="HZ1995" s="118"/>
      <c r="IA1995" s="118"/>
      <c r="IB1995" s="118"/>
      <c r="IC1995" s="118"/>
      <c r="ID1995" s="118"/>
      <c r="IE1995" s="118"/>
      <c r="IF1995" s="118"/>
      <c r="IG1995" s="118"/>
      <c r="IH1995" s="118"/>
      <c r="II1995" s="118"/>
      <c r="IJ1995" s="118"/>
    </row>
    <row r="1996" spans="1:244" s="127" customFormat="1" ht="12.75" customHeight="1">
      <c r="A1996" s="118">
        <v>1995</v>
      </c>
      <c r="B1996" s="128">
        <v>22</v>
      </c>
      <c r="C1996" s="156">
        <v>36951</v>
      </c>
      <c r="D1996" s="157" t="s">
        <v>46</v>
      </c>
      <c r="E1996" s="8">
        <v>2001</v>
      </c>
      <c r="F1996" s="158">
        <f t="shared" ref="F1996:F2017" si="511">C1996-H1996</f>
        <v>0</v>
      </c>
      <c r="G1996" s="158">
        <f t="shared" ref="G1996:G2017" si="512">IF(F1996&lt;365,1,2)</f>
        <v>1</v>
      </c>
      <c r="H1996" s="162">
        <v>36951</v>
      </c>
      <c r="I1996" s="163">
        <v>348422</v>
      </c>
      <c r="J1996" s="11"/>
      <c r="K1996" s="11"/>
      <c r="L1996" s="11"/>
      <c r="M1996" s="174"/>
      <c r="N1996" s="528"/>
      <c r="O1996" s="11"/>
      <c r="P1996" s="8"/>
      <c r="Q1996" s="11"/>
      <c r="R1996" s="11"/>
      <c r="S1996" s="155" t="s">
        <v>11</v>
      </c>
      <c r="T1996" s="11"/>
      <c r="U1996" s="161"/>
      <c r="V1996" s="11"/>
      <c r="W1996" s="11"/>
      <c r="X1996" s="118"/>
      <c r="Y1996" s="118"/>
      <c r="Z1996" s="118"/>
      <c r="AA1996" s="118"/>
      <c r="AB1996" s="118"/>
      <c r="AC1996" s="118"/>
      <c r="AD1996" s="118"/>
      <c r="AE1996" s="118"/>
      <c r="AF1996" s="118"/>
      <c r="AG1996" s="118"/>
      <c r="AH1996" s="118"/>
      <c r="AI1996" s="118"/>
      <c r="AJ1996" s="118"/>
      <c r="AK1996" s="118"/>
      <c r="AL1996" s="118"/>
      <c r="AM1996" s="118"/>
      <c r="AN1996" s="118"/>
      <c r="AO1996" s="118"/>
      <c r="AP1996" s="118"/>
      <c r="AQ1996" s="118"/>
      <c r="AR1996" s="118"/>
      <c r="AS1996" s="118"/>
      <c r="AT1996" s="118"/>
      <c r="AU1996" s="118"/>
      <c r="AV1996" s="118"/>
      <c r="AW1996" s="118"/>
      <c r="AX1996" s="118"/>
      <c r="AY1996" s="118"/>
      <c r="AZ1996" s="118"/>
      <c r="BA1996" s="118"/>
      <c r="BB1996" s="118"/>
      <c r="BC1996" s="118"/>
      <c r="BD1996" s="118"/>
      <c r="BE1996" s="118"/>
      <c r="BF1996" s="118"/>
      <c r="BG1996" s="118"/>
      <c r="BH1996" s="118"/>
      <c r="BI1996" s="118"/>
      <c r="BJ1996" s="118"/>
      <c r="BK1996" s="118"/>
      <c r="BL1996" s="118"/>
      <c r="BM1996" s="118"/>
      <c r="BN1996" s="118"/>
      <c r="BO1996" s="118"/>
      <c r="BP1996" s="118"/>
      <c r="BQ1996" s="118"/>
      <c r="BR1996" s="118"/>
      <c r="BS1996" s="118"/>
      <c r="BT1996" s="118"/>
      <c r="BU1996" s="118"/>
      <c r="BV1996" s="118"/>
      <c r="BW1996" s="118"/>
      <c r="BX1996" s="118"/>
      <c r="BY1996" s="118"/>
      <c r="BZ1996" s="118"/>
      <c r="CA1996" s="118"/>
      <c r="CB1996" s="118"/>
      <c r="CC1996" s="118"/>
      <c r="CD1996" s="118"/>
      <c r="CE1996" s="118"/>
      <c r="CF1996" s="118"/>
      <c r="CG1996" s="118"/>
      <c r="CH1996" s="118"/>
      <c r="CI1996" s="118"/>
      <c r="CJ1996" s="118"/>
      <c r="CK1996" s="118"/>
      <c r="CL1996" s="118"/>
      <c r="CM1996" s="118"/>
      <c r="CN1996" s="118"/>
      <c r="CO1996" s="118"/>
      <c r="CP1996" s="118"/>
      <c r="CQ1996" s="118"/>
      <c r="CR1996" s="118"/>
      <c r="CS1996" s="118"/>
      <c r="CT1996" s="118"/>
      <c r="CU1996" s="118"/>
      <c r="CV1996" s="118"/>
      <c r="CW1996" s="118"/>
      <c r="CX1996" s="118"/>
      <c r="CY1996" s="118"/>
      <c r="CZ1996" s="118"/>
      <c r="DA1996" s="118"/>
      <c r="DB1996" s="118"/>
      <c r="DC1996" s="118"/>
      <c r="DD1996" s="118"/>
      <c r="DE1996" s="118"/>
      <c r="DF1996" s="118"/>
      <c r="DG1996" s="118"/>
      <c r="DH1996" s="118"/>
      <c r="DI1996" s="118"/>
      <c r="DJ1996" s="118"/>
      <c r="DK1996" s="118"/>
      <c r="DL1996" s="118"/>
      <c r="DM1996" s="118"/>
      <c r="DN1996" s="118"/>
      <c r="DO1996" s="118"/>
      <c r="DP1996" s="118"/>
      <c r="DQ1996" s="118"/>
      <c r="DR1996" s="118"/>
      <c r="DS1996" s="118"/>
      <c r="DT1996" s="118"/>
      <c r="DU1996" s="118"/>
      <c r="DV1996" s="118"/>
      <c r="DW1996" s="118"/>
      <c r="DX1996" s="118"/>
      <c r="DY1996" s="118"/>
      <c r="DZ1996" s="118"/>
      <c r="EA1996" s="118"/>
      <c r="EB1996" s="118"/>
      <c r="EC1996" s="118"/>
      <c r="ED1996" s="118"/>
      <c r="EE1996" s="118"/>
      <c r="EF1996" s="118"/>
      <c r="EG1996" s="118"/>
      <c r="EH1996" s="118"/>
      <c r="EI1996" s="118"/>
      <c r="EJ1996" s="118"/>
      <c r="EK1996" s="118"/>
      <c r="EL1996" s="118"/>
      <c r="EM1996" s="118"/>
      <c r="EN1996" s="118"/>
      <c r="EO1996" s="118"/>
      <c r="EP1996" s="118"/>
      <c r="EQ1996" s="118"/>
      <c r="ER1996" s="118"/>
      <c r="ES1996" s="118"/>
      <c r="ET1996" s="118"/>
      <c r="EU1996" s="118"/>
      <c r="EV1996" s="118"/>
      <c r="EW1996" s="118"/>
      <c r="EX1996" s="118"/>
      <c r="EY1996" s="118"/>
      <c r="EZ1996" s="118"/>
      <c r="FA1996" s="118"/>
      <c r="FB1996" s="118"/>
      <c r="FC1996" s="118"/>
      <c r="FD1996" s="118"/>
      <c r="FE1996" s="118"/>
      <c r="FF1996" s="118"/>
      <c r="FG1996" s="118"/>
      <c r="FH1996" s="118"/>
      <c r="FI1996" s="118"/>
      <c r="FJ1996" s="118"/>
      <c r="FK1996" s="118"/>
      <c r="FL1996" s="118"/>
      <c r="FM1996" s="118"/>
      <c r="FN1996" s="118"/>
      <c r="FO1996" s="118"/>
      <c r="FP1996" s="118"/>
      <c r="FQ1996" s="118"/>
      <c r="FR1996" s="118"/>
      <c r="FS1996" s="118"/>
      <c r="FT1996" s="118"/>
      <c r="FU1996" s="118"/>
      <c r="FV1996" s="118"/>
      <c r="FW1996" s="118"/>
      <c r="FX1996" s="118"/>
      <c r="FY1996" s="118"/>
      <c r="FZ1996" s="118"/>
      <c r="GA1996" s="118"/>
      <c r="GB1996" s="118"/>
      <c r="GC1996" s="118"/>
      <c r="GD1996" s="118"/>
      <c r="GE1996" s="118"/>
      <c r="GF1996" s="118"/>
      <c r="GG1996" s="118"/>
      <c r="GH1996" s="118"/>
      <c r="GI1996" s="118"/>
      <c r="GJ1996" s="118"/>
      <c r="GK1996" s="118"/>
      <c r="GL1996" s="118"/>
      <c r="GM1996" s="118"/>
      <c r="GN1996" s="118"/>
      <c r="GO1996" s="118"/>
      <c r="GP1996" s="118"/>
      <c r="GQ1996" s="118"/>
      <c r="GR1996" s="118"/>
      <c r="GS1996" s="118"/>
      <c r="GT1996" s="118"/>
      <c r="GU1996" s="118"/>
      <c r="GV1996" s="118"/>
      <c r="GW1996" s="118"/>
      <c r="GX1996" s="118"/>
      <c r="GY1996" s="118"/>
      <c r="GZ1996" s="118"/>
      <c r="HA1996" s="118"/>
      <c r="HB1996" s="118"/>
      <c r="HC1996" s="118"/>
      <c r="HD1996" s="118"/>
      <c r="HE1996" s="118"/>
      <c r="HF1996" s="118"/>
      <c r="HG1996" s="118"/>
      <c r="HH1996" s="118"/>
      <c r="HI1996" s="118"/>
      <c r="HJ1996" s="118"/>
      <c r="HK1996" s="118"/>
      <c r="HL1996" s="118"/>
      <c r="HM1996" s="118"/>
      <c r="HN1996" s="118"/>
      <c r="HO1996" s="118"/>
      <c r="HP1996" s="118"/>
      <c r="HQ1996" s="118"/>
      <c r="HR1996" s="118"/>
      <c r="HS1996" s="118"/>
      <c r="HT1996" s="118"/>
      <c r="HU1996" s="118"/>
      <c r="HV1996" s="118"/>
      <c r="HW1996" s="118"/>
      <c r="HX1996" s="118"/>
      <c r="HY1996" s="118"/>
      <c r="HZ1996" s="118"/>
      <c r="IA1996" s="118"/>
      <c r="IB1996" s="118"/>
      <c r="IC1996" s="118"/>
      <c r="ID1996" s="118"/>
      <c r="IE1996" s="118"/>
      <c r="IF1996" s="118"/>
      <c r="IG1996" s="118"/>
      <c r="IH1996" s="118"/>
      <c r="II1996" s="118"/>
      <c r="IJ1996" s="118"/>
    </row>
    <row r="1997" spans="1:244" s="127" customFormat="1" ht="12.75" customHeight="1">
      <c r="A1997" s="118">
        <v>1996</v>
      </c>
      <c r="B1997" s="128">
        <v>22</v>
      </c>
      <c r="C1997" s="156">
        <v>36982</v>
      </c>
      <c r="D1997" s="157" t="s">
        <v>47</v>
      </c>
      <c r="E1997" s="8">
        <v>2001</v>
      </c>
      <c r="F1997" s="158">
        <f t="shared" si="511"/>
        <v>31</v>
      </c>
      <c r="G1997" s="158">
        <f t="shared" si="512"/>
        <v>1</v>
      </c>
      <c r="H1997" s="162">
        <v>36951</v>
      </c>
      <c r="I1997" s="163">
        <v>395434</v>
      </c>
      <c r="J1997" s="11"/>
      <c r="K1997" s="11"/>
      <c r="L1997" s="11"/>
      <c r="M1997" s="174"/>
      <c r="N1997" s="528"/>
      <c r="O1997" s="11"/>
      <c r="P1997" s="8"/>
      <c r="Q1997" s="11"/>
      <c r="R1997" s="11"/>
      <c r="S1997" s="155"/>
      <c r="T1997" s="11"/>
      <c r="U1997" s="161"/>
      <c r="V1997" s="11"/>
      <c r="W1997" s="11"/>
      <c r="X1997" s="118"/>
      <c r="Y1997" s="118"/>
      <c r="Z1997" s="118"/>
      <c r="AA1997" s="118"/>
      <c r="AB1997" s="118"/>
      <c r="AC1997" s="118"/>
      <c r="AD1997" s="118"/>
      <c r="AE1997" s="118"/>
      <c r="AF1997" s="118"/>
      <c r="AG1997" s="118"/>
      <c r="AH1997" s="118"/>
      <c r="AI1997" s="118"/>
      <c r="AJ1997" s="118"/>
      <c r="AK1997" s="118"/>
      <c r="AL1997" s="118"/>
      <c r="AM1997" s="118"/>
      <c r="AN1997" s="118"/>
      <c r="AO1997" s="118"/>
      <c r="AP1997" s="118"/>
      <c r="AQ1997" s="118"/>
      <c r="AR1997" s="118"/>
      <c r="AS1997" s="118"/>
      <c r="AT1997" s="118"/>
      <c r="AU1997" s="118"/>
      <c r="AV1997" s="118"/>
      <c r="AW1997" s="118"/>
      <c r="AX1997" s="118"/>
      <c r="AY1997" s="118"/>
      <c r="AZ1997" s="118"/>
      <c r="BA1997" s="118"/>
      <c r="BB1997" s="118"/>
      <c r="BC1997" s="118"/>
      <c r="BD1997" s="118"/>
      <c r="BE1997" s="118"/>
      <c r="BF1997" s="118"/>
      <c r="BG1997" s="118"/>
      <c r="BH1997" s="118"/>
      <c r="BI1997" s="118"/>
      <c r="BJ1997" s="118"/>
      <c r="BK1997" s="118"/>
      <c r="BL1997" s="118"/>
      <c r="BM1997" s="118"/>
      <c r="BN1997" s="118"/>
      <c r="BO1997" s="118"/>
      <c r="BP1997" s="118"/>
      <c r="BQ1997" s="118"/>
      <c r="BR1997" s="118"/>
      <c r="BS1997" s="118"/>
      <c r="BT1997" s="118"/>
      <c r="BU1997" s="118"/>
      <c r="BV1997" s="118"/>
      <c r="BW1997" s="118"/>
      <c r="BX1997" s="118"/>
      <c r="BY1997" s="118"/>
      <c r="BZ1997" s="118"/>
      <c r="CA1997" s="118"/>
      <c r="CB1997" s="118"/>
      <c r="CC1997" s="118"/>
      <c r="CD1997" s="118"/>
      <c r="CE1997" s="118"/>
      <c r="CF1997" s="118"/>
      <c r="CG1997" s="118"/>
      <c r="CH1997" s="118"/>
      <c r="CI1997" s="118"/>
      <c r="CJ1997" s="118"/>
      <c r="CK1997" s="118"/>
      <c r="CL1997" s="118"/>
      <c r="CM1997" s="118"/>
      <c r="CN1997" s="118"/>
      <c r="CO1997" s="118"/>
      <c r="CP1997" s="118"/>
      <c r="CQ1997" s="118"/>
      <c r="CR1997" s="118"/>
      <c r="CS1997" s="118"/>
      <c r="CT1997" s="118"/>
      <c r="CU1997" s="118"/>
      <c r="CV1997" s="118"/>
      <c r="CW1997" s="118"/>
      <c r="CX1997" s="118"/>
      <c r="CY1997" s="118"/>
      <c r="CZ1997" s="118"/>
      <c r="DA1997" s="118"/>
      <c r="DB1997" s="118"/>
      <c r="DC1997" s="118"/>
      <c r="DD1997" s="118"/>
      <c r="DE1997" s="118"/>
      <c r="DF1997" s="118"/>
      <c r="DG1997" s="118"/>
      <c r="DH1997" s="118"/>
      <c r="DI1997" s="118"/>
      <c r="DJ1997" s="118"/>
      <c r="DK1997" s="118"/>
      <c r="DL1997" s="118"/>
      <c r="DM1997" s="118"/>
      <c r="DN1997" s="118"/>
      <c r="DO1997" s="118"/>
      <c r="DP1997" s="118"/>
      <c r="DQ1997" s="118"/>
      <c r="DR1997" s="118"/>
      <c r="DS1997" s="118"/>
      <c r="DT1997" s="118"/>
      <c r="DU1997" s="118"/>
      <c r="DV1997" s="118"/>
      <c r="DW1997" s="118"/>
      <c r="DX1997" s="118"/>
      <c r="DY1997" s="118"/>
      <c r="DZ1997" s="118"/>
      <c r="EA1997" s="118"/>
      <c r="EB1997" s="118"/>
      <c r="EC1997" s="118"/>
      <c r="ED1997" s="118"/>
      <c r="EE1997" s="118"/>
      <c r="EF1997" s="118"/>
      <c r="EG1997" s="118"/>
      <c r="EH1997" s="118"/>
      <c r="EI1997" s="118"/>
      <c r="EJ1997" s="118"/>
      <c r="EK1997" s="118"/>
      <c r="EL1997" s="118"/>
      <c r="EM1997" s="118"/>
      <c r="EN1997" s="118"/>
      <c r="EO1997" s="118"/>
      <c r="EP1997" s="118"/>
      <c r="EQ1997" s="118"/>
      <c r="ER1997" s="118"/>
      <c r="ES1997" s="118"/>
      <c r="ET1997" s="118"/>
      <c r="EU1997" s="118"/>
      <c r="EV1997" s="118"/>
      <c r="EW1997" s="118"/>
      <c r="EX1997" s="118"/>
      <c r="EY1997" s="118"/>
      <c r="EZ1997" s="118"/>
      <c r="FA1997" s="118"/>
      <c r="FB1997" s="118"/>
      <c r="FC1997" s="118"/>
      <c r="FD1997" s="118"/>
      <c r="FE1997" s="118"/>
      <c r="FF1997" s="118"/>
      <c r="FG1997" s="118"/>
      <c r="FH1997" s="118"/>
      <c r="FI1997" s="118"/>
      <c r="FJ1997" s="118"/>
      <c r="FK1997" s="118"/>
      <c r="FL1997" s="118"/>
      <c r="FM1997" s="118"/>
      <c r="FN1997" s="118"/>
      <c r="FO1997" s="118"/>
      <c r="FP1997" s="118"/>
      <c r="FQ1997" s="118"/>
      <c r="FR1997" s="118"/>
      <c r="FS1997" s="118"/>
      <c r="FT1997" s="118"/>
      <c r="FU1997" s="118"/>
      <c r="FV1997" s="118"/>
      <c r="FW1997" s="118"/>
      <c r="FX1997" s="118"/>
      <c r="FY1997" s="118"/>
      <c r="FZ1997" s="118"/>
      <c r="GA1997" s="118"/>
      <c r="GB1997" s="118"/>
      <c r="GC1997" s="118"/>
      <c r="GD1997" s="118"/>
      <c r="GE1997" s="118"/>
      <c r="GF1997" s="118"/>
      <c r="GG1997" s="118"/>
      <c r="GH1997" s="118"/>
      <c r="GI1997" s="118"/>
      <c r="GJ1997" s="118"/>
      <c r="GK1997" s="118"/>
      <c r="GL1997" s="118"/>
      <c r="GM1997" s="118"/>
      <c r="GN1997" s="118"/>
      <c r="GO1997" s="118"/>
      <c r="GP1997" s="118"/>
      <c r="GQ1997" s="118"/>
      <c r="GR1997" s="118"/>
      <c r="GS1997" s="118"/>
      <c r="GT1997" s="118"/>
      <c r="GU1997" s="118"/>
      <c r="GV1997" s="118"/>
      <c r="GW1997" s="118"/>
      <c r="GX1997" s="118"/>
      <c r="GY1997" s="118"/>
      <c r="GZ1997" s="118"/>
      <c r="HA1997" s="118"/>
      <c r="HB1997" s="118"/>
      <c r="HC1997" s="118"/>
      <c r="HD1997" s="118"/>
      <c r="HE1997" s="118"/>
      <c r="HF1997" s="118"/>
      <c r="HG1997" s="118"/>
      <c r="HH1997" s="118"/>
      <c r="HI1997" s="118"/>
      <c r="HJ1997" s="118"/>
      <c r="HK1997" s="118"/>
      <c r="HL1997" s="118"/>
      <c r="HM1997" s="118"/>
      <c r="HN1997" s="118"/>
      <c r="HO1997" s="118"/>
      <c r="HP1997" s="118"/>
      <c r="HQ1997" s="118"/>
      <c r="HR1997" s="118"/>
      <c r="HS1997" s="118"/>
      <c r="HT1997" s="118"/>
      <c r="HU1997" s="118"/>
      <c r="HV1997" s="118"/>
      <c r="HW1997" s="118"/>
      <c r="HX1997" s="118"/>
      <c r="HY1997" s="118"/>
      <c r="HZ1997" s="118"/>
      <c r="IA1997" s="118"/>
      <c r="IB1997" s="118"/>
      <c r="IC1997" s="118"/>
      <c r="ID1997" s="118"/>
      <c r="IE1997" s="118"/>
      <c r="IF1997" s="118"/>
      <c r="IG1997" s="118"/>
      <c r="IH1997" s="118"/>
      <c r="II1997" s="118"/>
      <c r="IJ1997" s="118"/>
    </row>
    <row r="1998" spans="1:244" s="127" customFormat="1" ht="12.75" customHeight="1">
      <c r="A1998" s="118">
        <v>1997</v>
      </c>
      <c r="B1998" s="128">
        <v>22</v>
      </c>
      <c r="C1998" s="156">
        <v>37012</v>
      </c>
      <c r="D1998" s="157" t="s">
        <v>48</v>
      </c>
      <c r="E1998" s="8">
        <v>2001</v>
      </c>
      <c r="F1998" s="158">
        <f t="shared" si="511"/>
        <v>61</v>
      </c>
      <c r="G1998" s="158">
        <f t="shared" si="512"/>
        <v>1</v>
      </c>
      <c r="H1998" s="162">
        <v>36951</v>
      </c>
      <c r="I1998" s="163">
        <v>395080</v>
      </c>
      <c r="J1998" s="11"/>
      <c r="K1998" s="11"/>
      <c r="L1998" s="11"/>
      <c r="M1998" s="174"/>
      <c r="N1998" s="528"/>
      <c r="O1998" s="11"/>
      <c r="P1998" s="8"/>
      <c r="Q1998" s="11"/>
      <c r="R1998" s="11"/>
      <c r="S1998" s="155"/>
      <c r="T1998" s="11"/>
      <c r="U1998" s="161"/>
      <c r="V1998" s="11"/>
      <c r="W1998" s="11"/>
      <c r="X1998" s="118"/>
      <c r="Y1998" s="118"/>
      <c r="Z1998" s="118"/>
      <c r="AA1998" s="118"/>
      <c r="AB1998" s="118"/>
      <c r="AC1998" s="118"/>
      <c r="AD1998" s="118"/>
      <c r="AE1998" s="118"/>
      <c r="AF1998" s="118"/>
      <c r="AG1998" s="118"/>
      <c r="AH1998" s="118"/>
      <c r="AI1998" s="118"/>
      <c r="AJ1998" s="118"/>
      <c r="AK1998" s="118"/>
      <c r="AL1998" s="118"/>
      <c r="AM1998" s="118"/>
      <c r="AN1998" s="118"/>
      <c r="AO1998" s="118"/>
      <c r="AP1998" s="118"/>
      <c r="AQ1998" s="118"/>
      <c r="AR1998" s="118"/>
      <c r="AS1998" s="118"/>
      <c r="AT1998" s="118"/>
      <c r="AU1998" s="118"/>
      <c r="AV1998" s="118"/>
      <c r="AW1998" s="118"/>
      <c r="AX1998" s="118"/>
      <c r="AY1998" s="118"/>
      <c r="AZ1998" s="118"/>
      <c r="BA1998" s="118"/>
      <c r="BB1998" s="118"/>
      <c r="BC1998" s="118"/>
      <c r="BD1998" s="118"/>
      <c r="BE1998" s="118"/>
      <c r="BF1998" s="118"/>
      <c r="BG1998" s="118"/>
      <c r="BH1998" s="118"/>
      <c r="BI1998" s="118"/>
      <c r="BJ1998" s="118"/>
      <c r="BK1998" s="118"/>
      <c r="BL1998" s="118"/>
      <c r="BM1998" s="118"/>
      <c r="BN1998" s="118"/>
      <c r="BO1998" s="118"/>
      <c r="BP1998" s="118"/>
      <c r="BQ1998" s="118"/>
      <c r="BR1998" s="118"/>
      <c r="BS1998" s="118"/>
      <c r="BT1998" s="118"/>
      <c r="BU1998" s="118"/>
      <c r="BV1998" s="118"/>
      <c r="BW1998" s="118"/>
      <c r="BX1998" s="118"/>
      <c r="BY1998" s="118"/>
      <c r="BZ1998" s="118"/>
      <c r="CA1998" s="118"/>
      <c r="CB1998" s="118"/>
      <c r="CC1998" s="118"/>
      <c r="CD1998" s="118"/>
      <c r="CE1998" s="118"/>
      <c r="CF1998" s="118"/>
      <c r="CG1998" s="118"/>
      <c r="CH1998" s="118"/>
      <c r="CI1998" s="118"/>
      <c r="CJ1998" s="118"/>
      <c r="CK1998" s="118"/>
      <c r="CL1998" s="118"/>
      <c r="CM1998" s="118"/>
      <c r="CN1998" s="118"/>
      <c r="CO1998" s="118"/>
      <c r="CP1998" s="118"/>
      <c r="CQ1998" s="118"/>
      <c r="CR1998" s="118"/>
      <c r="CS1998" s="118"/>
      <c r="CT1998" s="118"/>
      <c r="CU1998" s="118"/>
      <c r="CV1998" s="118"/>
      <c r="CW1998" s="118"/>
      <c r="CX1998" s="118"/>
      <c r="CY1998" s="118"/>
      <c r="CZ1998" s="118"/>
      <c r="DA1998" s="118"/>
      <c r="DB1998" s="118"/>
      <c r="DC1998" s="118"/>
      <c r="DD1998" s="118"/>
      <c r="DE1998" s="118"/>
      <c r="DF1998" s="118"/>
      <c r="DG1998" s="118"/>
      <c r="DH1998" s="118"/>
      <c r="DI1998" s="118"/>
      <c r="DJ1998" s="118"/>
      <c r="DK1998" s="118"/>
      <c r="DL1998" s="118"/>
      <c r="DM1998" s="118"/>
      <c r="DN1998" s="118"/>
      <c r="DO1998" s="118"/>
      <c r="DP1998" s="118"/>
      <c r="DQ1998" s="118"/>
      <c r="DR1998" s="118"/>
      <c r="DS1998" s="118"/>
      <c r="DT1998" s="118"/>
      <c r="DU1998" s="118"/>
      <c r="DV1998" s="118"/>
      <c r="DW1998" s="118"/>
      <c r="DX1998" s="118"/>
      <c r="DY1998" s="118"/>
      <c r="DZ1998" s="118"/>
      <c r="EA1998" s="118"/>
      <c r="EB1998" s="118"/>
      <c r="EC1998" s="118"/>
      <c r="ED1998" s="118"/>
      <c r="EE1998" s="118"/>
      <c r="EF1998" s="118"/>
      <c r="EG1998" s="118"/>
      <c r="EH1998" s="118"/>
      <c r="EI1998" s="118"/>
      <c r="EJ1998" s="118"/>
      <c r="EK1998" s="118"/>
      <c r="EL1998" s="118"/>
      <c r="EM1998" s="118"/>
      <c r="EN1998" s="118"/>
      <c r="EO1998" s="118"/>
      <c r="EP1998" s="118"/>
      <c r="EQ1998" s="118"/>
      <c r="ER1998" s="118"/>
      <c r="ES1998" s="118"/>
      <c r="ET1998" s="118"/>
      <c r="EU1998" s="118"/>
      <c r="EV1998" s="118"/>
      <c r="EW1998" s="118"/>
      <c r="EX1998" s="118"/>
      <c r="EY1998" s="118"/>
      <c r="EZ1998" s="118"/>
      <c r="FA1998" s="118"/>
      <c r="FB1998" s="118"/>
      <c r="FC1998" s="118"/>
      <c r="FD1998" s="118"/>
      <c r="FE1998" s="118"/>
      <c r="FF1998" s="118"/>
      <c r="FG1998" s="118"/>
      <c r="FH1998" s="118"/>
      <c r="FI1998" s="118"/>
      <c r="FJ1998" s="118"/>
      <c r="FK1998" s="118"/>
      <c r="FL1998" s="118"/>
      <c r="FM1998" s="118"/>
      <c r="FN1998" s="118"/>
      <c r="FO1998" s="118"/>
      <c r="FP1998" s="118"/>
      <c r="FQ1998" s="118"/>
      <c r="FR1998" s="118"/>
      <c r="FS1998" s="118"/>
      <c r="FT1998" s="118"/>
      <c r="FU1998" s="118"/>
      <c r="FV1998" s="118"/>
      <c r="FW1998" s="118"/>
      <c r="FX1998" s="118"/>
      <c r="FY1998" s="118"/>
      <c r="FZ1998" s="118"/>
      <c r="GA1998" s="118"/>
      <c r="GB1998" s="118"/>
      <c r="GC1998" s="118"/>
      <c r="GD1998" s="118"/>
      <c r="GE1998" s="118"/>
      <c r="GF1998" s="118"/>
      <c r="GG1998" s="118"/>
      <c r="GH1998" s="118"/>
      <c r="GI1998" s="118"/>
      <c r="GJ1998" s="118"/>
      <c r="GK1998" s="118"/>
      <c r="GL1998" s="118"/>
      <c r="GM1998" s="118"/>
      <c r="GN1998" s="118"/>
      <c r="GO1998" s="118"/>
      <c r="GP1998" s="118"/>
      <c r="GQ1998" s="118"/>
      <c r="GR1998" s="118"/>
      <c r="GS1998" s="118"/>
      <c r="GT1998" s="118"/>
      <c r="GU1998" s="118"/>
      <c r="GV1998" s="118"/>
      <c r="GW1998" s="118"/>
      <c r="GX1998" s="118"/>
      <c r="GY1998" s="118"/>
      <c r="GZ1998" s="118"/>
      <c r="HA1998" s="118"/>
      <c r="HB1998" s="118"/>
      <c r="HC1998" s="118"/>
      <c r="HD1998" s="118"/>
      <c r="HE1998" s="118"/>
      <c r="HF1998" s="118"/>
      <c r="HG1998" s="118"/>
      <c r="HH1998" s="118"/>
      <c r="HI1998" s="118"/>
      <c r="HJ1998" s="118"/>
      <c r="HK1998" s="118"/>
      <c r="HL1998" s="118"/>
      <c r="HM1998" s="118"/>
      <c r="HN1998" s="118"/>
      <c r="HO1998" s="118"/>
      <c r="HP1998" s="118"/>
      <c r="HQ1998" s="118"/>
      <c r="HR1998" s="118"/>
      <c r="HS1998" s="118"/>
      <c r="HT1998" s="118"/>
      <c r="HU1998" s="118"/>
      <c r="HV1998" s="118"/>
      <c r="HW1998" s="118"/>
      <c r="HX1998" s="118"/>
      <c r="HY1998" s="118"/>
      <c r="HZ1998" s="118"/>
      <c r="IA1998" s="118"/>
      <c r="IB1998" s="118"/>
      <c r="IC1998" s="118"/>
      <c r="ID1998" s="118"/>
      <c r="IE1998" s="118"/>
      <c r="IF1998" s="118"/>
      <c r="IG1998" s="118"/>
      <c r="IH1998" s="118"/>
      <c r="II1998" s="118"/>
      <c r="IJ1998" s="118"/>
    </row>
    <row r="1999" spans="1:244" s="127" customFormat="1" ht="12.75" customHeight="1">
      <c r="A1999" s="118">
        <v>1998</v>
      </c>
      <c r="B1999" s="128">
        <v>22</v>
      </c>
      <c r="C1999" s="156">
        <v>37043</v>
      </c>
      <c r="D1999" s="157" t="s">
        <v>49</v>
      </c>
      <c r="E1999" s="8">
        <v>2001</v>
      </c>
      <c r="F1999" s="158">
        <f t="shared" si="511"/>
        <v>92</v>
      </c>
      <c r="G1999" s="158">
        <f t="shared" si="512"/>
        <v>1</v>
      </c>
      <c r="H1999" s="162">
        <v>36951</v>
      </c>
      <c r="I1999" s="163">
        <v>394820</v>
      </c>
      <c r="J1999" s="11"/>
      <c r="K1999" s="11"/>
      <c r="L1999" s="11"/>
      <c r="M1999" s="174"/>
      <c r="N1999" s="528"/>
      <c r="O1999" s="11"/>
      <c r="P1999" s="8"/>
      <c r="Q1999" s="11">
        <v>10</v>
      </c>
      <c r="R1999" s="11"/>
      <c r="S1999" s="155"/>
      <c r="T1999" s="11"/>
      <c r="U1999" s="161"/>
      <c r="V1999" s="11"/>
      <c r="W1999" s="11"/>
      <c r="X1999" s="118"/>
      <c r="Y1999" s="118"/>
      <c r="Z1999" s="118"/>
      <c r="AA1999" s="118"/>
      <c r="AB1999" s="118"/>
      <c r="AC1999" s="118"/>
      <c r="AD1999" s="118"/>
      <c r="AE1999" s="118"/>
      <c r="AF1999" s="118"/>
      <c r="AG1999" s="118"/>
      <c r="AH1999" s="118"/>
      <c r="AI1999" s="118"/>
      <c r="AJ1999" s="118"/>
      <c r="AK1999" s="118"/>
      <c r="AL1999" s="118"/>
      <c r="AM1999" s="118"/>
      <c r="AN1999" s="118"/>
      <c r="AO1999" s="118"/>
      <c r="AP1999" s="118"/>
      <c r="AQ1999" s="118"/>
      <c r="AR1999" s="118"/>
      <c r="AS1999" s="118"/>
      <c r="AT1999" s="118"/>
      <c r="AU1999" s="118"/>
      <c r="AV1999" s="118"/>
      <c r="AW1999" s="118"/>
      <c r="AX1999" s="118"/>
      <c r="AY1999" s="118"/>
      <c r="AZ1999" s="118"/>
      <c r="BA1999" s="118"/>
      <c r="BB1999" s="118"/>
      <c r="BC1999" s="118"/>
      <c r="BD1999" s="118"/>
      <c r="BE1999" s="118"/>
      <c r="BF1999" s="118"/>
      <c r="BG1999" s="118"/>
      <c r="BH1999" s="118"/>
      <c r="BI1999" s="118"/>
      <c r="BJ1999" s="118"/>
      <c r="BK1999" s="118"/>
      <c r="BL1999" s="118"/>
      <c r="BM1999" s="118"/>
      <c r="BN1999" s="118"/>
      <c r="BO1999" s="118"/>
      <c r="BP1999" s="118"/>
      <c r="BQ1999" s="118"/>
      <c r="BR1999" s="118"/>
      <c r="BS1999" s="118"/>
      <c r="BT1999" s="118"/>
      <c r="BU1999" s="118"/>
      <c r="BV1999" s="118"/>
      <c r="BW1999" s="118"/>
      <c r="BX1999" s="118"/>
      <c r="BY1999" s="118"/>
      <c r="BZ1999" s="118"/>
      <c r="CA1999" s="118"/>
      <c r="CB1999" s="118"/>
      <c r="CC1999" s="118"/>
      <c r="CD1999" s="118"/>
      <c r="CE1999" s="118"/>
      <c r="CF1999" s="118"/>
      <c r="CG1999" s="118"/>
      <c r="CH1999" s="118"/>
      <c r="CI1999" s="118"/>
      <c r="CJ1999" s="118"/>
      <c r="CK1999" s="118"/>
      <c r="CL1999" s="118"/>
      <c r="CM1999" s="118"/>
      <c r="CN1999" s="118"/>
      <c r="CO1999" s="118"/>
      <c r="CP1999" s="118"/>
      <c r="CQ1999" s="118"/>
      <c r="CR1999" s="118"/>
      <c r="CS1999" s="118"/>
      <c r="CT1999" s="118"/>
      <c r="CU1999" s="118"/>
      <c r="CV1999" s="118"/>
      <c r="CW1999" s="118"/>
      <c r="CX1999" s="118"/>
      <c r="CY1999" s="118"/>
      <c r="CZ1999" s="118"/>
      <c r="DA1999" s="118"/>
      <c r="DB1999" s="118"/>
      <c r="DC1999" s="118"/>
      <c r="DD1999" s="118"/>
      <c r="DE1999" s="118"/>
      <c r="DF1999" s="118"/>
      <c r="DG1999" s="118"/>
      <c r="DH1999" s="118"/>
      <c r="DI1999" s="118"/>
      <c r="DJ1999" s="118"/>
      <c r="DK1999" s="118"/>
      <c r="DL1999" s="118"/>
      <c r="DM1999" s="118"/>
      <c r="DN1999" s="118"/>
      <c r="DO1999" s="118"/>
      <c r="DP1999" s="118"/>
      <c r="DQ1999" s="118"/>
      <c r="DR1999" s="118"/>
      <c r="DS1999" s="118"/>
      <c r="DT1999" s="118"/>
      <c r="DU1999" s="118"/>
      <c r="DV1999" s="118"/>
      <c r="DW1999" s="118"/>
      <c r="DX1999" s="118"/>
      <c r="DY1999" s="118"/>
      <c r="DZ1999" s="118"/>
      <c r="EA1999" s="118"/>
      <c r="EB1999" s="118"/>
      <c r="EC1999" s="118"/>
      <c r="ED1999" s="118"/>
      <c r="EE1999" s="118"/>
      <c r="EF1999" s="118"/>
      <c r="EG1999" s="118"/>
      <c r="EH1999" s="118"/>
      <c r="EI1999" s="118"/>
      <c r="EJ1999" s="118"/>
      <c r="EK1999" s="118"/>
      <c r="EL1999" s="118"/>
      <c r="EM1999" s="118"/>
      <c r="EN1999" s="118"/>
      <c r="EO1999" s="118"/>
      <c r="EP1999" s="118"/>
      <c r="EQ1999" s="118"/>
      <c r="ER1999" s="118"/>
      <c r="ES1999" s="118"/>
      <c r="ET1999" s="118"/>
      <c r="EU1999" s="118"/>
      <c r="EV1999" s="118"/>
      <c r="EW1999" s="118"/>
      <c r="EX1999" s="118"/>
      <c r="EY1999" s="118"/>
      <c r="EZ1999" s="118"/>
      <c r="FA1999" s="118"/>
      <c r="FB1999" s="118"/>
      <c r="FC1999" s="118"/>
      <c r="FD1999" s="118"/>
      <c r="FE1999" s="118"/>
      <c r="FF1999" s="118"/>
      <c r="FG1999" s="118"/>
      <c r="FH1999" s="118"/>
      <c r="FI1999" s="118"/>
      <c r="FJ1999" s="118"/>
      <c r="FK1999" s="118"/>
      <c r="FL1999" s="118"/>
      <c r="FM1999" s="118"/>
      <c r="FN1999" s="118"/>
      <c r="FO1999" s="118"/>
      <c r="FP1999" s="118"/>
      <c r="FQ1999" s="118"/>
      <c r="FR1999" s="118"/>
      <c r="FS1999" s="118"/>
      <c r="FT1999" s="118"/>
      <c r="FU1999" s="118"/>
      <c r="FV1999" s="118"/>
      <c r="FW1999" s="118"/>
      <c r="FX1999" s="118"/>
      <c r="FY1999" s="118"/>
      <c r="FZ1999" s="118"/>
      <c r="GA1999" s="118"/>
      <c r="GB1999" s="118"/>
      <c r="GC1999" s="118"/>
      <c r="GD1999" s="118"/>
      <c r="GE1999" s="118"/>
      <c r="GF1999" s="118"/>
      <c r="GG1999" s="118"/>
      <c r="GH1999" s="118"/>
      <c r="GI1999" s="118"/>
      <c r="GJ1999" s="118"/>
      <c r="GK1999" s="118"/>
      <c r="GL1999" s="118"/>
      <c r="GM1999" s="118"/>
      <c r="GN1999" s="118"/>
      <c r="GO1999" s="118"/>
      <c r="GP1999" s="118"/>
      <c r="GQ1999" s="118"/>
      <c r="GR1999" s="118"/>
      <c r="GS1999" s="118"/>
      <c r="GT1999" s="118"/>
      <c r="GU1999" s="118"/>
      <c r="GV1999" s="118"/>
      <c r="GW1999" s="118"/>
      <c r="GX1999" s="118"/>
      <c r="GY1999" s="118"/>
      <c r="GZ1999" s="118"/>
      <c r="HA1999" s="118"/>
      <c r="HB1999" s="118"/>
      <c r="HC1999" s="118"/>
      <c r="HD1999" s="118"/>
      <c r="HE1999" s="118"/>
      <c r="HF1999" s="118"/>
      <c r="HG1999" s="118"/>
      <c r="HH1999" s="118"/>
      <c r="HI1999" s="118"/>
      <c r="HJ1999" s="118"/>
      <c r="HK1999" s="118"/>
      <c r="HL1999" s="118"/>
      <c r="HM1999" s="118"/>
      <c r="HN1999" s="118"/>
      <c r="HO1999" s="118"/>
      <c r="HP1999" s="118"/>
      <c r="HQ1999" s="118"/>
      <c r="HR1999" s="118"/>
      <c r="HS1999" s="118"/>
      <c r="HT1999" s="118"/>
      <c r="HU1999" s="118"/>
      <c r="HV1999" s="118"/>
      <c r="HW1999" s="118"/>
      <c r="HX1999" s="118"/>
      <c r="HY1999" s="118"/>
      <c r="HZ1999" s="118"/>
      <c r="IA1999" s="118"/>
      <c r="IB1999" s="118"/>
      <c r="IC1999" s="118"/>
      <c r="ID1999" s="118"/>
      <c r="IE1999" s="118"/>
      <c r="IF1999" s="118"/>
      <c r="IG1999" s="118"/>
      <c r="IH1999" s="118"/>
      <c r="II1999" s="118"/>
      <c r="IJ1999" s="118"/>
    </row>
    <row r="2000" spans="1:244" s="127" customFormat="1" ht="12.75" customHeight="1">
      <c r="A2000" s="118">
        <v>1999</v>
      </c>
      <c r="B2000" s="128">
        <v>22</v>
      </c>
      <c r="C2000" s="156">
        <v>37073</v>
      </c>
      <c r="D2000" s="157" t="s">
        <v>50</v>
      </c>
      <c r="E2000" s="8">
        <v>2001</v>
      </c>
      <c r="F2000" s="158">
        <f t="shared" si="511"/>
        <v>122</v>
      </c>
      <c r="G2000" s="158">
        <f t="shared" si="512"/>
        <v>1</v>
      </c>
      <c r="H2000" s="162">
        <v>36951</v>
      </c>
      <c r="I2000" s="163">
        <v>393826</v>
      </c>
      <c r="J2000" s="11">
        <v>0.8</v>
      </c>
      <c r="K2000" s="11">
        <v>2.0499999999999998</v>
      </c>
      <c r="L2000" s="11">
        <v>0.1</v>
      </c>
      <c r="M2000" s="174"/>
      <c r="N2000" s="528"/>
      <c r="O2000" s="11">
        <v>0</v>
      </c>
      <c r="P2000" s="8"/>
      <c r="Q2000" s="11"/>
      <c r="R2000" s="11"/>
      <c r="S2000" s="155"/>
      <c r="T2000" s="161">
        <f>$I2000*K2000</f>
        <v>807343.29999999993</v>
      </c>
      <c r="U2000" s="161">
        <f>$I2000*L2000</f>
        <v>39382.600000000006</v>
      </c>
      <c r="V2000" s="161">
        <f>$I2000*O2000</f>
        <v>0</v>
      </c>
      <c r="W2000" s="161">
        <f>V2000*0.4</f>
        <v>0</v>
      </c>
      <c r="X2000" s="118"/>
      <c r="Y2000" s="118"/>
      <c r="Z2000" s="118"/>
      <c r="AA2000" s="118"/>
      <c r="AB2000" s="118"/>
      <c r="AC2000" s="118"/>
      <c r="AD2000" s="118"/>
      <c r="AE2000" s="118"/>
      <c r="AF2000" s="118"/>
      <c r="AG2000" s="118"/>
      <c r="AH2000" s="118"/>
      <c r="AI2000" s="118"/>
      <c r="AJ2000" s="118"/>
      <c r="AK2000" s="118"/>
      <c r="AL2000" s="118"/>
      <c r="AM2000" s="118"/>
      <c r="AN2000" s="118"/>
      <c r="AO2000" s="118"/>
      <c r="AP2000" s="118"/>
      <c r="AQ2000" s="118"/>
      <c r="AR2000" s="118"/>
      <c r="AS2000" s="118"/>
      <c r="AT2000" s="118"/>
      <c r="AU2000" s="118"/>
      <c r="AV2000" s="118"/>
      <c r="AW2000" s="118"/>
      <c r="AX2000" s="118"/>
      <c r="AY2000" s="118"/>
      <c r="AZ2000" s="118"/>
      <c r="BA2000" s="118"/>
      <c r="BB2000" s="118"/>
      <c r="BC2000" s="118"/>
      <c r="BD2000" s="118"/>
      <c r="BE2000" s="118"/>
      <c r="BF2000" s="118"/>
      <c r="BG2000" s="118"/>
      <c r="BH2000" s="118"/>
      <c r="BI2000" s="118"/>
      <c r="BJ2000" s="118"/>
      <c r="BK2000" s="118"/>
      <c r="BL2000" s="118"/>
      <c r="BM2000" s="118"/>
      <c r="BN2000" s="118"/>
      <c r="BO2000" s="118"/>
      <c r="BP2000" s="118"/>
      <c r="BQ2000" s="118"/>
      <c r="BR2000" s="118"/>
      <c r="BS2000" s="118"/>
      <c r="BT2000" s="118"/>
      <c r="BU2000" s="118"/>
      <c r="BV2000" s="118"/>
      <c r="BW2000" s="118"/>
      <c r="BX2000" s="118"/>
      <c r="BY2000" s="118"/>
      <c r="BZ2000" s="118"/>
      <c r="CA2000" s="118"/>
      <c r="CB2000" s="118"/>
      <c r="CC2000" s="118"/>
      <c r="CD2000" s="118"/>
      <c r="CE2000" s="118"/>
      <c r="CF2000" s="118"/>
      <c r="CG2000" s="118"/>
      <c r="CH2000" s="118"/>
      <c r="CI2000" s="118"/>
      <c r="CJ2000" s="118"/>
      <c r="CK2000" s="118"/>
      <c r="CL2000" s="118"/>
      <c r="CM2000" s="118"/>
      <c r="CN2000" s="118"/>
      <c r="CO2000" s="118"/>
      <c r="CP2000" s="118"/>
      <c r="CQ2000" s="118"/>
      <c r="CR2000" s="118"/>
      <c r="CS2000" s="118"/>
      <c r="CT2000" s="118"/>
      <c r="CU2000" s="118"/>
      <c r="CV2000" s="118"/>
      <c r="CW2000" s="118"/>
      <c r="CX2000" s="118"/>
      <c r="CY2000" s="118"/>
      <c r="CZ2000" s="118"/>
      <c r="DA2000" s="118"/>
      <c r="DB2000" s="118"/>
      <c r="DC2000" s="118"/>
      <c r="DD2000" s="118"/>
      <c r="DE2000" s="118"/>
      <c r="DF2000" s="118"/>
      <c r="DG2000" s="118"/>
      <c r="DH2000" s="118"/>
      <c r="DI2000" s="118"/>
      <c r="DJ2000" s="118"/>
      <c r="DK2000" s="118"/>
      <c r="DL2000" s="118"/>
      <c r="DM2000" s="118"/>
      <c r="DN2000" s="118"/>
      <c r="DO2000" s="118"/>
      <c r="DP2000" s="118"/>
      <c r="DQ2000" s="118"/>
      <c r="DR2000" s="118"/>
      <c r="DS2000" s="118"/>
      <c r="DT2000" s="118"/>
      <c r="DU2000" s="118"/>
      <c r="DV2000" s="118"/>
      <c r="DW2000" s="118"/>
      <c r="DX2000" s="118"/>
      <c r="DY2000" s="118"/>
      <c r="DZ2000" s="118"/>
      <c r="EA2000" s="118"/>
      <c r="EB2000" s="118"/>
      <c r="EC2000" s="118"/>
      <c r="ED2000" s="118"/>
      <c r="EE2000" s="118"/>
      <c r="EF2000" s="118"/>
      <c r="EG2000" s="118"/>
      <c r="EH2000" s="118"/>
      <c r="EI2000" s="118"/>
      <c r="EJ2000" s="118"/>
      <c r="EK2000" s="118"/>
      <c r="EL2000" s="118"/>
      <c r="EM2000" s="118"/>
      <c r="EN2000" s="118"/>
      <c r="EO2000" s="118"/>
      <c r="EP2000" s="118"/>
      <c r="EQ2000" s="118"/>
      <c r="ER2000" s="118"/>
      <c r="ES2000" s="118"/>
      <c r="ET2000" s="118"/>
      <c r="EU2000" s="118"/>
      <c r="EV2000" s="118"/>
      <c r="EW2000" s="118"/>
      <c r="EX2000" s="118"/>
      <c r="EY2000" s="118"/>
      <c r="EZ2000" s="118"/>
      <c r="FA2000" s="118"/>
      <c r="FB2000" s="118"/>
      <c r="FC2000" s="118"/>
      <c r="FD2000" s="118"/>
      <c r="FE2000" s="118"/>
      <c r="FF2000" s="118"/>
      <c r="FG2000" s="118"/>
      <c r="FH2000" s="118"/>
      <c r="FI2000" s="118"/>
      <c r="FJ2000" s="118"/>
      <c r="FK2000" s="118"/>
      <c r="FL2000" s="118"/>
      <c r="FM2000" s="118"/>
      <c r="FN2000" s="118"/>
      <c r="FO2000" s="118"/>
      <c r="FP2000" s="118"/>
      <c r="FQ2000" s="118"/>
      <c r="FR2000" s="118"/>
      <c r="FS2000" s="118"/>
      <c r="FT2000" s="118"/>
      <c r="FU2000" s="118"/>
      <c r="FV2000" s="118"/>
      <c r="FW2000" s="118"/>
      <c r="FX2000" s="118"/>
      <c r="FY2000" s="118"/>
      <c r="FZ2000" s="118"/>
      <c r="GA2000" s="118"/>
      <c r="GB2000" s="118"/>
      <c r="GC2000" s="118"/>
      <c r="GD2000" s="118"/>
      <c r="GE2000" s="118"/>
      <c r="GF2000" s="118"/>
      <c r="GG2000" s="118"/>
      <c r="GH2000" s="118"/>
      <c r="GI2000" s="118"/>
      <c r="GJ2000" s="118"/>
      <c r="GK2000" s="118"/>
      <c r="GL2000" s="118"/>
      <c r="GM2000" s="118"/>
      <c r="GN2000" s="118"/>
      <c r="GO2000" s="118"/>
      <c r="GP2000" s="118"/>
      <c r="GQ2000" s="118"/>
      <c r="GR2000" s="118"/>
      <c r="GS2000" s="118"/>
      <c r="GT2000" s="118"/>
      <c r="GU2000" s="118"/>
      <c r="GV2000" s="118"/>
      <c r="GW2000" s="118"/>
      <c r="GX2000" s="118"/>
      <c r="GY2000" s="118"/>
      <c r="GZ2000" s="118"/>
      <c r="HA2000" s="118"/>
      <c r="HB2000" s="118"/>
      <c r="HC2000" s="118"/>
      <c r="HD2000" s="118"/>
      <c r="HE2000" s="118"/>
      <c r="HF2000" s="118"/>
      <c r="HG2000" s="118"/>
      <c r="HH2000" s="118"/>
      <c r="HI2000" s="118"/>
      <c r="HJ2000" s="118"/>
      <c r="HK2000" s="118"/>
      <c r="HL2000" s="118"/>
      <c r="HM2000" s="118"/>
      <c r="HN2000" s="118"/>
      <c r="HO2000" s="118"/>
      <c r="HP2000" s="118"/>
      <c r="HQ2000" s="118"/>
      <c r="HR2000" s="118"/>
      <c r="HS2000" s="118"/>
      <c r="HT2000" s="118"/>
      <c r="HU2000" s="118"/>
      <c r="HV2000" s="118"/>
      <c r="HW2000" s="118"/>
      <c r="HX2000" s="118"/>
      <c r="HY2000" s="118"/>
      <c r="HZ2000" s="118"/>
      <c r="IA2000" s="118"/>
      <c r="IB2000" s="118"/>
      <c r="IC2000" s="118"/>
      <c r="ID2000" s="118"/>
      <c r="IE2000" s="118"/>
      <c r="IF2000" s="118"/>
      <c r="IG2000" s="118"/>
      <c r="IH2000" s="118"/>
      <c r="II2000" s="118"/>
      <c r="IJ2000" s="118"/>
    </row>
    <row r="2001" spans="1:244" s="127" customFormat="1" ht="12.75" customHeight="1">
      <c r="A2001" s="118">
        <v>2000</v>
      </c>
      <c r="B2001" s="128">
        <v>22</v>
      </c>
      <c r="C2001" s="156">
        <v>37104</v>
      </c>
      <c r="D2001" s="157" t="s">
        <v>51</v>
      </c>
      <c r="E2001" s="8">
        <v>2001</v>
      </c>
      <c r="F2001" s="158">
        <f t="shared" si="511"/>
        <v>153</v>
      </c>
      <c r="G2001" s="158">
        <f t="shared" si="512"/>
        <v>1</v>
      </c>
      <c r="H2001" s="162">
        <v>36951</v>
      </c>
      <c r="I2001" s="163">
        <v>393211</v>
      </c>
      <c r="J2001" s="11"/>
      <c r="K2001" s="11"/>
      <c r="L2001" s="11"/>
      <c r="M2001" s="174"/>
      <c r="N2001" s="528"/>
      <c r="O2001" s="11"/>
      <c r="P2001" s="8"/>
      <c r="Q2001" s="11">
        <v>10.199999999999999</v>
      </c>
      <c r="R2001" s="11"/>
      <c r="S2001" s="155"/>
      <c r="T2001" s="11"/>
      <c r="U2001" s="161"/>
      <c r="V2001" s="11"/>
      <c r="W2001" s="11"/>
      <c r="X2001" s="118"/>
      <c r="Y2001" s="118"/>
      <c r="Z2001" s="118"/>
      <c r="AA2001" s="118"/>
      <c r="AB2001" s="118"/>
      <c r="AC2001" s="118"/>
      <c r="AD2001" s="118"/>
      <c r="AE2001" s="118"/>
      <c r="AF2001" s="118"/>
      <c r="AG2001" s="118"/>
      <c r="AH2001" s="118"/>
      <c r="AI2001" s="118"/>
      <c r="AJ2001" s="118"/>
      <c r="AK2001" s="118"/>
      <c r="AL2001" s="118"/>
      <c r="AM2001" s="118"/>
      <c r="AN2001" s="118"/>
      <c r="AO2001" s="118"/>
      <c r="AP2001" s="118"/>
      <c r="AQ2001" s="118"/>
      <c r="AR2001" s="118"/>
      <c r="AS2001" s="118"/>
      <c r="AT2001" s="118"/>
      <c r="AU2001" s="118"/>
      <c r="AV2001" s="118"/>
      <c r="AW2001" s="118"/>
      <c r="AX2001" s="118"/>
      <c r="AY2001" s="118"/>
      <c r="AZ2001" s="118"/>
      <c r="BA2001" s="118"/>
      <c r="BB2001" s="118"/>
      <c r="BC2001" s="118"/>
      <c r="BD2001" s="118"/>
      <c r="BE2001" s="118"/>
      <c r="BF2001" s="118"/>
      <c r="BG2001" s="118"/>
      <c r="BH2001" s="118"/>
      <c r="BI2001" s="118"/>
      <c r="BJ2001" s="118"/>
      <c r="BK2001" s="118"/>
      <c r="BL2001" s="118"/>
      <c r="BM2001" s="118"/>
      <c r="BN2001" s="118"/>
      <c r="BO2001" s="118"/>
      <c r="BP2001" s="118"/>
      <c r="BQ2001" s="118"/>
      <c r="BR2001" s="118"/>
      <c r="BS2001" s="118"/>
      <c r="BT2001" s="118"/>
      <c r="BU2001" s="118"/>
      <c r="BV2001" s="118"/>
      <c r="BW2001" s="118"/>
      <c r="BX2001" s="118"/>
      <c r="BY2001" s="118"/>
      <c r="BZ2001" s="118"/>
      <c r="CA2001" s="118"/>
      <c r="CB2001" s="118"/>
      <c r="CC2001" s="118"/>
      <c r="CD2001" s="118"/>
      <c r="CE2001" s="118"/>
      <c r="CF2001" s="118"/>
      <c r="CG2001" s="118"/>
      <c r="CH2001" s="118"/>
      <c r="CI2001" s="118"/>
      <c r="CJ2001" s="118"/>
      <c r="CK2001" s="118"/>
      <c r="CL2001" s="118"/>
      <c r="CM2001" s="118"/>
      <c r="CN2001" s="118"/>
      <c r="CO2001" s="118"/>
      <c r="CP2001" s="118"/>
      <c r="CQ2001" s="118"/>
      <c r="CR2001" s="118"/>
      <c r="CS2001" s="118"/>
      <c r="CT2001" s="118"/>
      <c r="CU2001" s="118"/>
      <c r="CV2001" s="118"/>
      <c r="CW2001" s="118"/>
      <c r="CX2001" s="118"/>
      <c r="CY2001" s="118"/>
      <c r="CZ2001" s="118"/>
      <c r="DA2001" s="118"/>
      <c r="DB2001" s="118"/>
      <c r="DC2001" s="118"/>
      <c r="DD2001" s="118"/>
      <c r="DE2001" s="118"/>
      <c r="DF2001" s="118"/>
      <c r="DG2001" s="118"/>
      <c r="DH2001" s="118"/>
      <c r="DI2001" s="118"/>
      <c r="DJ2001" s="118"/>
      <c r="DK2001" s="118"/>
      <c r="DL2001" s="118"/>
      <c r="DM2001" s="118"/>
      <c r="DN2001" s="118"/>
      <c r="DO2001" s="118"/>
      <c r="DP2001" s="118"/>
      <c r="DQ2001" s="118"/>
      <c r="DR2001" s="118"/>
      <c r="DS2001" s="118"/>
      <c r="DT2001" s="118"/>
      <c r="DU2001" s="118"/>
      <c r="DV2001" s="118"/>
      <c r="DW2001" s="118"/>
      <c r="DX2001" s="118"/>
      <c r="DY2001" s="118"/>
      <c r="DZ2001" s="118"/>
      <c r="EA2001" s="118"/>
      <c r="EB2001" s="118"/>
      <c r="EC2001" s="118"/>
      <c r="ED2001" s="118"/>
      <c r="EE2001" s="118"/>
      <c r="EF2001" s="118"/>
      <c r="EG2001" s="118"/>
      <c r="EH2001" s="118"/>
      <c r="EI2001" s="118"/>
      <c r="EJ2001" s="118"/>
      <c r="EK2001" s="118"/>
      <c r="EL2001" s="118"/>
      <c r="EM2001" s="118"/>
      <c r="EN2001" s="118"/>
      <c r="EO2001" s="118"/>
      <c r="EP2001" s="118"/>
      <c r="EQ2001" s="118"/>
      <c r="ER2001" s="118"/>
      <c r="ES2001" s="118"/>
      <c r="ET2001" s="118"/>
      <c r="EU2001" s="118"/>
      <c r="EV2001" s="118"/>
      <c r="EW2001" s="118"/>
      <c r="EX2001" s="118"/>
      <c r="EY2001" s="118"/>
      <c r="EZ2001" s="118"/>
      <c r="FA2001" s="118"/>
      <c r="FB2001" s="118"/>
      <c r="FC2001" s="118"/>
      <c r="FD2001" s="118"/>
      <c r="FE2001" s="118"/>
      <c r="FF2001" s="118"/>
      <c r="FG2001" s="118"/>
      <c r="FH2001" s="118"/>
      <c r="FI2001" s="118"/>
      <c r="FJ2001" s="118"/>
      <c r="FK2001" s="118"/>
      <c r="FL2001" s="118"/>
      <c r="FM2001" s="118"/>
      <c r="FN2001" s="118"/>
      <c r="FO2001" s="118"/>
      <c r="FP2001" s="118"/>
      <c r="FQ2001" s="118"/>
      <c r="FR2001" s="118"/>
      <c r="FS2001" s="118"/>
      <c r="FT2001" s="118"/>
      <c r="FU2001" s="118"/>
      <c r="FV2001" s="118"/>
      <c r="FW2001" s="118"/>
      <c r="FX2001" s="118"/>
      <c r="FY2001" s="118"/>
      <c r="FZ2001" s="118"/>
      <c r="GA2001" s="118"/>
      <c r="GB2001" s="118"/>
      <c r="GC2001" s="118"/>
      <c r="GD2001" s="118"/>
      <c r="GE2001" s="118"/>
      <c r="GF2001" s="118"/>
      <c r="GG2001" s="118"/>
      <c r="GH2001" s="118"/>
      <c r="GI2001" s="118"/>
      <c r="GJ2001" s="118"/>
      <c r="GK2001" s="118"/>
      <c r="GL2001" s="118"/>
      <c r="GM2001" s="118"/>
      <c r="GN2001" s="118"/>
      <c r="GO2001" s="118"/>
      <c r="GP2001" s="118"/>
      <c r="GQ2001" s="118"/>
      <c r="GR2001" s="118"/>
      <c r="GS2001" s="118"/>
      <c r="GT2001" s="118"/>
      <c r="GU2001" s="118"/>
      <c r="GV2001" s="118"/>
      <c r="GW2001" s="118"/>
      <c r="GX2001" s="118"/>
      <c r="GY2001" s="118"/>
      <c r="GZ2001" s="118"/>
      <c r="HA2001" s="118"/>
      <c r="HB2001" s="118"/>
      <c r="HC2001" s="118"/>
      <c r="HD2001" s="118"/>
      <c r="HE2001" s="118"/>
      <c r="HF2001" s="118"/>
      <c r="HG2001" s="118"/>
      <c r="HH2001" s="118"/>
      <c r="HI2001" s="118"/>
      <c r="HJ2001" s="118"/>
      <c r="HK2001" s="118"/>
      <c r="HL2001" s="118"/>
      <c r="HM2001" s="118"/>
      <c r="HN2001" s="118"/>
      <c r="HO2001" s="118"/>
      <c r="HP2001" s="118"/>
      <c r="HQ2001" s="118"/>
      <c r="HR2001" s="118"/>
      <c r="HS2001" s="118"/>
      <c r="HT2001" s="118"/>
      <c r="HU2001" s="118"/>
      <c r="HV2001" s="118"/>
      <c r="HW2001" s="118"/>
      <c r="HX2001" s="118"/>
      <c r="HY2001" s="118"/>
      <c r="HZ2001" s="118"/>
      <c r="IA2001" s="118"/>
      <c r="IB2001" s="118"/>
      <c r="IC2001" s="118"/>
      <c r="ID2001" s="118"/>
      <c r="IE2001" s="118"/>
      <c r="IF2001" s="118"/>
      <c r="IG2001" s="118"/>
      <c r="IH2001" s="118"/>
      <c r="II2001" s="118"/>
      <c r="IJ2001" s="118"/>
    </row>
    <row r="2002" spans="1:244" ht="12.75" customHeight="1">
      <c r="A2002" s="118">
        <v>2001</v>
      </c>
      <c r="B2002" s="128">
        <v>22</v>
      </c>
      <c r="C2002" s="156">
        <v>37135</v>
      </c>
      <c r="D2002" s="157" t="s">
        <v>52</v>
      </c>
      <c r="E2002" s="8">
        <v>2001</v>
      </c>
      <c r="F2002" s="158">
        <f t="shared" si="511"/>
        <v>184</v>
      </c>
      <c r="G2002" s="158">
        <f t="shared" si="512"/>
        <v>1</v>
      </c>
      <c r="H2002" s="162">
        <v>36951</v>
      </c>
      <c r="I2002" s="163">
        <v>392976</v>
      </c>
      <c r="J2002" s="11"/>
      <c r="K2002" s="11"/>
      <c r="L2002" s="11"/>
      <c r="O2002" s="11"/>
      <c r="Q2002" s="11">
        <v>9.5</v>
      </c>
      <c r="T2002" s="11"/>
      <c r="V2002" s="11"/>
      <c r="W2002" s="11"/>
    </row>
    <row r="2003" spans="1:244" ht="12.75" customHeight="1">
      <c r="A2003" s="118">
        <v>2002</v>
      </c>
      <c r="B2003" s="128">
        <v>22</v>
      </c>
      <c r="C2003" s="156">
        <v>37165</v>
      </c>
      <c r="D2003" s="157" t="s">
        <v>53</v>
      </c>
      <c r="E2003" s="8">
        <v>2001</v>
      </c>
      <c r="F2003" s="158">
        <f t="shared" si="511"/>
        <v>214</v>
      </c>
      <c r="G2003" s="158">
        <f t="shared" si="512"/>
        <v>1</v>
      </c>
      <c r="H2003" s="162">
        <v>36951</v>
      </c>
      <c r="I2003" s="163">
        <v>392682</v>
      </c>
      <c r="J2003" s="11"/>
      <c r="K2003" s="11"/>
      <c r="L2003" s="11"/>
      <c r="O2003" s="11"/>
      <c r="Q2003" s="11">
        <v>8.1</v>
      </c>
      <c r="T2003" s="11"/>
      <c r="V2003" s="11"/>
      <c r="W2003" s="11"/>
    </row>
    <row r="2004" spans="1:244" ht="12.75" customHeight="1">
      <c r="A2004" s="118">
        <v>2003</v>
      </c>
      <c r="B2004" s="128">
        <v>22</v>
      </c>
      <c r="C2004" s="156">
        <v>37196</v>
      </c>
      <c r="D2004" s="157" t="s">
        <v>54</v>
      </c>
      <c r="E2004" s="8">
        <v>2001</v>
      </c>
      <c r="F2004" s="158">
        <f t="shared" si="511"/>
        <v>245</v>
      </c>
      <c r="G2004" s="158">
        <f t="shared" si="512"/>
        <v>1</v>
      </c>
      <c r="H2004" s="162">
        <v>36951</v>
      </c>
      <c r="I2004" s="163">
        <v>392398</v>
      </c>
      <c r="J2004" s="11"/>
      <c r="K2004" s="11"/>
      <c r="L2004" s="11"/>
      <c r="O2004" s="11"/>
      <c r="Q2004" s="11">
        <v>7.7</v>
      </c>
      <c r="T2004" s="11"/>
      <c r="V2004" s="11"/>
      <c r="W2004" s="11"/>
      <c r="X2004" s="127"/>
      <c r="Y2004" s="127"/>
      <c r="Z2004" s="127"/>
      <c r="AA2004" s="127"/>
      <c r="AB2004" s="127"/>
      <c r="AC2004" s="127"/>
      <c r="AD2004" s="127"/>
      <c r="AE2004" s="127"/>
      <c r="AF2004" s="127"/>
      <c r="AG2004" s="127"/>
      <c r="AH2004" s="127"/>
      <c r="AI2004" s="127"/>
      <c r="AJ2004" s="127"/>
      <c r="AK2004" s="127"/>
      <c r="AL2004" s="127"/>
      <c r="AM2004" s="127"/>
      <c r="AN2004" s="127"/>
      <c r="AO2004" s="127"/>
      <c r="AP2004" s="127"/>
      <c r="AQ2004" s="127"/>
      <c r="AR2004" s="127"/>
      <c r="AS2004" s="127"/>
      <c r="AT2004" s="127"/>
      <c r="AU2004" s="127"/>
      <c r="AV2004" s="127"/>
      <c r="AW2004" s="127"/>
      <c r="AX2004" s="127"/>
      <c r="AY2004" s="127"/>
      <c r="AZ2004" s="127"/>
      <c r="BA2004" s="127"/>
      <c r="BB2004" s="127"/>
      <c r="BC2004" s="127"/>
      <c r="BD2004" s="127"/>
      <c r="BE2004" s="127"/>
      <c r="BF2004" s="127"/>
      <c r="BG2004" s="127"/>
      <c r="BH2004" s="127"/>
      <c r="BI2004" s="127"/>
      <c r="BJ2004" s="127"/>
      <c r="BK2004" s="127"/>
      <c r="BL2004" s="127"/>
      <c r="BM2004" s="127"/>
      <c r="BN2004" s="127"/>
      <c r="BO2004" s="127"/>
      <c r="BP2004" s="127"/>
      <c r="BQ2004" s="127"/>
      <c r="BR2004" s="127"/>
      <c r="BS2004" s="127"/>
      <c r="BT2004" s="127"/>
      <c r="BU2004" s="127"/>
      <c r="BV2004" s="127"/>
      <c r="BW2004" s="127"/>
      <c r="BX2004" s="127"/>
      <c r="BY2004" s="127"/>
      <c r="BZ2004" s="127"/>
      <c r="CA2004" s="127"/>
      <c r="CB2004" s="127"/>
      <c r="CC2004" s="127"/>
      <c r="CD2004" s="127"/>
      <c r="CE2004" s="127"/>
      <c r="CF2004" s="127"/>
      <c r="CG2004" s="127"/>
      <c r="CH2004" s="127"/>
      <c r="CI2004" s="127"/>
      <c r="CJ2004" s="127"/>
      <c r="CK2004" s="127"/>
      <c r="CL2004" s="127"/>
      <c r="CM2004" s="127"/>
      <c r="CN2004" s="127"/>
      <c r="CO2004" s="127"/>
      <c r="CP2004" s="127"/>
      <c r="CQ2004" s="127"/>
      <c r="CR2004" s="127"/>
      <c r="CS2004" s="127"/>
      <c r="CT2004" s="127"/>
      <c r="CU2004" s="127"/>
      <c r="CV2004" s="127"/>
      <c r="CW2004" s="127"/>
      <c r="CX2004" s="127"/>
      <c r="CY2004" s="127"/>
      <c r="CZ2004" s="127"/>
      <c r="DA2004" s="127"/>
      <c r="DB2004" s="127"/>
      <c r="DC2004" s="127"/>
      <c r="DD2004" s="127"/>
      <c r="DE2004" s="127"/>
      <c r="DF2004" s="127"/>
      <c r="DG2004" s="127"/>
      <c r="DH2004" s="127"/>
      <c r="DI2004" s="127"/>
      <c r="DJ2004" s="127"/>
      <c r="DK2004" s="127"/>
      <c r="DL2004" s="127"/>
      <c r="DM2004" s="127"/>
      <c r="DN2004" s="127"/>
      <c r="DO2004" s="127"/>
      <c r="DP2004" s="127"/>
      <c r="DQ2004" s="127"/>
      <c r="DR2004" s="127"/>
      <c r="DS2004" s="127"/>
      <c r="DT2004" s="127"/>
      <c r="DU2004" s="127"/>
      <c r="DV2004" s="127"/>
      <c r="DW2004" s="127"/>
      <c r="DX2004" s="127"/>
      <c r="DY2004" s="127"/>
      <c r="DZ2004" s="127"/>
      <c r="EA2004" s="127"/>
      <c r="EB2004" s="127"/>
      <c r="EC2004" s="127"/>
      <c r="ED2004" s="127"/>
      <c r="EE2004" s="127"/>
      <c r="EF2004" s="127"/>
      <c r="EG2004" s="127"/>
      <c r="EH2004" s="127"/>
      <c r="EI2004" s="127"/>
      <c r="EJ2004" s="127"/>
      <c r="EK2004" s="127"/>
      <c r="EL2004" s="127"/>
      <c r="EM2004" s="127"/>
      <c r="EN2004" s="127"/>
      <c r="EO2004" s="127"/>
      <c r="EP2004" s="127"/>
      <c r="EQ2004" s="127"/>
      <c r="ER2004" s="127"/>
      <c r="ES2004" s="127"/>
      <c r="ET2004" s="127"/>
      <c r="EU2004" s="127"/>
      <c r="EV2004" s="127"/>
      <c r="EW2004" s="127"/>
      <c r="EX2004" s="127"/>
      <c r="EY2004" s="127"/>
      <c r="EZ2004" s="127"/>
      <c r="FA2004" s="127"/>
      <c r="FB2004" s="127"/>
      <c r="FC2004" s="127"/>
      <c r="FD2004" s="127"/>
      <c r="FE2004" s="127"/>
      <c r="FF2004" s="127"/>
      <c r="FG2004" s="127"/>
      <c r="FH2004" s="127"/>
      <c r="FI2004" s="127"/>
      <c r="FJ2004" s="127"/>
      <c r="FK2004" s="127"/>
      <c r="FL2004" s="127"/>
      <c r="FM2004" s="127"/>
      <c r="FN2004" s="127"/>
      <c r="FO2004" s="127"/>
      <c r="FP2004" s="127"/>
      <c r="FQ2004" s="127"/>
      <c r="FR2004" s="127"/>
      <c r="FS2004" s="127"/>
      <c r="FT2004" s="127"/>
      <c r="FU2004" s="127"/>
      <c r="FV2004" s="127"/>
      <c r="FW2004" s="127"/>
      <c r="FX2004" s="127"/>
      <c r="FY2004" s="127"/>
      <c r="FZ2004" s="127"/>
      <c r="GA2004" s="127"/>
      <c r="GB2004" s="127"/>
      <c r="GC2004" s="127"/>
      <c r="GD2004" s="127"/>
      <c r="GE2004" s="127"/>
      <c r="GF2004" s="127"/>
      <c r="GG2004" s="127"/>
      <c r="GH2004" s="127"/>
      <c r="GI2004" s="127"/>
      <c r="GJ2004" s="127"/>
      <c r="GK2004" s="127"/>
      <c r="GL2004" s="127"/>
      <c r="GM2004" s="127"/>
      <c r="GN2004" s="127"/>
      <c r="GO2004" s="127"/>
      <c r="GP2004" s="127"/>
      <c r="GQ2004" s="127"/>
      <c r="GR2004" s="127"/>
      <c r="GS2004" s="127"/>
      <c r="GT2004" s="127"/>
      <c r="GU2004" s="127"/>
      <c r="GV2004" s="127"/>
      <c r="GW2004" s="127"/>
      <c r="GX2004" s="127"/>
      <c r="GY2004" s="127"/>
      <c r="GZ2004" s="127"/>
      <c r="HA2004" s="127"/>
      <c r="HB2004" s="127"/>
      <c r="HC2004" s="127"/>
      <c r="HD2004" s="127"/>
      <c r="HE2004" s="127"/>
      <c r="HF2004" s="127"/>
      <c r="HG2004" s="127"/>
      <c r="HH2004" s="127"/>
      <c r="HI2004" s="127"/>
      <c r="HJ2004" s="127"/>
      <c r="HK2004" s="127"/>
      <c r="HL2004" s="127"/>
      <c r="HM2004" s="127"/>
      <c r="HN2004" s="127"/>
      <c r="HO2004" s="127"/>
      <c r="HP2004" s="127"/>
      <c r="HQ2004" s="127"/>
      <c r="HR2004" s="127"/>
      <c r="HS2004" s="127"/>
      <c r="HT2004" s="127"/>
      <c r="HU2004" s="127"/>
      <c r="HV2004" s="127"/>
      <c r="HW2004" s="127"/>
      <c r="HX2004" s="127"/>
      <c r="HY2004" s="127"/>
      <c r="HZ2004" s="127"/>
      <c r="IA2004" s="127"/>
      <c r="IB2004" s="127"/>
      <c r="IC2004" s="127"/>
      <c r="ID2004" s="127"/>
      <c r="IE2004" s="127"/>
      <c r="IF2004" s="127"/>
      <c r="IG2004" s="127"/>
      <c r="IH2004" s="127"/>
      <c r="II2004" s="127"/>
      <c r="IJ2004" s="127"/>
    </row>
    <row r="2005" spans="1:244" ht="12.75" customHeight="1">
      <c r="A2005" s="118">
        <v>2004</v>
      </c>
      <c r="B2005" s="128">
        <v>22</v>
      </c>
      <c r="C2005" s="156">
        <v>37226</v>
      </c>
      <c r="D2005" s="157" t="s">
        <v>55</v>
      </c>
      <c r="E2005" s="8">
        <v>2001</v>
      </c>
      <c r="F2005" s="158">
        <f t="shared" si="511"/>
        <v>275</v>
      </c>
      <c r="G2005" s="158">
        <f t="shared" si="512"/>
        <v>1</v>
      </c>
      <c r="H2005" s="162">
        <v>36951</v>
      </c>
      <c r="I2005" s="163">
        <v>390817</v>
      </c>
      <c r="J2005" s="11"/>
      <c r="K2005" s="11"/>
      <c r="L2005" s="11"/>
      <c r="O2005" s="11"/>
      <c r="Q2005" s="11">
        <v>6.9</v>
      </c>
      <c r="T2005" s="11"/>
      <c r="V2005" s="11"/>
      <c r="W2005" s="11"/>
    </row>
    <row r="2006" spans="1:244" ht="12.75" customHeight="1">
      <c r="A2006" s="118">
        <v>2005</v>
      </c>
      <c r="B2006" s="128">
        <v>22</v>
      </c>
      <c r="C2006" s="156">
        <v>37257</v>
      </c>
      <c r="D2006" s="157" t="s">
        <v>44</v>
      </c>
      <c r="E2006" s="8">
        <v>2002</v>
      </c>
      <c r="F2006" s="158">
        <f t="shared" si="511"/>
        <v>306</v>
      </c>
      <c r="G2006" s="158">
        <f t="shared" si="512"/>
        <v>1</v>
      </c>
      <c r="H2006" s="162">
        <v>36951</v>
      </c>
      <c r="I2006" s="163">
        <v>390436</v>
      </c>
      <c r="J2006" s="11">
        <v>3.45</v>
      </c>
      <c r="K2006" s="11">
        <v>1.58</v>
      </c>
      <c r="L2006" s="11">
        <v>0.45</v>
      </c>
      <c r="O2006" s="11">
        <v>0.08</v>
      </c>
      <c r="T2006" s="161">
        <f>$I2006*K2006</f>
        <v>616888.88</v>
      </c>
      <c r="U2006" s="161">
        <f>$I2006*L2006</f>
        <v>175696.2</v>
      </c>
      <c r="V2006" s="161">
        <f>$I2006*O2006</f>
        <v>31234.880000000001</v>
      </c>
      <c r="W2006" s="161">
        <f>V2006*0.4</f>
        <v>12493.952000000001</v>
      </c>
    </row>
    <row r="2007" spans="1:244" ht="12.75" customHeight="1">
      <c r="A2007" s="118">
        <v>2006</v>
      </c>
      <c r="B2007" s="128">
        <v>22</v>
      </c>
      <c r="C2007" s="156">
        <v>37288</v>
      </c>
      <c r="D2007" s="157" t="s">
        <v>45</v>
      </c>
      <c r="E2007" s="8">
        <v>2002</v>
      </c>
      <c r="F2007" s="158">
        <f t="shared" si="511"/>
        <v>337</v>
      </c>
      <c r="G2007" s="158">
        <f t="shared" si="512"/>
        <v>1</v>
      </c>
      <c r="H2007" s="162">
        <v>36951</v>
      </c>
      <c r="I2007" s="163">
        <v>390221</v>
      </c>
      <c r="J2007" s="11"/>
      <c r="K2007" s="11"/>
      <c r="L2007" s="11"/>
      <c r="O2007" s="11"/>
      <c r="Q2007" s="11">
        <v>7.2</v>
      </c>
      <c r="T2007" s="11"/>
      <c r="V2007" s="11"/>
      <c r="W2007" s="11"/>
    </row>
    <row r="2008" spans="1:244" ht="12.75" customHeight="1">
      <c r="A2008" s="118">
        <v>2007</v>
      </c>
      <c r="B2008" s="128">
        <v>22</v>
      </c>
      <c r="C2008" s="156">
        <v>37316</v>
      </c>
      <c r="D2008" s="157" t="s">
        <v>46</v>
      </c>
      <c r="E2008" s="8">
        <v>2002</v>
      </c>
      <c r="F2008" s="158">
        <f t="shared" si="511"/>
        <v>365</v>
      </c>
      <c r="G2008" s="158">
        <f t="shared" si="512"/>
        <v>2</v>
      </c>
      <c r="H2008" s="162">
        <v>36951</v>
      </c>
      <c r="I2008" s="163">
        <v>389678</v>
      </c>
      <c r="J2008" s="11"/>
      <c r="K2008" s="11"/>
      <c r="L2008" s="11"/>
      <c r="O2008" s="11"/>
      <c r="Q2008" s="11">
        <v>6.9</v>
      </c>
      <c r="T2008" s="11"/>
      <c r="V2008" s="11"/>
      <c r="W2008" s="11"/>
    </row>
    <row r="2009" spans="1:244" ht="12.75" customHeight="1">
      <c r="A2009" s="118">
        <v>2008</v>
      </c>
      <c r="B2009" s="128">
        <v>22</v>
      </c>
      <c r="C2009" s="156">
        <v>37347</v>
      </c>
      <c r="D2009" s="157" t="s">
        <v>47</v>
      </c>
      <c r="E2009" s="8">
        <v>2002</v>
      </c>
      <c r="F2009" s="158">
        <f t="shared" si="511"/>
        <v>396</v>
      </c>
      <c r="G2009" s="158">
        <f t="shared" si="512"/>
        <v>2</v>
      </c>
      <c r="H2009" s="162">
        <v>36951</v>
      </c>
      <c r="I2009" s="163">
        <v>388955</v>
      </c>
      <c r="J2009" s="11"/>
      <c r="K2009" s="11"/>
      <c r="L2009" s="11"/>
      <c r="O2009" s="11"/>
      <c r="Q2009" s="11">
        <v>7.3</v>
      </c>
      <c r="T2009" s="11"/>
      <c r="V2009" s="11"/>
      <c r="W2009" s="11"/>
    </row>
    <row r="2010" spans="1:244" ht="12.75" customHeight="1">
      <c r="A2010" s="118">
        <v>2009</v>
      </c>
      <c r="B2010" s="128">
        <v>22</v>
      </c>
      <c r="C2010" s="156">
        <v>37377</v>
      </c>
      <c r="D2010" s="157" t="s">
        <v>48</v>
      </c>
      <c r="E2010" s="8">
        <v>2002</v>
      </c>
      <c r="F2010" s="158">
        <f t="shared" si="511"/>
        <v>426</v>
      </c>
      <c r="G2010" s="158">
        <f t="shared" si="512"/>
        <v>2</v>
      </c>
      <c r="H2010" s="162">
        <v>36951</v>
      </c>
      <c r="I2010" s="163">
        <v>387624</v>
      </c>
      <c r="J2010" s="11">
        <v>3.5</v>
      </c>
      <c r="K2010" s="11">
        <v>6.35</v>
      </c>
      <c r="L2010" s="11">
        <v>2.35</v>
      </c>
      <c r="O2010" s="11">
        <v>0</v>
      </c>
      <c r="Q2010" s="11">
        <v>8.8000000000000007</v>
      </c>
      <c r="T2010" s="161">
        <f>$I2010*K2010</f>
        <v>2461412.4</v>
      </c>
      <c r="U2010" s="161">
        <f>$I2010*L2010</f>
        <v>910916.4</v>
      </c>
      <c r="V2010" s="161">
        <f>$I2010*O2010</f>
        <v>0</v>
      </c>
      <c r="W2010" s="161">
        <f>V2010*0.4</f>
        <v>0</v>
      </c>
    </row>
    <row r="2011" spans="1:244" ht="12.75" customHeight="1">
      <c r="A2011" s="118">
        <v>2010</v>
      </c>
      <c r="B2011" s="128">
        <v>22</v>
      </c>
      <c r="C2011" s="156">
        <v>37408</v>
      </c>
      <c r="D2011" s="157" t="s">
        <v>49</v>
      </c>
      <c r="E2011" s="8">
        <v>2002</v>
      </c>
      <c r="F2011" s="158">
        <f t="shared" si="511"/>
        <v>457</v>
      </c>
      <c r="G2011" s="158">
        <f t="shared" si="512"/>
        <v>2</v>
      </c>
      <c r="H2011" s="162">
        <v>36951</v>
      </c>
      <c r="I2011" s="163">
        <v>383823</v>
      </c>
      <c r="J2011" s="11"/>
      <c r="K2011" s="11"/>
      <c r="L2011" s="11"/>
      <c r="O2011" s="11"/>
      <c r="Q2011" s="11">
        <v>10</v>
      </c>
      <c r="T2011" s="11"/>
      <c r="V2011" s="11"/>
      <c r="W2011" s="11"/>
    </row>
    <row r="2012" spans="1:244" ht="12.75" customHeight="1">
      <c r="A2012" s="118">
        <v>2011</v>
      </c>
      <c r="B2012" s="128">
        <v>22</v>
      </c>
      <c r="C2012" s="156">
        <v>37438</v>
      </c>
      <c r="D2012" s="157" t="s">
        <v>50</v>
      </c>
      <c r="E2012" s="8">
        <v>2002</v>
      </c>
      <c r="F2012" s="158">
        <f t="shared" si="511"/>
        <v>487</v>
      </c>
      <c r="G2012" s="158">
        <f t="shared" si="512"/>
        <v>2</v>
      </c>
      <c r="H2012" s="162">
        <v>36951</v>
      </c>
      <c r="I2012" s="163">
        <v>389489</v>
      </c>
      <c r="J2012" s="11"/>
      <c r="K2012" s="11"/>
      <c r="L2012" s="11"/>
      <c r="O2012" s="11"/>
      <c r="T2012" s="11"/>
      <c r="V2012" s="11"/>
      <c r="W2012" s="11"/>
    </row>
    <row r="2013" spans="1:244" ht="12.75" customHeight="1">
      <c r="A2013" s="118">
        <v>2012</v>
      </c>
      <c r="B2013" s="128">
        <v>22</v>
      </c>
      <c r="C2013" s="156">
        <v>37469</v>
      </c>
      <c r="D2013" s="157" t="s">
        <v>51</v>
      </c>
      <c r="E2013" s="8">
        <v>2002</v>
      </c>
      <c r="F2013" s="158">
        <f t="shared" si="511"/>
        <v>518</v>
      </c>
      <c r="G2013" s="158">
        <f t="shared" si="512"/>
        <v>2</v>
      </c>
      <c r="H2013" s="162">
        <v>36951</v>
      </c>
      <c r="I2013" s="163">
        <v>364002</v>
      </c>
      <c r="J2013" s="11"/>
      <c r="K2013" s="11"/>
      <c r="L2013" s="11"/>
      <c r="O2013" s="11"/>
      <c r="Q2013" s="11">
        <v>14.8</v>
      </c>
      <c r="S2013" s="155" t="s">
        <v>2</v>
      </c>
      <c r="T2013" s="11"/>
      <c r="V2013" s="11"/>
      <c r="W2013" s="11"/>
    </row>
    <row r="2014" spans="1:244" ht="12.75" customHeight="1">
      <c r="A2014" s="118">
        <v>2013</v>
      </c>
      <c r="B2014" s="128">
        <v>22</v>
      </c>
      <c r="C2014" s="156">
        <v>37500</v>
      </c>
      <c r="D2014" s="157" t="s">
        <v>52</v>
      </c>
      <c r="E2014" s="8">
        <v>2002</v>
      </c>
      <c r="F2014" s="158">
        <f t="shared" si="511"/>
        <v>549</v>
      </c>
      <c r="G2014" s="158">
        <f t="shared" si="512"/>
        <v>2</v>
      </c>
      <c r="H2014" s="162">
        <v>36951</v>
      </c>
      <c r="I2014" s="179">
        <v>300000</v>
      </c>
      <c r="J2014" s="11"/>
      <c r="K2014" s="11"/>
      <c r="L2014" s="11"/>
      <c r="O2014" s="11"/>
      <c r="T2014" s="11"/>
      <c r="V2014" s="11"/>
      <c r="W2014" s="11"/>
    </row>
    <row r="2015" spans="1:244" ht="12.75" customHeight="1">
      <c r="A2015" s="118">
        <v>2014</v>
      </c>
      <c r="B2015" s="128">
        <v>22</v>
      </c>
      <c r="C2015" s="156">
        <v>37530</v>
      </c>
      <c r="D2015" s="157" t="s">
        <v>53</v>
      </c>
      <c r="E2015" s="8">
        <v>2002</v>
      </c>
      <c r="F2015" s="158">
        <f t="shared" si="511"/>
        <v>579</v>
      </c>
      <c r="G2015" s="158">
        <f t="shared" si="512"/>
        <v>2</v>
      </c>
      <c r="H2015" s="162">
        <v>36951</v>
      </c>
      <c r="I2015" s="163">
        <v>262769</v>
      </c>
      <c r="J2015" s="11"/>
      <c r="K2015" s="11"/>
      <c r="L2015" s="11"/>
      <c r="O2015" s="11"/>
      <c r="T2015" s="11"/>
      <c r="V2015" s="11"/>
      <c r="W2015" s="11"/>
    </row>
    <row r="2016" spans="1:244" s="11" customFormat="1" ht="12.75" customHeight="1">
      <c r="A2016" s="118">
        <v>2015</v>
      </c>
      <c r="B2016" s="260">
        <v>22</v>
      </c>
      <c r="C2016" s="156">
        <v>37561</v>
      </c>
      <c r="D2016" s="157" t="s">
        <v>54</v>
      </c>
      <c r="E2016" s="8">
        <v>2002</v>
      </c>
      <c r="F2016" s="158">
        <f t="shared" si="511"/>
        <v>610</v>
      </c>
      <c r="G2016" s="158">
        <f t="shared" si="512"/>
        <v>2</v>
      </c>
      <c r="H2016" s="162">
        <v>36951</v>
      </c>
      <c r="I2016" s="163">
        <v>193898</v>
      </c>
      <c r="M2016" s="174"/>
      <c r="N2016" s="528"/>
      <c r="P2016" s="8"/>
      <c r="Q2016" s="11">
        <v>8.1999999999999993</v>
      </c>
      <c r="S2016" s="155"/>
      <c r="U2016" s="161"/>
      <c r="X2016" s="118"/>
      <c r="Y2016" s="118"/>
      <c r="Z2016" s="118"/>
      <c r="AA2016" s="118"/>
      <c r="AB2016" s="118"/>
      <c r="AC2016" s="118"/>
      <c r="AD2016" s="118"/>
      <c r="AE2016" s="118"/>
      <c r="AF2016" s="118"/>
      <c r="AG2016" s="118"/>
      <c r="AH2016" s="118"/>
      <c r="AI2016" s="118"/>
      <c r="AJ2016" s="118"/>
      <c r="AK2016" s="118"/>
      <c r="AL2016" s="118"/>
      <c r="AM2016" s="118"/>
      <c r="AN2016" s="118"/>
      <c r="AO2016" s="118"/>
      <c r="AP2016" s="118"/>
      <c r="AQ2016" s="118"/>
      <c r="AR2016" s="118"/>
      <c r="AS2016" s="118"/>
      <c r="AT2016" s="118"/>
      <c r="AU2016" s="118"/>
      <c r="AV2016" s="118"/>
      <c r="AW2016" s="118"/>
      <c r="AX2016" s="118"/>
      <c r="AY2016" s="118"/>
      <c r="AZ2016" s="118"/>
      <c r="BA2016" s="118"/>
      <c r="BB2016" s="118"/>
      <c r="BC2016" s="118"/>
      <c r="BD2016" s="118"/>
      <c r="BE2016" s="118"/>
      <c r="BF2016" s="118"/>
      <c r="BG2016" s="118"/>
      <c r="BH2016" s="118"/>
      <c r="BI2016" s="118"/>
      <c r="BJ2016" s="118"/>
      <c r="BK2016" s="118"/>
      <c r="BL2016" s="118"/>
      <c r="BM2016" s="118"/>
      <c r="BN2016" s="118"/>
      <c r="BO2016" s="118"/>
      <c r="BP2016" s="118"/>
      <c r="BQ2016" s="118"/>
      <c r="BR2016" s="118"/>
      <c r="BS2016" s="118"/>
      <c r="BT2016" s="118"/>
      <c r="BU2016" s="118"/>
      <c r="BV2016" s="118"/>
      <c r="BW2016" s="118"/>
      <c r="BX2016" s="118"/>
      <c r="BY2016" s="118"/>
      <c r="BZ2016" s="118"/>
      <c r="CA2016" s="118"/>
      <c r="CB2016" s="118"/>
      <c r="CC2016" s="118"/>
      <c r="CD2016" s="118"/>
      <c r="CE2016" s="118"/>
      <c r="CF2016" s="118"/>
      <c r="CG2016" s="118"/>
      <c r="CH2016" s="118"/>
      <c r="CI2016" s="118"/>
      <c r="CJ2016" s="118"/>
      <c r="CK2016" s="118"/>
      <c r="CL2016" s="118"/>
      <c r="CM2016" s="118"/>
      <c r="CN2016" s="118"/>
      <c r="CO2016" s="118"/>
      <c r="CP2016" s="118"/>
      <c r="CQ2016" s="118"/>
      <c r="CR2016" s="118"/>
      <c r="CS2016" s="118"/>
      <c r="CT2016" s="118"/>
      <c r="CU2016" s="118"/>
      <c r="CV2016" s="118"/>
      <c r="CW2016" s="118"/>
      <c r="CX2016" s="118"/>
      <c r="CY2016" s="118"/>
      <c r="CZ2016" s="118"/>
      <c r="DA2016" s="118"/>
      <c r="DB2016" s="118"/>
      <c r="DC2016" s="118"/>
      <c r="DD2016" s="118"/>
      <c r="DE2016" s="118"/>
      <c r="DF2016" s="118"/>
      <c r="DG2016" s="118"/>
      <c r="DH2016" s="118"/>
      <c r="DI2016" s="118"/>
      <c r="DJ2016" s="118"/>
      <c r="DK2016" s="118"/>
      <c r="DL2016" s="118"/>
      <c r="DM2016" s="118"/>
      <c r="DN2016" s="118"/>
      <c r="DO2016" s="118"/>
      <c r="DP2016" s="118"/>
      <c r="DQ2016" s="118"/>
      <c r="DR2016" s="118"/>
      <c r="DS2016" s="118"/>
      <c r="DT2016" s="118"/>
      <c r="DU2016" s="118"/>
      <c r="DV2016" s="118"/>
      <c r="DW2016" s="118"/>
      <c r="DX2016" s="118"/>
      <c r="DY2016" s="118"/>
      <c r="DZ2016" s="118"/>
      <c r="EA2016" s="118"/>
      <c r="EB2016" s="118"/>
      <c r="EC2016" s="118"/>
      <c r="ED2016" s="118"/>
      <c r="EE2016" s="118"/>
      <c r="EF2016" s="118"/>
      <c r="EG2016" s="118"/>
      <c r="EH2016" s="118"/>
      <c r="EI2016" s="118"/>
      <c r="EJ2016" s="118"/>
      <c r="EK2016" s="118"/>
      <c r="EL2016" s="118"/>
      <c r="EM2016" s="118"/>
      <c r="EN2016" s="118"/>
      <c r="EO2016" s="118"/>
      <c r="EP2016" s="118"/>
      <c r="EQ2016" s="118"/>
      <c r="ER2016" s="118"/>
      <c r="ES2016" s="118"/>
      <c r="ET2016" s="118"/>
      <c r="EU2016" s="118"/>
      <c r="EV2016" s="118"/>
      <c r="EW2016" s="118"/>
      <c r="EX2016" s="118"/>
      <c r="EY2016" s="118"/>
      <c r="EZ2016" s="118"/>
      <c r="FA2016" s="118"/>
      <c r="FB2016" s="118"/>
      <c r="FC2016" s="118"/>
      <c r="FD2016" s="118"/>
      <c r="FE2016" s="118"/>
      <c r="FF2016" s="118"/>
      <c r="FG2016" s="118"/>
      <c r="FH2016" s="118"/>
      <c r="FI2016" s="118"/>
      <c r="FJ2016" s="118"/>
      <c r="FK2016" s="118"/>
      <c r="FL2016" s="118"/>
      <c r="FM2016" s="118"/>
      <c r="FN2016" s="118"/>
      <c r="FO2016" s="118"/>
      <c r="FP2016" s="118"/>
      <c r="FQ2016" s="118"/>
      <c r="FR2016" s="118"/>
      <c r="FS2016" s="118"/>
      <c r="FT2016" s="118"/>
      <c r="FU2016" s="118"/>
      <c r="FV2016" s="118"/>
      <c r="FW2016" s="118"/>
      <c r="FX2016" s="118"/>
      <c r="FY2016" s="118"/>
      <c r="FZ2016" s="118"/>
      <c r="GA2016" s="118"/>
      <c r="GB2016" s="118"/>
      <c r="GC2016" s="118"/>
      <c r="GD2016" s="118"/>
      <c r="GE2016" s="118"/>
      <c r="GF2016" s="118"/>
      <c r="GG2016" s="118"/>
      <c r="GH2016" s="118"/>
      <c r="GI2016" s="118"/>
      <c r="GJ2016" s="118"/>
      <c r="GK2016" s="118"/>
      <c r="GL2016" s="118"/>
      <c r="GM2016" s="118"/>
      <c r="GN2016" s="118"/>
      <c r="GO2016" s="118"/>
      <c r="GP2016" s="118"/>
      <c r="GQ2016" s="118"/>
      <c r="GR2016" s="118"/>
      <c r="GS2016" s="118"/>
      <c r="GT2016" s="118"/>
      <c r="GU2016" s="118"/>
      <c r="GV2016" s="118"/>
      <c r="GW2016" s="118"/>
      <c r="GX2016" s="118"/>
      <c r="GY2016" s="118"/>
      <c r="GZ2016" s="118"/>
      <c r="HA2016" s="118"/>
      <c r="HB2016" s="118"/>
      <c r="HC2016" s="118"/>
      <c r="HD2016" s="118"/>
      <c r="HE2016" s="118"/>
      <c r="HF2016" s="118"/>
      <c r="HG2016" s="118"/>
      <c r="HH2016" s="118"/>
      <c r="HI2016" s="118"/>
      <c r="HJ2016" s="118"/>
      <c r="HK2016" s="118"/>
      <c r="HL2016" s="118"/>
      <c r="HM2016" s="118"/>
      <c r="HN2016" s="118"/>
      <c r="HO2016" s="118"/>
      <c r="HP2016" s="118"/>
      <c r="HQ2016" s="118"/>
      <c r="HR2016" s="118"/>
      <c r="HS2016" s="118"/>
      <c r="HT2016" s="118"/>
      <c r="HU2016" s="118"/>
      <c r="HV2016" s="118"/>
      <c r="HW2016" s="118"/>
      <c r="HX2016" s="118"/>
      <c r="HY2016" s="118"/>
      <c r="HZ2016" s="118"/>
      <c r="IA2016" s="118"/>
      <c r="IB2016" s="118"/>
      <c r="IC2016" s="118"/>
      <c r="ID2016" s="118"/>
      <c r="IE2016" s="118"/>
      <c r="IF2016" s="118"/>
      <c r="IG2016" s="118"/>
      <c r="IH2016" s="118"/>
      <c r="II2016" s="118"/>
      <c r="IJ2016" s="118"/>
    </row>
    <row r="2017" spans="1:244" s="11" customFormat="1" ht="12.75" customHeight="1">
      <c r="A2017" s="118">
        <v>2016</v>
      </c>
      <c r="B2017" s="260">
        <v>22</v>
      </c>
      <c r="C2017" s="156">
        <v>37591</v>
      </c>
      <c r="D2017" s="157" t="s">
        <v>55</v>
      </c>
      <c r="E2017" s="8">
        <v>2002</v>
      </c>
      <c r="F2017" s="158">
        <f t="shared" si="511"/>
        <v>640</v>
      </c>
      <c r="G2017" s="158">
        <f t="shared" si="512"/>
        <v>2</v>
      </c>
      <c r="H2017" s="162">
        <v>36951</v>
      </c>
      <c r="I2017" s="163">
        <v>32626</v>
      </c>
      <c r="M2017" s="174"/>
      <c r="N2017" s="528"/>
      <c r="P2017" s="8"/>
      <c r="S2017" s="155"/>
      <c r="U2017" s="161"/>
      <c r="X2017" s="118"/>
      <c r="Y2017" s="118"/>
      <c r="Z2017" s="118"/>
      <c r="AA2017" s="118"/>
      <c r="AB2017" s="118"/>
      <c r="AC2017" s="118"/>
      <c r="AD2017" s="118"/>
      <c r="AE2017" s="118"/>
      <c r="AF2017" s="118"/>
      <c r="AG2017" s="118"/>
      <c r="AH2017" s="118"/>
      <c r="AI2017" s="118"/>
      <c r="AJ2017" s="118"/>
      <c r="AK2017" s="118"/>
      <c r="AL2017" s="118"/>
      <c r="AM2017" s="118"/>
      <c r="AN2017" s="118"/>
      <c r="AO2017" s="118"/>
      <c r="AP2017" s="118"/>
      <c r="AQ2017" s="118"/>
      <c r="AR2017" s="118"/>
      <c r="AS2017" s="118"/>
      <c r="AT2017" s="118"/>
      <c r="AU2017" s="118"/>
      <c r="AV2017" s="118"/>
      <c r="AW2017" s="118"/>
      <c r="AX2017" s="118"/>
      <c r="AY2017" s="118"/>
      <c r="AZ2017" s="118"/>
      <c r="BA2017" s="118"/>
      <c r="BB2017" s="118"/>
      <c r="BC2017" s="118"/>
      <c r="BD2017" s="118"/>
      <c r="BE2017" s="118"/>
      <c r="BF2017" s="118"/>
      <c r="BG2017" s="118"/>
      <c r="BH2017" s="118"/>
      <c r="BI2017" s="118"/>
      <c r="BJ2017" s="118"/>
      <c r="BK2017" s="118"/>
      <c r="BL2017" s="118"/>
      <c r="BM2017" s="118"/>
      <c r="BN2017" s="118"/>
      <c r="BO2017" s="118"/>
      <c r="BP2017" s="118"/>
      <c r="BQ2017" s="118"/>
      <c r="BR2017" s="118"/>
      <c r="BS2017" s="118"/>
      <c r="BT2017" s="118"/>
      <c r="BU2017" s="118"/>
      <c r="BV2017" s="118"/>
      <c r="BW2017" s="118"/>
      <c r="BX2017" s="118"/>
      <c r="BY2017" s="118"/>
      <c r="BZ2017" s="118"/>
      <c r="CA2017" s="118"/>
      <c r="CB2017" s="118"/>
      <c r="CC2017" s="118"/>
      <c r="CD2017" s="118"/>
      <c r="CE2017" s="118"/>
      <c r="CF2017" s="118"/>
      <c r="CG2017" s="118"/>
      <c r="CH2017" s="118"/>
      <c r="CI2017" s="118"/>
      <c r="CJ2017" s="118"/>
      <c r="CK2017" s="118"/>
      <c r="CL2017" s="118"/>
      <c r="CM2017" s="118"/>
      <c r="CN2017" s="118"/>
      <c r="CO2017" s="118"/>
      <c r="CP2017" s="118"/>
      <c r="CQ2017" s="118"/>
      <c r="CR2017" s="118"/>
      <c r="CS2017" s="118"/>
      <c r="CT2017" s="118"/>
      <c r="CU2017" s="118"/>
      <c r="CV2017" s="118"/>
      <c r="CW2017" s="118"/>
      <c r="CX2017" s="118"/>
      <c r="CY2017" s="118"/>
      <c r="CZ2017" s="118"/>
      <c r="DA2017" s="118"/>
      <c r="DB2017" s="118"/>
      <c r="DC2017" s="118"/>
      <c r="DD2017" s="118"/>
      <c r="DE2017" s="118"/>
      <c r="DF2017" s="118"/>
      <c r="DG2017" s="118"/>
      <c r="DH2017" s="118"/>
      <c r="DI2017" s="118"/>
      <c r="DJ2017" s="118"/>
      <c r="DK2017" s="118"/>
      <c r="DL2017" s="118"/>
      <c r="DM2017" s="118"/>
      <c r="DN2017" s="118"/>
      <c r="DO2017" s="118"/>
      <c r="DP2017" s="118"/>
      <c r="DQ2017" s="118"/>
      <c r="DR2017" s="118"/>
      <c r="DS2017" s="118"/>
      <c r="DT2017" s="118"/>
      <c r="DU2017" s="118"/>
      <c r="DV2017" s="118"/>
      <c r="DW2017" s="118"/>
      <c r="DX2017" s="118"/>
      <c r="DY2017" s="118"/>
      <c r="DZ2017" s="118"/>
      <c r="EA2017" s="118"/>
      <c r="EB2017" s="118"/>
      <c r="EC2017" s="118"/>
      <c r="ED2017" s="118"/>
      <c r="EE2017" s="118"/>
      <c r="EF2017" s="118"/>
      <c r="EG2017" s="118"/>
      <c r="EH2017" s="118"/>
      <c r="EI2017" s="118"/>
      <c r="EJ2017" s="118"/>
      <c r="EK2017" s="118"/>
      <c r="EL2017" s="118"/>
      <c r="EM2017" s="118"/>
      <c r="EN2017" s="118"/>
      <c r="EO2017" s="118"/>
      <c r="EP2017" s="118"/>
      <c r="EQ2017" s="118"/>
      <c r="ER2017" s="118"/>
      <c r="ES2017" s="118"/>
      <c r="ET2017" s="118"/>
      <c r="EU2017" s="118"/>
      <c r="EV2017" s="118"/>
      <c r="EW2017" s="118"/>
      <c r="EX2017" s="118"/>
      <c r="EY2017" s="118"/>
      <c r="EZ2017" s="118"/>
      <c r="FA2017" s="118"/>
      <c r="FB2017" s="118"/>
      <c r="FC2017" s="118"/>
      <c r="FD2017" s="118"/>
      <c r="FE2017" s="118"/>
      <c r="FF2017" s="118"/>
      <c r="FG2017" s="118"/>
      <c r="FH2017" s="118"/>
      <c r="FI2017" s="118"/>
      <c r="FJ2017" s="118"/>
      <c r="FK2017" s="118"/>
      <c r="FL2017" s="118"/>
      <c r="FM2017" s="118"/>
      <c r="FN2017" s="118"/>
      <c r="FO2017" s="118"/>
      <c r="FP2017" s="118"/>
      <c r="FQ2017" s="118"/>
      <c r="FR2017" s="118"/>
      <c r="FS2017" s="118"/>
      <c r="FT2017" s="118"/>
      <c r="FU2017" s="118"/>
      <c r="FV2017" s="118"/>
      <c r="FW2017" s="118"/>
      <c r="FX2017" s="118"/>
      <c r="FY2017" s="118"/>
      <c r="FZ2017" s="118"/>
      <c r="GA2017" s="118"/>
      <c r="GB2017" s="118"/>
      <c r="GC2017" s="118"/>
      <c r="GD2017" s="118"/>
      <c r="GE2017" s="118"/>
      <c r="GF2017" s="118"/>
      <c r="GG2017" s="118"/>
      <c r="GH2017" s="118"/>
      <c r="GI2017" s="118"/>
      <c r="GJ2017" s="118"/>
      <c r="GK2017" s="118"/>
      <c r="GL2017" s="118"/>
      <c r="GM2017" s="118"/>
      <c r="GN2017" s="118"/>
      <c r="GO2017" s="118"/>
      <c r="GP2017" s="118"/>
      <c r="GQ2017" s="118"/>
      <c r="GR2017" s="118"/>
      <c r="GS2017" s="118"/>
      <c r="GT2017" s="118"/>
      <c r="GU2017" s="118"/>
      <c r="GV2017" s="118"/>
      <c r="GW2017" s="118"/>
      <c r="GX2017" s="118"/>
      <c r="GY2017" s="118"/>
      <c r="GZ2017" s="118"/>
      <c r="HA2017" s="118"/>
      <c r="HB2017" s="118"/>
      <c r="HC2017" s="118"/>
      <c r="HD2017" s="118"/>
      <c r="HE2017" s="118"/>
      <c r="HF2017" s="118"/>
      <c r="HG2017" s="118"/>
      <c r="HH2017" s="118"/>
      <c r="HI2017" s="118"/>
      <c r="HJ2017" s="118"/>
      <c r="HK2017" s="118"/>
      <c r="HL2017" s="118"/>
      <c r="HM2017" s="118"/>
      <c r="HN2017" s="118"/>
      <c r="HO2017" s="118"/>
      <c r="HP2017" s="118"/>
      <c r="HQ2017" s="118"/>
      <c r="HR2017" s="118"/>
      <c r="HS2017" s="118"/>
      <c r="HT2017" s="118"/>
      <c r="HU2017" s="118"/>
      <c r="HV2017" s="118"/>
      <c r="HW2017" s="118"/>
      <c r="HX2017" s="118"/>
      <c r="HY2017" s="118"/>
      <c r="HZ2017" s="118"/>
      <c r="IA2017" s="118"/>
      <c r="IB2017" s="118"/>
      <c r="IC2017" s="118"/>
      <c r="ID2017" s="118"/>
      <c r="IE2017" s="118"/>
      <c r="IF2017" s="118"/>
      <c r="IG2017" s="118"/>
      <c r="IH2017" s="118"/>
      <c r="II2017" s="118"/>
      <c r="IJ2017" s="118"/>
    </row>
    <row r="2018" spans="1:244" s="11" customFormat="1" ht="12.75" customHeight="1">
      <c r="A2018" s="118">
        <v>2017</v>
      </c>
      <c r="B2018" s="128">
        <v>22</v>
      </c>
      <c r="C2018" s="156">
        <v>37622</v>
      </c>
      <c r="D2018" s="157" t="s">
        <v>44</v>
      </c>
      <c r="E2018" s="8">
        <v>2003</v>
      </c>
      <c r="F2018" s="158"/>
      <c r="H2018" s="162"/>
      <c r="I2018" s="194"/>
      <c r="J2018" s="15"/>
      <c r="K2018" s="15"/>
      <c r="L2018" s="15"/>
      <c r="M2018" s="174"/>
      <c r="N2018" s="528"/>
      <c r="O2018" s="15"/>
      <c r="P2018" s="8"/>
      <c r="S2018" s="155"/>
      <c r="T2018" s="15"/>
      <c r="U2018" s="161"/>
      <c r="V2018" s="15"/>
      <c r="W2018" s="15"/>
      <c r="X2018" s="118"/>
      <c r="Y2018" s="118"/>
      <c r="Z2018" s="118"/>
      <c r="AA2018" s="118"/>
      <c r="AB2018" s="118"/>
      <c r="AC2018" s="118"/>
      <c r="AD2018" s="118"/>
      <c r="AE2018" s="118"/>
      <c r="AF2018" s="118"/>
      <c r="AG2018" s="118"/>
      <c r="AH2018" s="118"/>
      <c r="AI2018" s="118"/>
      <c r="AJ2018" s="118"/>
      <c r="AK2018" s="118"/>
      <c r="AL2018" s="118"/>
      <c r="AM2018" s="118"/>
      <c r="AN2018" s="118"/>
      <c r="AO2018" s="118"/>
      <c r="AP2018" s="118"/>
      <c r="AQ2018" s="118"/>
      <c r="AR2018" s="118"/>
      <c r="AS2018" s="118"/>
      <c r="AT2018" s="118"/>
      <c r="AU2018" s="118"/>
      <c r="AV2018" s="118"/>
      <c r="AW2018" s="118"/>
      <c r="AX2018" s="118"/>
      <c r="AY2018" s="118"/>
      <c r="AZ2018" s="118"/>
      <c r="BA2018" s="118"/>
      <c r="BB2018" s="118"/>
      <c r="BC2018" s="118"/>
      <c r="BD2018" s="118"/>
      <c r="BE2018" s="118"/>
      <c r="BF2018" s="118"/>
      <c r="BG2018" s="118"/>
      <c r="BH2018" s="118"/>
      <c r="BI2018" s="118"/>
      <c r="BJ2018" s="118"/>
      <c r="BK2018" s="118"/>
      <c r="BL2018" s="118"/>
      <c r="BM2018" s="118"/>
      <c r="BN2018" s="118"/>
      <c r="BO2018" s="118"/>
      <c r="BP2018" s="118"/>
      <c r="BQ2018" s="118"/>
      <c r="BR2018" s="118"/>
      <c r="BS2018" s="118"/>
      <c r="BT2018" s="118"/>
      <c r="BU2018" s="118"/>
      <c r="BV2018" s="118"/>
      <c r="BW2018" s="118"/>
      <c r="BX2018" s="118"/>
      <c r="BY2018" s="118"/>
      <c r="BZ2018" s="118"/>
      <c r="CA2018" s="118"/>
      <c r="CB2018" s="118"/>
      <c r="CC2018" s="118"/>
      <c r="CD2018" s="118"/>
      <c r="CE2018" s="118"/>
      <c r="CF2018" s="118"/>
      <c r="CG2018" s="118"/>
      <c r="CH2018" s="118"/>
      <c r="CI2018" s="118"/>
      <c r="CJ2018" s="118"/>
      <c r="CK2018" s="118"/>
      <c r="CL2018" s="118"/>
      <c r="CM2018" s="118"/>
      <c r="CN2018" s="118"/>
      <c r="CO2018" s="118"/>
      <c r="CP2018" s="118"/>
      <c r="CQ2018" s="118"/>
      <c r="CR2018" s="118"/>
      <c r="CS2018" s="118"/>
      <c r="CT2018" s="118"/>
      <c r="CU2018" s="118"/>
      <c r="CV2018" s="118"/>
      <c r="CW2018" s="118"/>
      <c r="CX2018" s="118"/>
      <c r="CY2018" s="118"/>
      <c r="CZ2018" s="118"/>
      <c r="DA2018" s="118"/>
      <c r="DB2018" s="118"/>
      <c r="DC2018" s="118"/>
      <c r="DD2018" s="118"/>
      <c r="DE2018" s="118"/>
      <c r="DF2018" s="118"/>
      <c r="DG2018" s="118"/>
      <c r="DH2018" s="118"/>
      <c r="DI2018" s="118"/>
      <c r="DJ2018" s="118"/>
      <c r="DK2018" s="118"/>
      <c r="DL2018" s="118"/>
      <c r="DM2018" s="118"/>
      <c r="DN2018" s="118"/>
      <c r="DO2018" s="118"/>
      <c r="DP2018" s="118"/>
      <c r="DQ2018" s="118"/>
      <c r="DR2018" s="118"/>
      <c r="DS2018" s="118"/>
      <c r="DT2018" s="118"/>
      <c r="DU2018" s="118"/>
      <c r="DV2018" s="118"/>
      <c r="DW2018" s="118"/>
      <c r="DX2018" s="118"/>
      <c r="DY2018" s="118"/>
      <c r="DZ2018" s="118"/>
      <c r="EA2018" s="118"/>
      <c r="EB2018" s="118"/>
      <c r="EC2018" s="118"/>
      <c r="ED2018" s="118"/>
      <c r="EE2018" s="118"/>
      <c r="EF2018" s="118"/>
      <c r="EG2018" s="118"/>
      <c r="EH2018" s="118"/>
      <c r="EI2018" s="118"/>
      <c r="EJ2018" s="118"/>
      <c r="EK2018" s="118"/>
      <c r="EL2018" s="118"/>
      <c r="EM2018" s="118"/>
      <c r="EN2018" s="118"/>
      <c r="EO2018" s="118"/>
      <c r="EP2018" s="118"/>
      <c r="EQ2018" s="118"/>
      <c r="ER2018" s="118"/>
      <c r="ES2018" s="118"/>
      <c r="ET2018" s="118"/>
      <c r="EU2018" s="118"/>
      <c r="EV2018" s="118"/>
      <c r="EW2018" s="118"/>
      <c r="EX2018" s="118"/>
      <c r="EY2018" s="118"/>
      <c r="EZ2018" s="118"/>
      <c r="FA2018" s="118"/>
      <c r="FB2018" s="118"/>
      <c r="FC2018" s="118"/>
      <c r="FD2018" s="118"/>
      <c r="FE2018" s="118"/>
      <c r="FF2018" s="118"/>
      <c r="FG2018" s="118"/>
      <c r="FH2018" s="118"/>
      <c r="FI2018" s="118"/>
      <c r="FJ2018" s="118"/>
      <c r="FK2018" s="118"/>
      <c r="FL2018" s="118"/>
      <c r="FM2018" s="118"/>
      <c r="FN2018" s="118"/>
      <c r="FO2018" s="118"/>
      <c r="FP2018" s="118"/>
      <c r="FQ2018" s="118"/>
      <c r="FR2018" s="118"/>
      <c r="FS2018" s="118"/>
      <c r="FT2018" s="118"/>
      <c r="FU2018" s="118"/>
      <c r="FV2018" s="118"/>
      <c r="FW2018" s="118"/>
      <c r="FX2018" s="118"/>
      <c r="FY2018" s="118"/>
      <c r="FZ2018" s="118"/>
      <c r="GA2018" s="118"/>
      <c r="GB2018" s="118"/>
      <c r="GC2018" s="118"/>
      <c r="GD2018" s="118"/>
      <c r="GE2018" s="118"/>
      <c r="GF2018" s="118"/>
      <c r="GG2018" s="118"/>
      <c r="GH2018" s="118"/>
      <c r="GI2018" s="118"/>
      <c r="GJ2018" s="118"/>
      <c r="GK2018" s="118"/>
      <c r="GL2018" s="118"/>
      <c r="GM2018" s="118"/>
      <c r="GN2018" s="118"/>
      <c r="GO2018" s="118"/>
      <c r="GP2018" s="118"/>
      <c r="GQ2018" s="118"/>
      <c r="GR2018" s="118"/>
      <c r="GS2018" s="118"/>
      <c r="GT2018" s="118"/>
      <c r="GU2018" s="118"/>
      <c r="GV2018" s="118"/>
      <c r="GW2018" s="118"/>
      <c r="GX2018" s="118"/>
      <c r="GY2018" s="118"/>
      <c r="GZ2018" s="118"/>
      <c r="HA2018" s="118"/>
      <c r="HB2018" s="118"/>
      <c r="HC2018" s="118"/>
      <c r="HD2018" s="118"/>
      <c r="HE2018" s="118"/>
      <c r="HF2018" s="118"/>
      <c r="HG2018" s="118"/>
      <c r="HH2018" s="118"/>
      <c r="HI2018" s="118"/>
      <c r="HJ2018" s="118"/>
      <c r="HK2018" s="118"/>
      <c r="HL2018" s="118"/>
      <c r="HM2018" s="118"/>
      <c r="HN2018" s="118"/>
      <c r="HO2018" s="118"/>
      <c r="HP2018" s="118"/>
      <c r="HQ2018" s="118"/>
      <c r="HR2018" s="118"/>
      <c r="HS2018" s="118"/>
      <c r="HT2018" s="118"/>
      <c r="HU2018" s="118"/>
      <c r="HV2018" s="118"/>
      <c r="HW2018" s="118"/>
      <c r="HX2018" s="118"/>
      <c r="HY2018" s="118"/>
      <c r="HZ2018" s="118"/>
      <c r="IA2018" s="118"/>
      <c r="IB2018" s="118"/>
      <c r="IC2018" s="118"/>
      <c r="ID2018" s="118"/>
      <c r="IE2018" s="118"/>
      <c r="IF2018" s="118"/>
      <c r="IG2018" s="118"/>
      <c r="IH2018" s="118"/>
      <c r="II2018" s="118"/>
      <c r="IJ2018" s="118"/>
    </row>
    <row r="2019" spans="1:244" s="11" customFormat="1" ht="12.75" customHeight="1">
      <c r="A2019" s="118">
        <v>2018</v>
      </c>
      <c r="B2019" s="128">
        <v>22</v>
      </c>
      <c r="C2019" s="156">
        <v>37653</v>
      </c>
      <c r="D2019" s="157" t="s">
        <v>45</v>
      </c>
      <c r="E2019" s="8">
        <v>2003</v>
      </c>
      <c r="F2019" s="158"/>
      <c r="H2019" s="162"/>
      <c r="I2019" s="194"/>
      <c r="J2019" s="15"/>
      <c r="K2019" s="15"/>
      <c r="L2019" s="15"/>
      <c r="M2019" s="174"/>
      <c r="N2019" s="528"/>
      <c r="O2019" s="15"/>
      <c r="P2019" s="8"/>
      <c r="S2019" s="155"/>
      <c r="T2019" s="15"/>
      <c r="U2019" s="161"/>
      <c r="V2019" s="15"/>
      <c r="W2019" s="15"/>
      <c r="X2019" s="118"/>
      <c r="Y2019" s="118"/>
      <c r="Z2019" s="118"/>
      <c r="AA2019" s="118"/>
      <c r="AB2019" s="118"/>
      <c r="AC2019" s="118"/>
      <c r="AD2019" s="118"/>
      <c r="AE2019" s="118"/>
      <c r="AF2019" s="118"/>
      <c r="AG2019" s="118"/>
      <c r="AH2019" s="118"/>
      <c r="AI2019" s="118"/>
      <c r="AJ2019" s="118"/>
      <c r="AK2019" s="118"/>
      <c r="AL2019" s="118"/>
      <c r="AM2019" s="118"/>
      <c r="AN2019" s="118"/>
      <c r="AO2019" s="118"/>
      <c r="AP2019" s="118"/>
      <c r="AQ2019" s="118"/>
      <c r="AR2019" s="118"/>
      <c r="AS2019" s="118"/>
      <c r="AT2019" s="118"/>
      <c r="AU2019" s="118"/>
      <c r="AV2019" s="118"/>
      <c r="AW2019" s="118"/>
      <c r="AX2019" s="118"/>
      <c r="AY2019" s="118"/>
      <c r="AZ2019" s="118"/>
      <c r="BA2019" s="118"/>
      <c r="BB2019" s="118"/>
      <c r="BC2019" s="118"/>
      <c r="BD2019" s="118"/>
      <c r="BE2019" s="118"/>
      <c r="BF2019" s="118"/>
      <c r="BG2019" s="118"/>
      <c r="BH2019" s="118"/>
      <c r="BI2019" s="118"/>
      <c r="BJ2019" s="118"/>
      <c r="BK2019" s="118"/>
      <c r="BL2019" s="118"/>
      <c r="BM2019" s="118"/>
      <c r="BN2019" s="118"/>
      <c r="BO2019" s="118"/>
      <c r="BP2019" s="118"/>
      <c r="BQ2019" s="118"/>
      <c r="BR2019" s="118"/>
      <c r="BS2019" s="118"/>
      <c r="BT2019" s="118"/>
      <c r="BU2019" s="118"/>
      <c r="BV2019" s="118"/>
      <c r="BW2019" s="118"/>
      <c r="BX2019" s="118"/>
      <c r="BY2019" s="118"/>
      <c r="BZ2019" s="118"/>
      <c r="CA2019" s="118"/>
      <c r="CB2019" s="118"/>
      <c r="CC2019" s="118"/>
      <c r="CD2019" s="118"/>
      <c r="CE2019" s="118"/>
      <c r="CF2019" s="118"/>
      <c r="CG2019" s="118"/>
      <c r="CH2019" s="118"/>
      <c r="CI2019" s="118"/>
      <c r="CJ2019" s="118"/>
      <c r="CK2019" s="118"/>
      <c r="CL2019" s="118"/>
      <c r="CM2019" s="118"/>
      <c r="CN2019" s="118"/>
      <c r="CO2019" s="118"/>
      <c r="CP2019" s="118"/>
      <c r="CQ2019" s="118"/>
      <c r="CR2019" s="118"/>
      <c r="CS2019" s="118"/>
      <c r="CT2019" s="118"/>
      <c r="CU2019" s="118"/>
      <c r="CV2019" s="118"/>
      <c r="CW2019" s="118"/>
      <c r="CX2019" s="118"/>
      <c r="CY2019" s="118"/>
      <c r="CZ2019" s="118"/>
      <c r="DA2019" s="118"/>
      <c r="DB2019" s="118"/>
      <c r="DC2019" s="118"/>
      <c r="DD2019" s="118"/>
      <c r="DE2019" s="118"/>
      <c r="DF2019" s="118"/>
      <c r="DG2019" s="118"/>
      <c r="DH2019" s="118"/>
      <c r="DI2019" s="118"/>
      <c r="DJ2019" s="118"/>
      <c r="DK2019" s="118"/>
      <c r="DL2019" s="118"/>
      <c r="DM2019" s="118"/>
      <c r="DN2019" s="118"/>
      <c r="DO2019" s="118"/>
      <c r="DP2019" s="118"/>
      <c r="DQ2019" s="118"/>
      <c r="DR2019" s="118"/>
      <c r="DS2019" s="118"/>
      <c r="DT2019" s="118"/>
      <c r="DU2019" s="118"/>
      <c r="DV2019" s="118"/>
      <c r="DW2019" s="118"/>
      <c r="DX2019" s="118"/>
      <c r="DY2019" s="118"/>
      <c r="DZ2019" s="118"/>
      <c r="EA2019" s="118"/>
      <c r="EB2019" s="118"/>
      <c r="EC2019" s="118"/>
      <c r="ED2019" s="118"/>
      <c r="EE2019" s="118"/>
      <c r="EF2019" s="118"/>
      <c r="EG2019" s="118"/>
      <c r="EH2019" s="118"/>
      <c r="EI2019" s="118"/>
      <c r="EJ2019" s="118"/>
      <c r="EK2019" s="118"/>
      <c r="EL2019" s="118"/>
      <c r="EM2019" s="118"/>
      <c r="EN2019" s="118"/>
      <c r="EO2019" s="118"/>
      <c r="EP2019" s="118"/>
      <c r="EQ2019" s="118"/>
      <c r="ER2019" s="118"/>
      <c r="ES2019" s="118"/>
      <c r="ET2019" s="118"/>
      <c r="EU2019" s="118"/>
      <c r="EV2019" s="118"/>
      <c r="EW2019" s="118"/>
      <c r="EX2019" s="118"/>
      <c r="EY2019" s="118"/>
      <c r="EZ2019" s="118"/>
      <c r="FA2019" s="118"/>
      <c r="FB2019" s="118"/>
      <c r="FC2019" s="118"/>
      <c r="FD2019" s="118"/>
      <c r="FE2019" s="118"/>
      <c r="FF2019" s="118"/>
      <c r="FG2019" s="118"/>
      <c r="FH2019" s="118"/>
      <c r="FI2019" s="118"/>
      <c r="FJ2019" s="118"/>
      <c r="FK2019" s="118"/>
      <c r="FL2019" s="118"/>
      <c r="FM2019" s="118"/>
      <c r="FN2019" s="118"/>
      <c r="FO2019" s="118"/>
      <c r="FP2019" s="118"/>
      <c r="FQ2019" s="118"/>
      <c r="FR2019" s="118"/>
      <c r="FS2019" s="118"/>
      <c r="FT2019" s="118"/>
      <c r="FU2019" s="118"/>
      <c r="FV2019" s="118"/>
      <c r="FW2019" s="118"/>
      <c r="FX2019" s="118"/>
      <c r="FY2019" s="118"/>
      <c r="FZ2019" s="118"/>
      <c r="GA2019" s="118"/>
      <c r="GB2019" s="118"/>
      <c r="GC2019" s="118"/>
      <c r="GD2019" s="118"/>
      <c r="GE2019" s="118"/>
      <c r="GF2019" s="118"/>
      <c r="GG2019" s="118"/>
      <c r="GH2019" s="118"/>
      <c r="GI2019" s="118"/>
      <c r="GJ2019" s="118"/>
      <c r="GK2019" s="118"/>
      <c r="GL2019" s="118"/>
      <c r="GM2019" s="118"/>
      <c r="GN2019" s="118"/>
      <c r="GO2019" s="118"/>
      <c r="GP2019" s="118"/>
      <c r="GQ2019" s="118"/>
      <c r="GR2019" s="118"/>
      <c r="GS2019" s="118"/>
      <c r="GT2019" s="118"/>
      <c r="GU2019" s="118"/>
      <c r="GV2019" s="118"/>
      <c r="GW2019" s="118"/>
      <c r="GX2019" s="118"/>
      <c r="GY2019" s="118"/>
      <c r="GZ2019" s="118"/>
      <c r="HA2019" s="118"/>
      <c r="HB2019" s="118"/>
      <c r="HC2019" s="118"/>
      <c r="HD2019" s="118"/>
      <c r="HE2019" s="118"/>
      <c r="HF2019" s="118"/>
      <c r="HG2019" s="118"/>
      <c r="HH2019" s="118"/>
      <c r="HI2019" s="118"/>
      <c r="HJ2019" s="118"/>
      <c r="HK2019" s="118"/>
      <c r="HL2019" s="118"/>
      <c r="HM2019" s="118"/>
      <c r="HN2019" s="118"/>
      <c r="HO2019" s="118"/>
      <c r="HP2019" s="118"/>
      <c r="HQ2019" s="118"/>
      <c r="HR2019" s="118"/>
      <c r="HS2019" s="118"/>
      <c r="HT2019" s="118"/>
      <c r="HU2019" s="118"/>
      <c r="HV2019" s="118"/>
      <c r="HW2019" s="118"/>
      <c r="HX2019" s="118"/>
      <c r="HY2019" s="118"/>
      <c r="HZ2019" s="118"/>
      <c r="IA2019" s="118"/>
      <c r="IB2019" s="118"/>
      <c r="IC2019" s="118"/>
      <c r="ID2019" s="118"/>
      <c r="IE2019" s="118"/>
      <c r="IF2019" s="118"/>
      <c r="IG2019" s="118"/>
      <c r="IH2019" s="118"/>
      <c r="II2019" s="118"/>
      <c r="IJ2019" s="118"/>
    </row>
    <row r="2020" spans="1:244" s="11" customFormat="1">
      <c r="A2020" s="118">
        <v>2019</v>
      </c>
      <c r="B2020" s="128">
        <v>22</v>
      </c>
      <c r="C2020" s="156">
        <v>37681</v>
      </c>
      <c r="D2020" s="157" t="s">
        <v>46</v>
      </c>
      <c r="E2020" s="8">
        <v>2003</v>
      </c>
      <c r="F2020" s="158">
        <f t="shared" ref="F2020:F2043" si="513">C2020-H2020</f>
        <v>0</v>
      </c>
      <c r="G2020" s="158">
        <f t="shared" ref="G2020:G2043" si="514">IF(F2020&lt;365,1,2)</f>
        <v>1</v>
      </c>
      <c r="H2020" s="162">
        <v>37681</v>
      </c>
      <c r="I2020" s="194">
        <v>479928</v>
      </c>
      <c r="J2020" s="15"/>
      <c r="K2020" s="15"/>
      <c r="L2020" s="165">
        <v>0</v>
      </c>
      <c r="M2020" s="174"/>
      <c r="N2020" s="528" t="s">
        <v>794</v>
      </c>
      <c r="O2020" s="165">
        <v>0</v>
      </c>
      <c r="P2020" s="8"/>
      <c r="S2020" s="155"/>
      <c r="T2020" s="15"/>
      <c r="U2020" s="161">
        <f t="shared" ref="U2020:U2043" si="515">$I2020*L2020</f>
        <v>0</v>
      </c>
      <c r="V2020" s="161">
        <f t="shared" ref="V2020:V2043" si="516">$I2020*O2020</f>
        <v>0</v>
      </c>
      <c r="W2020" s="161">
        <f t="shared" ref="W2020:W2043" si="517">V2020*0.4</f>
        <v>0</v>
      </c>
      <c r="X2020" s="118"/>
      <c r="Y2020" s="118"/>
      <c r="Z2020" s="118"/>
      <c r="AA2020" s="118"/>
      <c r="AB2020" s="118"/>
      <c r="AC2020" s="118"/>
      <c r="AD2020" s="118"/>
      <c r="AE2020" s="118"/>
      <c r="AF2020" s="118"/>
      <c r="AG2020" s="118"/>
      <c r="AH2020" s="118"/>
      <c r="AI2020" s="118"/>
      <c r="AJ2020" s="118"/>
      <c r="AK2020" s="118"/>
      <c r="AL2020" s="118"/>
      <c r="AM2020" s="118"/>
      <c r="AN2020" s="118"/>
      <c r="AO2020" s="118"/>
      <c r="AP2020" s="118"/>
      <c r="AQ2020" s="118"/>
      <c r="AR2020" s="118"/>
      <c r="AS2020" s="118"/>
      <c r="AT2020" s="118"/>
      <c r="AU2020" s="118"/>
      <c r="AV2020" s="118"/>
      <c r="AW2020" s="118"/>
      <c r="AX2020" s="118"/>
      <c r="AY2020" s="118"/>
      <c r="AZ2020" s="118"/>
      <c r="BA2020" s="118"/>
      <c r="BB2020" s="118"/>
      <c r="BC2020" s="118"/>
      <c r="BD2020" s="118"/>
      <c r="BE2020" s="118"/>
      <c r="BF2020" s="118"/>
      <c r="BG2020" s="118"/>
      <c r="BH2020" s="118"/>
      <c r="BI2020" s="118"/>
      <c r="BJ2020" s="118"/>
      <c r="BK2020" s="118"/>
      <c r="BL2020" s="118"/>
      <c r="BM2020" s="118"/>
      <c r="BN2020" s="118"/>
      <c r="BO2020" s="118"/>
      <c r="BP2020" s="118"/>
      <c r="BQ2020" s="118"/>
      <c r="BR2020" s="118"/>
      <c r="BS2020" s="118"/>
      <c r="BT2020" s="118"/>
      <c r="BU2020" s="118"/>
      <c r="BV2020" s="118"/>
      <c r="BW2020" s="118"/>
      <c r="BX2020" s="118"/>
      <c r="BY2020" s="118"/>
      <c r="BZ2020" s="118"/>
      <c r="CA2020" s="118"/>
      <c r="CB2020" s="118"/>
      <c r="CC2020" s="118"/>
      <c r="CD2020" s="118"/>
      <c r="CE2020" s="118"/>
      <c r="CF2020" s="118"/>
      <c r="CG2020" s="118"/>
      <c r="CH2020" s="118"/>
      <c r="CI2020" s="118"/>
      <c r="CJ2020" s="118"/>
      <c r="CK2020" s="118"/>
      <c r="CL2020" s="118"/>
      <c r="CM2020" s="118"/>
      <c r="CN2020" s="118"/>
      <c r="CO2020" s="118"/>
      <c r="CP2020" s="118"/>
      <c r="CQ2020" s="118"/>
      <c r="CR2020" s="118"/>
      <c r="CS2020" s="118"/>
      <c r="CT2020" s="118"/>
      <c r="CU2020" s="118"/>
      <c r="CV2020" s="118"/>
      <c r="CW2020" s="118"/>
      <c r="CX2020" s="118"/>
      <c r="CY2020" s="118"/>
      <c r="CZ2020" s="118"/>
      <c r="DA2020" s="118"/>
      <c r="DB2020" s="118"/>
      <c r="DC2020" s="118"/>
      <c r="DD2020" s="118"/>
      <c r="DE2020" s="118"/>
      <c r="DF2020" s="118"/>
      <c r="DG2020" s="118"/>
      <c r="DH2020" s="118"/>
      <c r="DI2020" s="118"/>
      <c r="DJ2020" s="118"/>
      <c r="DK2020" s="118"/>
      <c r="DL2020" s="118"/>
      <c r="DM2020" s="118"/>
      <c r="DN2020" s="118"/>
      <c r="DO2020" s="118"/>
      <c r="DP2020" s="118"/>
      <c r="DQ2020" s="118"/>
      <c r="DR2020" s="118"/>
      <c r="DS2020" s="118"/>
      <c r="DT2020" s="118"/>
      <c r="DU2020" s="118"/>
      <c r="DV2020" s="118"/>
      <c r="DW2020" s="118"/>
      <c r="DX2020" s="118"/>
      <c r="DY2020" s="118"/>
      <c r="DZ2020" s="118"/>
      <c r="EA2020" s="118"/>
      <c r="EB2020" s="118"/>
      <c r="EC2020" s="118"/>
      <c r="ED2020" s="118"/>
      <c r="EE2020" s="118"/>
      <c r="EF2020" s="118"/>
      <c r="EG2020" s="118"/>
      <c r="EH2020" s="118"/>
      <c r="EI2020" s="118"/>
      <c r="EJ2020" s="118"/>
      <c r="EK2020" s="118"/>
      <c r="EL2020" s="118"/>
      <c r="EM2020" s="118"/>
      <c r="EN2020" s="118"/>
      <c r="EO2020" s="118"/>
      <c r="EP2020" s="118"/>
      <c r="EQ2020" s="118"/>
      <c r="ER2020" s="118"/>
      <c r="ES2020" s="118"/>
      <c r="ET2020" s="118"/>
      <c r="EU2020" s="118"/>
      <c r="EV2020" s="118"/>
      <c r="EW2020" s="118"/>
      <c r="EX2020" s="118"/>
      <c r="EY2020" s="118"/>
      <c r="EZ2020" s="118"/>
      <c r="FA2020" s="118"/>
      <c r="FB2020" s="118"/>
      <c r="FC2020" s="118"/>
      <c r="FD2020" s="118"/>
      <c r="FE2020" s="118"/>
      <c r="FF2020" s="118"/>
      <c r="FG2020" s="118"/>
      <c r="FH2020" s="118"/>
      <c r="FI2020" s="118"/>
      <c r="FJ2020" s="118"/>
      <c r="FK2020" s="118"/>
      <c r="FL2020" s="118"/>
      <c r="FM2020" s="118"/>
      <c r="FN2020" s="118"/>
      <c r="FO2020" s="118"/>
      <c r="FP2020" s="118"/>
      <c r="FQ2020" s="118"/>
      <c r="FR2020" s="118"/>
      <c r="FS2020" s="118"/>
      <c r="FT2020" s="118"/>
      <c r="FU2020" s="118"/>
      <c r="FV2020" s="118"/>
      <c r="FW2020" s="118"/>
      <c r="FX2020" s="118"/>
      <c r="FY2020" s="118"/>
      <c r="FZ2020" s="118"/>
      <c r="GA2020" s="118"/>
      <c r="GB2020" s="118"/>
      <c r="GC2020" s="118"/>
      <c r="GD2020" s="118"/>
      <c r="GE2020" s="118"/>
      <c r="GF2020" s="118"/>
      <c r="GG2020" s="118"/>
      <c r="GH2020" s="118"/>
      <c r="GI2020" s="118"/>
      <c r="GJ2020" s="118"/>
      <c r="GK2020" s="118"/>
      <c r="GL2020" s="118"/>
      <c r="GM2020" s="118"/>
      <c r="GN2020" s="118"/>
      <c r="GO2020" s="118"/>
      <c r="GP2020" s="118"/>
      <c r="GQ2020" s="118"/>
      <c r="GR2020" s="118"/>
      <c r="GS2020" s="118"/>
      <c r="GT2020" s="118"/>
      <c r="GU2020" s="118"/>
      <c r="GV2020" s="118"/>
      <c r="GW2020" s="118"/>
      <c r="GX2020" s="118"/>
      <c r="GY2020" s="118"/>
      <c r="GZ2020" s="118"/>
      <c r="HA2020" s="118"/>
      <c r="HB2020" s="118"/>
      <c r="HC2020" s="118"/>
      <c r="HD2020" s="118"/>
      <c r="HE2020" s="118"/>
      <c r="HF2020" s="118"/>
      <c r="HG2020" s="118"/>
      <c r="HH2020" s="118"/>
      <c r="HI2020" s="118"/>
      <c r="HJ2020" s="118"/>
      <c r="HK2020" s="118"/>
      <c r="HL2020" s="118"/>
      <c r="HM2020" s="118"/>
      <c r="HN2020" s="118"/>
      <c r="HO2020" s="118"/>
      <c r="HP2020" s="118"/>
      <c r="HQ2020" s="118"/>
      <c r="HR2020" s="118"/>
      <c r="HS2020" s="118"/>
      <c r="HT2020" s="118"/>
      <c r="HU2020" s="118"/>
      <c r="HV2020" s="118"/>
      <c r="HW2020" s="118"/>
      <c r="HX2020" s="118"/>
      <c r="HY2020" s="118"/>
      <c r="HZ2020" s="118"/>
      <c r="IA2020" s="118"/>
      <c r="IB2020" s="118"/>
      <c r="IC2020" s="118"/>
      <c r="ID2020" s="118"/>
      <c r="IE2020" s="118"/>
      <c r="IF2020" s="118"/>
      <c r="IG2020" s="118"/>
      <c r="IH2020" s="118"/>
      <c r="II2020" s="118"/>
      <c r="IJ2020" s="118"/>
    </row>
    <row r="2021" spans="1:244" s="11" customFormat="1" ht="12.75" customHeight="1">
      <c r="A2021" s="118">
        <v>2020</v>
      </c>
      <c r="B2021" s="128">
        <v>22</v>
      </c>
      <c r="C2021" s="156">
        <v>37712</v>
      </c>
      <c r="D2021" s="157" t="s">
        <v>47</v>
      </c>
      <c r="E2021" s="8">
        <v>2003</v>
      </c>
      <c r="F2021" s="158">
        <f t="shared" si="513"/>
        <v>31</v>
      </c>
      <c r="G2021" s="158">
        <f t="shared" si="514"/>
        <v>1</v>
      </c>
      <c r="H2021" s="162">
        <v>37681</v>
      </c>
      <c r="I2021" s="194">
        <v>469444</v>
      </c>
      <c r="J2021" s="15">
        <v>0.25</v>
      </c>
      <c r="K2021" s="15">
        <v>0.2</v>
      </c>
      <c r="L2021" s="15">
        <v>0.05</v>
      </c>
      <c r="M2021" s="174"/>
      <c r="N2021" s="528"/>
      <c r="O2021" s="15">
        <v>0.55000000000000004</v>
      </c>
      <c r="P2021" s="8"/>
      <c r="Q2021" s="11">
        <v>7.7</v>
      </c>
      <c r="R2021" s="11">
        <v>31</v>
      </c>
      <c r="S2021" s="155"/>
      <c r="T2021" s="161">
        <f t="shared" ref="T2021:T2043" si="518">$I2021*K2021</f>
        <v>93888.8</v>
      </c>
      <c r="U2021" s="161">
        <f t="shared" si="515"/>
        <v>23472.2</v>
      </c>
      <c r="V2021" s="161">
        <f t="shared" si="516"/>
        <v>258194.2</v>
      </c>
      <c r="W2021" s="161">
        <f t="shared" si="517"/>
        <v>103277.68000000001</v>
      </c>
      <c r="X2021" s="118"/>
      <c r="Y2021" s="118"/>
      <c r="Z2021" s="118"/>
      <c r="AA2021" s="118"/>
      <c r="AB2021" s="118"/>
      <c r="AC2021" s="118"/>
      <c r="AD2021" s="118"/>
      <c r="AE2021" s="118"/>
      <c r="AF2021" s="118"/>
      <c r="AG2021" s="118"/>
      <c r="AH2021" s="118"/>
      <c r="AI2021" s="118"/>
      <c r="AJ2021" s="118"/>
      <c r="AK2021" s="118"/>
      <c r="AL2021" s="118"/>
      <c r="AM2021" s="118"/>
      <c r="AN2021" s="118"/>
      <c r="AO2021" s="118"/>
      <c r="AP2021" s="118"/>
      <c r="AQ2021" s="118"/>
      <c r="AR2021" s="118"/>
      <c r="AS2021" s="118"/>
      <c r="AT2021" s="118"/>
      <c r="AU2021" s="118"/>
      <c r="AV2021" s="118"/>
      <c r="AW2021" s="118"/>
      <c r="AX2021" s="118"/>
      <c r="AY2021" s="118"/>
      <c r="AZ2021" s="118"/>
      <c r="BA2021" s="118"/>
      <c r="BB2021" s="118"/>
      <c r="BC2021" s="118"/>
      <c r="BD2021" s="118"/>
      <c r="BE2021" s="118"/>
      <c r="BF2021" s="118"/>
      <c r="BG2021" s="118"/>
      <c r="BH2021" s="118"/>
      <c r="BI2021" s="118"/>
      <c r="BJ2021" s="118"/>
      <c r="BK2021" s="118"/>
      <c r="BL2021" s="118"/>
      <c r="BM2021" s="118"/>
      <c r="BN2021" s="118"/>
      <c r="BO2021" s="118"/>
      <c r="BP2021" s="118"/>
      <c r="BQ2021" s="118"/>
      <c r="BR2021" s="118"/>
      <c r="BS2021" s="118"/>
      <c r="BT2021" s="118"/>
      <c r="BU2021" s="118"/>
      <c r="BV2021" s="118"/>
      <c r="BW2021" s="118"/>
      <c r="BX2021" s="118"/>
      <c r="BY2021" s="118"/>
      <c r="BZ2021" s="118"/>
      <c r="CA2021" s="118"/>
      <c r="CB2021" s="118"/>
      <c r="CC2021" s="118"/>
      <c r="CD2021" s="118"/>
      <c r="CE2021" s="118"/>
      <c r="CF2021" s="118"/>
      <c r="CG2021" s="118"/>
      <c r="CH2021" s="118"/>
      <c r="CI2021" s="118"/>
      <c r="CJ2021" s="118"/>
      <c r="CK2021" s="118"/>
      <c r="CL2021" s="118"/>
      <c r="CM2021" s="118"/>
      <c r="CN2021" s="118"/>
      <c r="CO2021" s="118"/>
      <c r="CP2021" s="118"/>
      <c r="CQ2021" s="118"/>
      <c r="CR2021" s="118"/>
      <c r="CS2021" s="118"/>
      <c r="CT2021" s="118"/>
      <c r="CU2021" s="118"/>
      <c r="CV2021" s="118"/>
      <c r="CW2021" s="118"/>
      <c r="CX2021" s="118"/>
      <c r="CY2021" s="118"/>
      <c r="CZ2021" s="118"/>
      <c r="DA2021" s="118"/>
      <c r="DB2021" s="118"/>
      <c r="DC2021" s="118"/>
      <c r="DD2021" s="118"/>
      <c r="DE2021" s="118"/>
      <c r="DF2021" s="118"/>
      <c r="DG2021" s="118"/>
      <c r="DH2021" s="118"/>
      <c r="DI2021" s="118"/>
      <c r="DJ2021" s="118"/>
      <c r="DK2021" s="118"/>
      <c r="DL2021" s="118"/>
      <c r="DM2021" s="118"/>
      <c r="DN2021" s="118"/>
      <c r="DO2021" s="118"/>
      <c r="DP2021" s="118"/>
      <c r="DQ2021" s="118"/>
      <c r="DR2021" s="118"/>
      <c r="DS2021" s="118"/>
      <c r="DT2021" s="118"/>
      <c r="DU2021" s="118"/>
      <c r="DV2021" s="118"/>
      <c r="DW2021" s="118"/>
      <c r="DX2021" s="118"/>
      <c r="DY2021" s="118"/>
      <c r="DZ2021" s="118"/>
      <c r="EA2021" s="118"/>
      <c r="EB2021" s="118"/>
      <c r="EC2021" s="118"/>
      <c r="ED2021" s="118"/>
      <c r="EE2021" s="118"/>
      <c r="EF2021" s="118"/>
      <c r="EG2021" s="118"/>
      <c r="EH2021" s="118"/>
      <c r="EI2021" s="118"/>
      <c r="EJ2021" s="118"/>
      <c r="EK2021" s="118"/>
      <c r="EL2021" s="118"/>
      <c r="EM2021" s="118"/>
      <c r="EN2021" s="118"/>
      <c r="EO2021" s="118"/>
      <c r="EP2021" s="118"/>
      <c r="EQ2021" s="118"/>
      <c r="ER2021" s="118"/>
      <c r="ES2021" s="118"/>
      <c r="ET2021" s="118"/>
      <c r="EU2021" s="118"/>
      <c r="EV2021" s="118"/>
      <c r="EW2021" s="118"/>
      <c r="EX2021" s="118"/>
      <c r="EY2021" s="118"/>
      <c r="EZ2021" s="118"/>
      <c r="FA2021" s="118"/>
      <c r="FB2021" s="118"/>
      <c r="FC2021" s="118"/>
      <c r="FD2021" s="118"/>
      <c r="FE2021" s="118"/>
      <c r="FF2021" s="118"/>
      <c r="FG2021" s="118"/>
      <c r="FH2021" s="118"/>
      <c r="FI2021" s="118"/>
      <c r="FJ2021" s="118"/>
      <c r="FK2021" s="118"/>
      <c r="FL2021" s="118"/>
      <c r="FM2021" s="118"/>
      <c r="FN2021" s="118"/>
      <c r="FO2021" s="118"/>
      <c r="FP2021" s="118"/>
      <c r="FQ2021" s="118"/>
      <c r="FR2021" s="118"/>
      <c r="FS2021" s="118"/>
      <c r="FT2021" s="118"/>
      <c r="FU2021" s="118"/>
      <c r="FV2021" s="118"/>
      <c r="FW2021" s="118"/>
      <c r="FX2021" s="118"/>
      <c r="FY2021" s="118"/>
      <c r="FZ2021" s="118"/>
      <c r="GA2021" s="118"/>
      <c r="GB2021" s="118"/>
      <c r="GC2021" s="118"/>
      <c r="GD2021" s="118"/>
      <c r="GE2021" s="118"/>
      <c r="GF2021" s="118"/>
      <c r="GG2021" s="118"/>
      <c r="GH2021" s="118"/>
      <c r="GI2021" s="118"/>
      <c r="GJ2021" s="118"/>
      <c r="GK2021" s="118"/>
      <c r="GL2021" s="118"/>
      <c r="GM2021" s="118"/>
      <c r="GN2021" s="118"/>
      <c r="GO2021" s="118"/>
      <c r="GP2021" s="118"/>
      <c r="GQ2021" s="118"/>
      <c r="GR2021" s="118"/>
      <c r="GS2021" s="118"/>
      <c r="GT2021" s="118"/>
      <c r="GU2021" s="118"/>
      <c r="GV2021" s="118"/>
      <c r="GW2021" s="118"/>
      <c r="GX2021" s="118"/>
      <c r="GY2021" s="118"/>
      <c r="GZ2021" s="118"/>
      <c r="HA2021" s="118"/>
      <c r="HB2021" s="118"/>
      <c r="HC2021" s="118"/>
      <c r="HD2021" s="118"/>
      <c r="HE2021" s="118"/>
      <c r="HF2021" s="118"/>
      <c r="HG2021" s="118"/>
      <c r="HH2021" s="118"/>
      <c r="HI2021" s="118"/>
      <c r="HJ2021" s="118"/>
      <c r="HK2021" s="118"/>
      <c r="HL2021" s="118"/>
      <c r="HM2021" s="118"/>
      <c r="HN2021" s="118"/>
      <c r="HO2021" s="118"/>
      <c r="HP2021" s="118"/>
      <c r="HQ2021" s="118"/>
      <c r="HR2021" s="118"/>
      <c r="HS2021" s="118"/>
      <c r="HT2021" s="118"/>
      <c r="HU2021" s="118"/>
      <c r="HV2021" s="118"/>
      <c r="HW2021" s="118"/>
      <c r="HX2021" s="118"/>
      <c r="HY2021" s="118"/>
      <c r="HZ2021" s="118"/>
      <c r="IA2021" s="118"/>
      <c r="IB2021" s="118"/>
      <c r="IC2021" s="118"/>
      <c r="ID2021" s="118"/>
      <c r="IE2021" s="118"/>
      <c r="IF2021" s="118"/>
      <c r="IG2021" s="118"/>
      <c r="IH2021" s="118"/>
      <c r="II2021" s="118"/>
      <c r="IJ2021" s="118"/>
    </row>
    <row r="2022" spans="1:244" s="11" customFormat="1">
      <c r="A2022" s="118">
        <v>2021</v>
      </c>
      <c r="B2022" s="128">
        <v>22</v>
      </c>
      <c r="C2022" s="156">
        <v>37742</v>
      </c>
      <c r="D2022" s="157" t="s">
        <v>48</v>
      </c>
      <c r="E2022" s="8">
        <v>2003</v>
      </c>
      <c r="F2022" s="158">
        <f t="shared" si="513"/>
        <v>61</v>
      </c>
      <c r="G2022" s="158">
        <f t="shared" si="514"/>
        <v>1</v>
      </c>
      <c r="H2022" s="162">
        <v>37681</v>
      </c>
      <c r="I2022" s="194">
        <v>1003675</v>
      </c>
      <c r="J2022" s="15">
        <v>0.1</v>
      </c>
      <c r="K2022" s="15">
        <v>0.05</v>
      </c>
      <c r="L2022" s="15">
        <v>0</v>
      </c>
      <c r="M2022" s="174">
        <v>0</v>
      </c>
      <c r="N2022" s="528"/>
      <c r="O2022" s="15">
        <v>0.45</v>
      </c>
      <c r="P2022" s="8"/>
      <c r="Q2022" s="11">
        <v>8.8000000000000007</v>
      </c>
      <c r="R2022" s="11">
        <v>31</v>
      </c>
      <c r="S2022" s="155"/>
      <c r="T2022" s="161">
        <f t="shared" si="518"/>
        <v>50183.75</v>
      </c>
      <c r="U2022" s="161">
        <f t="shared" si="515"/>
        <v>0</v>
      </c>
      <c r="V2022" s="161">
        <f t="shared" si="516"/>
        <v>451653.75</v>
      </c>
      <c r="W2022" s="161">
        <f t="shared" si="517"/>
        <v>180661.5</v>
      </c>
      <c r="X2022" s="118"/>
      <c r="Y2022" s="118"/>
      <c r="Z2022" s="118"/>
      <c r="AA2022" s="118"/>
      <c r="AB2022" s="118"/>
      <c r="AC2022" s="118"/>
      <c r="AD2022" s="118"/>
      <c r="AE2022" s="118"/>
      <c r="AF2022" s="118"/>
      <c r="AG2022" s="118"/>
      <c r="AH2022" s="118"/>
      <c r="AI2022" s="118"/>
      <c r="AJ2022" s="118"/>
      <c r="AK2022" s="118"/>
      <c r="AL2022" s="118"/>
      <c r="AM2022" s="118"/>
      <c r="AN2022" s="118"/>
      <c r="AO2022" s="118"/>
      <c r="AP2022" s="118"/>
      <c r="AQ2022" s="118"/>
      <c r="AR2022" s="118"/>
      <c r="AS2022" s="118"/>
      <c r="AT2022" s="118"/>
      <c r="AU2022" s="118"/>
      <c r="AV2022" s="118"/>
      <c r="AW2022" s="118"/>
      <c r="AX2022" s="118"/>
      <c r="AY2022" s="118"/>
      <c r="AZ2022" s="118"/>
      <c r="BA2022" s="118"/>
      <c r="BB2022" s="118"/>
      <c r="BC2022" s="118"/>
      <c r="BD2022" s="118"/>
      <c r="BE2022" s="118"/>
      <c r="BF2022" s="118"/>
      <c r="BG2022" s="118"/>
      <c r="BH2022" s="118"/>
      <c r="BI2022" s="118"/>
      <c r="BJ2022" s="118"/>
      <c r="BK2022" s="118"/>
      <c r="BL2022" s="118"/>
      <c r="BM2022" s="118"/>
      <c r="BN2022" s="118"/>
      <c r="BO2022" s="118"/>
      <c r="BP2022" s="118"/>
      <c r="BQ2022" s="118"/>
      <c r="BR2022" s="118"/>
      <c r="BS2022" s="118"/>
      <c r="BT2022" s="118"/>
      <c r="BU2022" s="118"/>
      <c r="BV2022" s="118"/>
      <c r="BW2022" s="118"/>
      <c r="BX2022" s="118"/>
      <c r="BY2022" s="118"/>
      <c r="BZ2022" s="118"/>
      <c r="CA2022" s="118"/>
      <c r="CB2022" s="118"/>
      <c r="CC2022" s="118"/>
      <c r="CD2022" s="118"/>
      <c r="CE2022" s="118"/>
      <c r="CF2022" s="118"/>
      <c r="CG2022" s="118"/>
      <c r="CH2022" s="118"/>
      <c r="CI2022" s="118"/>
      <c r="CJ2022" s="118"/>
      <c r="CK2022" s="118"/>
      <c r="CL2022" s="118"/>
      <c r="CM2022" s="118"/>
      <c r="CN2022" s="118"/>
      <c r="CO2022" s="118"/>
      <c r="CP2022" s="118"/>
      <c r="CQ2022" s="118"/>
      <c r="CR2022" s="118"/>
      <c r="CS2022" s="118"/>
      <c r="CT2022" s="118"/>
      <c r="CU2022" s="118"/>
      <c r="CV2022" s="118"/>
      <c r="CW2022" s="118"/>
      <c r="CX2022" s="118"/>
      <c r="CY2022" s="118"/>
      <c r="CZ2022" s="118"/>
      <c r="DA2022" s="118"/>
      <c r="DB2022" s="118"/>
      <c r="DC2022" s="118"/>
      <c r="DD2022" s="118"/>
      <c r="DE2022" s="118"/>
      <c r="DF2022" s="118"/>
      <c r="DG2022" s="118"/>
      <c r="DH2022" s="118"/>
      <c r="DI2022" s="118"/>
      <c r="DJ2022" s="118"/>
      <c r="DK2022" s="118"/>
      <c r="DL2022" s="118"/>
      <c r="DM2022" s="118"/>
      <c r="DN2022" s="118"/>
      <c r="DO2022" s="118"/>
      <c r="DP2022" s="118"/>
      <c r="DQ2022" s="118"/>
      <c r="DR2022" s="118"/>
      <c r="DS2022" s="118"/>
      <c r="DT2022" s="118"/>
      <c r="DU2022" s="118"/>
      <c r="DV2022" s="118"/>
      <c r="DW2022" s="118"/>
      <c r="DX2022" s="118"/>
      <c r="DY2022" s="118"/>
      <c r="DZ2022" s="118"/>
      <c r="EA2022" s="118"/>
      <c r="EB2022" s="118"/>
      <c r="EC2022" s="118"/>
      <c r="ED2022" s="118"/>
      <c r="EE2022" s="118"/>
      <c r="EF2022" s="118"/>
      <c r="EG2022" s="118"/>
      <c r="EH2022" s="118"/>
      <c r="EI2022" s="118"/>
      <c r="EJ2022" s="118"/>
      <c r="EK2022" s="118"/>
      <c r="EL2022" s="118"/>
      <c r="EM2022" s="118"/>
      <c r="EN2022" s="118"/>
      <c r="EO2022" s="118"/>
      <c r="EP2022" s="118"/>
      <c r="EQ2022" s="118"/>
      <c r="ER2022" s="118"/>
      <c r="ES2022" s="118"/>
      <c r="ET2022" s="118"/>
      <c r="EU2022" s="118"/>
      <c r="EV2022" s="118"/>
      <c r="EW2022" s="118"/>
      <c r="EX2022" s="118"/>
      <c r="EY2022" s="118"/>
      <c r="EZ2022" s="118"/>
      <c r="FA2022" s="118"/>
      <c r="FB2022" s="118"/>
      <c r="FC2022" s="118"/>
      <c r="FD2022" s="118"/>
      <c r="FE2022" s="118"/>
      <c r="FF2022" s="118"/>
      <c r="FG2022" s="118"/>
      <c r="FH2022" s="118"/>
      <c r="FI2022" s="118"/>
      <c r="FJ2022" s="118"/>
      <c r="FK2022" s="118"/>
      <c r="FL2022" s="118"/>
      <c r="FM2022" s="118"/>
      <c r="FN2022" s="118"/>
      <c r="FO2022" s="118"/>
      <c r="FP2022" s="118"/>
      <c r="FQ2022" s="118"/>
      <c r="FR2022" s="118"/>
      <c r="FS2022" s="118"/>
      <c r="FT2022" s="118"/>
      <c r="FU2022" s="118"/>
      <c r="FV2022" s="118"/>
      <c r="FW2022" s="118"/>
      <c r="FX2022" s="118"/>
      <c r="FY2022" s="118"/>
      <c r="FZ2022" s="118"/>
      <c r="GA2022" s="118"/>
      <c r="GB2022" s="118"/>
      <c r="GC2022" s="118"/>
      <c r="GD2022" s="118"/>
      <c r="GE2022" s="118"/>
      <c r="GF2022" s="118"/>
      <c r="GG2022" s="118"/>
      <c r="GH2022" s="118"/>
      <c r="GI2022" s="118"/>
      <c r="GJ2022" s="118"/>
      <c r="GK2022" s="118"/>
      <c r="GL2022" s="118"/>
      <c r="GM2022" s="118"/>
      <c r="GN2022" s="118"/>
      <c r="GO2022" s="118"/>
      <c r="GP2022" s="118"/>
      <c r="GQ2022" s="118"/>
      <c r="GR2022" s="118"/>
      <c r="GS2022" s="118"/>
      <c r="GT2022" s="118"/>
      <c r="GU2022" s="118"/>
      <c r="GV2022" s="118"/>
      <c r="GW2022" s="118"/>
      <c r="GX2022" s="118"/>
      <c r="GY2022" s="118"/>
      <c r="GZ2022" s="118"/>
      <c r="HA2022" s="118"/>
      <c r="HB2022" s="118"/>
      <c r="HC2022" s="118"/>
      <c r="HD2022" s="118"/>
      <c r="HE2022" s="118"/>
      <c r="HF2022" s="118"/>
      <c r="HG2022" s="118"/>
      <c r="HH2022" s="118"/>
      <c r="HI2022" s="118"/>
      <c r="HJ2022" s="118"/>
      <c r="HK2022" s="118"/>
      <c r="HL2022" s="118"/>
      <c r="HM2022" s="118"/>
      <c r="HN2022" s="118"/>
      <c r="HO2022" s="118"/>
      <c r="HP2022" s="118"/>
      <c r="HQ2022" s="118"/>
      <c r="HR2022" s="118"/>
      <c r="HS2022" s="118"/>
      <c r="HT2022" s="118"/>
      <c r="HU2022" s="118"/>
      <c r="HV2022" s="118"/>
      <c r="HW2022" s="118"/>
      <c r="HX2022" s="118"/>
      <c r="HY2022" s="118"/>
      <c r="HZ2022" s="118"/>
      <c r="IA2022" s="118"/>
      <c r="IB2022" s="118"/>
      <c r="IC2022" s="118"/>
      <c r="ID2022" s="118"/>
      <c r="IE2022" s="118"/>
      <c r="IF2022" s="118"/>
      <c r="IG2022" s="118"/>
      <c r="IH2022" s="118"/>
      <c r="II2022" s="118"/>
      <c r="IJ2022" s="118"/>
    </row>
    <row r="2023" spans="1:244" s="11" customFormat="1">
      <c r="A2023" s="118">
        <v>2022</v>
      </c>
      <c r="B2023" s="128">
        <v>22</v>
      </c>
      <c r="C2023" s="156">
        <v>37773</v>
      </c>
      <c r="D2023" s="157" t="s">
        <v>49</v>
      </c>
      <c r="E2023" s="8">
        <v>2003</v>
      </c>
      <c r="F2023" s="158">
        <f t="shared" si="513"/>
        <v>92</v>
      </c>
      <c r="G2023" s="158">
        <f t="shared" si="514"/>
        <v>1</v>
      </c>
      <c r="H2023" s="162">
        <v>37681</v>
      </c>
      <c r="I2023" s="194">
        <v>999031</v>
      </c>
      <c r="J2023" s="15">
        <v>0.17</v>
      </c>
      <c r="K2023" s="15">
        <v>7.0000000000000007E-2</v>
      </c>
      <c r="L2023" s="15">
        <v>0</v>
      </c>
      <c r="M2023" s="174">
        <v>0</v>
      </c>
      <c r="N2023" s="528"/>
      <c r="O2023" s="15">
        <v>0.3</v>
      </c>
      <c r="P2023" s="8"/>
      <c r="Q2023" s="11">
        <v>11.4</v>
      </c>
      <c r="R2023" s="11">
        <v>21.3</v>
      </c>
      <c r="S2023" s="155"/>
      <c r="T2023" s="161">
        <f t="shared" si="518"/>
        <v>69932.170000000013</v>
      </c>
      <c r="U2023" s="161">
        <f t="shared" si="515"/>
        <v>0</v>
      </c>
      <c r="V2023" s="161">
        <f t="shared" si="516"/>
        <v>299709.3</v>
      </c>
      <c r="W2023" s="161">
        <f t="shared" si="517"/>
        <v>119883.72</v>
      </c>
      <c r="X2023" s="118"/>
      <c r="Y2023" s="118"/>
      <c r="Z2023" s="118"/>
      <c r="AA2023" s="118"/>
      <c r="AB2023" s="118"/>
      <c r="AC2023" s="118"/>
      <c r="AD2023" s="118"/>
      <c r="AE2023" s="118"/>
      <c r="AF2023" s="118"/>
      <c r="AG2023" s="118"/>
      <c r="AH2023" s="118"/>
      <c r="AI2023" s="118"/>
      <c r="AJ2023" s="118"/>
      <c r="AK2023" s="118"/>
      <c r="AL2023" s="118"/>
      <c r="AM2023" s="118"/>
      <c r="AN2023" s="118"/>
      <c r="AO2023" s="118"/>
      <c r="AP2023" s="118"/>
      <c r="AQ2023" s="118"/>
      <c r="AR2023" s="118"/>
      <c r="AS2023" s="118"/>
      <c r="AT2023" s="118"/>
      <c r="AU2023" s="118"/>
      <c r="AV2023" s="118"/>
      <c r="AW2023" s="118"/>
      <c r="AX2023" s="118"/>
      <c r="AY2023" s="118"/>
      <c r="AZ2023" s="118"/>
      <c r="BA2023" s="118"/>
      <c r="BB2023" s="118"/>
      <c r="BC2023" s="118"/>
      <c r="BD2023" s="118"/>
      <c r="BE2023" s="118"/>
      <c r="BF2023" s="118"/>
      <c r="BG2023" s="118"/>
      <c r="BH2023" s="118"/>
      <c r="BI2023" s="118"/>
      <c r="BJ2023" s="118"/>
      <c r="BK2023" s="118"/>
      <c r="BL2023" s="118"/>
      <c r="BM2023" s="118"/>
      <c r="BN2023" s="118"/>
      <c r="BO2023" s="118"/>
      <c r="BP2023" s="118"/>
      <c r="BQ2023" s="118"/>
      <c r="BR2023" s="118"/>
      <c r="BS2023" s="118"/>
      <c r="BT2023" s="118"/>
      <c r="BU2023" s="118"/>
      <c r="BV2023" s="118"/>
      <c r="BW2023" s="118"/>
      <c r="BX2023" s="118"/>
      <c r="BY2023" s="118"/>
      <c r="BZ2023" s="118"/>
      <c r="CA2023" s="118"/>
      <c r="CB2023" s="118"/>
      <c r="CC2023" s="118"/>
      <c r="CD2023" s="118"/>
      <c r="CE2023" s="118"/>
      <c r="CF2023" s="118"/>
      <c r="CG2023" s="118"/>
      <c r="CH2023" s="118"/>
      <c r="CI2023" s="118"/>
      <c r="CJ2023" s="118"/>
      <c r="CK2023" s="118"/>
      <c r="CL2023" s="118"/>
      <c r="CM2023" s="118"/>
      <c r="CN2023" s="118"/>
      <c r="CO2023" s="118"/>
      <c r="CP2023" s="118"/>
      <c r="CQ2023" s="118"/>
      <c r="CR2023" s="118"/>
      <c r="CS2023" s="118"/>
      <c r="CT2023" s="118"/>
      <c r="CU2023" s="118"/>
      <c r="CV2023" s="118"/>
      <c r="CW2023" s="118"/>
      <c r="CX2023" s="118"/>
      <c r="CY2023" s="118"/>
      <c r="CZ2023" s="118"/>
      <c r="DA2023" s="118"/>
      <c r="DB2023" s="118"/>
      <c r="DC2023" s="118"/>
      <c r="DD2023" s="118"/>
      <c r="DE2023" s="118"/>
      <c r="DF2023" s="118"/>
      <c r="DG2023" s="118"/>
      <c r="DH2023" s="118"/>
      <c r="DI2023" s="118"/>
      <c r="DJ2023" s="118"/>
      <c r="DK2023" s="118"/>
      <c r="DL2023" s="118"/>
      <c r="DM2023" s="118"/>
      <c r="DN2023" s="118"/>
      <c r="DO2023" s="118"/>
      <c r="DP2023" s="118"/>
      <c r="DQ2023" s="118"/>
      <c r="DR2023" s="118"/>
      <c r="DS2023" s="118"/>
      <c r="DT2023" s="118"/>
      <c r="DU2023" s="118"/>
      <c r="DV2023" s="118"/>
      <c r="DW2023" s="118"/>
      <c r="DX2023" s="118"/>
      <c r="DY2023" s="118"/>
      <c r="DZ2023" s="118"/>
      <c r="EA2023" s="118"/>
      <c r="EB2023" s="118"/>
      <c r="EC2023" s="118"/>
      <c r="ED2023" s="118"/>
      <c r="EE2023" s="118"/>
      <c r="EF2023" s="118"/>
      <c r="EG2023" s="118"/>
      <c r="EH2023" s="118"/>
      <c r="EI2023" s="118"/>
      <c r="EJ2023" s="118"/>
      <c r="EK2023" s="118"/>
      <c r="EL2023" s="118"/>
      <c r="EM2023" s="118"/>
      <c r="EN2023" s="118"/>
      <c r="EO2023" s="118"/>
      <c r="EP2023" s="118"/>
      <c r="EQ2023" s="118"/>
      <c r="ER2023" s="118"/>
      <c r="ES2023" s="118"/>
      <c r="ET2023" s="118"/>
      <c r="EU2023" s="118"/>
      <c r="EV2023" s="118"/>
      <c r="EW2023" s="118"/>
      <c r="EX2023" s="118"/>
      <c r="EY2023" s="118"/>
      <c r="EZ2023" s="118"/>
      <c r="FA2023" s="118"/>
      <c r="FB2023" s="118"/>
      <c r="FC2023" s="118"/>
      <c r="FD2023" s="118"/>
      <c r="FE2023" s="118"/>
      <c r="FF2023" s="118"/>
      <c r="FG2023" s="118"/>
      <c r="FH2023" s="118"/>
      <c r="FI2023" s="118"/>
      <c r="FJ2023" s="118"/>
      <c r="FK2023" s="118"/>
      <c r="FL2023" s="118"/>
      <c r="FM2023" s="118"/>
      <c r="FN2023" s="118"/>
      <c r="FO2023" s="118"/>
      <c r="FP2023" s="118"/>
      <c r="FQ2023" s="118"/>
      <c r="FR2023" s="118"/>
      <c r="FS2023" s="118"/>
      <c r="FT2023" s="118"/>
      <c r="FU2023" s="118"/>
      <c r="FV2023" s="118"/>
      <c r="FW2023" s="118"/>
      <c r="FX2023" s="118"/>
      <c r="FY2023" s="118"/>
      <c r="FZ2023" s="118"/>
      <c r="GA2023" s="118"/>
      <c r="GB2023" s="118"/>
      <c r="GC2023" s="118"/>
      <c r="GD2023" s="118"/>
      <c r="GE2023" s="118"/>
      <c r="GF2023" s="118"/>
      <c r="GG2023" s="118"/>
      <c r="GH2023" s="118"/>
      <c r="GI2023" s="118"/>
      <c r="GJ2023" s="118"/>
      <c r="GK2023" s="118"/>
      <c r="GL2023" s="118"/>
      <c r="GM2023" s="118"/>
      <c r="GN2023" s="118"/>
      <c r="GO2023" s="118"/>
      <c r="GP2023" s="118"/>
      <c r="GQ2023" s="118"/>
      <c r="GR2023" s="118"/>
      <c r="GS2023" s="118"/>
      <c r="GT2023" s="118"/>
      <c r="GU2023" s="118"/>
      <c r="GV2023" s="118"/>
      <c r="GW2023" s="118"/>
      <c r="GX2023" s="118"/>
      <c r="GY2023" s="118"/>
      <c r="GZ2023" s="118"/>
      <c r="HA2023" s="118"/>
      <c r="HB2023" s="118"/>
      <c r="HC2023" s="118"/>
      <c r="HD2023" s="118"/>
      <c r="HE2023" s="118"/>
      <c r="HF2023" s="118"/>
      <c r="HG2023" s="118"/>
      <c r="HH2023" s="118"/>
      <c r="HI2023" s="118"/>
      <c r="HJ2023" s="118"/>
      <c r="HK2023" s="118"/>
      <c r="HL2023" s="118"/>
      <c r="HM2023" s="118"/>
      <c r="HN2023" s="118"/>
      <c r="HO2023" s="118"/>
      <c r="HP2023" s="118"/>
      <c r="HQ2023" s="118"/>
      <c r="HR2023" s="118"/>
      <c r="HS2023" s="118"/>
      <c r="HT2023" s="118"/>
      <c r="HU2023" s="118"/>
      <c r="HV2023" s="118"/>
      <c r="HW2023" s="118"/>
      <c r="HX2023" s="118"/>
      <c r="HY2023" s="118"/>
      <c r="HZ2023" s="118"/>
      <c r="IA2023" s="118"/>
      <c r="IB2023" s="118"/>
      <c r="IC2023" s="118"/>
      <c r="ID2023" s="118"/>
      <c r="IE2023" s="118"/>
      <c r="IF2023" s="118"/>
      <c r="IG2023" s="118"/>
      <c r="IH2023" s="118"/>
      <c r="II2023" s="118"/>
      <c r="IJ2023" s="118"/>
    </row>
    <row r="2024" spans="1:244" s="11" customFormat="1">
      <c r="A2024" s="118">
        <v>2023</v>
      </c>
      <c r="B2024" s="128">
        <v>22</v>
      </c>
      <c r="C2024" s="156">
        <v>37803</v>
      </c>
      <c r="D2024" s="157" t="s">
        <v>50</v>
      </c>
      <c r="E2024" s="8">
        <v>2003</v>
      </c>
      <c r="F2024" s="158">
        <f t="shared" si="513"/>
        <v>122</v>
      </c>
      <c r="G2024" s="158">
        <f t="shared" si="514"/>
        <v>1</v>
      </c>
      <c r="H2024" s="162">
        <v>37681</v>
      </c>
      <c r="I2024" s="194">
        <v>992158</v>
      </c>
      <c r="J2024" s="15">
        <v>0</v>
      </c>
      <c r="K2024" s="15">
        <v>0.1</v>
      </c>
      <c r="L2024" s="15">
        <v>0</v>
      </c>
      <c r="M2024" s="174">
        <v>0</v>
      </c>
      <c r="N2024" s="528"/>
      <c r="O2024" s="15">
        <v>0.1</v>
      </c>
      <c r="P2024" s="8"/>
      <c r="Q2024" s="11">
        <v>13.2</v>
      </c>
      <c r="R2024" s="11">
        <v>18</v>
      </c>
      <c r="S2024" s="155"/>
      <c r="T2024" s="161">
        <f t="shared" si="518"/>
        <v>99215.8</v>
      </c>
      <c r="U2024" s="161">
        <f t="shared" si="515"/>
        <v>0</v>
      </c>
      <c r="V2024" s="161">
        <f t="shared" si="516"/>
        <v>99215.8</v>
      </c>
      <c r="W2024" s="161">
        <f t="shared" si="517"/>
        <v>39686.320000000007</v>
      </c>
      <c r="X2024" s="118"/>
      <c r="Y2024" s="118"/>
      <c r="Z2024" s="118"/>
      <c r="AA2024" s="118"/>
      <c r="AB2024" s="118"/>
      <c r="AC2024" s="118"/>
      <c r="AD2024" s="118"/>
      <c r="AE2024" s="118"/>
      <c r="AF2024" s="118"/>
      <c r="AG2024" s="118"/>
      <c r="AH2024" s="118"/>
      <c r="AI2024" s="118"/>
      <c r="AJ2024" s="118"/>
      <c r="AK2024" s="118"/>
      <c r="AL2024" s="118"/>
      <c r="AM2024" s="118"/>
      <c r="AN2024" s="118"/>
      <c r="AO2024" s="118"/>
      <c r="AP2024" s="118"/>
      <c r="AQ2024" s="118"/>
      <c r="AR2024" s="118"/>
      <c r="AS2024" s="118"/>
      <c r="AT2024" s="118"/>
      <c r="AU2024" s="118"/>
      <c r="AV2024" s="118"/>
      <c r="AW2024" s="118"/>
      <c r="AX2024" s="118"/>
      <c r="AY2024" s="118"/>
      <c r="AZ2024" s="118"/>
      <c r="BA2024" s="118"/>
      <c r="BB2024" s="118"/>
      <c r="BC2024" s="118"/>
      <c r="BD2024" s="118"/>
      <c r="BE2024" s="118"/>
      <c r="BF2024" s="118"/>
      <c r="BG2024" s="118"/>
      <c r="BH2024" s="118"/>
      <c r="BI2024" s="118"/>
      <c r="BJ2024" s="118"/>
      <c r="BK2024" s="118"/>
      <c r="BL2024" s="118"/>
      <c r="BM2024" s="118"/>
      <c r="BN2024" s="118"/>
      <c r="BO2024" s="118"/>
      <c r="BP2024" s="118"/>
      <c r="BQ2024" s="118"/>
      <c r="BR2024" s="118"/>
      <c r="BS2024" s="118"/>
      <c r="BT2024" s="118"/>
      <c r="BU2024" s="118"/>
      <c r="BV2024" s="118"/>
      <c r="BW2024" s="118"/>
      <c r="BX2024" s="118"/>
      <c r="BY2024" s="118"/>
      <c r="BZ2024" s="118"/>
      <c r="CA2024" s="118"/>
      <c r="CB2024" s="118"/>
      <c r="CC2024" s="118"/>
      <c r="CD2024" s="118"/>
      <c r="CE2024" s="118"/>
      <c r="CF2024" s="118"/>
      <c r="CG2024" s="118"/>
      <c r="CH2024" s="118"/>
      <c r="CI2024" s="118"/>
      <c r="CJ2024" s="118"/>
      <c r="CK2024" s="118"/>
      <c r="CL2024" s="118"/>
      <c r="CM2024" s="118"/>
      <c r="CN2024" s="118"/>
      <c r="CO2024" s="118"/>
      <c r="CP2024" s="118"/>
      <c r="CQ2024" s="118"/>
      <c r="CR2024" s="118"/>
      <c r="CS2024" s="118"/>
      <c r="CT2024" s="118"/>
      <c r="CU2024" s="118"/>
      <c r="CV2024" s="118"/>
      <c r="CW2024" s="118"/>
      <c r="CX2024" s="118"/>
      <c r="CY2024" s="118"/>
      <c r="CZ2024" s="118"/>
      <c r="DA2024" s="118"/>
      <c r="DB2024" s="118"/>
      <c r="DC2024" s="118"/>
      <c r="DD2024" s="118"/>
      <c r="DE2024" s="118"/>
      <c r="DF2024" s="118"/>
      <c r="DG2024" s="118"/>
      <c r="DH2024" s="118"/>
      <c r="DI2024" s="118"/>
      <c r="DJ2024" s="118"/>
      <c r="DK2024" s="118"/>
      <c r="DL2024" s="118"/>
      <c r="DM2024" s="118"/>
      <c r="DN2024" s="118"/>
      <c r="DO2024" s="118"/>
      <c r="DP2024" s="118"/>
      <c r="DQ2024" s="118"/>
      <c r="DR2024" s="118"/>
      <c r="DS2024" s="118"/>
      <c r="DT2024" s="118"/>
      <c r="DU2024" s="118"/>
      <c r="DV2024" s="118"/>
      <c r="DW2024" s="118"/>
      <c r="DX2024" s="118"/>
      <c r="DY2024" s="118"/>
      <c r="DZ2024" s="118"/>
      <c r="EA2024" s="118"/>
      <c r="EB2024" s="118"/>
      <c r="EC2024" s="118"/>
      <c r="ED2024" s="118"/>
      <c r="EE2024" s="118"/>
      <c r="EF2024" s="118"/>
      <c r="EG2024" s="118"/>
      <c r="EH2024" s="118"/>
      <c r="EI2024" s="118"/>
      <c r="EJ2024" s="118"/>
      <c r="EK2024" s="118"/>
      <c r="EL2024" s="118"/>
      <c r="EM2024" s="118"/>
      <c r="EN2024" s="118"/>
      <c r="EO2024" s="118"/>
      <c r="EP2024" s="118"/>
      <c r="EQ2024" s="118"/>
      <c r="ER2024" s="118"/>
      <c r="ES2024" s="118"/>
      <c r="ET2024" s="118"/>
      <c r="EU2024" s="118"/>
      <c r="EV2024" s="118"/>
      <c r="EW2024" s="118"/>
      <c r="EX2024" s="118"/>
      <c r="EY2024" s="118"/>
      <c r="EZ2024" s="118"/>
      <c r="FA2024" s="118"/>
      <c r="FB2024" s="118"/>
      <c r="FC2024" s="118"/>
      <c r="FD2024" s="118"/>
      <c r="FE2024" s="118"/>
      <c r="FF2024" s="118"/>
      <c r="FG2024" s="118"/>
      <c r="FH2024" s="118"/>
      <c r="FI2024" s="118"/>
      <c r="FJ2024" s="118"/>
      <c r="FK2024" s="118"/>
      <c r="FL2024" s="118"/>
      <c r="FM2024" s="118"/>
      <c r="FN2024" s="118"/>
      <c r="FO2024" s="118"/>
      <c r="FP2024" s="118"/>
      <c r="FQ2024" s="118"/>
      <c r="FR2024" s="118"/>
      <c r="FS2024" s="118"/>
      <c r="FT2024" s="118"/>
      <c r="FU2024" s="118"/>
      <c r="FV2024" s="118"/>
      <c r="FW2024" s="118"/>
      <c r="FX2024" s="118"/>
      <c r="FY2024" s="118"/>
      <c r="FZ2024" s="118"/>
      <c r="GA2024" s="118"/>
      <c r="GB2024" s="118"/>
      <c r="GC2024" s="118"/>
      <c r="GD2024" s="118"/>
      <c r="GE2024" s="118"/>
      <c r="GF2024" s="118"/>
      <c r="GG2024" s="118"/>
      <c r="GH2024" s="118"/>
      <c r="GI2024" s="118"/>
      <c r="GJ2024" s="118"/>
      <c r="GK2024" s="118"/>
      <c r="GL2024" s="118"/>
      <c r="GM2024" s="118"/>
      <c r="GN2024" s="118"/>
      <c r="GO2024" s="118"/>
      <c r="GP2024" s="118"/>
      <c r="GQ2024" s="118"/>
      <c r="GR2024" s="118"/>
      <c r="GS2024" s="118"/>
      <c r="GT2024" s="118"/>
      <c r="GU2024" s="118"/>
      <c r="GV2024" s="118"/>
      <c r="GW2024" s="118"/>
      <c r="GX2024" s="118"/>
      <c r="GY2024" s="118"/>
      <c r="GZ2024" s="118"/>
      <c r="HA2024" s="118"/>
      <c r="HB2024" s="118"/>
      <c r="HC2024" s="118"/>
      <c r="HD2024" s="118"/>
      <c r="HE2024" s="118"/>
      <c r="HF2024" s="118"/>
      <c r="HG2024" s="118"/>
      <c r="HH2024" s="118"/>
      <c r="HI2024" s="118"/>
      <c r="HJ2024" s="118"/>
      <c r="HK2024" s="118"/>
      <c r="HL2024" s="118"/>
      <c r="HM2024" s="118"/>
      <c r="HN2024" s="118"/>
      <c r="HO2024" s="118"/>
      <c r="HP2024" s="118"/>
      <c r="HQ2024" s="118"/>
      <c r="HR2024" s="118"/>
      <c r="HS2024" s="118"/>
      <c r="HT2024" s="118"/>
      <c r="HU2024" s="118"/>
      <c r="HV2024" s="118"/>
      <c r="HW2024" s="118"/>
      <c r="HX2024" s="118"/>
      <c r="HY2024" s="118"/>
      <c r="HZ2024" s="118"/>
      <c r="IA2024" s="118"/>
      <c r="IB2024" s="118"/>
      <c r="IC2024" s="118"/>
      <c r="ID2024" s="118"/>
      <c r="IE2024" s="118"/>
      <c r="IF2024" s="118"/>
      <c r="IG2024" s="118"/>
      <c r="IH2024" s="118"/>
      <c r="II2024" s="118"/>
      <c r="IJ2024" s="118"/>
    </row>
    <row r="2025" spans="1:244" s="11" customFormat="1">
      <c r="A2025" s="118">
        <v>2024</v>
      </c>
      <c r="B2025" s="128">
        <v>22</v>
      </c>
      <c r="C2025" s="156">
        <v>37834</v>
      </c>
      <c r="D2025" s="157" t="s">
        <v>51</v>
      </c>
      <c r="E2025" s="8">
        <v>2003</v>
      </c>
      <c r="F2025" s="158">
        <f t="shared" si="513"/>
        <v>153</v>
      </c>
      <c r="G2025" s="158">
        <f t="shared" si="514"/>
        <v>1</v>
      </c>
      <c r="H2025" s="162">
        <v>37681</v>
      </c>
      <c r="I2025" s="198">
        <v>950000</v>
      </c>
      <c r="J2025" s="15">
        <v>0</v>
      </c>
      <c r="K2025" s="15">
        <v>0.1</v>
      </c>
      <c r="L2025" s="15">
        <v>0</v>
      </c>
      <c r="M2025" s="174">
        <v>0</v>
      </c>
      <c r="N2025" s="528"/>
      <c r="O2025" s="15">
        <v>0</v>
      </c>
      <c r="P2025" s="8"/>
      <c r="Q2025" s="11">
        <v>11.5</v>
      </c>
      <c r="R2025" s="11">
        <v>13</v>
      </c>
      <c r="S2025" s="155"/>
      <c r="T2025" s="161">
        <f t="shared" si="518"/>
        <v>95000</v>
      </c>
      <c r="U2025" s="161">
        <f t="shared" si="515"/>
        <v>0</v>
      </c>
      <c r="V2025" s="161">
        <f t="shared" si="516"/>
        <v>0</v>
      </c>
      <c r="W2025" s="161">
        <f t="shared" si="517"/>
        <v>0</v>
      </c>
      <c r="X2025" s="118"/>
      <c r="Y2025" s="118"/>
      <c r="Z2025" s="118"/>
      <c r="AA2025" s="118"/>
      <c r="AB2025" s="118"/>
      <c r="AC2025" s="118"/>
      <c r="AD2025" s="118"/>
      <c r="AE2025" s="118"/>
      <c r="AF2025" s="118"/>
      <c r="AG2025" s="118"/>
      <c r="AH2025" s="118"/>
      <c r="AI2025" s="118"/>
      <c r="AJ2025" s="118"/>
      <c r="AK2025" s="118"/>
      <c r="AL2025" s="118"/>
      <c r="AM2025" s="118"/>
      <c r="AN2025" s="118"/>
      <c r="AO2025" s="118"/>
      <c r="AP2025" s="118"/>
      <c r="AQ2025" s="118"/>
      <c r="AR2025" s="118"/>
      <c r="AS2025" s="118"/>
      <c r="AT2025" s="118"/>
      <c r="AU2025" s="118"/>
      <c r="AV2025" s="118"/>
      <c r="AW2025" s="118"/>
      <c r="AX2025" s="118"/>
      <c r="AY2025" s="118"/>
      <c r="AZ2025" s="118"/>
      <c r="BA2025" s="118"/>
      <c r="BB2025" s="118"/>
      <c r="BC2025" s="118"/>
      <c r="BD2025" s="118"/>
      <c r="BE2025" s="118"/>
      <c r="BF2025" s="118"/>
      <c r="BG2025" s="118"/>
      <c r="BH2025" s="118"/>
      <c r="BI2025" s="118"/>
      <c r="BJ2025" s="118"/>
      <c r="BK2025" s="118"/>
      <c r="BL2025" s="118"/>
      <c r="BM2025" s="118"/>
      <c r="BN2025" s="118"/>
      <c r="BO2025" s="118"/>
      <c r="BP2025" s="118"/>
      <c r="BQ2025" s="118"/>
      <c r="BR2025" s="118"/>
      <c r="BS2025" s="118"/>
      <c r="BT2025" s="118"/>
      <c r="BU2025" s="118"/>
      <c r="BV2025" s="118"/>
      <c r="BW2025" s="118"/>
      <c r="BX2025" s="118"/>
      <c r="BY2025" s="118"/>
      <c r="BZ2025" s="118"/>
      <c r="CA2025" s="118"/>
      <c r="CB2025" s="118"/>
      <c r="CC2025" s="118"/>
      <c r="CD2025" s="118"/>
      <c r="CE2025" s="118"/>
      <c r="CF2025" s="118"/>
      <c r="CG2025" s="118"/>
      <c r="CH2025" s="118"/>
      <c r="CI2025" s="118"/>
      <c r="CJ2025" s="118"/>
      <c r="CK2025" s="118"/>
      <c r="CL2025" s="118"/>
      <c r="CM2025" s="118"/>
      <c r="CN2025" s="118"/>
      <c r="CO2025" s="118"/>
      <c r="CP2025" s="118"/>
      <c r="CQ2025" s="118"/>
      <c r="CR2025" s="118"/>
      <c r="CS2025" s="118"/>
      <c r="CT2025" s="118"/>
      <c r="CU2025" s="118"/>
      <c r="CV2025" s="118"/>
      <c r="CW2025" s="118"/>
      <c r="CX2025" s="118"/>
      <c r="CY2025" s="118"/>
      <c r="CZ2025" s="118"/>
      <c r="DA2025" s="118"/>
      <c r="DB2025" s="118"/>
      <c r="DC2025" s="118"/>
      <c r="DD2025" s="118"/>
      <c r="DE2025" s="118"/>
      <c r="DF2025" s="118"/>
      <c r="DG2025" s="118"/>
      <c r="DH2025" s="118"/>
      <c r="DI2025" s="118"/>
      <c r="DJ2025" s="118"/>
      <c r="DK2025" s="118"/>
      <c r="DL2025" s="118"/>
      <c r="DM2025" s="118"/>
      <c r="DN2025" s="118"/>
      <c r="DO2025" s="118"/>
      <c r="DP2025" s="118"/>
      <c r="DQ2025" s="118"/>
      <c r="DR2025" s="118"/>
      <c r="DS2025" s="118"/>
      <c r="DT2025" s="118"/>
      <c r="DU2025" s="118"/>
      <c r="DV2025" s="118"/>
      <c r="DW2025" s="118"/>
      <c r="DX2025" s="118"/>
      <c r="DY2025" s="118"/>
      <c r="DZ2025" s="118"/>
      <c r="EA2025" s="118"/>
      <c r="EB2025" s="118"/>
      <c r="EC2025" s="118"/>
      <c r="ED2025" s="118"/>
      <c r="EE2025" s="118"/>
      <c r="EF2025" s="118"/>
      <c r="EG2025" s="118"/>
      <c r="EH2025" s="118"/>
      <c r="EI2025" s="118"/>
      <c r="EJ2025" s="118"/>
      <c r="EK2025" s="118"/>
      <c r="EL2025" s="118"/>
      <c r="EM2025" s="118"/>
      <c r="EN2025" s="118"/>
      <c r="EO2025" s="118"/>
      <c r="EP2025" s="118"/>
      <c r="EQ2025" s="118"/>
      <c r="ER2025" s="118"/>
      <c r="ES2025" s="118"/>
      <c r="ET2025" s="118"/>
      <c r="EU2025" s="118"/>
      <c r="EV2025" s="118"/>
      <c r="EW2025" s="118"/>
      <c r="EX2025" s="118"/>
      <c r="EY2025" s="118"/>
      <c r="EZ2025" s="118"/>
      <c r="FA2025" s="118"/>
      <c r="FB2025" s="118"/>
      <c r="FC2025" s="118"/>
      <c r="FD2025" s="118"/>
      <c r="FE2025" s="118"/>
      <c r="FF2025" s="118"/>
      <c r="FG2025" s="118"/>
      <c r="FH2025" s="118"/>
      <c r="FI2025" s="118"/>
      <c r="FJ2025" s="118"/>
      <c r="FK2025" s="118"/>
      <c r="FL2025" s="118"/>
      <c r="FM2025" s="118"/>
      <c r="FN2025" s="118"/>
      <c r="FO2025" s="118"/>
      <c r="FP2025" s="118"/>
      <c r="FQ2025" s="118"/>
      <c r="FR2025" s="118"/>
      <c r="FS2025" s="118"/>
      <c r="FT2025" s="118"/>
      <c r="FU2025" s="118"/>
      <c r="FV2025" s="118"/>
      <c r="FW2025" s="118"/>
      <c r="FX2025" s="118"/>
      <c r="FY2025" s="118"/>
      <c r="FZ2025" s="118"/>
      <c r="GA2025" s="118"/>
      <c r="GB2025" s="118"/>
      <c r="GC2025" s="118"/>
      <c r="GD2025" s="118"/>
      <c r="GE2025" s="118"/>
      <c r="GF2025" s="118"/>
      <c r="GG2025" s="118"/>
      <c r="GH2025" s="118"/>
      <c r="GI2025" s="118"/>
      <c r="GJ2025" s="118"/>
      <c r="GK2025" s="118"/>
      <c r="GL2025" s="118"/>
      <c r="GM2025" s="118"/>
      <c r="GN2025" s="118"/>
      <c r="GO2025" s="118"/>
      <c r="GP2025" s="118"/>
      <c r="GQ2025" s="118"/>
      <c r="GR2025" s="118"/>
      <c r="GS2025" s="118"/>
      <c r="GT2025" s="118"/>
      <c r="GU2025" s="118"/>
      <c r="GV2025" s="118"/>
      <c r="GW2025" s="118"/>
      <c r="GX2025" s="118"/>
      <c r="GY2025" s="118"/>
      <c r="GZ2025" s="118"/>
      <c r="HA2025" s="118"/>
      <c r="HB2025" s="118"/>
      <c r="HC2025" s="118"/>
      <c r="HD2025" s="118"/>
      <c r="HE2025" s="118"/>
      <c r="HF2025" s="118"/>
      <c r="HG2025" s="118"/>
      <c r="HH2025" s="118"/>
      <c r="HI2025" s="118"/>
      <c r="HJ2025" s="118"/>
      <c r="HK2025" s="118"/>
      <c r="HL2025" s="118"/>
      <c r="HM2025" s="118"/>
      <c r="HN2025" s="118"/>
      <c r="HO2025" s="118"/>
      <c r="HP2025" s="118"/>
      <c r="HQ2025" s="118"/>
      <c r="HR2025" s="118"/>
      <c r="HS2025" s="118"/>
      <c r="HT2025" s="118"/>
      <c r="HU2025" s="118"/>
      <c r="HV2025" s="118"/>
      <c r="HW2025" s="118"/>
      <c r="HX2025" s="118"/>
      <c r="HY2025" s="118"/>
      <c r="HZ2025" s="118"/>
      <c r="IA2025" s="118"/>
      <c r="IB2025" s="118"/>
      <c r="IC2025" s="118"/>
      <c r="ID2025" s="118"/>
      <c r="IE2025" s="118"/>
      <c r="IF2025" s="118"/>
      <c r="IG2025" s="118"/>
      <c r="IH2025" s="118"/>
      <c r="II2025" s="118"/>
      <c r="IJ2025" s="118"/>
    </row>
    <row r="2026" spans="1:244" s="11" customFormat="1">
      <c r="A2026" s="118">
        <v>2025</v>
      </c>
      <c r="B2026" s="128">
        <v>22</v>
      </c>
      <c r="C2026" s="156">
        <v>37865</v>
      </c>
      <c r="D2026" s="157" t="s">
        <v>52</v>
      </c>
      <c r="E2026" s="8">
        <v>2003</v>
      </c>
      <c r="F2026" s="158">
        <f t="shared" si="513"/>
        <v>184</v>
      </c>
      <c r="G2026" s="158">
        <f t="shared" si="514"/>
        <v>1</v>
      </c>
      <c r="H2026" s="162">
        <v>37681</v>
      </c>
      <c r="I2026" s="198">
        <v>870000</v>
      </c>
      <c r="J2026" s="15">
        <v>0</v>
      </c>
      <c r="K2026" s="15">
        <v>0.1</v>
      </c>
      <c r="L2026" s="15">
        <v>0</v>
      </c>
      <c r="M2026" s="174">
        <v>0</v>
      </c>
      <c r="N2026" s="528"/>
      <c r="O2026" s="15">
        <v>0</v>
      </c>
      <c r="P2026" s="8"/>
      <c r="Q2026" s="11">
        <v>9.1</v>
      </c>
      <c r="R2026" s="11">
        <v>18</v>
      </c>
      <c r="S2026" s="155"/>
      <c r="T2026" s="161">
        <f t="shared" si="518"/>
        <v>87000</v>
      </c>
      <c r="U2026" s="161">
        <f t="shared" si="515"/>
        <v>0</v>
      </c>
      <c r="V2026" s="161">
        <f t="shared" si="516"/>
        <v>0</v>
      </c>
      <c r="W2026" s="161">
        <f t="shared" si="517"/>
        <v>0</v>
      </c>
      <c r="X2026" s="118"/>
      <c r="Y2026" s="118"/>
      <c r="Z2026" s="118"/>
      <c r="AA2026" s="118"/>
      <c r="AB2026" s="118"/>
      <c r="AC2026" s="118"/>
      <c r="AD2026" s="118"/>
      <c r="AE2026" s="118"/>
      <c r="AF2026" s="118"/>
      <c r="AG2026" s="118"/>
      <c r="AH2026" s="118"/>
      <c r="AI2026" s="118"/>
      <c r="AJ2026" s="118"/>
      <c r="AK2026" s="118"/>
      <c r="AL2026" s="118"/>
      <c r="AM2026" s="118"/>
      <c r="AN2026" s="118"/>
      <c r="AO2026" s="118"/>
      <c r="AP2026" s="118"/>
      <c r="AQ2026" s="118"/>
      <c r="AR2026" s="118"/>
      <c r="AS2026" s="118"/>
      <c r="AT2026" s="118"/>
      <c r="AU2026" s="118"/>
      <c r="AV2026" s="118"/>
      <c r="AW2026" s="118"/>
      <c r="AX2026" s="118"/>
      <c r="AY2026" s="118"/>
      <c r="AZ2026" s="118"/>
      <c r="BA2026" s="118"/>
      <c r="BB2026" s="118"/>
      <c r="BC2026" s="118"/>
      <c r="BD2026" s="118"/>
      <c r="BE2026" s="118"/>
      <c r="BF2026" s="118"/>
      <c r="BG2026" s="118"/>
      <c r="BH2026" s="118"/>
      <c r="BI2026" s="118"/>
      <c r="BJ2026" s="118"/>
      <c r="BK2026" s="118"/>
      <c r="BL2026" s="118"/>
      <c r="BM2026" s="118"/>
      <c r="BN2026" s="118"/>
      <c r="BO2026" s="118"/>
      <c r="BP2026" s="118"/>
      <c r="BQ2026" s="118"/>
      <c r="BR2026" s="118"/>
      <c r="BS2026" s="118"/>
      <c r="BT2026" s="118"/>
      <c r="BU2026" s="118"/>
      <c r="BV2026" s="118"/>
      <c r="BW2026" s="118"/>
      <c r="BX2026" s="118"/>
      <c r="BY2026" s="118"/>
      <c r="BZ2026" s="118"/>
      <c r="CA2026" s="118"/>
      <c r="CB2026" s="118"/>
      <c r="CC2026" s="118"/>
      <c r="CD2026" s="118"/>
      <c r="CE2026" s="118"/>
      <c r="CF2026" s="118"/>
      <c r="CG2026" s="118"/>
      <c r="CH2026" s="118"/>
      <c r="CI2026" s="118"/>
      <c r="CJ2026" s="118"/>
      <c r="CK2026" s="118"/>
      <c r="CL2026" s="118"/>
      <c r="CM2026" s="118"/>
      <c r="CN2026" s="118"/>
      <c r="CO2026" s="118"/>
      <c r="CP2026" s="118"/>
      <c r="CQ2026" s="118"/>
      <c r="CR2026" s="118"/>
      <c r="CS2026" s="118"/>
      <c r="CT2026" s="118"/>
      <c r="CU2026" s="118"/>
      <c r="CV2026" s="118"/>
      <c r="CW2026" s="118"/>
      <c r="CX2026" s="118"/>
      <c r="CY2026" s="118"/>
      <c r="CZ2026" s="118"/>
      <c r="DA2026" s="118"/>
      <c r="DB2026" s="118"/>
      <c r="DC2026" s="118"/>
      <c r="DD2026" s="118"/>
      <c r="DE2026" s="118"/>
      <c r="DF2026" s="118"/>
      <c r="DG2026" s="118"/>
      <c r="DH2026" s="118"/>
      <c r="DI2026" s="118"/>
      <c r="DJ2026" s="118"/>
      <c r="DK2026" s="118"/>
      <c r="DL2026" s="118"/>
      <c r="DM2026" s="118"/>
      <c r="DN2026" s="118"/>
      <c r="DO2026" s="118"/>
      <c r="DP2026" s="118"/>
      <c r="DQ2026" s="118"/>
      <c r="DR2026" s="118"/>
      <c r="DS2026" s="118"/>
      <c r="DT2026" s="118"/>
      <c r="DU2026" s="118"/>
      <c r="DV2026" s="118"/>
      <c r="DW2026" s="118"/>
      <c r="DX2026" s="118"/>
      <c r="DY2026" s="118"/>
      <c r="DZ2026" s="118"/>
      <c r="EA2026" s="118"/>
      <c r="EB2026" s="118"/>
      <c r="EC2026" s="118"/>
      <c r="ED2026" s="118"/>
      <c r="EE2026" s="118"/>
      <c r="EF2026" s="118"/>
      <c r="EG2026" s="118"/>
      <c r="EH2026" s="118"/>
      <c r="EI2026" s="118"/>
      <c r="EJ2026" s="118"/>
      <c r="EK2026" s="118"/>
      <c r="EL2026" s="118"/>
      <c r="EM2026" s="118"/>
      <c r="EN2026" s="118"/>
      <c r="EO2026" s="118"/>
      <c r="EP2026" s="118"/>
      <c r="EQ2026" s="118"/>
      <c r="ER2026" s="118"/>
      <c r="ES2026" s="118"/>
      <c r="ET2026" s="118"/>
      <c r="EU2026" s="118"/>
      <c r="EV2026" s="118"/>
      <c r="EW2026" s="118"/>
      <c r="EX2026" s="118"/>
      <c r="EY2026" s="118"/>
      <c r="EZ2026" s="118"/>
      <c r="FA2026" s="118"/>
      <c r="FB2026" s="118"/>
      <c r="FC2026" s="118"/>
      <c r="FD2026" s="118"/>
      <c r="FE2026" s="118"/>
      <c r="FF2026" s="118"/>
      <c r="FG2026" s="118"/>
      <c r="FH2026" s="118"/>
      <c r="FI2026" s="118"/>
      <c r="FJ2026" s="118"/>
      <c r="FK2026" s="118"/>
      <c r="FL2026" s="118"/>
      <c r="FM2026" s="118"/>
      <c r="FN2026" s="118"/>
      <c r="FO2026" s="118"/>
      <c r="FP2026" s="118"/>
      <c r="FQ2026" s="118"/>
      <c r="FR2026" s="118"/>
      <c r="FS2026" s="118"/>
      <c r="FT2026" s="118"/>
      <c r="FU2026" s="118"/>
      <c r="FV2026" s="118"/>
      <c r="FW2026" s="118"/>
      <c r="FX2026" s="118"/>
      <c r="FY2026" s="118"/>
      <c r="FZ2026" s="118"/>
      <c r="GA2026" s="118"/>
      <c r="GB2026" s="118"/>
      <c r="GC2026" s="118"/>
      <c r="GD2026" s="118"/>
      <c r="GE2026" s="118"/>
      <c r="GF2026" s="118"/>
      <c r="GG2026" s="118"/>
      <c r="GH2026" s="118"/>
      <c r="GI2026" s="118"/>
      <c r="GJ2026" s="118"/>
      <c r="GK2026" s="118"/>
      <c r="GL2026" s="118"/>
      <c r="GM2026" s="118"/>
      <c r="GN2026" s="118"/>
      <c r="GO2026" s="118"/>
      <c r="GP2026" s="118"/>
      <c r="GQ2026" s="118"/>
      <c r="GR2026" s="118"/>
      <c r="GS2026" s="118"/>
      <c r="GT2026" s="118"/>
      <c r="GU2026" s="118"/>
      <c r="GV2026" s="118"/>
      <c r="GW2026" s="118"/>
      <c r="GX2026" s="118"/>
      <c r="GY2026" s="118"/>
      <c r="GZ2026" s="118"/>
      <c r="HA2026" s="118"/>
      <c r="HB2026" s="118"/>
      <c r="HC2026" s="118"/>
      <c r="HD2026" s="118"/>
      <c r="HE2026" s="118"/>
      <c r="HF2026" s="118"/>
      <c r="HG2026" s="118"/>
      <c r="HH2026" s="118"/>
      <c r="HI2026" s="118"/>
      <c r="HJ2026" s="118"/>
      <c r="HK2026" s="118"/>
      <c r="HL2026" s="118"/>
      <c r="HM2026" s="118"/>
      <c r="HN2026" s="118"/>
      <c r="HO2026" s="118"/>
      <c r="HP2026" s="118"/>
      <c r="HQ2026" s="118"/>
      <c r="HR2026" s="118"/>
      <c r="HS2026" s="118"/>
      <c r="HT2026" s="118"/>
      <c r="HU2026" s="118"/>
      <c r="HV2026" s="118"/>
      <c r="HW2026" s="118"/>
      <c r="HX2026" s="118"/>
      <c r="HY2026" s="118"/>
      <c r="HZ2026" s="118"/>
      <c r="IA2026" s="118"/>
      <c r="IB2026" s="118"/>
      <c r="IC2026" s="118"/>
      <c r="ID2026" s="118"/>
      <c r="IE2026" s="118"/>
      <c r="IF2026" s="118"/>
      <c r="IG2026" s="118"/>
      <c r="IH2026" s="118"/>
      <c r="II2026" s="118"/>
      <c r="IJ2026" s="118"/>
    </row>
    <row r="2027" spans="1:244" s="11" customFormat="1">
      <c r="A2027" s="118">
        <v>2026</v>
      </c>
      <c r="B2027" s="128">
        <v>22</v>
      </c>
      <c r="C2027" s="156">
        <v>37895</v>
      </c>
      <c r="D2027" s="157" t="s">
        <v>53</v>
      </c>
      <c r="E2027" s="8">
        <v>2003</v>
      </c>
      <c r="F2027" s="158">
        <f t="shared" si="513"/>
        <v>214</v>
      </c>
      <c r="G2027" s="158">
        <f t="shared" si="514"/>
        <v>1</v>
      </c>
      <c r="H2027" s="162">
        <v>37681</v>
      </c>
      <c r="I2027" s="194">
        <v>832553</v>
      </c>
      <c r="J2027" s="15">
        <v>0</v>
      </c>
      <c r="K2027" s="15">
        <v>0.2</v>
      </c>
      <c r="L2027" s="15">
        <v>7.0000000000000007E-2</v>
      </c>
      <c r="M2027" s="174">
        <v>0</v>
      </c>
      <c r="N2027" s="528"/>
      <c r="O2027" s="15">
        <v>0</v>
      </c>
      <c r="P2027" s="8"/>
      <c r="Q2027" s="11">
        <v>8.1</v>
      </c>
      <c r="R2027" s="11">
        <v>32.700000000000003</v>
      </c>
      <c r="S2027" s="155" t="s">
        <v>379</v>
      </c>
      <c r="T2027" s="161">
        <f t="shared" si="518"/>
        <v>166510.6</v>
      </c>
      <c r="U2027" s="161">
        <f t="shared" si="515"/>
        <v>58278.710000000006</v>
      </c>
      <c r="V2027" s="161">
        <f t="shared" si="516"/>
        <v>0</v>
      </c>
      <c r="W2027" s="161">
        <f t="shared" si="517"/>
        <v>0</v>
      </c>
      <c r="X2027" s="118"/>
      <c r="Y2027" s="118"/>
      <c r="Z2027" s="118"/>
      <c r="AA2027" s="118"/>
      <c r="AB2027" s="118"/>
      <c r="AC2027" s="118"/>
      <c r="AD2027" s="118"/>
      <c r="AE2027" s="118"/>
      <c r="AF2027" s="118"/>
      <c r="AG2027" s="118"/>
      <c r="AH2027" s="118"/>
      <c r="AI2027" s="118"/>
      <c r="AJ2027" s="118"/>
      <c r="AK2027" s="118"/>
      <c r="AL2027" s="118"/>
      <c r="AM2027" s="118"/>
      <c r="AN2027" s="118"/>
      <c r="AO2027" s="118"/>
      <c r="AP2027" s="118"/>
      <c r="AQ2027" s="118"/>
      <c r="AR2027" s="118"/>
      <c r="AS2027" s="118"/>
      <c r="AT2027" s="118"/>
      <c r="AU2027" s="118"/>
      <c r="AV2027" s="118"/>
      <c r="AW2027" s="118"/>
      <c r="AX2027" s="118"/>
      <c r="AY2027" s="118"/>
      <c r="AZ2027" s="118"/>
      <c r="BA2027" s="118"/>
      <c r="BB2027" s="118"/>
      <c r="BC2027" s="118"/>
      <c r="BD2027" s="118"/>
      <c r="BE2027" s="118"/>
      <c r="BF2027" s="118"/>
      <c r="BG2027" s="118"/>
      <c r="BH2027" s="118"/>
      <c r="BI2027" s="118"/>
      <c r="BJ2027" s="118"/>
      <c r="BK2027" s="118"/>
      <c r="BL2027" s="118"/>
      <c r="BM2027" s="118"/>
      <c r="BN2027" s="118"/>
      <c r="BO2027" s="118"/>
      <c r="BP2027" s="118"/>
      <c r="BQ2027" s="118"/>
      <c r="BR2027" s="118"/>
      <c r="BS2027" s="118"/>
      <c r="BT2027" s="118"/>
      <c r="BU2027" s="118"/>
      <c r="BV2027" s="118"/>
      <c r="BW2027" s="118"/>
      <c r="BX2027" s="118"/>
      <c r="BY2027" s="118"/>
      <c r="BZ2027" s="118"/>
      <c r="CA2027" s="118"/>
      <c r="CB2027" s="118"/>
      <c r="CC2027" s="118"/>
      <c r="CD2027" s="118"/>
      <c r="CE2027" s="118"/>
      <c r="CF2027" s="118"/>
      <c r="CG2027" s="118"/>
      <c r="CH2027" s="118"/>
      <c r="CI2027" s="118"/>
      <c r="CJ2027" s="118"/>
      <c r="CK2027" s="118"/>
      <c r="CL2027" s="118"/>
      <c r="CM2027" s="118"/>
      <c r="CN2027" s="118"/>
      <c r="CO2027" s="118"/>
      <c r="CP2027" s="118"/>
      <c r="CQ2027" s="118"/>
      <c r="CR2027" s="118"/>
      <c r="CS2027" s="118"/>
      <c r="CT2027" s="118"/>
      <c r="CU2027" s="118"/>
      <c r="CV2027" s="118"/>
      <c r="CW2027" s="118"/>
      <c r="CX2027" s="118"/>
      <c r="CY2027" s="118"/>
      <c r="CZ2027" s="118"/>
      <c r="DA2027" s="118"/>
      <c r="DB2027" s="118"/>
      <c r="DC2027" s="118"/>
      <c r="DD2027" s="118"/>
      <c r="DE2027" s="118"/>
      <c r="DF2027" s="118"/>
      <c r="DG2027" s="118"/>
      <c r="DH2027" s="118"/>
      <c r="DI2027" s="118"/>
      <c r="DJ2027" s="118"/>
      <c r="DK2027" s="118"/>
      <c r="DL2027" s="118"/>
      <c r="DM2027" s="118"/>
      <c r="DN2027" s="118"/>
      <c r="DO2027" s="118"/>
      <c r="DP2027" s="118"/>
      <c r="DQ2027" s="118"/>
      <c r="DR2027" s="118"/>
      <c r="DS2027" s="118"/>
      <c r="DT2027" s="118"/>
      <c r="DU2027" s="118"/>
      <c r="DV2027" s="118"/>
      <c r="DW2027" s="118"/>
      <c r="DX2027" s="118"/>
      <c r="DY2027" s="118"/>
      <c r="DZ2027" s="118"/>
      <c r="EA2027" s="118"/>
      <c r="EB2027" s="118"/>
      <c r="EC2027" s="118"/>
      <c r="ED2027" s="118"/>
      <c r="EE2027" s="118"/>
      <c r="EF2027" s="118"/>
      <c r="EG2027" s="118"/>
      <c r="EH2027" s="118"/>
      <c r="EI2027" s="118"/>
      <c r="EJ2027" s="118"/>
      <c r="EK2027" s="118"/>
      <c r="EL2027" s="118"/>
      <c r="EM2027" s="118"/>
      <c r="EN2027" s="118"/>
      <c r="EO2027" s="118"/>
      <c r="EP2027" s="118"/>
      <c r="EQ2027" s="118"/>
      <c r="ER2027" s="118"/>
      <c r="ES2027" s="118"/>
      <c r="ET2027" s="118"/>
      <c r="EU2027" s="118"/>
      <c r="EV2027" s="118"/>
      <c r="EW2027" s="118"/>
      <c r="EX2027" s="118"/>
      <c r="EY2027" s="118"/>
      <c r="EZ2027" s="118"/>
      <c r="FA2027" s="118"/>
      <c r="FB2027" s="118"/>
      <c r="FC2027" s="118"/>
      <c r="FD2027" s="118"/>
      <c r="FE2027" s="118"/>
      <c r="FF2027" s="118"/>
      <c r="FG2027" s="118"/>
      <c r="FH2027" s="118"/>
      <c r="FI2027" s="118"/>
      <c r="FJ2027" s="118"/>
      <c r="FK2027" s="118"/>
      <c r="FL2027" s="118"/>
      <c r="FM2027" s="118"/>
      <c r="FN2027" s="118"/>
      <c r="FO2027" s="118"/>
      <c r="FP2027" s="118"/>
      <c r="FQ2027" s="118"/>
      <c r="FR2027" s="118"/>
      <c r="FS2027" s="118"/>
      <c r="FT2027" s="118"/>
      <c r="FU2027" s="118"/>
      <c r="FV2027" s="118"/>
      <c r="FW2027" s="118"/>
      <c r="FX2027" s="118"/>
      <c r="FY2027" s="118"/>
      <c r="FZ2027" s="118"/>
      <c r="GA2027" s="118"/>
      <c r="GB2027" s="118"/>
      <c r="GC2027" s="118"/>
      <c r="GD2027" s="118"/>
      <c r="GE2027" s="118"/>
      <c r="GF2027" s="118"/>
      <c r="GG2027" s="118"/>
      <c r="GH2027" s="118"/>
      <c r="GI2027" s="118"/>
      <c r="GJ2027" s="118"/>
      <c r="GK2027" s="118"/>
      <c r="GL2027" s="118"/>
      <c r="GM2027" s="118"/>
      <c r="GN2027" s="118"/>
      <c r="GO2027" s="118"/>
      <c r="GP2027" s="118"/>
      <c r="GQ2027" s="118"/>
      <c r="GR2027" s="118"/>
      <c r="GS2027" s="118"/>
      <c r="GT2027" s="118"/>
      <c r="GU2027" s="118"/>
      <c r="GV2027" s="118"/>
      <c r="GW2027" s="118"/>
      <c r="GX2027" s="118"/>
      <c r="GY2027" s="118"/>
      <c r="GZ2027" s="118"/>
      <c r="HA2027" s="118"/>
      <c r="HB2027" s="118"/>
      <c r="HC2027" s="118"/>
      <c r="HD2027" s="118"/>
      <c r="HE2027" s="118"/>
      <c r="HF2027" s="118"/>
      <c r="HG2027" s="118"/>
      <c r="HH2027" s="118"/>
      <c r="HI2027" s="118"/>
      <c r="HJ2027" s="118"/>
      <c r="HK2027" s="118"/>
      <c r="HL2027" s="118"/>
      <c r="HM2027" s="118"/>
      <c r="HN2027" s="118"/>
      <c r="HO2027" s="118"/>
      <c r="HP2027" s="118"/>
      <c r="HQ2027" s="118"/>
      <c r="HR2027" s="118"/>
      <c r="HS2027" s="118"/>
      <c r="HT2027" s="118"/>
      <c r="HU2027" s="118"/>
      <c r="HV2027" s="118"/>
      <c r="HW2027" s="118"/>
      <c r="HX2027" s="118"/>
      <c r="HY2027" s="118"/>
      <c r="HZ2027" s="118"/>
      <c r="IA2027" s="118"/>
      <c r="IB2027" s="118"/>
      <c r="IC2027" s="118"/>
      <c r="ID2027" s="118"/>
      <c r="IE2027" s="118"/>
      <c r="IF2027" s="118"/>
      <c r="IG2027" s="118"/>
      <c r="IH2027" s="118"/>
      <c r="II2027" s="118"/>
      <c r="IJ2027" s="118"/>
    </row>
    <row r="2028" spans="1:244">
      <c r="A2028" s="118">
        <v>2027</v>
      </c>
      <c r="B2028" s="128">
        <v>22</v>
      </c>
      <c r="C2028" s="156">
        <v>37926</v>
      </c>
      <c r="D2028" s="157" t="s">
        <v>54</v>
      </c>
      <c r="E2028" s="8">
        <v>2003</v>
      </c>
      <c r="F2028" s="158">
        <f t="shared" si="513"/>
        <v>245</v>
      </c>
      <c r="G2028" s="158">
        <f t="shared" si="514"/>
        <v>1</v>
      </c>
      <c r="H2028" s="162">
        <v>37681</v>
      </c>
      <c r="I2028" s="194">
        <v>768000</v>
      </c>
      <c r="J2028" s="15">
        <v>7.0000000000000007E-2</v>
      </c>
      <c r="K2028" s="15">
        <v>0.33</v>
      </c>
      <c r="L2028" s="15">
        <v>0.13</v>
      </c>
      <c r="O2028" s="15">
        <v>0</v>
      </c>
      <c r="Q2028" s="11">
        <v>7.6</v>
      </c>
      <c r="R2028" s="11">
        <v>30</v>
      </c>
      <c r="T2028" s="161">
        <f t="shared" si="518"/>
        <v>253440</v>
      </c>
      <c r="U2028" s="161">
        <f t="shared" si="515"/>
        <v>99840</v>
      </c>
      <c r="V2028" s="161">
        <f t="shared" si="516"/>
        <v>0</v>
      </c>
      <c r="W2028" s="161">
        <f t="shared" si="517"/>
        <v>0</v>
      </c>
    </row>
    <row r="2029" spans="1:244">
      <c r="A2029" s="118">
        <v>2028</v>
      </c>
      <c r="B2029" s="128">
        <v>22</v>
      </c>
      <c r="C2029" s="156">
        <v>37956</v>
      </c>
      <c r="D2029" s="157" t="s">
        <v>55</v>
      </c>
      <c r="E2029" s="8">
        <v>2003</v>
      </c>
      <c r="F2029" s="158">
        <f t="shared" si="513"/>
        <v>275</v>
      </c>
      <c r="G2029" s="158">
        <f t="shared" si="514"/>
        <v>1</v>
      </c>
      <c r="H2029" s="162">
        <v>37681</v>
      </c>
      <c r="I2029" s="194">
        <v>766962</v>
      </c>
      <c r="J2029" s="435"/>
      <c r="K2029" s="217">
        <f>(K2028+K2030)/2</f>
        <v>0.57999999999999996</v>
      </c>
      <c r="L2029" s="217">
        <f>(L2028+L2030)/2</f>
        <v>0.13</v>
      </c>
      <c r="M2029" s="439"/>
      <c r="N2029" s="528">
        <v>1</v>
      </c>
      <c r="O2029" s="217">
        <f>(O2028+O2030)/2</f>
        <v>0.3</v>
      </c>
      <c r="P2029" s="214"/>
      <c r="Q2029" s="215">
        <f>(Q2028+Q2030)/2</f>
        <v>7.1999999999999993</v>
      </c>
      <c r="R2029" s="216">
        <f>(R2028+R2030)/2</f>
        <v>30</v>
      </c>
      <c r="T2029" s="161">
        <f t="shared" si="518"/>
        <v>444837.95999999996</v>
      </c>
      <c r="U2029" s="161">
        <f t="shared" si="515"/>
        <v>99705.06</v>
      </c>
      <c r="V2029" s="161">
        <f t="shared" si="516"/>
        <v>230088.6</v>
      </c>
      <c r="W2029" s="161">
        <f t="shared" si="517"/>
        <v>92035.44</v>
      </c>
    </row>
    <row r="2030" spans="1:244">
      <c r="A2030" s="118">
        <v>2029</v>
      </c>
      <c r="B2030" s="128">
        <v>22</v>
      </c>
      <c r="C2030" s="156">
        <v>37987</v>
      </c>
      <c r="D2030" s="157" t="s">
        <v>44</v>
      </c>
      <c r="E2030" s="8">
        <v>2004</v>
      </c>
      <c r="F2030" s="158">
        <f t="shared" si="513"/>
        <v>306</v>
      </c>
      <c r="G2030" s="158">
        <f t="shared" si="514"/>
        <v>1</v>
      </c>
      <c r="H2030" s="162">
        <v>37681</v>
      </c>
      <c r="I2030" s="198">
        <v>766000</v>
      </c>
      <c r="J2030" s="15">
        <v>0.53</v>
      </c>
      <c r="K2030" s="15">
        <v>0.83</v>
      </c>
      <c r="L2030" s="15">
        <v>0.13</v>
      </c>
      <c r="O2030" s="15">
        <v>0.6</v>
      </c>
      <c r="Q2030" s="11">
        <v>6.8</v>
      </c>
      <c r="R2030" s="11">
        <v>30</v>
      </c>
      <c r="T2030" s="161">
        <f t="shared" si="518"/>
        <v>635780</v>
      </c>
      <c r="U2030" s="161">
        <f t="shared" si="515"/>
        <v>99580</v>
      </c>
      <c r="V2030" s="161">
        <f t="shared" si="516"/>
        <v>459600</v>
      </c>
      <c r="W2030" s="161">
        <f t="shared" si="517"/>
        <v>183840</v>
      </c>
    </row>
    <row r="2031" spans="1:244">
      <c r="A2031" s="118">
        <v>2030</v>
      </c>
      <c r="B2031" s="128">
        <v>22</v>
      </c>
      <c r="C2031" s="156">
        <v>38018</v>
      </c>
      <c r="D2031" s="157" t="s">
        <v>45</v>
      </c>
      <c r="E2031" s="8">
        <v>2004</v>
      </c>
      <c r="F2031" s="158">
        <f t="shared" si="513"/>
        <v>337</v>
      </c>
      <c r="G2031" s="158">
        <f t="shared" si="514"/>
        <v>1</v>
      </c>
      <c r="H2031" s="162">
        <v>37681</v>
      </c>
      <c r="I2031" s="198">
        <v>766000</v>
      </c>
      <c r="J2031" s="15">
        <v>0.3</v>
      </c>
      <c r="K2031" s="15">
        <v>1.2</v>
      </c>
      <c r="L2031" s="15">
        <v>0.3</v>
      </c>
      <c r="M2031" s="174">
        <v>0</v>
      </c>
      <c r="O2031" s="15">
        <v>0.2</v>
      </c>
      <c r="Q2031" s="11">
        <v>6.5</v>
      </c>
      <c r="R2031" s="11">
        <v>31</v>
      </c>
      <c r="T2031" s="161">
        <f t="shared" si="518"/>
        <v>919200</v>
      </c>
      <c r="U2031" s="161">
        <f t="shared" si="515"/>
        <v>229800</v>
      </c>
      <c r="V2031" s="161">
        <f t="shared" si="516"/>
        <v>153200</v>
      </c>
      <c r="W2031" s="161">
        <f t="shared" si="517"/>
        <v>61280</v>
      </c>
    </row>
    <row r="2032" spans="1:244">
      <c r="A2032" s="118">
        <v>2031</v>
      </c>
      <c r="B2032" s="128">
        <v>22</v>
      </c>
      <c r="C2032" s="156">
        <v>38047</v>
      </c>
      <c r="D2032" s="157" t="s">
        <v>46</v>
      </c>
      <c r="E2032" s="8">
        <v>2004</v>
      </c>
      <c r="F2032" s="158">
        <f t="shared" si="513"/>
        <v>366</v>
      </c>
      <c r="G2032" s="158">
        <f t="shared" si="514"/>
        <v>2</v>
      </c>
      <c r="H2032" s="162">
        <v>37681</v>
      </c>
      <c r="I2032" s="194">
        <v>765089</v>
      </c>
      <c r="J2032" s="15">
        <v>0.4</v>
      </c>
      <c r="K2032" s="15">
        <v>2.2999999999999998</v>
      </c>
      <c r="L2032" s="15">
        <v>1</v>
      </c>
      <c r="M2032" s="174">
        <v>0</v>
      </c>
      <c r="O2032" s="15">
        <v>0.5</v>
      </c>
      <c r="Q2032" s="11">
        <v>7.4</v>
      </c>
      <c r="R2032" s="11">
        <v>30</v>
      </c>
      <c r="T2032" s="161">
        <f t="shared" si="518"/>
        <v>1759704.7</v>
      </c>
      <c r="U2032" s="161">
        <f t="shared" si="515"/>
        <v>765089</v>
      </c>
      <c r="V2032" s="161">
        <f t="shared" si="516"/>
        <v>382544.5</v>
      </c>
      <c r="W2032" s="161">
        <f t="shared" si="517"/>
        <v>153017.80000000002</v>
      </c>
    </row>
    <row r="2033" spans="1:244">
      <c r="A2033" s="118">
        <v>2032</v>
      </c>
      <c r="B2033" s="128">
        <v>22</v>
      </c>
      <c r="C2033" s="156">
        <v>38078</v>
      </c>
      <c r="D2033" s="157" t="s">
        <v>47</v>
      </c>
      <c r="E2033" s="8">
        <v>2004</v>
      </c>
      <c r="F2033" s="158">
        <f t="shared" si="513"/>
        <v>397</v>
      </c>
      <c r="G2033" s="158">
        <f t="shared" si="514"/>
        <v>2</v>
      </c>
      <c r="H2033" s="162">
        <v>37681</v>
      </c>
      <c r="I2033" s="194">
        <v>762157</v>
      </c>
      <c r="J2033" s="15">
        <v>2.5</v>
      </c>
      <c r="K2033" s="15">
        <v>6.47</v>
      </c>
      <c r="L2033" s="15">
        <v>1.45</v>
      </c>
      <c r="M2033" s="174">
        <v>0</v>
      </c>
      <c r="O2033" s="15">
        <v>0.63</v>
      </c>
      <c r="P2033" s="8">
        <v>1</v>
      </c>
      <c r="Q2033" s="11">
        <v>8.6999999999999993</v>
      </c>
      <c r="R2033" s="11">
        <v>31</v>
      </c>
      <c r="T2033" s="161">
        <f t="shared" si="518"/>
        <v>4931155.79</v>
      </c>
      <c r="U2033" s="161">
        <f t="shared" si="515"/>
        <v>1105127.6499999999</v>
      </c>
      <c r="V2033" s="161">
        <f t="shared" si="516"/>
        <v>480158.91</v>
      </c>
      <c r="W2033" s="161">
        <f t="shared" si="517"/>
        <v>192063.56400000001</v>
      </c>
    </row>
    <row r="2034" spans="1:244" ht="12.75" customHeight="1">
      <c r="A2034" s="118">
        <v>2033</v>
      </c>
      <c r="B2034" s="128">
        <v>22</v>
      </c>
      <c r="C2034" s="156">
        <v>38108</v>
      </c>
      <c r="D2034" s="157" t="s">
        <v>48</v>
      </c>
      <c r="E2034" s="8">
        <v>2004</v>
      </c>
      <c r="F2034" s="158">
        <f t="shared" si="513"/>
        <v>427</v>
      </c>
      <c r="G2034" s="158">
        <f t="shared" si="514"/>
        <v>2</v>
      </c>
      <c r="H2034" s="162">
        <v>37681</v>
      </c>
      <c r="I2034" s="194">
        <v>757936</v>
      </c>
      <c r="J2034" s="15">
        <v>0.2</v>
      </c>
      <c r="K2034" s="15">
        <v>3.3</v>
      </c>
      <c r="L2034" s="15">
        <v>1.4</v>
      </c>
      <c r="M2034" s="174">
        <v>0</v>
      </c>
      <c r="O2034" s="15">
        <v>0</v>
      </c>
      <c r="Q2034" s="11">
        <v>11.9</v>
      </c>
      <c r="R2034" s="11">
        <v>30</v>
      </c>
      <c r="T2034" s="161">
        <f t="shared" si="518"/>
        <v>2501188.7999999998</v>
      </c>
      <c r="U2034" s="161">
        <f t="shared" si="515"/>
        <v>1061110.3999999999</v>
      </c>
      <c r="V2034" s="161">
        <f t="shared" si="516"/>
        <v>0</v>
      </c>
      <c r="W2034" s="161">
        <f t="shared" si="517"/>
        <v>0</v>
      </c>
      <c r="X2034" s="127"/>
      <c r="Y2034" s="127"/>
      <c r="Z2034" s="127"/>
      <c r="AA2034" s="127"/>
      <c r="AB2034" s="127"/>
      <c r="AC2034" s="127"/>
      <c r="AD2034" s="127"/>
      <c r="AE2034" s="127"/>
      <c r="AF2034" s="127"/>
      <c r="AG2034" s="127"/>
      <c r="AH2034" s="127"/>
      <c r="AI2034" s="127"/>
      <c r="AJ2034" s="127"/>
      <c r="AK2034" s="127"/>
      <c r="AL2034" s="127"/>
      <c r="AM2034" s="127"/>
      <c r="AN2034" s="127"/>
      <c r="AO2034" s="127"/>
      <c r="AP2034" s="127"/>
      <c r="AQ2034" s="127"/>
      <c r="AR2034" s="127"/>
      <c r="AS2034" s="127"/>
      <c r="AT2034" s="127"/>
      <c r="AU2034" s="127"/>
      <c r="AV2034" s="127"/>
      <c r="AW2034" s="127"/>
      <c r="AX2034" s="127"/>
      <c r="AY2034" s="127"/>
      <c r="AZ2034" s="127"/>
      <c r="BA2034" s="127"/>
      <c r="BB2034" s="127"/>
      <c r="BC2034" s="127"/>
      <c r="BD2034" s="127"/>
      <c r="BE2034" s="127"/>
      <c r="BF2034" s="127"/>
      <c r="BG2034" s="127"/>
      <c r="BH2034" s="127"/>
      <c r="BI2034" s="127"/>
      <c r="BJ2034" s="127"/>
      <c r="BK2034" s="127"/>
      <c r="BL2034" s="127"/>
      <c r="BM2034" s="127"/>
      <c r="BN2034" s="127"/>
      <c r="BO2034" s="127"/>
      <c r="BP2034" s="127"/>
      <c r="BQ2034" s="127"/>
      <c r="BR2034" s="127"/>
      <c r="BS2034" s="127"/>
      <c r="BT2034" s="127"/>
      <c r="BU2034" s="127"/>
      <c r="BV2034" s="127"/>
      <c r="BW2034" s="127"/>
      <c r="BX2034" s="127"/>
      <c r="BY2034" s="127"/>
      <c r="BZ2034" s="127"/>
      <c r="CA2034" s="127"/>
      <c r="CB2034" s="127"/>
      <c r="CC2034" s="127"/>
      <c r="CD2034" s="127"/>
      <c r="CE2034" s="127"/>
      <c r="CF2034" s="127"/>
      <c r="CG2034" s="127"/>
      <c r="CH2034" s="127"/>
      <c r="CI2034" s="127"/>
      <c r="CJ2034" s="127"/>
      <c r="CK2034" s="127"/>
      <c r="CL2034" s="127"/>
      <c r="CM2034" s="127"/>
      <c r="CN2034" s="127"/>
      <c r="CO2034" s="127"/>
      <c r="CP2034" s="127"/>
      <c r="CQ2034" s="127"/>
      <c r="CR2034" s="127"/>
      <c r="CS2034" s="127"/>
      <c r="CT2034" s="127"/>
      <c r="CU2034" s="127"/>
      <c r="CV2034" s="127"/>
      <c r="CW2034" s="127"/>
      <c r="CX2034" s="127"/>
      <c r="CY2034" s="127"/>
      <c r="CZ2034" s="127"/>
      <c r="DA2034" s="127"/>
      <c r="DB2034" s="127"/>
      <c r="DC2034" s="127"/>
      <c r="DD2034" s="127"/>
      <c r="DE2034" s="127"/>
      <c r="DF2034" s="127"/>
      <c r="DG2034" s="127"/>
      <c r="DH2034" s="127"/>
      <c r="DI2034" s="127"/>
      <c r="DJ2034" s="127"/>
      <c r="DK2034" s="127"/>
      <c r="DL2034" s="127"/>
      <c r="DM2034" s="127"/>
      <c r="DN2034" s="127"/>
      <c r="DO2034" s="127"/>
      <c r="DP2034" s="127"/>
      <c r="DQ2034" s="127"/>
      <c r="DR2034" s="127"/>
      <c r="DS2034" s="127"/>
      <c r="DT2034" s="127"/>
      <c r="DU2034" s="127"/>
      <c r="DV2034" s="127"/>
      <c r="DW2034" s="127"/>
      <c r="DX2034" s="127"/>
      <c r="DY2034" s="127"/>
      <c r="DZ2034" s="127"/>
      <c r="EA2034" s="127"/>
      <c r="EB2034" s="127"/>
      <c r="EC2034" s="127"/>
      <c r="ED2034" s="127"/>
      <c r="EE2034" s="127"/>
      <c r="EF2034" s="127"/>
      <c r="EG2034" s="127"/>
      <c r="EH2034" s="127"/>
      <c r="EI2034" s="127"/>
      <c r="EJ2034" s="127"/>
      <c r="EK2034" s="127"/>
      <c r="EL2034" s="127"/>
      <c r="EM2034" s="127"/>
      <c r="EN2034" s="127"/>
      <c r="EO2034" s="127"/>
      <c r="EP2034" s="127"/>
      <c r="EQ2034" s="127"/>
      <c r="ER2034" s="127"/>
      <c r="ES2034" s="127"/>
      <c r="ET2034" s="127"/>
      <c r="EU2034" s="127"/>
      <c r="EV2034" s="127"/>
      <c r="EW2034" s="127"/>
      <c r="EX2034" s="127"/>
      <c r="EY2034" s="127"/>
      <c r="EZ2034" s="127"/>
      <c r="FA2034" s="127"/>
      <c r="FB2034" s="127"/>
      <c r="FC2034" s="127"/>
      <c r="FD2034" s="127"/>
      <c r="FE2034" s="127"/>
      <c r="FF2034" s="127"/>
      <c r="FG2034" s="127"/>
      <c r="FH2034" s="127"/>
      <c r="FI2034" s="127"/>
      <c r="FJ2034" s="127"/>
      <c r="FK2034" s="127"/>
      <c r="FL2034" s="127"/>
      <c r="FM2034" s="127"/>
      <c r="FN2034" s="127"/>
      <c r="FO2034" s="127"/>
      <c r="FP2034" s="127"/>
      <c r="FQ2034" s="127"/>
      <c r="FR2034" s="127"/>
      <c r="FS2034" s="127"/>
      <c r="FT2034" s="127"/>
      <c r="FU2034" s="127"/>
      <c r="FV2034" s="127"/>
      <c r="FW2034" s="127"/>
      <c r="FX2034" s="127"/>
      <c r="FY2034" s="127"/>
      <c r="FZ2034" s="127"/>
      <c r="GA2034" s="127"/>
      <c r="GB2034" s="127"/>
      <c r="GC2034" s="127"/>
      <c r="GD2034" s="127"/>
      <c r="GE2034" s="127"/>
      <c r="GF2034" s="127"/>
      <c r="GG2034" s="127"/>
      <c r="GH2034" s="127"/>
      <c r="GI2034" s="127"/>
      <c r="GJ2034" s="127"/>
      <c r="GK2034" s="127"/>
      <c r="GL2034" s="127"/>
      <c r="GM2034" s="127"/>
      <c r="GN2034" s="127"/>
      <c r="GO2034" s="127"/>
      <c r="GP2034" s="127"/>
      <c r="GQ2034" s="127"/>
      <c r="GR2034" s="127"/>
      <c r="GS2034" s="127"/>
      <c r="GT2034" s="127"/>
      <c r="GU2034" s="127"/>
      <c r="GV2034" s="127"/>
      <c r="GW2034" s="127"/>
      <c r="GX2034" s="127"/>
      <c r="GY2034" s="127"/>
      <c r="GZ2034" s="127"/>
      <c r="HA2034" s="127"/>
      <c r="HB2034" s="127"/>
      <c r="HC2034" s="127"/>
      <c r="HD2034" s="127"/>
      <c r="HE2034" s="127"/>
      <c r="HF2034" s="127"/>
      <c r="HG2034" s="127"/>
      <c r="HH2034" s="127"/>
      <c r="HI2034" s="127"/>
      <c r="HJ2034" s="127"/>
      <c r="HK2034" s="127"/>
      <c r="HL2034" s="127"/>
      <c r="HM2034" s="127"/>
      <c r="HN2034" s="127"/>
      <c r="HO2034" s="127"/>
      <c r="HP2034" s="127"/>
      <c r="HQ2034" s="127"/>
      <c r="HR2034" s="127"/>
      <c r="HS2034" s="127"/>
      <c r="HT2034" s="127"/>
      <c r="HU2034" s="127"/>
      <c r="HV2034" s="127"/>
      <c r="HW2034" s="127"/>
      <c r="HX2034" s="127"/>
      <c r="HY2034" s="127"/>
      <c r="HZ2034" s="127"/>
      <c r="IA2034" s="127"/>
      <c r="IB2034" s="127"/>
      <c r="IC2034" s="127"/>
      <c r="ID2034" s="127"/>
      <c r="IE2034" s="127"/>
      <c r="IF2034" s="127"/>
      <c r="IG2034" s="127"/>
      <c r="IH2034" s="127"/>
      <c r="II2034" s="127"/>
      <c r="IJ2034" s="127"/>
    </row>
    <row r="2035" spans="1:244" ht="12.75" customHeight="1">
      <c r="A2035" s="118">
        <v>2034</v>
      </c>
      <c r="B2035" s="128">
        <v>22</v>
      </c>
      <c r="C2035" s="156">
        <v>38139</v>
      </c>
      <c r="D2035" s="157" t="s">
        <v>49</v>
      </c>
      <c r="E2035" s="8">
        <v>2004</v>
      </c>
      <c r="F2035" s="158">
        <f t="shared" si="513"/>
        <v>458</v>
      </c>
      <c r="G2035" s="158">
        <f t="shared" si="514"/>
        <v>2</v>
      </c>
      <c r="H2035" s="162">
        <v>37681</v>
      </c>
      <c r="I2035" s="194">
        <v>754135</v>
      </c>
      <c r="J2035" s="15">
        <v>0</v>
      </c>
      <c r="K2035" s="15">
        <v>0.45</v>
      </c>
      <c r="L2035" s="15">
        <v>0.25</v>
      </c>
      <c r="M2035" s="174">
        <v>0</v>
      </c>
      <c r="O2035" s="15">
        <v>0</v>
      </c>
      <c r="Q2035" s="11">
        <v>11.3</v>
      </c>
      <c r="R2035" s="11">
        <v>23</v>
      </c>
      <c r="T2035" s="161">
        <f t="shared" si="518"/>
        <v>339360.75</v>
      </c>
      <c r="U2035" s="161">
        <f t="shared" si="515"/>
        <v>188533.75</v>
      </c>
      <c r="V2035" s="161">
        <f t="shared" si="516"/>
        <v>0</v>
      </c>
      <c r="W2035" s="161">
        <f t="shared" si="517"/>
        <v>0</v>
      </c>
      <c r="X2035" s="127"/>
      <c r="Y2035" s="127"/>
      <c r="Z2035" s="127"/>
      <c r="AA2035" s="127"/>
      <c r="AB2035" s="127"/>
      <c r="AC2035" s="127"/>
      <c r="AD2035" s="127"/>
      <c r="AE2035" s="127"/>
      <c r="AF2035" s="127"/>
      <c r="AG2035" s="127"/>
      <c r="AH2035" s="127"/>
      <c r="AI2035" s="127"/>
      <c r="AJ2035" s="127"/>
      <c r="AK2035" s="127"/>
      <c r="AL2035" s="127"/>
      <c r="AM2035" s="127"/>
      <c r="AN2035" s="127"/>
      <c r="AO2035" s="127"/>
      <c r="AP2035" s="127"/>
      <c r="AQ2035" s="127"/>
      <c r="AR2035" s="127"/>
      <c r="AS2035" s="127"/>
      <c r="AT2035" s="127"/>
      <c r="AU2035" s="127"/>
      <c r="AV2035" s="127"/>
      <c r="AW2035" s="127"/>
      <c r="AX2035" s="127"/>
      <c r="AY2035" s="127"/>
      <c r="AZ2035" s="127"/>
      <c r="BA2035" s="127"/>
      <c r="BB2035" s="127"/>
      <c r="BC2035" s="127"/>
      <c r="BD2035" s="127"/>
      <c r="BE2035" s="127"/>
      <c r="BF2035" s="127"/>
      <c r="BG2035" s="127"/>
      <c r="BH2035" s="127"/>
      <c r="BI2035" s="127"/>
      <c r="BJ2035" s="127"/>
      <c r="BK2035" s="127"/>
      <c r="BL2035" s="127"/>
      <c r="BM2035" s="127"/>
      <c r="BN2035" s="127"/>
      <c r="BO2035" s="127"/>
      <c r="BP2035" s="127"/>
      <c r="BQ2035" s="127"/>
      <c r="BR2035" s="127"/>
      <c r="BS2035" s="127"/>
      <c r="BT2035" s="127"/>
      <c r="BU2035" s="127"/>
      <c r="BV2035" s="127"/>
      <c r="BW2035" s="127"/>
      <c r="BX2035" s="127"/>
      <c r="BY2035" s="127"/>
      <c r="BZ2035" s="127"/>
      <c r="CA2035" s="127"/>
      <c r="CB2035" s="127"/>
      <c r="CC2035" s="127"/>
      <c r="CD2035" s="127"/>
      <c r="CE2035" s="127"/>
      <c r="CF2035" s="127"/>
      <c r="CG2035" s="127"/>
      <c r="CH2035" s="127"/>
      <c r="CI2035" s="127"/>
      <c r="CJ2035" s="127"/>
      <c r="CK2035" s="127"/>
      <c r="CL2035" s="127"/>
      <c r="CM2035" s="127"/>
      <c r="CN2035" s="127"/>
      <c r="CO2035" s="127"/>
      <c r="CP2035" s="127"/>
      <c r="CQ2035" s="127"/>
      <c r="CR2035" s="127"/>
      <c r="CS2035" s="127"/>
      <c r="CT2035" s="127"/>
      <c r="CU2035" s="127"/>
      <c r="CV2035" s="127"/>
      <c r="CW2035" s="127"/>
      <c r="CX2035" s="127"/>
      <c r="CY2035" s="127"/>
      <c r="CZ2035" s="127"/>
      <c r="DA2035" s="127"/>
      <c r="DB2035" s="127"/>
      <c r="DC2035" s="127"/>
      <c r="DD2035" s="127"/>
      <c r="DE2035" s="127"/>
      <c r="DF2035" s="127"/>
      <c r="DG2035" s="127"/>
      <c r="DH2035" s="127"/>
      <c r="DI2035" s="127"/>
      <c r="DJ2035" s="127"/>
      <c r="DK2035" s="127"/>
      <c r="DL2035" s="127"/>
      <c r="DM2035" s="127"/>
      <c r="DN2035" s="127"/>
      <c r="DO2035" s="127"/>
      <c r="DP2035" s="127"/>
      <c r="DQ2035" s="127"/>
      <c r="DR2035" s="127"/>
      <c r="DS2035" s="127"/>
      <c r="DT2035" s="127"/>
      <c r="DU2035" s="127"/>
      <c r="DV2035" s="127"/>
      <c r="DW2035" s="127"/>
      <c r="DX2035" s="127"/>
      <c r="DY2035" s="127"/>
      <c r="DZ2035" s="127"/>
      <c r="EA2035" s="127"/>
      <c r="EB2035" s="127"/>
      <c r="EC2035" s="127"/>
      <c r="ED2035" s="127"/>
      <c r="EE2035" s="127"/>
      <c r="EF2035" s="127"/>
      <c r="EG2035" s="127"/>
      <c r="EH2035" s="127"/>
      <c r="EI2035" s="127"/>
      <c r="EJ2035" s="127"/>
      <c r="EK2035" s="127"/>
      <c r="EL2035" s="127"/>
      <c r="EM2035" s="127"/>
      <c r="EN2035" s="127"/>
      <c r="EO2035" s="127"/>
      <c r="EP2035" s="127"/>
      <c r="EQ2035" s="127"/>
      <c r="ER2035" s="127"/>
      <c r="ES2035" s="127"/>
      <c r="ET2035" s="127"/>
      <c r="EU2035" s="127"/>
      <c r="EV2035" s="127"/>
      <c r="EW2035" s="127"/>
      <c r="EX2035" s="127"/>
      <c r="EY2035" s="127"/>
      <c r="EZ2035" s="127"/>
      <c r="FA2035" s="127"/>
      <c r="FB2035" s="127"/>
      <c r="FC2035" s="127"/>
      <c r="FD2035" s="127"/>
      <c r="FE2035" s="127"/>
      <c r="FF2035" s="127"/>
      <c r="FG2035" s="127"/>
      <c r="FH2035" s="127"/>
      <c r="FI2035" s="127"/>
      <c r="FJ2035" s="127"/>
      <c r="FK2035" s="127"/>
      <c r="FL2035" s="127"/>
      <c r="FM2035" s="127"/>
      <c r="FN2035" s="127"/>
      <c r="FO2035" s="127"/>
      <c r="FP2035" s="127"/>
      <c r="FQ2035" s="127"/>
      <c r="FR2035" s="127"/>
      <c r="FS2035" s="127"/>
      <c r="FT2035" s="127"/>
      <c r="FU2035" s="127"/>
      <c r="FV2035" s="127"/>
      <c r="FW2035" s="127"/>
      <c r="FX2035" s="127"/>
      <c r="FY2035" s="127"/>
      <c r="FZ2035" s="127"/>
      <c r="GA2035" s="127"/>
      <c r="GB2035" s="127"/>
      <c r="GC2035" s="127"/>
      <c r="GD2035" s="127"/>
      <c r="GE2035" s="127"/>
      <c r="GF2035" s="127"/>
      <c r="GG2035" s="127"/>
      <c r="GH2035" s="127"/>
      <c r="GI2035" s="127"/>
      <c r="GJ2035" s="127"/>
      <c r="GK2035" s="127"/>
      <c r="GL2035" s="127"/>
      <c r="GM2035" s="127"/>
      <c r="GN2035" s="127"/>
      <c r="GO2035" s="127"/>
      <c r="GP2035" s="127"/>
      <c r="GQ2035" s="127"/>
      <c r="GR2035" s="127"/>
      <c r="GS2035" s="127"/>
      <c r="GT2035" s="127"/>
      <c r="GU2035" s="127"/>
      <c r="GV2035" s="127"/>
      <c r="GW2035" s="127"/>
      <c r="GX2035" s="127"/>
      <c r="GY2035" s="127"/>
      <c r="GZ2035" s="127"/>
      <c r="HA2035" s="127"/>
      <c r="HB2035" s="127"/>
      <c r="HC2035" s="127"/>
      <c r="HD2035" s="127"/>
      <c r="HE2035" s="127"/>
      <c r="HF2035" s="127"/>
      <c r="HG2035" s="127"/>
      <c r="HH2035" s="127"/>
      <c r="HI2035" s="127"/>
      <c r="HJ2035" s="127"/>
      <c r="HK2035" s="127"/>
      <c r="HL2035" s="127"/>
      <c r="HM2035" s="127"/>
      <c r="HN2035" s="127"/>
      <c r="HO2035" s="127"/>
      <c r="HP2035" s="127"/>
      <c r="HQ2035" s="127"/>
      <c r="HR2035" s="127"/>
      <c r="HS2035" s="127"/>
      <c r="HT2035" s="127"/>
      <c r="HU2035" s="127"/>
      <c r="HV2035" s="127"/>
      <c r="HW2035" s="127"/>
      <c r="HX2035" s="127"/>
      <c r="HY2035" s="127"/>
      <c r="HZ2035" s="127"/>
      <c r="IA2035" s="127"/>
      <c r="IB2035" s="127"/>
      <c r="IC2035" s="127"/>
      <c r="ID2035" s="127"/>
      <c r="IE2035" s="127"/>
      <c r="IF2035" s="127"/>
      <c r="IG2035" s="127"/>
      <c r="IH2035" s="127"/>
      <c r="II2035" s="127"/>
      <c r="IJ2035" s="127"/>
    </row>
    <row r="2036" spans="1:244" ht="12.75" customHeight="1">
      <c r="A2036" s="118">
        <v>2035</v>
      </c>
      <c r="B2036" s="128">
        <v>22</v>
      </c>
      <c r="C2036" s="156">
        <v>38169</v>
      </c>
      <c r="D2036" s="157" t="s">
        <v>50</v>
      </c>
      <c r="E2036" s="8">
        <v>2004</v>
      </c>
      <c r="F2036" s="158">
        <f t="shared" si="513"/>
        <v>488</v>
      </c>
      <c r="G2036" s="158">
        <f t="shared" si="514"/>
        <v>2</v>
      </c>
      <c r="H2036" s="162">
        <v>37681</v>
      </c>
      <c r="I2036" s="194">
        <v>712443</v>
      </c>
      <c r="J2036" s="15">
        <v>0</v>
      </c>
      <c r="K2036" s="15">
        <v>0</v>
      </c>
      <c r="L2036" s="15">
        <v>0</v>
      </c>
      <c r="M2036" s="174">
        <v>0</v>
      </c>
      <c r="O2036" s="15">
        <v>0</v>
      </c>
      <c r="Q2036" s="11">
        <v>9.1999999999999993</v>
      </c>
      <c r="R2036" s="11">
        <v>19</v>
      </c>
      <c r="S2036" s="155" t="s">
        <v>7</v>
      </c>
      <c r="T2036" s="161">
        <f t="shared" si="518"/>
        <v>0</v>
      </c>
      <c r="U2036" s="161">
        <f t="shared" si="515"/>
        <v>0</v>
      </c>
      <c r="V2036" s="161">
        <f t="shared" si="516"/>
        <v>0</v>
      </c>
      <c r="W2036" s="161">
        <f t="shared" si="517"/>
        <v>0</v>
      </c>
      <c r="X2036" s="127"/>
      <c r="Y2036" s="127"/>
      <c r="Z2036" s="127"/>
      <c r="AA2036" s="127"/>
      <c r="AB2036" s="127"/>
      <c r="AC2036" s="127"/>
      <c r="AD2036" s="127"/>
      <c r="AE2036" s="127"/>
      <c r="AF2036" s="127"/>
      <c r="AG2036" s="127"/>
      <c r="AH2036" s="127"/>
      <c r="AI2036" s="127"/>
      <c r="AJ2036" s="127"/>
      <c r="AK2036" s="127"/>
      <c r="AL2036" s="127"/>
      <c r="AM2036" s="127"/>
      <c r="AN2036" s="127"/>
      <c r="AO2036" s="127"/>
      <c r="AP2036" s="127"/>
      <c r="AQ2036" s="127"/>
      <c r="AR2036" s="127"/>
      <c r="AS2036" s="127"/>
      <c r="AT2036" s="127"/>
      <c r="AU2036" s="127"/>
      <c r="AV2036" s="127"/>
      <c r="AW2036" s="127"/>
      <c r="AX2036" s="127"/>
      <c r="AY2036" s="127"/>
      <c r="AZ2036" s="127"/>
      <c r="BA2036" s="127"/>
      <c r="BB2036" s="127"/>
      <c r="BC2036" s="127"/>
      <c r="BD2036" s="127"/>
      <c r="BE2036" s="127"/>
      <c r="BF2036" s="127"/>
      <c r="BG2036" s="127"/>
      <c r="BH2036" s="127"/>
      <c r="BI2036" s="127"/>
      <c r="BJ2036" s="127"/>
      <c r="BK2036" s="127"/>
      <c r="BL2036" s="127"/>
      <c r="BM2036" s="127"/>
      <c r="BN2036" s="127"/>
      <c r="BO2036" s="127"/>
      <c r="BP2036" s="127"/>
      <c r="BQ2036" s="127"/>
      <c r="BR2036" s="127"/>
      <c r="BS2036" s="127"/>
      <c r="BT2036" s="127"/>
      <c r="BU2036" s="127"/>
      <c r="BV2036" s="127"/>
      <c r="BW2036" s="127"/>
      <c r="BX2036" s="127"/>
      <c r="BY2036" s="127"/>
      <c r="BZ2036" s="127"/>
      <c r="CA2036" s="127"/>
      <c r="CB2036" s="127"/>
      <c r="CC2036" s="127"/>
      <c r="CD2036" s="127"/>
      <c r="CE2036" s="127"/>
      <c r="CF2036" s="127"/>
      <c r="CG2036" s="127"/>
      <c r="CH2036" s="127"/>
      <c r="CI2036" s="127"/>
      <c r="CJ2036" s="127"/>
      <c r="CK2036" s="127"/>
      <c r="CL2036" s="127"/>
      <c r="CM2036" s="127"/>
      <c r="CN2036" s="127"/>
      <c r="CO2036" s="127"/>
      <c r="CP2036" s="127"/>
      <c r="CQ2036" s="127"/>
      <c r="CR2036" s="127"/>
      <c r="CS2036" s="127"/>
      <c r="CT2036" s="127"/>
      <c r="CU2036" s="127"/>
      <c r="CV2036" s="127"/>
      <c r="CW2036" s="127"/>
      <c r="CX2036" s="127"/>
      <c r="CY2036" s="127"/>
      <c r="CZ2036" s="127"/>
      <c r="DA2036" s="127"/>
      <c r="DB2036" s="127"/>
      <c r="DC2036" s="127"/>
      <c r="DD2036" s="127"/>
      <c r="DE2036" s="127"/>
      <c r="DF2036" s="127"/>
      <c r="DG2036" s="127"/>
      <c r="DH2036" s="127"/>
      <c r="DI2036" s="127"/>
      <c r="DJ2036" s="127"/>
      <c r="DK2036" s="127"/>
      <c r="DL2036" s="127"/>
      <c r="DM2036" s="127"/>
      <c r="DN2036" s="127"/>
      <c r="DO2036" s="127"/>
      <c r="DP2036" s="127"/>
      <c r="DQ2036" s="127"/>
      <c r="DR2036" s="127"/>
      <c r="DS2036" s="127"/>
      <c r="DT2036" s="127"/>
      <c r="DU2036" s="127"/>
      <c r="DV2036" s="127"/>
      <c r="DW2036" s="127"/>
      <c r="DX2036" s="127"/>
      <c r="DY2036" s="127"/>
      <c r="DZ2036" s="127"/>
      <c r="EA2036" s="127"/>
      <c r="EB2036" s="127"/>
      <c r="EC2036" s="127"/>
      <c r="ED2036" s="127"/>
      <c r="EE2036" s="127"/>
      <c r="EF2036" s="127"/>
      <c r="EG2036" s="127"/>
      <c r="EH2036" s="127"/>
      <c r="EI2036" s="127"/>
      <c r="EJ2036" s="127"/>
      <c r="EK2036" s="127"/>
      <c r="EL2036" s="127"/>
      <c r="EM2036" s="127"/>
      <c r="EN2036" s="127"/>
      <c r="EO2036" s="127"/>
      <c r="EP2036" s="127"/>
      <c r="EQ2036" s="127"/>
      <c r="ER2036" s="127"/>
      <c r="ES2036" s="127"/>
      <c r="ET2036" s="127"/>
      <c r="EU2036" s="127"/>
      <c r="EV2036" s="127"/>
      <c r="EW2036" s="127"/>
      <c r="EX2036" s="127"/>
      <c r="EY2036" s="127"/>
      <c r="EZ2036" s="127"/>
      <c r="FA2036" s="127"/>
      <c r="FB2036" s="127"/>
      <c r="FC2036" s="127"/>
      <c r="FD2036" s="127"/>
      <c r="FE2036" s="127"/>
      <c r="FF2036" s="127"/>
      <c r="FG2036" s="127"/>
      <c r="FH2036" s="127"/>
      <c r="FI2036" s="127"/>
      <c r="FJ2036" s="127"/>
      <c r="FK2036" s="127"/>
      <c r="FL2036" s="127"/>
      <c r="FM2036" s="127"/>
      <c r="FN2036" s="127"/>
      <c r="FO2036" s="127"/>
      <c r="FP2036" s="127"/>
      <c r="FQ2036" s="127"/>
      <c r="FR2036" s="127"/>
      <c r="FS2036" s="127"/>
      <c r="FT2036" s="127"/>
      <c r="FU2036" s="127"/>
      <c r="FV2036" s="127"/>
      <c r="FW2036" s="127"/>
      <c r="FX2036" s="127"/>
      <c r="FY2036" s="127"/>
      <c r="FZ2036" s="127"/>
      <c r="GA2036" s="127"/>
      <c r="GB2036" s="127"/>
      <c r="GC2036" s="127"/>
      <c r="GD2036" s="127"/>
      <c r="GE2036" s="127"/>
      <c r="GF2036" s="127"/>
      <c r="GG2036" s="127"/>
      <c r="GH2036" s="127"/>
      <c r="GI2036" s="127"/>
      <c r="GJ2036" s="127"/>
      <c r="GK2036" s="127"/>
      <c r="GL2036" s="127"/>
      <c r="GM2036" s="127"/>
      <c r="GN2036" s="127"/>
      <c r="GO2036" s="127"/>
      <c r="GP2036" s="127"/>
      <c r="GQ2036" s="127"/>
      <c r="GR2036" s="127"/>
      <c r="GS2036" s="127"/>
      <c r="GT2036" s="127"/>
      <c r="GU2036" s="127"/>
      <c r="GV2036" s="127"/>
      <c r="GW2036" s="127"/>
      <c r="GX2036" s="127"/>
      <c r="GY2036" s="127"/>
      <c r="GZ2036" s="127"/>
      <c r="HA2036" s="127"/>
      <c r="HB2036" s="127"/>
      <c r="HC2036" s="127"/>
      <c r="HD2036" s="127"/>
      <c r="HE2036" s="127"/>
      <c r="HF2036" s="127"/>
      <c r="HG2036" s="127"/>
      <c r="HH2036" s="127"/>
      <c r="HI2036" s="127"/>
      <c r="HJ2036" s="127"/>
      <c r="HK2036" s="127"/>
      <c r="HL2036" s="127"/>
      <c r="HM2036" s="127"/>
      <c r="HN2036" s="127"/>
      <c r="HO2036" s="127"/>
      <c r="HP2036" s="127"/>
      <c r="HQ2036" s="127"/>
      <c r="HR2036" s="127"/>
      <c r="HS2036" s="127"/>
      <c r="HT2036" s="127"/>
      <c r="HU2036" s="127"/>
      <c r="HV2036" s="127"/>
      <c r="HW2036" s="127"/>
      <c r="HX2036" s="127"/>
      <c r="HY2036" s="127"/>
      <c r="HZ2036" s="127"/>
      <c r="IA2036" s="127"/>
      <c r="IB2036" s="127"/>
      <c r="IC2036" s="127"/>
      <c r="ID2036" s="127"/>
      <c r="IE2036" s="127"/>
      <c r="IF2036" s="127"/>
      <c r="IG2036" s="127"/>
      <c r="IH2036" s="127"/>
      <c r="II2036" s="127"/>
      <c r="IJ2036" s="127"/>
    </row>
    <row r="2037" spans="1:244" ht="12.75" customHeight="1">
      <c r="A2037" s="118">
        <v>2036</v>
      </c>
      <c r="B2037" s="128">
        <v>22</v>
      </c>
      <c r="C2037" s="156">
        <v>38200</v>
      </c>
      <c r="D2037" s="157" t="s">
        <v>51</v>
      </c>
      <c r="E2037" s="8">
        <v>2004</v>
      </c>
      <c r="F2037" s="158">
        <f t="shared" si="513"/>
        <v>519</v>
      </c>
      <c r="G2037" s="158">
        <f t="shared" si="514"/>
        <v>2</v>
      </c>
      <c r="H2037" s="162">
        <v>37681</v>
      </c>
      <c r="I2037" s="194">
        <v>714527</v>
      </c>
      <c r="J2037" s="15">
        <v>0</v>
      </c>
      <c r="K2037" s="15">
        <v>0</v>
      </c>
      <c r="L2037" s="15">
        <v>0</v>
      </c>
      <c r="M2037" s="174">
        <v>0</v>
      </c>
      <c r="O2037" s="15">
        <v>0</v>
      </c>
      <c r="Q2037" s="11">
        <v>10.4</v>
      </c>
      <c r="R2037" s="11">
        <v>16.2</v>
      </c>
      <c r="T2037" s="161">
        <f t="shared" si="518"/>
        <v>0</v>
      </c>
      <c r="U2037" s="161">
        <f t="shared" si="515"/>
        <v>0</v>
      </c>
      <c r="V2037" s="161">
        <f t="shared" si="516"/>
        <v>0</v>
      </c>
      <c r="W2037" s="161">
        <f t="shared" si="517"/>
        <v>0</v>
      </c>
      <c r="X2037" s="127"/>
      <c r="Y2037" s="127"/>
      <c r="Z2037" s="127"/>
      <c r="AA2037" s="127"/>
      <c r="AB2037" s="127"/>
      <c r="AC2037" s="127"/>
      <c r="AD2037" s="127"/>
      <c r="AE2037" s="127"/>
      <c r="AF2037" s="127"/>
      <c r="AG2037" s="127"/>
      <c r="AH2037" s="127"/>
      <c r="AI2037" s="127"/>
      <c r="AJ2037" s="127"/>
      <c r="AK2037" s="127"/>
      <c r="AL2037" s="127"/>
      <c r="AM2037" s="127"/>
      <c r="AN2037" s="127"/>
      <c r="AO2037" s="127"/>
      <c r="AP2037" s="127"/>
      <c r="AQ2037" s="127"/>
      <c r="AR2037" s="127"/>
      <c r="AS2037" s="127"/>
      <c r="AT2037" s="127"/>
      <c r="AU2037" s="127"/>
      <c r="AV2037" s="127"/>
      <c r="AW2037" s="127"/>
      <c r="AX2037" s="127"/>
      <c r="AY2037" s="127"/>
      <c r="AZ2037" s="127"/>
      <c r="BA2037" s="127"/>
      <c r="BB2037" s="127"/>
      <c r="BC2037" s="127"/>
      <c r="BD2037" s="127"/>
      <c r="BE2037" s="127"/>
      <c r="BF2037" s="127"/>
      <c r="BG2037" s="127"/>
      <c r="BH2037" s="127"/>
      <c r="BI2037" s="127"/>
      <c r="BJ2037" s="127"/>
      <c r="BK2037" s="127"/>
      <c r="BL2037" s="127"/>
      <c r="BM2037" s="127"/>
      <c r="BN2037" s="127"/>
      <c r="BO2037" s="127"/>
      <c r="BP2037" s="127"/>
      <c r="BQ2037" s="127"/>
      <c r="BR2037" s="127"/>
      <c r="BS2037" s="127"/>
      <c r="BT2037" s="127"/>
      <c r="BU2037" s="127"/>
      <c r="BV2037" s="127"/>
      <c r="BW2037" s="127"/>
      <c r="BX2037" s="127"/>
      <c r="BY2037" s="127"/>
      <c r="BZ2037" s="127"/>
      <c r="CA2037" s="127"/>
      <c r="CB2037" s="127"/>
      <c r="CC2037" s="127"/>
      <c r="CD2037" s="127"/>
      <c r="CE2037" s="127"/>
      <c r="CF2037" s="127"/>
      <c r="CG2037" s="127"/>
      <c r="CH2037" s="127"/>
      <c r="CI2037" s="127"/>
      <c r="CJ2037" s="127"/>
      <c r="CK2037" s="127"/>
      <c r="CL2037" s="127"/>
      <c r="CM2037" s="127"/>
      <c r="CN2037" s="127"/>
      <c r="CO2037" s="127"/>
      <c r="CP2037" s="127"/>
      <c r="CQ2037" s="127"/>
      <c r="CR2037" s="127"/>
      <c r="CS2037" s="127"/>
      <c r="CT2037" s="127"/>
      <c r="CU2037" s="127"/>
      <c r="CV2037" s="127"/>
      <c r="CW2037" s="127"/>
      <c r="CX2037" s="127"/>
      <c r="CY2037" s="127"/>
      <c r="CZ2037" s="127"/>
      <c r="DA2037" s="127"/>
      <c r="DB2037" s="127"/>
      <c r="DC2037" s="127"/>
      <c r="DD2037" s="127"/>
      <c r="DE2037" s="127"/>
      <c r="DF2037" s="127"/>
      <c r="DG2037" s="127"/>
      <c r="DH2037" s="127"/>
      <c r="DI2037" s="127"/>
      <c r="DJ2037" s="127"/>
      <c r="DK2037" s="127"/>
      <c r="DL2037" s="127"/>
      <c r="DM2037" s="127"/>
      <c r="DN2037" s="127"/>
      <c r="DO2037" s="127"/>
      <c r="DP2037" s="127"/>
      <c r="DQ2037" s="127"/>
      <c r="DR2037" s="127"/>
      <c r="DS2037" s="127"/>
      <c r="DT2037" s="127"/>
      <c r="DU2037" s="127"/>
      <c r="DV2037" s="127"/>
      <c r="DW2037" s="127"/>
      <c r="DX2037" s="127"/>
      <c r="DY2037" s="127"/>
      <c r="DZ2037" s="127"/>
      <c r="EA2037" s="127"/>
      <c r="EB2037" s="127"/>
      <c r="EC2037" s="127"/>
      <c r="ED2037" s="127"/>
      <c r="EE2037" s="127"/>
      <c r="EF2037" s="127"/>
      <c r="EG2037" s="127"/>
      <c r="EH2037" s="127"/>
      <c r="EI2037" s="127"/>
      <c r="EJ2037" s="127"/>
      <c r="EK2037" s="127"/>
      <c r="EL2037" s="127"/>
      <c r="EM2037" s="127"/>
      <c r="EN2037" s="127"/>
      <c r="EO2037" s="127"/>
      <c r="EP2037" s="127"/>
      <c r="EQ2037" s="127"/>
      <c r="ER2037" s="127"/>
      <c r="ES2037" s="127"/>
      <c r="ET2037" s="127"/>
      <c r="EU2037" s="127"/>
      <c r="EV2037" s="127"/>
      <c r="EW2037" s="127"/>
      <c r="EX2037" s="127"/>
      <c r="EY2037" s="127"/>
      <c r="EZ2037" s="127"/>
      <c r="FA2037" s="127"/>
      <c r="FB2037" s="127"/>
      <c r="FC2037" s="127"/>
      <c r="FD2037" s="127"/>
      <c r="FE2037" s="127"/>
      <c r="FF2037" s="127"/>
      <c r="FG2037" s="127"/>
      <c r="FH2037" s="127"/>
      <c r="FI2037" s="127"/>
      <c r="FJ2037" s="127"/>
      <c r="FK2037" s="127"/>
      <c r="FL2037" s="127"/>
      <c r="FM2037" s="127"/>
      <c r="FN2037" s="127"/>
      <c r="FO2037" s="127"/>
      <c r="FP2037" s="127"/>
      <c r="FQ2037" s="127"/>
      <c r="FR2037" s="127"/>
      <c r="FS2037" s="127"/>
      <c r="FT2037" s="127"/>
      <c r="FU2037" s="127"/>
      <c r="FV2037" s="127"/>
      <c r="FW2037" s="127"/>
      <c r="FX2037" s="127"/>
      <c r="FY2037" s="127"/>
      <c r="FZ2037" s="127"/>
      <c r="GA2037" s="127"/>
      <c r="GB2037" s="127"/>
      <c r="GC2037" s="127"/>
      <c r="GD2037" s="127"/>
      <c r="GE2037" s="127"/>
      <c r="GF2037" s="127"/>
      <c r="GG2037" s="127"/>
      <c r="GH2037" s="127"/>
      <c r="GI2037" s="127"/>
      <c r="GJ2037" s="127"/>
      <c r="GK2037" s="127"/>
      <c r="GL2037" s="127"/>
      <c r="GM2037" s="127"/>
      <c r="GN2037" s="127"/>
      <c r="GO2037" s="127"/>
      <c r="GP2037" s="127"/>
      <c r="GQ2037" s="127"/>
      <c r="GR2037" s="127"/>
      <c r="GS2037" s="127"/>
      <c r="GT2037" s="127"/>
      <c r="GU2037" s="127"/>
      <c r="GV2037" s="127"/>
      <c r="GW2037" s="127"/>
      <c r="GX2037" s="127"/>
      <c r="GY2037" s="127"/>
      <c r="GZ2037" s="127"/>
      <c r="HA2037" s="127"/>
      <c r="HB2037" s="127"/>
      <c r="HC2037" s="127"/>
      <c r="HD2037" s="127"/>
      <c r="HE2037" s="127"/>
      <c r="HF2037" s="127"/>
      <c r="HG2037" s="127"/>
      <c r="HH2037" s="127"/>
      <c r="HI2037" s="127"/>
      <c r="HJ2037" s="127"/>
      <c r="HK2037" s="127"/>
      <c r="HL2037" s="127"/>
      <c r="HM2037" s="127"/>
      <c r="HN2037" s="127"/>
      <c r="HO2037" s="127"/>
      <c r="HP2037" s="127"/>
      <c r="HQ2037" s="127"/>
      <c r="HR2037" s="127"/>
      <c r="HS2037" s="127"/>
      <c r="HT2037" s="127"/>
      <c r="HU2037" s="127"/>
      <c r="HV2037" s="127"/>
      <c r="HW2037" s="127"/>
      <c r="HX2037" s="127"/>
      <c r="HY2037" s="127"/>
      <c r="HZ2037" s="127"/>
      <c r="IA2037" s="127"/>
      <c r="IB2037" s="127"/>
      <c r="IC2037" s="127"/>
      <c r="ID2037" s="127"/>
      <c r="IE2037" s="127"/>
      <c r="IF2037" s="127"/>
      <c r="IG2037" s="127"/>
      <c r="IH2037" s="127"/>
      <c r="II2037" s="127"/>
      <c r="IJ2037" s="127"/>
    </row>
    <row r="2038" spans="1:244" ht="12.75" customHeight="1">
      <c r="A2038" s="118">
        <v>2037</v>
      </c>
      <c r="B2038" s="128">
        <v>22</v>
      </c>
      <c r="C2038" s="156">
        <v>38231</v>
      </c>
      <c r="D2038" s="157" t="s">
        <v>52</v>
      </c>
      <c r="E2038" s="8">
        <v>2004</v>
      </c>
      <c r="F2038" s="158">
        <f t="shared" si="513"/>
        <v>550</v>
      </c>
      <c r="G2038" s="158">
        <f t="shared" si="514"/>
        <v>2</v>
      </c>
      <c r="H2038" s="162">
        <v>37681</v>
      </c>
      <c r="I2038" s="194">
        <v>712231</v>
      </c>
      <c r="J2038" s="15">
        <v>0</v>
      </c>
      <c r="K2038" s="15">
        <v>0</v>
      </c>
      <c r="L2038" s="15">
        <v>0</v>
      </c>
      <c r="M2038" s="174">
        <v>0</v>
      </c>
      <c r="O2038" s="15">
        <v>0</v>
      </c>
      <c r="Q2038" s="11">
        <v>9.3000000000000007</v>
      </c>
      <c r="R2038" s="11">
        <v>21</v>
      </c>
      <c r="T2038" s="161">
        <f t="shared" si="518"/>
        <v>0</v>
      </c>
      <c r="U2038" s="161">
        <f t="shared" si="515"/>
        <v>0</v>
      </c>
      <c r="V2038" s="161">
        <f t="shared" si="516"/>
        <v>0</v>
      </c>
      <c r="W2038" s="161">
        <f t="shared" si="517"/>
        <v>0</v>
      </c>
      <c r="X2038" s="127"/>
      <c r="Y2038" s="127"/>
      <c r="Z2038" s="127"/>
      <c r="AA2038" s="127"/>
      <c r="AB2038" s="127"/>
      <c r="AC2038" s="127"/>
      <c r="AD2038" s="127"/>
      <c r="AE2038" s="127"/>
      <c r="AF2038" s="127"/>
      <c r="AG2038" s="127"/>
      <c r="AH2038" s="127"/>
      <c r="AI2038" s="127"/>
      <c r="AJ2038" s="127"/>
      <c r="AK2038" s="127"/>
      <c r="AL2038" s="127"/>
      <c r="AM2038" s="127"/>
      <c r="AN2038" s="127"/>
      <c r="AO2038" s="127"/>
      <c r="AP2038" s="127"/>
      <c r="AQ2038" s="127"/>
      <c r="AR2038" s="127"/>
      <c r="AS2038" s="127"/>
      <c r="AT2038" s="127"/>
      <c r="AU2038" s="127"/>
      <c r="AV2038" s="127"/>
      <c r="AW2038" s="127"/>
      <c r="AX2038" s="127"/>
      <c r="AY2038" s="127"/>
      <c r="AZ2038" s="127"/>
      <c r="BA2038" s="127"/>
      <c r="BB2038" s="127"/>
      <c r="BC2038" s="127"/>
      <c r="BD2038" s="127"/>
      <c r="BE2038" s="127"/>
      <c r="BF2038" s="127"/>
      <c r="BG2038" s="127"/>
      <c r="BH2038" s="127"/>
      <c r="BI2038" s="127"/>
      <c r="BJ2038" s="127"/>
      <c r="BK2038" s="127"/>
      <c r="BL2038" s="127"/>
      <c r="BM2038" s="127"/>
      <c r="BN2038" s="127"/>
      <c r="BO2038" s="127"/>
      <c r="BP2038" s="127"/>
      <c r="BQ2038" s="127"/>
      <c r="BR2038" s="127"/>
      <c r="BS2038" s="127"/>
      <c r="BT2038" s="127"/>
      <c r="BU2038" s="127"/>
      <c r="BV2038" s="127"/>
      <c r="BW2038" s="127"/>
      <c r="BX2038" s="127"/>
      <c r="BY2038" s="127"/>
      <c r="BZ2038" s="127"/>
      <c r="CA2038" s="127"/>
      <c r="CB2038" s="127"/>
      <c r="CC2038" s="127"/>
      <c r="CD2038" s="127"/>
      <c r="CE2038" s="127"/>
      <c r="CF2038" s="127"/>
      <c r="CG2038" s="127"/>
      <c r="CH2038" s="127"/>
      <c r="CI2038" s="127"/>
      <c r="CJ2038" s="127"/>
      <c r="CK2038" s="127"/>
      <c r="CL2038" s="127"/>
      <c r="CM2038" s="127"/>
      <c r="CN2038" s="127"/>
      <c r="CO2038" s="127"/>
      <c r="CP2038" s="127"/>
      <c r="CQ2038" s="127"/>
      <c r="CR2038" s="127"/>
      <c r="CS2038" s="127"/>
      <c r="CT2038" s="127"/>
      <c r="CU2038" s="127"/>
      <c r="CV2038" s="127"/>
      <c r="CW2038" s="127"/>
      <c r="CX2038" s="127"/>
      <c r="CY2038" s="127"/>
      <c r="CZ2038" s="127"/>
      <c r="DA2038" s="127"/>
      <c r="DB2038" s="127"/>
      <c r="DC2038" s="127"/>
      <c r="DD2038" s="127"/>
      <c r="DE2038" s="127"/>
      <c r="DF2038" s="127"/>
      <c r="DG2038" s="127"/>
      <c r="DH2038" s="127"/>
      <c r="DI2038" s="127"/>
      <c r="DJ2038" s="127"/>
      <c r="DK2038" s="127"/>
      <c r="DL2038" s="127"/>
      <c r="DM2038" s="127"/>
      <c r="DN2038" s="127"/>
      <c r="DO2038" s="127"/>
      <c r="DP2038" s="127"/>
      <c r="DQ2038" s="127"/>
      <c r="DR2038" s="127"/>
      <c r="DS2038" s="127"/>
      <c r="DT2038" s="127"/>
      <c r="DU2038" s="127"/>
      <c r="DV2038" s="127"/>
      <c r="DW2038" s="127"/>
      <c r="DX2038" s="127"/>
      <c r="DY2038" s="127"/>
      <c r="DZ2038" s="127"/>
      <c r="EA2038" s="127"/>
      <c r="EB2038" s="127"/>
      <c r="EC2038" s="127"/>
      <c r="ED2038" s="127"/>
      <c r="EE2038" s="127"/>
      <c r="EF2038" s="127"/>
      <c r="EG2038" s="127"/>
      <c r="EH2038" s="127"/>
      <c r="EI2038" s="127"/>
      <c r="EJ2038" s="127"/>
      <c r="EK2038" s="127"/>
      <c r="EL2038" s="127"/>
      <c r="EM2038" s="127"/>
      <c r="EN2038" s="127"/>
      <c r="EO2038" s="127"/>
      <c r="EP2038" s="127"/>
      <c r="EQ2038" s="127"/>
      <c r="ER2038" s="127"/>
      <c r="ES2038" s="127"/>
      <c r="ET2038" s="127"/>
      <c r="EU2038" s="127"/>
      <c r="EV2038" s="127"/>
      <c r="EW2038" s="127"/>
      <c r="EX2038" s="127"/>
      <c r="EY2038" s="127"/>
      <c r="EZ2038" s="127"/>
      <c r="FA2038" s="127"/>
      <c r="FB2038" s="127"/>
      <c r="FC2038" s="127"/>
      <c r="FD2038" s="127"/>
      <c r="FE2038" s="127"/>
      <c r="FF2038" s="127"/>
      <c r="FG2038" s="127"/>
      <c r="FH2038" s="127"/>
      <c r="FI2038" s="127"/>
      <c r="FJ2038" s="127"/>
      <c r="FK2038" s="127"/>
      <c r="FL2038" s="127"/>
      <c r="FM2038" s="127"/>
      <c r="FN2038" s="127"/>
      <c r="FO2038" s="127"/>
      <c r="FP2038" s="127"/>
      <c r="FQ2038" s="127"/>
      <c r="FR2038" s="127"/>
      <c r="FS2038" s="127"/>
      <c r="FT2038" s="127"/>
      <c r="FU2038" s="127"/>
      <c r="FV2038" s="127"/>
      <c r="FW2038" s="127"/>
      <c r="FX2038" s="127"/>
      <c r="FY2038" s="127"/>
      <c r="FZ2038" s="127"/>
      <c r="GA2038" s="127"/>
      <c r="GB2038" s="127"/>
      <c r="GC2038" s="127"/>
      <c r="GD2038" s="127"/>
      <c r="GE2038" s="127"/>
      <c r="GF2038" s="127"/>
      <c r="GG2038" s="127"/>
      <c r="GH2038" s="127"/>
      <c r="GI2038" s="127"/>
      <c r="GJ2038" s="127"/>
      <c r="GK2038" s="127"/>
      <c r="GL2038" s="127"/>
      <c r="GM2038" s="127"/>
      <c r="GN2038" s="127"/>
      <c r="GO2038" s="127"/>
      <c r="GP2038" s="127"/>
      <c r="GQ2038" s="127"/>
      <c r="GR2038" s="127"/>
      <c r="GS2038" s="127"/>
      <c r="GT2038" s="127"/>
      <c r="GU2038" s="127"/>
      <c r="GV2038" s="127"/>
      <c r="GW2038" s="127"/>
      <c r="GX2038" s="127"/>
      <c r="GY2038" s="127"/>
      <c r="GZ2038" s="127"/>
      <c r="HA2038" s="127"/>
      <c r="HB2038" s="127"/>
      <c r="HC2038" s="127"/>
      <c r="HD2038" s="127"/>
      <c r="HE2038" s="127"/>
      <c r="HF2038" s="127"/>
      <c r="HG2038" s="127"/>
      <c r="HH2038" s="127"/>
      <c r="HI2038" s="127"/>
      <c r="HJ2038" s="127"/>
      <c r="HK2038" s="127"/>
      <c r="HL2038" s="127"/>
      <c r="HM2038" s="127"/>
      <c r="HN2038" s="127"/>
      <c r="HO2038" s="127"/>
      <c r="HP2038" s="127"/>
      <c r="HQ2038" s="127"/>
      <c r="HR2038" s="127"/>
      <c r="HS2038" s="127"/>
      <c r="HT2038" s="127"/>
      <c r="HU2038" s="127"/>
      <c r="HV2038" s="127"/>
      <c r="HW2038" s="127"/>
      <c r="HX2038" s="127"/>
      <c r="HY2038" s="127"/>
      <c r="HZ2038" s="127"/>
      <c r="IA2038" s="127"/>
      <c r="IB2038" s="127"/>
      <c r="IC2038" s="127"/>
      <c r="ID2038" s="127"/>
      <c r="IE2038" s="127"/>
      <c r="IF2038" s="127"/>
      <c r="IG2038" s="127"/>
      <c r="IH2038" s="127"/>
      <c r="II2038" s="127"/>
      <c r="IJ2038" s="127"/>
    </row>
    <row r="2039" spans="1:244" ht="12.75" customHeight="1">
      <c r="A2039" s="118">
        <v>2038</v>
      </c>
      <c r="B2039" s="128">
        <v>22</v>
      </c>
      <c r="C2039" s="156">
        <v>38261</v>
      </c>
      <c r="D2039" s="157" t="s">
        <v>53</v>
      </c>
      <c r="E2039" s="8">
        <v>2004</v>
      </c>
      <c r="F2039" s="158">
        <f t="shared" si="513"/>
        <v>580</v>
      </c>
      <c r="G2039" s="158">
        <f t="shared" si="514"/>
        <v>2</v>
      </c>
      <c r="H2039" s="162">
        <v>37681</v>
      </c>
      <c r="I2039" s="194">
        <v>643000</v>
      </c>
      <c r="J2039" s="15">
        <v>0</v>
      </c>
      <c r="K2039" s="15">
        <v>0</v>
      </c>
      <c r="L2039" s="15">
        <v>0</v>
      </c>
      <c r="M2039" s="174">
        <v>0</v>
      </c>
      <c r="O2039" s="15">
        <v>0</v>
      </c>
      <c r="Q2039" s="11">
        <v>9</v>
      </c>
      <c r="R2039" s="11">
        <v>26.2</v>
      </c>
      <c r="S2039" s="155" t="s">
        <v>7</v>
      </c>
      <c r="T2039" s="161">
        <f t="shared" si="518"/>
        <v>0</v>
      </c>
      <c r="U2039" s="161">
        <f t="shared" si="515"/>
        <v>0</v>
      </c>
      <c r="V2039" s="161">
        <f t="shared" si="516"/>
        <v>0</v>
      </c>
      <c r="W2039" s="161">
        <f t="shared" si="517"/>
        <v>0</v>
      </c>
      <c r="X2039" s="127"/>
      <c r="Y2039" s="127"/>
      <c r="Z2039" s="127"/>
      <c r="AA2039" s="127"/>
      <c r="AB2039" s="127"/>
      <c r="AC2039" s="127"/>
      <c r="AD2039" s="127"/>
      <c r="AE2039" s="127"/>
      <c r="AF2039" s="127"/>
      <c r="AG2039" s="127"/>
      <c r="AH2039" s="127"/>
      <c r="AI2039" s="127"/>
      <c r="AJ2039" s="127"/>
      <c r="AK2039" s="127"/>
      <c r="AL2039" s="127"/>
      <c r="AM2039" s="127"/>
      <c r="AN2039" s="127"/>
      <c r="AO2039" s="127"/>
      <c r="AP2039" s="127"/>
      <c r="AQ2039" s="127"/>
      <c r="AR2039" s="127"/>
      <c r="AS2039" s="127"/>
      <c r="AT2039" s="127"/>
      <c r="AU2039" s="127"/>
      <c r="AV2039" s="127"/>
      <c r="AW2039" s="127"/>
      <c r="AX2039" s="127"/>
      <c r="AY2039" s="127"/>
      <c r="AZ2039" s="127"/>
      <c r="BA2039" s="127"/>
      <c r="BB2039" s="127"/>
      <c r="BC2039" s="127"/>
      <c r="BD2039" s="127"/>
      <c r="BE2039" s="127"/>
      <c r="BF2039" s="127"/>
      <c r="BG2039" s="127"/>
      <c r="BH2039" s="127"/>
      <c r="BI2039" s="127"/>
      <c r="BJ2039" s="127"/>
      <c r="BK2039" s="127"/>
      <c r="BL2039" s="127"/>
      <c r="BM2039" s="127"/>
      <c r="BN2039" s="127"/>
      <c r="BO2039" s="127"/>
      <c r="BP2039" s="127"/>
      <c r="BQ2039" s="127"/>
      <c r="BR2039" s="127"/>
      <c r="BS2039" s="127"/>
      <c r="BT2039" s="127"/>
      <c r="BU2039" s="127"/>
      <c r="BV2039" s="127"/>
      <c r="BW2039" s="127"/>
      <c r="BX2039" s="127"/>
      <c r="BY2039" s="127"/>
      <c r="BZ2039" s="127"/>
      <c r="CA2039" s="127"/>
      <c r="CB2039" s="127"/>
      <c r="CC2039" s="127"/>
      <c r="CD2039" s="127"/>
      <c r="CE2039" s="127"/>
      <c r="CF2039" s="127"/>
      <c r="CG2039" s="127"/>
      <c r="CH2039" s="127"/>
      <c r="CI2039" s="127"/>
      <c r="CJ2039" s="127"/>
      <c r="CK2039" s="127"/>
      <c r="CL2039" s="127"/>
      <c r="CM2039" s="127"/>
      <c r="CN2039" s="127"/>
      <c r="CO2039" s="127"/>
      <c r="CP2039" s="127"/>
      <c r="CQ2039" s="127"/>
      <c r="CR2039" s="127"/>
      <c r="CS2039" s="127"/>
      <c r="CT2039" s="127"/>
      <c r="CU2039" s="127"/>
      <c r="CV2039" s="127"/>
      <c r="CW2039" s="127"/>
      <c r="CX2039" s="127"/>
      <c r="CY2039" s="127"/>
      <c r="CZ2039" s="127"/>
      <c r="DA2039" s="127"/>
      <c r="DB2039" s="127"/>
      <c r="DC2039" s="127"/>
      <c r="DD2039" s="127"/>
      <c r="DE2039" s="127"/>
      <c r="DF2039" s="127"/>
      <c r="DG2039" s="127"/>
      <c r="DH2039" s="127"/>
      <c r="DI2039" s="127"/>
      <c r="DJ2039" s="127"/>
      <c r="DK2039" s="127"/>
      <c r="DL2039" s="127"/>
      <c r="DM2039" s="127"/>
      <c r="DN2039" s="127"/>
      <c r="DO2039" s="127"/>
      <c r="DP2039" s="127"/>
      <c r="DQ2039" s="127"/>
      <c r="DR2039" s="127"/>
      <c r="DS2039" s="127"/>
      <c r="DT2039" s="127"/>
      <c r="DU2039" s="127"/>
      <c r="DV2039" s="127"/>
      <c r="DW2039" s="127"/>
      <c r="DX2039" s="127"/>
      <c r="DY2039" s="127"/>
      <c r="DZ2039" s="127"/>
      <c r="EA2039" s="127"/>
      <c r="EB2039" s="127"/>
      <c r="EC2039" s="127"/>
      <c r="ED2039" s="127"/>
      <c r="EE2039" s="127"/>
      <c r="EF2039" s="127"/>
      <c r="EG2039" s="127"/>
      <c r="EH2039" s="127"/>
      <c r="EI2039" s="127"/>
      <c r="EJ2039" s="127"/>
      <c r="EK2039" s="127"/>
      <c r="EL2039" s="127"/>
      <c r="EM2039" s="127"/>
      <c r="EN2039" s="127"/>
      <c r="EO2039" s="127"/>
      <c r="EP2039" s="127"/>
      <c r="EQ2039" s="127"/>
      <c r="ER2039" s="127"/>
      <c r="ES2039" s="127"/>
      <c r="ET2039" s="127"/>
      <c r="EU2039" s="127"/>
      <c r="EV2039" s="127"/>
      <c r="EW2039" s="127"/>
      <c r="EX2039" s="127"/>
      <c r="EY2039" s="127"/>
      <c r="EZ2039" s="127"/>
      <c r="FA2039" s="127"/>
      <c r="FB2039" s="127"/>
      <c r="FC2039" s="127"/>
      <c r="FD2039" s="127"/>
      <c r="FE2039" s="127"/>
      <c r="FF2039" s="127"/>
      <c r="FG2039" s="127"/>
      <c r="FH2039" s="127"/>
      <c r="FI2039" s="127"/>
      <c r="FJ2039" s="127"/>
      <c r="FK2039" s="127"/>
      <c r="FL2039" s="127"/>
      <c r="FM2039" s="127"/>
      <c r="FN2039" s="127"/>
      <c r="FO2039" s="127"/>
      <c r="FP2039" s="127"/>
      <c r="FQ2039" s="127"/>
      <c r="FR2039" s="127"/>
      <c r="FS2039" s="127"/>
      <c r="FT2039" s="127"/>
      <c r="FU2039" s="127"/>
      <c r="FV2039" s="127"/>
      <c r="FW2039" s="127"/>
      <c r="FX2039" s="127"/>
      <c r="FY2039" s="127"/>
      <c r="FZ2039" s="127"/>
      <c r="GA2039" s="127"/>
      <c r="GB2039" s="127"/>
      <c r="GC2039" s="127"/>
      <c r="GD2039" s="127"/>
      <c r="GE2039" s="127"/>
      <c r="GF2039" s="127"/>
      <c r="GG2039" s="127"/>
      <c r="GH2039" s="127"/>
      <c r="GI2039" s="127"/>
      <c r="GJ2039" s="127"/>
      <c r="GK2039" s="127"/>
      <c r="GL2039" s="127"/>
      <c r="GM2039" s="127"/>
      <c r="GN2039" s="127"/>
      <c r="GO2039" s="127"/>
      <c r="GP2039" s="127"/>
      <c r="GQ2039" s="127"/>
      <c r="GR2039" s="127"/>
      <c r="GS2039" s="127"/>
      <c r="GT2039" s="127"/>
      <c r="GU2039" s="127"/>
      <c r="GV2039" s="127"/>
      <c r="GW2039" s="127"/>
      <c r="GX2039" s="127"/>
      <c r="GY2039" s="127"/>
      <c r="GZ2039" s="127"/>
      <c r="HA2039" s="127"/>
      <c r="HB2039" s="127"/>
      <c r="HC2039" s="127"/>
      <c r="HD2039" s="127"/>
      <c r="HE2039" s="127"/>
      <c r="HF2039" s="127"/>
      <c r="HG2039" s="127"/>
      <c r="HH2039" s="127"/>
      <c r="HI2039" s="127"/>
      <c r="HJ2039" s="127"/>
      <c r="HK2039" s="127"/>
      <c r="HL2039" s="127"/>
      <c r="HM2039" s="127"/>
      <c r="HN2039" s="127"/>
      <c r="HO2039" s="127"/>
      <c r="HP2039" s="127"/>
      <c r="HQ2039" s="127"/>
      <c r="HR2039" s="127"/>
      <c r="HS2039" s="127"/>
      <c r="HT2039" s="127"/>
      <c r="HU2039" s="127"/>
      <c r="HV2039" s="127"/>
      <c r="HW2039" s="127"/>
      <c r="HX2039" s="127"/>
      <c r="HY2039" s="127"/>
      <c r="HZ2039" s="127"/>
      <c r="IA2039" s="127"/>
      <c r="IB2039" s="127"/>
      <c r="IC2039" s="127"/>
      <c r="ID2039" s="127"/>
      <c r="IE2039" s="127"/>
      <c r="IF2039" s="127"/>
      <c r="IG2039" s="127"/>
      <c r="IH2039" s="127"/>
      <c r="II2039" s="127"/>
      <c r="IJ2039" s="127"/>
    </row>
    <row r="2040" spans="1:244" ht="12.75" customHeight="1">
      <c r="A2040" s="118">
        <v>2039</v>
      </c>
      <c r="B2040" s="128">
        <v>22</v>
      </c>
      <c r="C2040" s="156">
        <v>38292</v>
      </c>
      <c r="D2040" s="157" t="s">
        <v>54</v>
      </c>
      <c r="E2040" s="8">
        <v>2004</v>
      </c>
      <c r="F2040" s="158">
        <f t="shared" si="513"/>
        <v>611</v>
      </c>
      <c r="G2040" s="158">
        <f t="shared" si="514"/>
        <v>2</v>
      </c>
      <c r="H2040" s="162">
        <v>37681</v>
      </c>
      <c r="I2040" s="194">
        <v>532289</v>
      </c>
      <c r="J2040" s="15">
        <v>7.0000000000000007E-2</v>
      </c>
      <c r="K2040" s="15">
        <v>0.13</v>
      </c>
      <c r="L2040" s="15">
        <v>0</v>
      </c>
      <c r="M2040" s="174">
        <v>0</v>
      </c>
      <c r="O2040" s="15">
        <v>0</v>
      </c>
      <c r="Q2040" s="11">
        <v>7.6</v>
      </c>
      <c r="R2040" s="11">
        <v>25</v>
      </c>
      <c r="S2040" s="155" t="s">
        <v>7</v>
      </c>
      <c r="T2040" s="161">
        <f t="shared" si="518"/>
        <v>69197.570000000007</v>
      </c>
      <c r="U2040" s="161">
        <f t="shared" si="515"/>
        <v>0</v>
      </c>
      <c r="V2040" s="161">
        <f t="shared" si="516"/>
        <v>0</v>
      </c>
      <c r="W2040" s="161">
        <f t="shared" si="517"/>
        <v>0</v>
      </c>
      <c r="X2040" s="127"/>
      <c r="Y2040" s="127"/>
      <c r="Z2040" s="127"/>
      <c r="AA2040" s="127"/>
      <c r="AB2040" s="127"/>
      <c r="AC2040" s="127"/>
      <c r="AD2040" s="127"/>
      <c r="AE2040" s="127"/>
      <c r="AF2040" s="127"/>
      <c r="AG2040" s="127"/>
      <c r="AH2040" s="127"/>
      <c r="AI2040" s="127"/>
      <c r="AJ2040" s="127"/>
      <c r="AK2040" s="127"/>
      <c r="AL2040" s="127"/>
      <c r="AM2040" s="127"/>
      <c r="AN2040" s="127"/>
      <c r="AO2040" s="127"/>
      <c r="AP2040" s="127"/>
      <c r="AQ2040" s="127"/>
      <c r="AR2040" s="127"/>
      <c r="AS2040" s="127"/>
      <c r="AT2040" s="127"/>
      <c r="AU2040" s="127"/>
      <c r="AV2040" s="127"/>
      <c r="AW2040" s="127"/>
      <c r="AX2040" s="127"/>
      <c r="AY2040" s="127"/>
      <c r="AZ2040" s="127"/>
      <c r="BA2040" s="127"/>
      <c r="BB2040" s="127"/>
      <c r="BC2040" s="127"/>
      <c r="BD2040" s="127"/>
      <c r="BE2040" s="127"/>
      <c r="BF2040" s="127"/>
      <c r="BG2040" s="127"/>
      <c r="BH2040" s="127"/>
      <c r="BI2040" s="127"/>
      <c r="BJ2040" s="127"/>
      <c r="BK2040" s="127"/>
      <c r="BL2040" s="127"/>
      <c r="BM2040" s="127"/>
      <c r="BN2040" s="127"/>
      <c r="BO2040" s="127"/>
      <c r="BP2040" s="127"/>
      <c r="BQ2040" s="127"/>
      <c r="BR2040" s="127"/>
      <c r="BS2040" s="127"/>
      <c r="BT2040" s="127"/>
      <c r="BU2040" s="127"/>
      <c r="BV2040" s="127"/>
      <c r="BW2040" s="127"/>
      <c r="BX2040" s="127"/>
      <c r="BY2040" s="127"/>
      <c r="BZ2040" s="127"/>
      <c r="CA2040" s="127"/>
      <c r="CB2040" s="127"/>
      <c r="CC2040" s="127"/>
      <c r="CD2040" s="127"/>
      <c r="CE2040" s="127"/>
      <c r="CF2040" s="127"/>
      <c r="CG2040" s="127"/>
      <c r="CH2040" s="127"/>
      <c r="CI2040" s="127"/>
      <c r="CJ2040" s="127"/>
      <c r="CK2040" s="127"/>
      <c r="CL2040" s="127"/>
      <c r="CM2040" s="127"/>
      <c r="CN2040" s="127"/>
      <c r="CO2040" s="127"/>
      <c r="CP2040" s="127"/>
      <c r="CQ2040" s="127"/>
      <c r="CR2040" s="127"/>
      <c r="CS2040" s="127"/>
      <c r="CT2040" s="127"/>
      <c r="CU2040" s="127"/>
      <c r="CV2040" s="127"/>
      <c r="CW2040" s="127"/>
      <c r="CX2040" s="127"/>
      <c r="CY2040" s="127"/>
      <c r="CZ2040" s="127"/>
      <c r="DA2040" s="127"/>
      <c r="DB2040" s="127"/>
      <c r="DC2040" s="127"/>
      <c r="DD2040" s="127"/>
      <c r="DE2040" s="127"/>
      <c r="DF2040" s="127"/>
      <c r="DG2040" s="127"/>
      <c r="DH2040" s="127"/>
      <c r="DI2040" s="127"/>
      <c r="DJ2040" s="127"/>
      <c r="DK2040" s="127"/>
      <c r="DL2040" s="127"/>
      <c r="DM2040" s="127"/>
      <c r="DN2040" s="127"/>
      <c r="DO2040" s="127"/>
      <c r="DP2040" s="127"/>
      <c r="DQ2040" s="127"/>
      <c r="DR2040" s="127"/>
      <c r="DS2040" s="127"/>
      <c r="DT2040" s="127"/>
      <c r="DU2040" s="127"/>
      <c r="DV2040" s="127"/>
      <c r="DW2040" s="127"/>
      <c r="DX2040" s="127"/>
      <c r="DY2040" s="127"/>
      <c r="DZ2040" s="127"/>
      <c r="EA2040" s="127"/>
      <c r="EB2040" s="127"/>
      <c r="EC2040" s="127"/>
      <c r="ED2040" s="127"/>
      <c r="EE2040" s="127"/>
      <c r="EF2040" s="127"/>
      <c r="EG2040" s="127"/>
      <c r="EH2040" s="127"/>
      <c r="EI2040" s="127"/>
      <c r="EJ2040" s="127"/>
      <c r="EK2040" s="127"/>
      <c r="EL2040" s="127"/>
      <c r="EM2040" s="127"/>
      <c r="EN2040" s="127"/>
      <c r="EO2040" s="127"/>
      <c r="EP2040" s="127"/>
      <c r="EQ2040" s="127"/>
      <c r="ER2040" s="127"/>
      <c r="ES2040" s="127"/>
      <c r="ET2040" s="127"/>
      <c r="EU2040" s="127"/>
      <c r="EV2040" s="127"/>
      <c r="EW2040" s="127"/>
      <c r="EX2040" s="127"/>
      <c r="EY2040" s="127"/>
      <c r="EZ2040" s="127"/>
      <c r="FA2040" s="127"/>
      <c r="FB2040" s="127"/>
      <c r="FC2040" s="127"/>
      <c r="FD2040" s="127"/>
      <c r="FE2040" s="127"/>
      <c r="FF2040" s="127"/>
      <c r="FG2040" s="127"/>
      <c r="FH2040" s="127"/>
      <c r="FI2040" s="127"/>
      <c r="FJ2040" s="127"/>
      <c r="FK2040" s="127"/>
      <c r="FL2040" s="127"/>
      <c r="FM2040" s="127"/>
      <c r="FN2040" s="127"/>
      <c r="FO2040" s="127"/>
      <c r="FP2040" s="127"/>
      <c r="FQ2040" s="127"/>
      <c r="FR2040" s="127"/>
      <c r="FS2040" s="127"/>
      <c r="FT2040" s="127"/>
      <c r="FU2040" s="127"/>
      <c r="FV2040" s="127"/>
      <c r="FW2040" s="127"/>
      <c r="FX2040" s="127"/>
      <c r="FY2040" s="127"/>
      <c r="FZ2040" s="127"/>
      <c r="GA2040" s="127"/>
      <c r="GB2040" s="127"/>
      <c r="GC2040" s="127"/>
      <c r="GD2040" s="127"/>
      <c r="GE2040" s="127"/>
      <c r="GF2040" s="127"/>
      <c r="GG2040" s="127"/>
      <c r="GH2040" s="127"/>
      <c r="GI2040" s="127"/>
      <c r="GJ2040" s="127"/>
      <c r="GK2040" s="127"/>
      <c r="GL2040" s="127"/>
      <c r="GM2040" s="127"/>
      <c r="GN2040" s="127"/>
      <c r="GO2040" s="127"/>
      <c r="GP2040" s="127"/>
      <c r="GQ2040" s="127"/>
      <c r="GR2040" s="127"/>
      <c r="GS2040" s="127"/>
      <c r="GT2040" s="127"/>
      <c r="GU2040" s="127"/>
      <c r="GV2040" s="127"/>
      <c r="GW2040" s="127"/>
      <c r="GX2040" s="127"/>
      <c r="GY2040" s="127"/>
      <c r="GZ2040" s="127"/>
      <c r="HA2040" s="127"/>
      <c r="HB2040" s="127"/>
      <c r="HC2040" s="127"/>
      <c r="HD2040" s="127"/>
      <c r="HE2040" s="127"/>
      <c r="HF2040" s="127"/>
      <c r="HG2040" s="127"/>
      <c r="HH2040" s="127"/>
      <c r="HI2040" s="127"/>
      <c r="HJ2040" s="127"/>
      <c r="HK2040" s="127"/>
      <c r="HL2040" s="127"/>
      <c r="HM2040" s="127"/>
      <c r="HN2040" s="127"/>
      <c r="HO2040" s="127"/>
      <c r="HP2040" s="127"/>
      <c r="HQ2040" s="127"/>
      <c r="HR2040" s="127"/>
      <c r="HS2040" s="127"/>
      <c r="HT2040" s="127"/>
      <c r="HU2040" s="127"/>
      <c r="HV2040" s="127"/>
      <c r="HW2040" s="127"/>
      <c r="HX2040" s="127"/>
      <c r="HY2040" s="127"/>
      <c r="HZ2040" s="127"/>
      <c r="IA2040" s="127"/>
      <c r="IB2040" s="127"/>
      <c r="IC2040" s="127"/>
      <c r="ID2040" s="127"/>
      <c r="IE2040" s="127"/>
      <c r="IF2040" s="127"/>
      <c r="IG2040" s="127"/>
      <c r="IH2040" s="127"/>
      <c r="II2040" s="127"/>
      <c r="IJ2040" s="127"/>
    </row>
    <row r="2041" spans="1:244" ht="12.75" customHeight="1">
      <c r="A2041" s="118">
        <v>2040</v>
      </c>
      <c r="B2041" s="128">
        <v>22</v>
      </c>
      <c r="C2041" s="156">
        <v>38322</v>
      </c>
      <c r="D2041" s="157" t="s">
        <v>55</v>
      </c>
      <c r="E2041" s="8">
        <v>2004</v>
      </c>
      <c r="F2041" s="158">
        <f t="shared" si="513"/>
        <v>641</v>
      </c>
      <c r="G2041" s="158">
        <f t="shared" si="514"/>
        <v>2</v>
      </c>
      <c r="H2041" s="162">
        <v>37681</v>
      </c>
      <c r="I2041" s="194">
        <v>273194</v>
      </c>
      <c r="J2041" s="15">
        <v>1.08</v>
      </c>
      <c r="K2041" s="15">
        <v>0.56999999999999995</v>
      </c>
      <c r="L2041" s="15">
        <v>0.38</v>
      </c>
      <c r="M2041" s="174">
        <v>0</v>
      </c>
      <c r="O2041" s="15">
        <v>0.03</v>
      </c>
      <c r="Q2041" s="11">
        <v>8</v>
      </c>
      <c r="R2041" s="11">
        <v>28</v>
      </c>
      <c r="S2041" s="155" t="s">
        <v>7</v>
      </c>
      <c r="T2041" s="161">
        <f t="shared" si="518"/>
        <v>155720.57999999999</v>
      </c>
      <c r="U2041" s="161">
        <f t="shared" si="515"/>
        <v>103813.72</v>
      </c>
      <c r="V2041" s="161">
        <f t="shared" si="516"/>
        <v>8195.82</v>
      </c>
      <c r="W2041" s="161">
        <f t="shared" si="517"/>
        <v>3278.328</v>
      </c>
      <c r="X2041" s="127"/>
      <c r="Y2041" s="127"/>
      <c r="Z2041" s="127"/>
      <c r="AA2041" s="127"/>
      <c r="AB2041" s="127"/>
      <c r="AC2041" s="127"/>
      <c r="AD2041" s="127"/>
      <c r="AE2041" s="127"/>
      <c r="AF2041" s="127"/>
      <c r="AG2041" s="127"/>
      <c r="AH2041" s="127"/>
      <c r="AI2041" s="127"/>
      <c r="AJ2041" s="127"/>
      <c r="AK2041" s="127"/>
      <c r="AL2041" s="127"/>
      <c r="AM2041" s="127"/>
      <c r="AN2041" s="127"/>
      <c r="AO2041" s="127"/>
      <c r="AP2041" s="127"/>
      <c r="AQ2041" s="127"/>
      <c r="AR2041" s="127"/>
      <c r="AS2041" s="127"/>
      <c r="AT2041" s="127"/>
      <c r="AU2041" s="127"/>
      <c r="AV2041" s="127"/>
      <c r="AW2041" s="127"/>
      <c r="AX2041" s="127"/>
      <c r="AY2041" s="127"/>
      <c r="AZ2041" s="127"/>
      <c r="BA2041" s="127"/>
      <c r="BB2041" s="127"/>
      <c r="BC2041" s="127"/>
      <c r="BD2041" s="127"/>
      <c r="BE2041" s="127"/>
      <c r="BF2041" s="127"/>
      <c r="BG2041" s="127"/>
      <c r="BH2041" s="127"/>
      <c r="BI2041" s="127"/>
      <c r="BJ2041" s="127"/>
      <c r="BK2041" s="127"/>
      <c r="BL2041" s="127"/>
      <c r="BM2041" s="127"/>
      <c r="BN2041" s="127"/>
      <c r="BO2041" s="127"/>
      <c r="BP2041" s="127"/>
      <c r="BQ2041" s="127"/>
      <c r="BR2041" s="127"/>
      <c r="BS2041" s="127"/>
      <c r="BT2041" s="127"/>
      <c r="BU2041" s="127"/>
      <c r="BV2041" s="127"/>
      <c r="BW2041" s="127"/>
      <c r="BX2041" s="127"/>
      <c r="BY2041" s="127"/>
      <c r="BZ2041" s="127"/>
      <c r="CA2041" s="127"/>
      <c r="CB2041" s="127"/>
      <c r="CC2041" s="127"/>
      <c r="CD2041" s="127"/>
      <c r="CE2041" s="127"/>
      <c r="CF2041" s="127"/>
      <c r="CG2041" s="127"/>
      <c r="CH2041" s="127"/>
      <c r="CI2041" s="127"/>
      <c r="CJ2041" s="127"/>
      <c r="CK2041" s="127"/>
      <c r="CL2041" s="127"/>
      <c r="CM2041" s="127"/>
      <c r="CN2041" s="127"/>
      <c r="CO2041" s="127"/>
      <c r="CP2041" s="127"/>
      <c r="CQ2041" s="127"/>
      <c r="CR2041" s="127"/>
      <c r="CS2041" s="127"/>
      <c r="CT2041" s="127"/>
      <c r="CU2041" s="127"/>
      <c r="CV2041" s="127"/>
      <c r="CW2041" s="127"/>
      <c r="CX2041" s="127"/>
      <c r="CY2041" s="127"/>
      <c r="CZ2041" s="127"/>
      <c r="DA2041" s="127"/>
      <c r="DB2041" s="127"/>
      <c r="DC2041" s="127"/>
      <c r="DD2041" s="127"/>
      <c r="DE2041" s="127"/>
      <c r="DF2041" s="127"/>
      <c r="DG2041" s="127"/>
      <c r="DH2041" s="127"/>
      <c r="DI2041" s="127"/>
      <c r="DJ2041" s="127"/>
      <c r="DK2041" s="127"/>
      <c r="DL2041" s="127"/>
      <c r="DM2041" s="127"/>
      <c r="DN2041" s="127"/>
      <c r="DO2041" s="127"/>
      <c r="DP2041" s="127"/>
      <c r="DQ2041" s="127"/>
      <c r="DR2041" s="127"/>
      <c r="DS2041" s="127"/>
      <c r="DT2041" s="127"/>
      <c r="DU2041" s="127"/>
      <c r="DV2041" s="127"/>
      <c r="DW2041" s="127"/>
      <c r="DX2041" s="127"/>
      <c r="DY2041" s="127"/>
      <c r="DZ2041" s="127"/>
      <c r="EA2041" s="127"/>
      <c r="EB2041" s="127"/>
      <c r="EC2041" s="127"/>
      <c r="ED2041" s="127"/>
      <c r="EE2041" s="127"/>
      <c r="EF2041" s="127"/>
      <c r="EG2041" s="127"/>
      <c r="EH2041" s="127"/>
      <c r="EI2041" s="127"/>
      <c r="EJ2041" s="127"/>
      <c r="EK2041" s="127"/>
      <c r="EL2041" s="127"/>
      <c r="EM2041" s="127"/>
      <c r="EN2041" s="127"/>
      <c r="EO2041" s="127"/>
      <c r="EP2041" s="127"/>
      <c r="EQ2041" s="127"/>
      <c r="ER2041" s="127"/>
      <c r="ES2041" s="127"/>
      <c r="ET2041" s="127"/>
      <c r="EU2041" s="127"/>
      <c r="EV2041" s="127"/>
      <c r="EW2041" s="127"/>
      <c r="EX2041" s="127"/>
      <c r="EY2041" s="127"/>
      <c r="EZ2041" s="127"/>
      <c r="FA2041" s="127"/>
      <c r="FB2041" s="127"/>
      <c r="FC2041" s="127"/>
      <c r="FD2041" s="127"/>
      <c r="FE2041" s="127"/>
      <c r="FF2041" s="127"/>
      <c r="FG2041" s="127"/>
      <c r="FH2041" s="127"/>
      <c r="FI2041" s="127"/>
      <c r="FJ2041" s="127"/>
      <c r="FK2041" s="127"/>
      <c r="FL2041" s="127"/>
      <c r="FM2041" s="127"/>
      <c r="FN2041" s="127"/>
      <c r="FO2041" s="127"/>
      <c r="FP2041" s="127"/>
      <c r="FQ2041" s="127"/>
      <c r="FR2041" s="127"/>
      <c r="FS2041" s="127"/>
      <c r="FT2041" s="127"/>
      <c r="FU2041" s="127"/>
      <c r="FV2041" s="127"/>
      <c r="FW2041" s="127"/>
      <c r="FX2041" s="127"/>
      <c r="FY2041" s="127"/>
      <c r="FZ2041" s="127"/>
      <c r="GA2041" s="127"/>
      <c r="GB2041" s="127"/>
      <c r="GC2041" s="127"/>
      <c r="GD2041" s="127"/>
      <c r="GE2041" s="127"/>
      <c r="GF2041" s="127"/>
      <c r="GG2041" s="127"/>
      <c r="GH2041" s="127"/>
      <c r="GI2041" s="127"/>
      <c r="GJ2041" s="127"/>
      <c r="GK2041" s="127"/>
      <c r="GL2041" s="127"/>
      <c r="GM2041" s="127"/>
      <c r="GN2041" s="127"/>
      <c r="GO2041" s="127"/>
      <c r="GP2041" s="127"/>
      <c r="GQ2041" s="127"/>
      <c r="GR2041" s="127"/>
      <c r="GS2041" s="127"/>
      <c r="GT2041" s="127"/>
      <c r="GU2041" s="127"/>
      <c r="GV2041" s="127"/>
      <c r="GW2041" s="127"/>
      <c r="GX2041" s="127"/>
      <c r="GY2041" s="127"/>
      <c r="GZ2041" s="127"/>
      <c r="HA2041" s="127"/>
      <c r="HB2041" s="127"/>
      <c r="HC2041" s="127"/>
      <c r="HD2041" s="127"/>
      <c r="HE2041" s="127"/>
      <c r="HF2041" s="127"/>
      <c r="HG2041" s="127"/>
      <c r="HH2041" s="127"/>
      <c r="HI2041" s="127"/>
      <c r="HJ2041" s="127"/>
      <c r="HK2041" s="127"/>
      <c r="HL2041" s="127"/>
      <c r="HM2041" s="127"/>
      <c r="HN2041" s="127"/>
      <c r="HO2041" s="127"/>
      <c r="HP2041" s="127"/>
      <c r="HQ2041" s="127"/>
      <c r="HR2041" s="127"/>
      <c r="HS2041" s="127"/>
      <c r="HT2041" s="127"/>
      <c r="HU2041" s="127"/>
      <c r="HV2041" s="127"/>
      <c r="HW2041" s="127"/>
      <c r="HX2041" s="127"/>
      <c r="HY2041" s="127"/>
      <c r="HZ2041" s="127"/>
      <c r="IA2041" s="127"/>
      <c r="IB2041" s="127"/>
      <c r="IC2041" s="127"/>
      <c r="ID2041" s="127"/>
      <c r="IE2041" s="127"/>
      <c r="IF2041" s="127"/>
      <c r="IG2041" s="127"/>
      <c r="IH2041" s="127"/>
      <c r="II2041" s="127"/>
      <c r="IJ2041" s="127"/>
    </row>
    <row r="2042" spans="1:244" ht="12.75" customHeight="1">
      <c r="A2042" s="118">
        <v>2041</v>
      </c>
      <c r="B2042" s="128">
        <v>22</v>
      </c>
      <c r="C2042" s="156">
        <v>38353</v>
      </c>
      <c r="D2042" s="157" t="s">
        <v>44</v>
      </c>
      <c r="E2042" s="8">
        <v>2005</v>
      </c>
      <c r="F2042" s="158">
        <f t="shared" si="513"/>
        <v>672</v>
      </c>
      <c r="G2042" s="158">
        <f t="shared" si="514"/>
        <v>2</v>
      </c>
      <c r="H2042" s="162">
        <v>37681</v>
      </c>
      <c r="I2042" s="194">
        <v>23843</v>
      </c>
      <c r="J2042" s="15">
        <v>0.55000000000000004</v>
      </c>
      <c r="K2042" s="15">
        <v>1.1499999999999999</v>
      </c>
      <c r="L2042" s="15">
        <v>0.52</v>
      </c>
      <c r="M2042" s="174">
        <v>0</v>
      </c>
      <c r="O2042" s="15">
        <v>0</v>
      </c>
      <c r="Q2042" s="11">
        <v>7</v>
      </c>
      <c r="R2042" s="11">
        <v>29</v>
      </c>
      <c r="S2042" s="155" t="s">
        <v>7</v>
      </c>
      <c r="T2042" s="161">
        <f t="shared" si="518"/>
        <v>27419.449999999997</v>
      </c>
      <c r="U2042" s="161">
        <f t="shared" si="515"/>
        <v>12398.36</v>
      </c>
      <c r="V2042" s="161">
        <f t="shared" si="516"/>
        <v>0</v>
      </c>
      <c r="W2042" s="161">
        <f t="shared" si="517"/>
        <v>0</v>
      </c>
      <c r="X2042" s="127"/>
      <c r="Y2042" s="127"/>
      <c r="Z2042" s="127"/>
      <c r="AA2042" s="127"/>
      <c r="AB2042" s="127"/>
      <c r="AC2042" s="127"/>
      <c r="AD2042" s="127"/>
      <c r="AE2042" s="127"/>
      <c r="AF2042" s="127"/>
      <c r="AG2042" s="127"/>
      <c r="AH2042" s="127"/>
      <c r="AI2042" s="127"/>
      <c r="AJ2042" s="127"/>
      <c r="AK2042" s="127"/>
      <c r="AL2042" s="127"/>
      <c r="AM2042" s="127"/>
      <c r="AN2042" s="127"/>
      <c r="AO2042" s="127"/>
      <c r="AP2042" s="127"/>
      <c r="AQ2042" s="127"/>
      <c r="AR2042" s="127"/>
      <c r="AS2042" s="127"/>
      <c r="AT2042" s="127"/>
      <c r="AU2042" s="127"/>
      <c r="AV2042" s="127"/>
      <c r="AW2042" s="127"/>
      <c r="AX2042" s="127"/>
      <c r="AY2042" s="127"/>
      <c r="AZ2042" s="127"/>
      <c r="BA2042" s="127"/>
      <c r="BB2042" s="127"/>
      <c r="BC2042" s="127"/>
      <c r="BD2042" s="127"/>
      <c r="BE2042" s="127"/>
      <c r="BF2042" s="127"/>
      <c r="BG2042" s="127"/>
      <c r="BH2042" s="127"/>
      <c r="BI2042" s="127"/>
      <c r="BJ2042" s="127"/>
      <c r="BK2042" s="127"/>
      <c r="BL2042" s="127"/>
      <c r="BM2042" s="127"/>
      <c r="BN2042" s="127"/>
      <c r="BO2042" s="127"/>
      <c r="BP2042" s="127"/>
      <c r="BQ2042" s="127"/>
      <c r="BR2042" s="127"/>
      <c r="BS2042" s="127"/>
      <c r="BT2042" s="127"/>
      <c r="BU2042" s="127"/>
      <c r="BV2042" s="127"/>
      <c r="BW2042" s="127"/>
      <c r="BX2042" s="127"/>
      <c r="BY2042" s="127"/>
      <c r="BZ2042" s="127"/>
      <c r="CA2042" s="127"/>
      <c r="CB2042" s="127"/>
      <c r="CC2042" s="127"/>
      <c r="CD2042" s="127"/>
      <c r="CE2042" s="127"/>
      <c r="CF2042" s="127"/>
      <c r="CG2042" s="127"/>
      <c r="CH2042" s="127"/>
      <c r="CI2042" s="127"/>
      <c r="CJ2042" s="127"/>
      <c r="CK2042" s="127"/>
      <c r="CL2042" s="127"/>
      <c r="CM2042" s="127"/>
      <c r="CN2042" s="127"/>
      <c r="CO2042" s="127"/>
      <c r="CP2042" s="127"/>
      <c r="CQ2042" s="127"/>
      <c r="CR2042" s="127"/>
      <c r="CS2042" s="127"/>
      <c r="CT2042" s="127"/>
      <c r="CU2042" s="127"/>
      <c r="CV2042" s="127"/>
      <c r="CW2042" s="127"/>
      <c r="CX2042" s="127"/>
      <c r="CY2042" s="127"/>
      <c r="CZ2042" s="127"/>
      <c r="DA2042" s="127"/>
      <c r="DB2042" s="127"/>
      <c r="DC2042" s="127"/>
      <c r="DD2042" s="127"/>
      <c r="DE2042" s="127"/>
      <c r="DF2042" s="127"/>
      <c r="DG2042" s="127"/>
      <c r="DH2042" s="127"/>
      <c r="DI2042" s="127"/>
      <c r="DJ2042" s="127"/>
      <c r="DK2042" s="127"/>
      <c r="DL2042" s="127"/>
      <c r="DM2042" s="127"/>
      <c r="DN2042" s="127"/>
      <c r="DO2042" s="127"/>
      <c r="DP2042" s="127"/>
      <c r="DQ2042" s="127"/>
      <c r="DR2042" s="127"/>
      <c r="DS2042" s="127"/>
      <c r="DT2042" s="127"/>
      <c r="DU2042" s="127"/>
      <c r="DV2042" s="127"/>
      <c r="DW2042" s="127"/>
      <c r="DX2042" s="127"/>
      <c r="DY2042" s="127"/>
      <c r="DZ2042" s="127"/>
      <c r="EA2042" s="127"/>
      <c r="EB2042" s="127"/>
      <c r="EC2042" s="127"/>
      <c r="ED2042" s="127"/>
      <c r="EE2042" s="127"/>
      <c r="EF2042" s="127"/>
      <c r="EG2042" s="127"/>
      <c r="EH2042" s="127"/>
      <c r="EI2042" s="127"/>
      <c r="EJ2042" s="127"/>
      <c r="EK2042" s="127"/>
      <c r="EL2042" s="127"/>
      <c r="EM2042" s="127"/>
      <c r="EN2042" s="127"/>
      <c r="EO2042" s="127"/>
      <c r="EP2042" s="127"/>
      <c r="EQ2042" s="127"/>
      <c r="ER2042" s="127"/>
      <c r="ES2042" s="127"/>
      <c r="ET2042" s="127"/>
      <c r="EU2042" s="127"/>
      <c r="EV2042" s="127"/>
      <c r="EW2042" s="127"/>
      <c r="EX2042" s="127"/>
      <c r="EY2042" s="127"/>
      <c r="EZ2042" s="127"/>
      <c r="FA2042" s="127"/>
      <c r="FB2042" s="127"/>
      <c r="FC2042" s="127"/>
      <c r="FD2042" s="127"/>
      <c r="FE2042" s="127"/>
      <c r="FF2042" s="127"/>
      <c r="FG2042" s="127"/>
      <c r="FH2042" s="127"/>
      <c r="FI2042" s="127"/>
      <c r="FJ2042" s="127"/>
      <c r="FK2042" s="127"/>
      <c r="FL2042" s="127"/>
      <c r="FM2042" s="127"/>
      <c r="FN2042" s="127"/>
      <c r="FO2042" s="127"/>
      <c r="FP2042" s="127"/>
      <c r="FQ2042" s="127"/>
      <c r="FR2042" s="127"/>
      <c r="FS2042" s="127"/>
      <c r="FT2042" s="127"/>
      <c r="FU2042" s="127"/>
      <c r="FV2042" s="127"/>
      <c r="FW2042" s="127"/>
      <c r="FX2042" s="127"/>
      <c r="FY2042" s="127"/>
      <c r="FZ2042" s="127"/>
      <c r="GA2042" s="127"/>
      <c r="GB2042" s="127"/>
      <c r="GC2042" s="127"/>
      <c r="GD2042" s="127"/>
      <c r="GE2042" s="127"/>
      <c r="GF2042" s="127"/>
      <c r="GG2042" s="127"/>
      <c r="GH2042" s="127"/>
      <c r="GI2042" s="127"/>
      <c r="GJ2042" s="127"/>
      <c r="GK2042" s="127"/>
      <c r="GL2042" s="127"/>
      <c r="GM2042" s="127"/>
      <c r="GN2042" s="127"/>
      <c r="GO2042" s="127"/>
      <c r="GP2042" s="127"/>
      <c r="GQ2042" s="127"/>
      <c r="GR2042" s="127"/>
      <c r="GS2042" s="127"/>
      <c r="GT2042" s="127"/>
      <c r="GU2042" s="127"/>
      <c r="GV2042" s="127"/>
      <c r="GW2042" s="127"/>
      <c r="GX2042" s="127"/>
      <c r="GY2042" s="127"/>
      <c r="GZ2042" s="127"/>
      <c r="HA2042" s="127"/>
      <c r="HB2042" s="127"/>
      <c r="HC2042" s="127"/>
      <c r="HD2042" s="127"/>
      <c r="HE2042" s="127"/>
      <c r="HF2042" s="127"/>
      <c r="HG2042" s="127"/>
      <c r="HH2042" s="127"/>
      <c r="HI2042" s="127"/>
      <c r="HJ2042" s="127"/>
      <c r="HK2042" s="127"/>
      <c r="HL2042" s="127"/>
      <c r="HM2042" s="127"/>
      <c r="HN2042" s="127"/>
      <c r="HO2042" s="127"/>
      <c r="HP2042" s="127"/>
      <c r="HQ2042" s="127"/>
      <c r="HR2042" s="127"/>
      <c r="HS2042" s="127"/>
      <c r="HT2042" s="127"/>
      <c r="HU2042" s="127"/>
      <c r="HV2042" s="127"/>
      <c r="HW2042" s="127"/>
      <c r="HX2042" s="127"/>
      <c r="HY2042" s="127"/>
      <c r="HZ2042" s="127"/>
      <c r="IA2042" s="127"/>
      <c r="IB2042" s="127"/>
      <c r="IC2042" s="127"/>
      <c r="ID2042" s="127"/>
      <c r="IE2042" s="127"/>
      <c r="IF2042" s="127"/>
      <c r="IG2042" s="127"/>
      <c r="IH2042" s="127"/>
      <c r="II2042" s="127"/>
      <c r="IJ2042" s="127"/>
    </row>
    <row r="2043" spans="1:244" ht="12.75" customHeight="1">
      <c r="A2043" s="118">
        <v>2042</v>
      </c>
      <c r="B2043" s="128">
        <v>22</v>
      </c>
      <c r="C2043" s="156">
        <v>38384</v>
      </c>
      <c r="D2043" s="157" t="s">
        <v>45</v>
      </c>
      <c r="E2043" s="8">
        <v>2005</v>
      </c>
      <c r="F2043" s="158">
        <f t="shared" si="513"/>
        <v>703</v>
      </c>
      <c r="G2043" s="158">
        <f t="shared" si="514"/>
        <v>2</v>
      </c>
      <c r="H2043" s="162">
        <v>37681</v>
      </c>
      <c r="I2043" s="198">
        <v>5000</v>
      </c>
      <c r="J2043" s="15">
        <v>0.37</v>
      </c>
      <c r="K2043" s="15">
        <v>3.22</v>
      </c>
      <c r="L2043" s="15">
        <v>1.7</v>
      </c>
      <c r="O2043" s="15">
        <v>0</v>
      </c>
      <c r="Q2043" s="11">
        <v>7</v>
      </c>
      <c r="R2043" s="11">
        <v>28</v>
      </c>
      <c r="T2043" s="161">
        <f t="shared" si="518"/>
        <v>16100.000000000002</v>
      </c>
      <c r="U2043" s="161">
        <f t="shared" si="515"/>
        <v>8500</v>
      </c>
      <c r="V2043" s="161">
        <f t="shared" si="516"/>
        <v>0</v>
      </c>
      <c r="W2043" s="161">
        <f t="shared" si="517"/>
        <v>0</v>
      </c>
      <c r="X2043" s="127"/>
      <c r="Y2043" s="127"/>
      <c r="Z2043" s="127"/>
      <c r="AA2043" s="127"/>
      <c r="AB2043" s="127"/>
      <c r="AC2043" s="127"/>
      <c r="AD2043" s="127"/>
      <c r="AE2043" s="127"/>
      <c r="AF2043" s="127"/>
      <c r="AG2043" s="127"/>
      <c r="AH2043" s="127"/>
      <c r="AI2043" s="127"/>
      <c r="AJ2043" s="127"/>
      <c r="AK2043" s="127"/>
      <c r="AL2043" s="127"/>
      <c r="AM2043" s="127"/>
      <c r="AN2043" s="127"/>
      <c r="AO2043" s="127"/>
      <c r="AP2043" s="127"/>
      <c r="AQ2043" s="127"/>
      <c r="AR2043" s="127"/>
      <c r="AS2043" s="127"/>
      <c r="AT2043" s="127"/>
      <c r="AU2043" s="127"/>
      <c r="AV2043" s="127"/>
      <c r="AW2043" s="127"/>
      <c r="AX2043" s="127"/>
      <c r="AY2043" s="127"/>
      <c r="AZ2043" s="127"/>
      <c r="BA2043" s="127"/>
      <c r="BB2043" s="127"/>
      <c r="BC2043" s="127"/>
      <c r="BD2043" s="127"/>
      <c r="BE2043" s="127"/>
      <c r="BF2043" s="127"/>
      <c r="BG2043" s="127"/>
      <c r="BH2043" s="127"/>
      <c r="BI2043" s="127"/>
      <c r="BJ2043" s="127"/>
      <c r="BK2043" s="127"/>
      <c r="BL2043" s="127"/>
      <c r="BM2043" s="127"/>
      <c r="BN2043" s="127"/>
      <c r="BO2043" s="127"/>
      <c r="BP2043" s="127"/>
      <c r="BQ2043" s="127"/>
      <c r="BR2043" s="127"/>
      <c r="BS2043" s="127"/>
      <c r="BT2043" s="127"/>
      <c r="BU2043" s="127"/>
      <c r="BV2043" s="127"/>
      <c r="BW2043" s="127"/>
      <c r="BX2043" s="127"/>
      <c r="BY2043" s="127"/>
      <c r="BZ2043" s="127"/>
      <c r="CA2043" s="127"/>
      <c r="CB2043" s="127"/>
      <c r="CC2043" s="127"/>
      <c r="CD2043" s="127"/>
      <c r="CE2043" s="127"/>
      <c r="CF2043" s="127"/>
      <c r="CG2043" s="127"/>
      <c r="CH2043" s="127"/>
      <c r="CI2043" s="127"/>
      <c r="CJ2043" s="127"/>
      <c r="CK2043" s="127"/>
      <c r="CL2043" s="127"/>
      <c r="CM2043" s="127"/>
      <c r="CN2043" s="127"/>
      <c r="CO2043" s="127"/>
      <c r="CP2043" s="127"/>
      <c r="CQ2043" s="127"/>
      <c r="CR2043" s="127"/>
      <c r="CS2043" s="127"/>
      <c r="CT2043" s="127"/>
      <c r="CU2043" s="127"/>
      <c r="CV2043" s="127"/>
      <c r="CW2043" s="127"/>
      <c r="CX2043" s="127"/>
      <c r="CY2043" s="127"/>
      <c r="CZ2043" s="127"/>
      <c r="DA2043" s="127"/>
      <c r="DB2043" s="127"/>
      <c r="DC2043" s="127"/>
      <c r="DD2043" s="127"/>
      <c r="DE2043" s="127"/>
      <c r="DF2043" s="127"/>
      <c r="DG2043" s="127"/>
      <c r="DH2043" s="127"/>
      <c r="DI2043" s="127"/>
      <c r="DJ2043" s="127"/>
      <c r="DK2043" s="127"/>
      <c r="DL2043" s="127"/>
      <c r="DM2043" s="127"/>
      <c r="DN2043" s="127"/>
      <c r="DO2043" s="127"/>
      <c r="DP2043" s="127"/>
      <c r="DQ2043" s="127"/>
      <c r="DR2043" s="127"/>
      <c r="DS2043" s="127"/>
      <c r="DT2043" s="127"/>
      <c r="DU2043" s="127"/>
      <c r="DV2043" s="127"/>
      <c r="DW2043" s="127"/>
      <c r="DX2043" s="127"/>
      <c r="DY2043" s="127"/>
      <c r="DZ2043" s="127"/>
      <c r="EA2043" s="127"/>
      <c r="EB2043" s="127"/>
      <c r="EC2043" s="127"/>
      <c r="ED2043" s="127"/>
      <c r="EE2043" s="127"/>
      <c r="EF2043" s="127"/>
      <c r="EG2043" s="127"/>
      <c r="EH2043" s="127"/>
      <c r="EI2043" s="127"/>
      <c r="EJ2043" s="127"/>
      <c r="EK2043" s="127"/>
      <c r="EL2043" s="127"/>
      <c r="EM2043" s="127"/>
      <c r="EN2043" s="127"/>
      <c r="EO2043" s="127"/>
      <c r="EP2043" s="127"/>
      <c r="EQ2043" s="127"/>
      <c r="ER2043" s="127"/>
      <c r="ES2043" s="127"/>
      <c r="ET2043" s="127"/>
      <c r="EU2043" s="127"/>
      <c r="EV2043" s="127"/>
      <c r="EW2043" s="127"/>
      <c r="EX2043" s="127"/>
      <c r="EY2043" s="127"/>
      <c r="EZ2043" s="127"/>
      <c r="FA2043" s="127"/>
      <c r="FB2043" s="127"/>
      <c r="FC2043" s="127"/>
      <c r="FD2043" s="127"/>
      <c r="FE2043" s="127"/>
      <c r="FF2043" s="127"/>
      <c r="FG2043" s="127"/>
      <c r="FH2043" s="127"/>
      <c r="FI2043" s="127"/>
      <c r="FJ2043" s="127"/>
      <c r="FK2043" s="127"/>
      <c r="FL2043" s="127"/>
      <c r="FM2043" s="127"/>
      <c r="FN2043" s="127"/>
      <c r="FO2043" s="127"/>
      <c r="FP2043" s="127"/>
      <c r="FQ2043" s="127"/>
      <c r="FR2043" s="127"/>
      <c r="FS2043" s="127"/>
      <c r="FT2043" s="127"/>
      <c r="FU2043" s="127"/>
      <c r="FV2043" s="127"/>
      <c r="FW2043" s="127"/>
      <c r="FX2043" s="127"/>
      <c r="FY2043" s="127"/>
      <c r="FZ2043" s="127"/>
      <c r="GA2043" s="127"/>
      <c r="GB2043" s="127"/>
      <c r="GC2043" s="127"/>
      <c r="GD2043" s="127"/>
      <c r="GE2043" s="127"/>
      <c r="GF2043" s="127"/>
      <c r="GG2043" s="127"/>
      <c r="GH2043" s="127"/>
      <c r="GI2043" s="127"/>
      <c r="GJ2043" s="127"/>
      <c r="GK2043" s="127"/>
      <c r="GL2043" s="127"/>
      <c r="GM2043" s="127"/>
      <c r="GN2043" s="127"/>
      <c r="GO2043" s="127"/>
      <c r="GP2043" s="127"/>
      <c r="GQ2043" s="127"/>
      <c r="GR2043" s="127"/>
      <c r="GS2043" s="127"/>
      <c r="GT2043" s="127"/>
      <c r="GU2043" s="127"/>
      <c r="GV2043" s="127"/>
      <c r="GW2043" s="127"/>
      <c r="GX2043" s="127"/>
      <c r="GY2043" s="127"/>
      <c r="GZ2043" s="127"/>
      <c r="HA2043" s="127"/>
      <c r="HB2043" s="127"/>
      <c r="HC2043" s="127"/>
      <c r="HD2043" s="127"/>
      <c r="HE2043" s="127"/>
      <c r="HF2043" s="127"/>
      <c r="HG2043" s="127"/>
      <c r="HH2043" s="127"/>
      <c r="HI2043" s="127"/>
      <c r="HJ2043" s="127"/>
      <c r="HK2043" s="127"/>
      <c r="HL2043" s="127"/>
      <c r="HM2043" s="127"/>
      <c r="HN2043" s="127"/>
      <c r="HO2043" s="127"/>
      <c r="HP2043" s="127"/>
      <c r="HQ2043" s="127"/>
      <c r="HR2043" s="127"/>
      <c r="HS2043" s="127"/>
      <c r="HT2043" s="127"/>
      <c r="HU2043" s="127"/>
      <c r="HV2043" s="127"/>
      <c r="HW2043" s="127"/>
      <c r="HX2043" s="127"/>
      <c r="HY2043" s="127"/>
      <c r="HZ2043" s="127"/>
      <c r="IA2043" s="127"/>
      <c r="IB2043" s="127"/>
      <c r="IC2043" s="127"/>
      <c r="ID2043" s="127"/>
      <c r="IE2043" s="127"/>
      <c r="IF2043" s="127"/>
      <c r="IG2043" s="127"/>
      <c r="IH2043" s="127"/>
      <c r="II2043" s="127"/>
      <c r="IJ2043" s="127"/>
    </row>
    <row r="2044" spans="1:244" ht="12.75" customHeight="1">
      <c r="A2044" s="118">
        <v>2043</v>
      </c>
      <c r="B2044" s="128">
        <v>22</v>
      </c>
      <c r="C2044" s="156">
        <v>38412</v>
      </c>
      <c r="D2044" s="157" t="s">
        <v>46</v>
      </c>
      <c r="E2044" s="8">
        <v>2005</v>
      </c>
      <c r="F2044" s="158"/>
      <c r="G2044" s="158"/>
      <c r="H2044" s="162"/>
    </row>
    <row r="2045" spans="1:244" ht="12.75" customHeight="1">
      <c r="A2045" s="118">
        <v>2044</v>
      </c>
      <c r="B2045" s="128">
        <v>22</v>
      </c>
      <c r="C2045" s="156">
        <v>38443</v>
      </c>
      <c r="D2045" s="157" t="s">
        <v>47</v>
      </c>
      <c r="E2045" s="8">
        <v>2005</v>
      </c>
      <c r="F2045" s="158">
        <f t="shared" ref="F2045:F2070" si="519">C2045-H2045</f>
        <v>31</v>
      </c>
      <c r="G2045" s="158">
        <f t="shared" ref="G2045:G2067" si="520">IF(F2045&lt;365,1,2)</f>
        <v>1</v>
      </c>
      <c r="H2045" s="162">
        <v>38412</v>
      </c>
      <c r="I2045" s="194">
        <v>163775</v>
      </c>
      <c r="L2045" s="165">
        <v>0</v>
      </c>
      <c r="N2045" s="528" t="s">
        <v>794</v>
      </c>
      <c r="O2045" s="165">
        <v>0</v>
      </c>
      <c r="S2045" s="155" t="s">
        <v>11</v>
      </c>
      <c r="U2045" s="161">
        <f t="shared" ref="U2045:U2070" si="521">$I2045*L2045</f>
        <v>0</v>
      </c>
      <c r="V2045" s="161">
        <f t="shared" ref="V2045:V2070" si="522">$I2045*O2045</f>
        <v>0</v>
      </c>
      <c r="W2045" s="161">
        <f t="shared" ref="W2045:W2070" si="523">V2045*0.4</f>
        <v>0</v>
      </c>
    </row>
    <row r="2046" spans="1:244" ht="12.75" customHeight="1">
      <c r="A2046" s="118">
        <v>2045</v>
      </c>
      <c r="B2046" s="128">
        <v>22</v>
      </c>
      <c r="C2046" s="156">
        <v>38473</v>
      </c>
      <c r="D2046" s="157" t="s">
        <v>48</v>
      </c>
      <c r="E2046" s="8">
        <v>2005</v>
      </c>
      <c r="F2046" s="158">
        <f t="shared" si="519"/>
        <v>61</v>
      </c>
      <c r="G2046" s="158">
        <f t="shared" si="520"/>
        <v>1</v>
      </c>
      <c r="H2046" s="162">
        <v>38412</v>
      </c>
      <c r="I2046" s="194">
        <v>579990</v>
      </c>
      <c r="J2046" s="15">
        <v>0.05</v>
      </c>
      <c r="K2046" s="15">
        <v>0.02</v>
      </c>
      <c r="L2046" s="15">
        <v>0</v>
      </c>
      <c r="O2046" s="15">
        <v>0</v>
      </c>
      <c r="Q2046" s="11">
        <v>11</v>
      </c>
      <c r="R2046" s="11">
        <v>26</v>
      </c>
      <c r="T2046" s="161">
        <f t="shared" ref="T2046:T2069" si="524">$I2046*K2046</f>
        <v>11599.800000000001</v>
      </c>
      <c r="U2046" s="161">
        <f t="shared" si="521"/>
        <v>0</v>
      </c>
      <c r="V2046" s="161">
        <f t="shared" si="522"/>
        <v>0</v>
      </c>
      <c r="W2046" s="161">
        <f t="shared" si="523"/>
        <v>0</v>
      </c>
    </row>
    <row r="2047" spans="1:244" ht="12.75" customHeight="1">
      <c r="A2047" s="118">
        <v>2046</v>
      </c>
      <c r="B2047" s="128">
        <v>22</v>
      </c>
      <c r="C2047" s="156">
        <v>38504</v>
      </c>
      <c r="D2047" s="157" t="s">
        <v>49</v>
      </c>
      <c r="E2047" s="8">
        <v>2005</v>
      </c>
      <c r="F2047" s="158">
        <f t="shared" si="519"/>
        <v>92</v>
      </c>
      <c r="G2047" s="158">
        <f t="shared" si="520"/>
        <v>1</v>
      </c>
      <c r="H2047" s="162">
        <v>38412</v>
      </c>
      <c r="I2047" s="194">
        <v>578508</v>
      </c>
      <c r="J2047" s="15">
        <v>0.27</v>
      </c>
      <c r="K2047" s="15">
        <v>7.0000000000000007E-2</v>
      </c>
      <c r="L2047" s="15">
        <v>0</v>
      </c>
      <c r="M2047" s="174">
        <v>0</v>
      </c>
      <c r="O2047" s="15">
        <v>0</v>
      </c>
      <c r="Q2047" s="11">
        <v>11</v>
      </c>
      <c r="R2047" s="11">
        <v>24</v>
      </c>
      <c r="T2047" s="161">
        <f t="shared" si="524"/>
        <v>40495.560000000005</v>
      </c>
      <c r="U2047" s="161">
        <f t="shared" si="521"/>
        <v>0</v>
      </c>
      <c r="V2047" s="161">
        <f t="shared" si="522"/>
        <v>0</v>
      </c>
      <c r="W2047" s="161">
        <f t="shared" si="523"/>
        <v>0</v>
      </c>
    </row>
    <row r="2048" spans="1:244" ht="12.75" customHeight="1">
      <c r="A2048" s="118">
        <v>2047</v>
      </c>
      <c r="B2048" s="128">
        <v>22</v>
      </c>
      <c r="C2048" s="156">
        <v>38534</v>
      </c>
      <c r="D2048" s="157" t="s">
        <v>50</v>
      </c>
      <c r="E2048" s="8">
        <v>2005</v>
      </c>
      <c r="F2048" s="158">
        <f t="shared" si="519"/>
        <v>122</v>
      </c>
      <c r="G2048" s="158">
        <f t="shared" si="520"/>
        <v>1</v>
      </c>
      <c r="H2048" s="162">
        <v>38412</v>
      </c>
      <c r="I2048" s="194">
        <v>569813</v>
      </c>
      <c r="J2048" s="15">
        <v>0.02</v>
      </c>
      <c r="K2048" s="15">
        <v>0.01</v>
      </c>
      <c r="L2048" s="15">
        <v>0</v>
      </c>
      <c r="M2048" s="174">
        <v>0</v>
      </c>
      <c r="O2048" s="15">
        <v>0</v>
      </c>
      <c r="Q2048" s="11">
        <v>10</v>
      </c>
      <c r="R2048" s="11">
        <v>18</v>
      </c>
      <c r="T2048" s="161">
        <f t="shared" si="524"/>
        <v>5698.13</v>
      </c>
      <c r="U2048" s="161">
        <f t="shared" si="521"/>
        <v>0</v>
      </c>
      <c r="V2048" s="161">
        <f t="shared" si="522"/>
        <v>0</v>
      </c>
      <c r="W2048" s="161">
        <f t="shared" si="523"/>
        <v>0</v>
      </c>
    </row>
    <row r="2049" spans="1:244" ht="12.75" customHeight="1">
      <c r="A2049" s="118">
        <v>2048</v>
      </c>
      <c r="B2049" s="128">
        <v>22</v>
      </c>
      <c r="C2049" s="156">
        <v>38565</v>
      </c>
      <c r="D2049" s="157" t="s">
        <v>51</v>
      </c>
      <c r="E2049" s="8">
        <v>2005</v>
      </c>
      <c r="F2049" s="158">
        <f t="shared" si="519"/>
        <v>153</v>
      </c>
      <c r="G2049" s="158">
        <f t="shared" si="520"/>
        <v>1</v>
      </c>
      <c r="H2049" s="162">
        <v>38412</v>
      </c>
      <c r="I2049" s="253">
        <v>569000</v>
      </c>
      <c r="J2049" s="15">
        <v>0</v>
      </c>
      <c r="K2049" s="15">
        <v>0.01</v>
      </c>
      <c r="L2049" s="15">
        <v>0</v>
      </c>
      <c r="M2049" s="174">
        <v>0</v>
      </c>
      <c r="O2049" s="15">
        <v>0</v>
      </c>
      <c r="Q2049" s="11">
        <v>10</v>
      </c>
      <c r="R2049" s="11">
        <v>15</v>
      </c>
      <c r="T2049" s="161">
        <f t="shared" si="524"/>
        <v>5690</v>
      </c>
      <c r="U2049" s="161">
        <f t="shared" si="521"/>
        <v>0</v>
      </c>
      <c r="V2049" s="161">
        <f t="shared" si="522"/>
        <v>0</v>
      </c>
      <c r="W2049" s="161">
        <f t="shared" si="523"/>
        <v>0</v>
      </c>
    </row>
    <row r="2050" spans="1:244" ht="12.75" customHeight="1">
      <c r="A2050" s="118">
        <v>2049</v>
      </c>
      <c r="B2050" s="128">
        <v>22</v>
      </c>
      <c r="C2050" s="156">
        <v>38596</v>
      </c>
      <c r="D2050" s="157" t="s">
        <v>52</v>
      </c>
      <c r="E2050" s="8">
        <v>2005</v>
      </c>
      <c r="F2050" s="158">
        <f t="shared" si="519"/>
        <v>184</v>
      </c>
      <c r="G2050" s="158">
        <f t="shared" si="520"/>
        <v>1</v>
      </c>
      <c r="H2050" s="162">
        <v>38412</v>
      </c>
      <c r="I2050" s="253">
        <v>568000</v>
      </c>
      <c r="J2050" s="15">
        <v>0.01</v>
      </c>
      <c r="K2050" s="15">
        <v>0.04</v>
      </c>
      <c r="L2050" s="15">
        <v>0.01</v>
      </c>
      <c r="M2050" s="174">
        <v>0</v>
      </c>
      <c r="O2050" s="15">
        <v>0</v>
      </c>
      <c r="Q2050" s="11">
        <v>9</v>
      </c>
      <c r="R2050" s="11">
        <v>26</v>
      </c>
      <c r="T2050" s="161">
        <f t="shared" si="524"/>
        <v>22720</v>
      </c>
      <c r="U2050" s="161">
        <f t="shared" si="521"/>
        <v>5680</v>
      </c>
      <c r="V2050" s="161">
        <f t="shared" si="522"/>
        <v>0</v>
      </c>
      <c r="W2050" s="161">
        <f t="shared" si="523"/>
        <v>0</v>
      </c>
    </row>
    <row r="2051" spans="1:244" ht="12.75" customHeight="1">
      <c r="A2051" s="118">
        <v>2050</v>
      </c>
      <c r="B2051" s="128">
        <v>22</v>
      </c>
      <c r="C2051" s="156">
        <v>38626</v>
      </c>
      <c r="D2051" s="157" t="s">
        <v>53</v>
      </c>
      <c r="E2051" s="8">
        <v>2005</v>
      </c>
      <c r="F2051" s="158">
        <f t="shared" si="519"/>
        <v>214</v>
      </c>
      <c r="G2051" s="158">
        <f t="shared" si="520"/>
        <v>1</v>
      </c>
      <c r="H2051" s="162">
        <v>38412</v>
      </c>
      <c r="I2051" s="253">
        <v>680000</v>
      </c>
      <c r="J2051" s="15">
        <v>0</v>
      </c>
      <c r="K2051" s="15">
        <v>0.03</v>
      </c>
      <c r="L2051" s="15">
        <v>0</v>
      </c>
      <c r="M2051" s="174">
        <v>0</v>
      </c>
      <c r="O2051" s="15">
        <v>0</v>
      </c>
      <c r="Q2051" s="11">
        <v>9</v>
      </c>
      <c r="R2051" s="11">
        <v>25</v>
      </c>
      <c r="S2051" s="155" t="s">
        <v>347</v>
      </c>
      <c r="T2051" s="161">
        <f t="shared" si="524"/>
        <v>20400</v>
      </c>
      <c r="U2051" s="161">
        <f t="shared" si="521"/>
        <v>0</v>
      </c>
      <c r="V2051" s="161">
        <f t="shared" si="522"/>
        <v>0</v>
      </c>
      <c r="W2051" s="161">
        <f t="shared" si="523"/>
        <v>0</v>
      </c>
    </row>
    <row r="2052" spans="1:244" ht="12.75" customHeight="1">
      <c r="A2052" s="118">
        <v>2051</v>
      </c>
      <c r="B2052" s="128">
        <v>22</v>
      </c>
      <c r="C2052" s="156">
        <v>38657</v>
      </c>
      <c r="D2052" s="157" t="s">
        <v>54</v>
      </c>
      <c r="E2052" s="8">
        <v>2005</v>
      </c>
      <c r="F2052" s="158">
        <f t="shared" si="519"/>
        <v>245</v>
      </c>
      <c r="G2052" s="158">
        <f t="shared" si="520"/>
        <v>1</v>
      </c>
      <c r="H2052" s="162">
        <v>38412</v>
      </c>
      <c r="I2052" s="253">
        <v>679500</v>
      </c>
      <c r="J2052" s="15">
        <v>0.05</v>
      </c>
      <c r="K2052" s="15">
        <v>0.12</v>
      </c>
      <c r="L2052" s="15">
        <v>0.01</v>
      </c>
      <c r="M2052" s="174">
        <v>0</v>
      </c>
      <c r="O2052" s="15">
        <v>0.01</v>
      </c>
      <c r="Q2052" s="11">
        <v>8</v>
      </c>
      <c r="R2052" s="11">
        <v>28</v>
      </c>
      <c r="T2052" s="161">
        <f t="shared" si="524"/>
        <v>81540</v>
      </c>
      <c r="U2052" s="161">
        <f t="shared" si="521"/>
        <v>6795</v>
      </c>
      <c r="V2052" s="161">
        <f t="shared" si="522"/>
        <v>6795</v>
      </c>
      <c r="W2052" s="161">
        <f t="shared" si="523"/>
        <v>2718</v>
      </c>
    </row>
    <row r="2053" spans="1:244" ht="12.75" customHeight="1">
      <c r="A2053" s="118">
        <v>2052</v>
      </c>
      <c r="B2053" s="128">
        <v>22</v>
      </c>
      <c r="C2053" s="156">
        <v>38687</v>
      </c>
      <c r="D2053" s="157" t="s">
        <v>55</v>
      </c>
      <c r="E2053" s="8">
        <v>2005</v>
      </c>
      <c r="F2053" s="158">
        <f t="shared" si="519"/>
        <v>275</v>
      </c>
      <c r="G2053" s="158">
        <f t="shared" si="520"/>
        <v>1</v>
      </c>
      <c r="H2053" s="162">
        <v>38412</v>
      </c>
      <c r="I2053" s="218">
        <v>678900</v>
      </c>
      <c r="J2053" s="15">
        <v>0.13</v>
      </c>
      <c r="K2053" s="15">
        <v>0.19</v>
      </c>
      <c r="L2053" s="15">
        <v>0.04</v>
      </c>
      <c r="M2053" s="174">
        <v>0</v>
      </c>
      <c r="O2053" s="15">
        <v>0</v>
      </c>
      <c r="Q2053" s="11">
        <v>7</v>
      </c>
      <c r="R2053" s="11">
        <v>31</v>
      </c>
      <c r="T2053" s="161">
        <f t="shared" si="524"/>
        <v>128991</v>
      </c>
      <c r="U2053" s="161">
        <f t="shared" si="521"/>
        <v>27156</v>
      </c>
      <c r="V2053" s="161">
        <f t="shared" si="522"/>
        <v>0</v>
      </c>
      <c r="W2053" s="161">
        <f t="shared" si="523"/>
        <v>0</v>
      </c>
    </row>
    <row r="2054" spans="1:244" ht="12.75" customHeight="1">
      <c r="A2054" s="118">
        <v>2053</v>
      </c>
      <c r="B2054" s="128">
        <v>22</v>
      </c>
      <c r="C2054" s="156">
        <v>38718</v>
      </c>
      <c r="D2054" s="157" t="s">
        <v>44</v>
      </c>
      <c r="E2054" s="8">
        <v>2006</v>
      </c>
      <c r="F2054" s="158">
        <f t="shared" si="519"/>
        <v>306</v>
      </c>
      <c r="G2054" s="158">
        <f t="shared" si="520"/>
        <v>1</v>
      </c>
      <c r="H2054" s="162">
        <v>38412</v>
      </c>
      <c r="I2054" s="218">
        <v>737000</v>
      </c>
      <c r="J2054" s="15">
        <v>1.83</v>
      </c>
      <c r="K2054" s="15">
        <v>0.73</v>
      </c>
      <c r="L2054" s="15">
        <v>0.1</v>
      </c>
      <c r="M2054" s="174">
        <v>0</v>
      </c>
      <c r="O2054" s="15">
        <v>0.27</v>
      </c>
      <c r="Q2054" s="11">
        <v>7</v>
      </c>
      <c r="R2054" s="11">
        <v>31</v>
      </c>
      <c r="T2054" s="161">
        <f t="shared" si="524"/>
        <v>538010</v>
      </c>
      <c r="U2054" s="161">
        <f t="shared" si="521"/>
        <v>73700</v>
      </c>
      <c r="V2054" s="161">
        <f t="shared" si="522"/>
        <v>198990</v>
      </c>
      <c r="W2054" s="161">
        <f t="shared" si="523"/>
        <v>79596</v>
      </c>
    </row>
    <row r="2055" spans="1:244" ht="12.75" customHeight="1">
      <c r="A2055" s="118">
        <v>2054</v>
      </c>
      <c r="B2055" s="128">
        <v>22</v>
      </c>
      <c r="C2055" s="156">
        <v>38749</v>
      </c>
      <c r="D2055" s="157" t="s">
        <v>45</v>
      </c>
      <c r="E2055" s="8">
        <v>2006</v>
      </c>
      <c r="F2055" s="158">
        <f t="shared" si="519"/>
        <v>337</v>
      </c>
      <c r="G2055" s="158">
        <f t="shared" si="520"/>
        <v>1</v>
      </c>
      <c r="H2055" s="162">
        <v>38412</v>
      </c>
      <c r="I2055" s="218">
        <v>737000</v>
      </c>
      <c r="J2055" s="15">
        <v>2.64</v>
      </c>
      <c r="K2055" s="15">
        <v>5.35</v>
      </c>
      <c r="L2055" s="15">
        <v>1.33</v>
      </c>
      <c r="M2055" s="174">
        <v>0</v>
      </c>
      <c r="O2055" s="15">
        <v>0.72</v>
      </c>
      <c r="P2055" s="8">
        <v>0.5</v>
      </c>
      <c r="Q2055" s="11">
        <v>7</v>
      </c>
      <c r="R2055" s="11">
        <v>32</v>
      </c>
      <c r="S2055" s="155" t="s">
        <v>70</v>
      </c>
      <c r="T2055" s="161">
        <f t="shared" si="524"/>
        <v>3942949.9999999995</v>
      </c>
      <c r="U2055" s="161">
        <f t="shared" si="521"/>
        <v>980210</v>
      </c>
      <c r="V2055" s="161">
        <f t="shared" si="522"/>
        <v>530640</v>
      </c>
      <c r="W2055" s="161">
        <f t="shared" si="523"/>
        <v>212256</v>
      </c>
    </row>
    <row r="2056" spans="1:244" ht="12.75" customHeight="1">
      <c r="A2056" s="118">
        <v>2055</v>
      </c>
      <c r="B2056" s="128">
        <v>22</v>
      </c>
      <c r="C2056" s="156">
        <v>38777</v>
      </c>
      <c r="D2056" s="157" t="s">
        <v>46</v>
      </c>
      <c r="E2056" s="8">
        <v>2006</v>
      </c>
      <c r="F2056" s="158">
        <f t="shared" si="519"/>
        <v>365</v>
      </c>
      <c r="G2056" s="158">
        <f t="shared" si="520"/>
        <v>2</v>
      </c>
      <c r="H2056" s="162">
        <v>38412</v>
      </c>
      <c r="I2056" s="194">
        <v>734574</v>
      </c>
      <c r="J2056" s="15">
        <v>1.63</v>
      </c>
      <c r="K2056" s="15">
        <v>5.52</v>
      </c>
      <c r="L2056" s="15">
        <v>1.75</v>
      </c>
      <c r="M2056" s="174">
        <v>2</v>
      </c>
      <c r="O2056" s="15">
        <v>0.4</v>
      </c>
      <c r="P2056" s="8">
        <v>0.5</v>
      </c>
      <c r="Q2056" s="11">
        <v>7</v>
      </c>
      <c r="S2056" s="155" t="s">
        <v>74</v>
      </c>
      <c r="T2056" s="161">
        <f t="shared" si="524"/>
        <v>4054848.4799999995</v>
      </c>
      <c r="U2056" s="161">
        <f t="shared" si="521"/>
        <v>1285504.5</v>
      </c>
      <c r="V2056" s="161">
        <f t="shared" si="522"/>
        <v>293829.60000000003</v>
      </c>
      <c r="W2056" s="161">
        <f t="shared" si="523"/>
        <v>117531.84000000003</v>
      </c>
    </row>
    <row r="2057" spans="1:244" ht="12.75" customHeight="1">
      <c r="A2057" s="118">
        <v>2056</v>
      </c>
      <c r="B2057" s="128">
        <v>22</v>
      </c>
      <c r="C2057" s="156">
        <v>38808</v>
      </c>
      <c r="D2057" s="157" t="s">
        <v>47</v>
      </c>
      <c r="E2057" s="8">
        <v>2006</v>
      </c>
      <c r="F2057" s="158">
        <f t="shared" si="519"/>
        <v>396</v>
      </c>
      <c r="G2057" s="158">
        <f t="shared" si="520"/>
        <v>2</v>
      </c>
      <c r="H2057" s="162">
        <v>38412</v>
      </c>
      <c r="I2057" s="194">
        <v>732408</v>
      </c>
      <c r="J2057" s="15">
        <v>0.03</v>
      </c>
      <c r="K2057" s="15">
        <v>0.38</v>
      </c>
      <c r="L2057" s="15">
        <v>0.06</v>
      </c>
      <c r="M2057" s="174">
        <v>0</v>
      </c>
      <c r="O2057" s="15">
        <v>0.01</v>
      </c>
      <c r="Q2057" s="11">
        <v>8</v>
      </c>
      <c r="T2057" s="161">
        <f t="shared" si="524"/>
        <v>278315.03999999998</v>
      </c>
      <c r="U2057" s="161">
        <f t="shared" si="521"/>
        <v>43944.479999999996</v>
      </c>
      <c r="V2057" s="161">
        <f t="shared" si="522"/>
        <v>7324.08</v>
      </c>
      <c r="W2057" s="161">
        <f t="shared" si="523"/>
        <v>2929.6320000000001</v>
      </c>
    </row>
    <row r="2058" spans="1:244" ht="12.75" customHeight="1">
      <c r="A2058" s="118">
        <v>2057</v>
      </c>
      <c r="B2058" s="128">
        <v>22</v>
      </c>
      <c r="C2058" s="156">
        <v>38838</v>
      </c>
      <c r="D2058" s="157" t="s">
        <v>48</v>
      </c>
      <c r="E2058" s="8">
        <v>2006</v>
      </c>
      <c r="F2058" s="158">
        <f t="shared" si="519"/>
        <v>426</v>
      </c>
      <c r="G2058" s="158">
        <f t="shared" si="520"/>
        <v>2</v>
      </c>
      <c r="H2058" s="162">
        <v>38412</v>
      </c>
      <c r="I2058" s="194">
        <v>731943</v>
      </c>
      <c r="J2058" s="15">
        <v>0.04</v>
      </c>
      <c r="K2058" s="15">
        <v>0.15</v>
      </c>
      <c r="L2058" s="15">
        <v>7.0000000000000007E-2</v>
      </c>
      <c r="M2058" s="174">
        <v>0</v>
      </c>
      <c r="O2058" s="15">
        <v>0.02</v>
      </c>
      <c r="Q2058" s="11">
        <v>10</v>
      </c>
      <c r="T2058" s="161">
        <f t="shared" si="524"/>
        <v>109791.45</v>
      </c>
      <c r="U2058" s="161">
        <f t="shared" si="521"/>
        <v>51236.01</v>
      </c>
      <c r="V2058" s="161">
        <f t="shared" si="522"/>
        <v>14638.86</v>
      </c>
      <c r="W2058" s="161">
        <f t="shared" si="523"/>
        <v>5855.5440000000008</v>
      </c>
      <c r="X2058" s="11"/>
      <c r="Y2058" s="11"/>
      <c r="Z2058" s="11"/>
      <c r="AA2058" s="11"/>
      <c r="AB2058" s="11"/>
      <c r="AC2058" s="11"/>
      <c r="AD2058" s="11"/>
      <c r="AE2058" s="11"/>
      <c r="AF2058" s="11"/>
      <c r="AG2058" s="11"/>
      <c r="AH2058" s="11"/>
      <c r="AI2058" s="11"/>
      <c r="AJ2058" s="11"/>
      <c r="AK2058" s="11"/>
      <c r="AL2058" s="11"/>
      <c r="AM2058" s="11"/>
      <c r="AN2058" s="11"/>
      <c r="AO2058" s="11"/>
      <c r="AP2058" s="11"/>
      <c r="AQ2058" s="11"/>
      <c r="AR2058" s="11"/>
      <c r="AS2058" s="11"/>
      <c r="AT2058" s="11"/>
      <c r="AU2058" s="11"/>
      <c r="AV2058" s="11"/>
      <c r="AW2058" s="11"/>
      <c r="AX2058" s="11"/>
      <c r="AY2058" s="11"/>
      <c r="AZ2058" s="11"/>
      <c r="BA2058" s="11"/>
      <c r="BB2058" s="11"/>
      <c r="BC2058" s="11"/>
      <c r="BD2058" s="11"/>
      <c r="BE2058" s="11"/>
      <c r="BF2058" s="11"/>
      <c r="BG2058" s="11"/>
      <c r="BH2058" s="11"/>
      <c r="BI2058" s="11"/>
      <c r="BJ2058" s="11"/>
      <c r="BK2058" s="11"/>
      <c r="BL2058" s="11"/>
      <c r="BM2058" s="11"/>
      <c r="BN2058" s="11"/>
      <c r="BO2058" s="11"/>
      <c r="BP2058" s="11"/>
      <c r="BQ2058" s="11"/>
      <c r="BR2058" s="11"/>
      <c r="BS2058" s="11"/>
      <c r="BT2058" s="11"/>
      <c r="BU2058" s="11"/>
      <c r="BV2058" s="11"/>
      <c r="BW2058" s="11"/>
      <c r="BX2058" s="11"/>
      <c r="BY2058" s="11"/>
      <c r="BZ2058" s="11"/>
      <c r="CA2058" s="11"/>
      <c r="CB2058" s="11"/>
      <c r="CC2058" s="11"/>
      <c r="CD2058" s="11"/>
      <c r="CE2058" s="11"/>
      <c r="CF2058" s="11"/>
      <c r="CG2058" s="11"/>
      <c r="CH2058" s="11"/>
      <c r="CI2058" s="11"/>
      <c r="CJ2058" s="11"/>
      <c r="CK2058" s="11"/>
      <c r="CL2058" s="11"/>
      <c r="CM2058" s="11"/>
      <c r="CN2058" s="11"/>
      <c r="CO2058" s="11"/>
      <c r="CP2058" s="11"/>
      <c r="CQ2058" s="11"/>
      <c r="CR2058" s="11"/>
      <c r="CS2058" s="11"/>
      <c r="CT2058" s="11"/>
      <c r="CU2058" s="11"/>
      <c r="CV2058" s="11"/>
      <c r="CW2058" s="11"/>
      <c r="CX2058" s="11"/>
      <c r="CY2058" s="11"/>
      <c r="CZ2058" s="11"/>
      <c r="DA2058" s="11"/>
      <c r="DB2058" s="11"/>
      <c r="DC2058" s="11"/>
      <c r="DD2058" s="11"/>
      <c r="DE2058" s="11"/>
      <c r="DF2058" s="11"/>
      <c r="DG2058" s="11"/>
      <c r="DH2058" s="11"/>
      <c r="DI2058" s="11"/>
      <c r="DJ2058" s="11"/>
      <c r="DK2058" s="11"/>
      <c r="DL2058" s="11"/>
      <c r="DM2058" s="11"/>
      <c r="DN2058" s="11"/>
      <c r="DO2058" s="11"/>
      <c r="DP2058" s="11"/>
      <c r="DQ2058" s="11"/>
      <c r="DR2058" s="11"/>
      <c r="DS2058" s="11"/>
      <c r="DT2058" s="11"/>
      <c r="DU2058" s="11"/>
      <c r="DV2058" s="11"/>
      <c r="DW2058" s="11"/>
      <c r="DX2058" s="11"/>
      <c r="DY2058" s="11"/>
      <c r="DZ2058" s="11"/>
      <c r="EA2058" s="11"/>
      <c r="EB2058" s="11"/>
      <c r="EC2058" s="11"/>
      <c r="ED2058" s="11"/>
      <c r="EE2058" s="11"/>
      <c r="EF2058" s="11"/>
      <c r="EG2058" s="11"/>
      <c r="EH2058" s="11"/>
      <c r="EI2058" s="11"/>
      <c r="EJ2058" s="11"/>
      <c r="EK2058" s="11"/>
      <c r="EL2058" s="11"/>
      <c r="EM2058" s="11"/>
      <c r="EN2058" s="11"/>
      <c r="EO2058" s="11"/>
      <c r="EP2058" s="11"/>
      <c r="EQ2058" s="11"/>
      <c r="ER2058" s="11"/>
      <c r="ES2058" s="11"/>
      <c r="ET2058" s="11"/>
      <c r="EU2058" s="11"/>
      <c r="EV2058" s="11"/>
      <c r="EW2058" s="11"/>
      <c r="EX2058" s="11"/>
      <c r="EY2058" s="11"/>
      <c r="EZ2058" s="11"/>
      <c r="FA2058" s="11"/>
      <c r="FB2058" s="11"/>
      <c r="FC2058" s="11"/>
      <c r="FD2058" s="11"/>
      <c r="FE2058" s="11"/>
      <c r="FF2058" s="11"/>
      <c r="FG2058" s="11"/>
      <c r="FH2058" s="11"/>
      <c r="FI2058" s="11"/>
      <c r="FJ2058" s="11"/>
      <c r="FK2058" s="11"/>
      <c r="FL2058" s="11"/>
      <c r="FM2058" s="11"/>
      <c r="FN2058" s="11"/>
      <c r="FO2058" s="11"/>
      <c r="FP2058" s="11"/>
      <c r="FQ2058" s="11"/>
      <c r="FR2058" s="11"/>
      <c r="FS2058" s="11"/>
      <c r="FT2058" s="11"/>
      <c r="FU2058" s="11"/>
      <c r="FV2058" s="11"/>
      <c r="FW2058" s="11"/>
      <c r="FX2058" s="11"/>
      <c r="FY2058" s="11"/>
      <c r="FZ2058" s="11"/>
      <c r="GA2058" s="11"/>
      <c r="GB2058" s="11"/>
      <c r="GC2058" s="11"/>
      <c r="GD2058" s="11"/>
      <c r="GE2058" s="11"/>
      <c r="GF2058" s="11"/>
      <c r="GG2058" s="11"/>
      <c r="GH2058" s="11"/>
      <c r="GI2058" s="11"/>
      <c r="GJ2058" s="11"/>
      <c r="GK2058" s="11"/>
      <c r="GL2058" s="11"/>
      <c r="GM2058" s="11"/>
      <c r="GN2058" s="11"/>
      <c r="GO2058" s="11"/>
      <c r="GP2058" s="11"/>
      <c r="GQ2058" s="11"/>
      <c r="GR2058" s="11"/>
      <c r="GS2058" s="11"/>
      <c r="GT2058" s="11"/>
      <c r="GU2058" s="11"/>
      <c r="GV2058" s="11"/>
      <c r="GW2058" s="11"/>
      <c r="GX2058" s="11"/>
      <c r="GY2058" s="11"/>
      <c r="GZ2058" s="11"/>
      <c r="HA2058" s="11"/>
      <c r="HB2058" s="11"/>
      <c r="HC2058" s="11"/>
      <c r="HD2058" s="11"/>
      <c r="HE2058" s="11"/>
      <c r="HF2058" s="11"/>
      <c r="HG2058" s="11"/>
      <c r="HH2058" s="11"/>
      <c r="HI2058" s="11"/>
      <c r="HJ2058" s="11"/>
      <c r="HK2058" s="11"/>
      <c r="HL2058" s="11"/>
      <c r="HM2058" s="11"/>
      <c r="HN2058" s="11"/>
      <c r="HO2058" s="11"/>
      <c r="HP2058" s="11"/>
      <c r="HQ2058" s="11"/>
      <c r="HR2058" s="11"/>
      <c r="HS2058" s="11"/>
      <c r="HT2058" s="11"/>
      <c r="HU2058" s="11"/>
      <c r="HV2058" s="11"/>
      <c r="HW2058" s="11"/>
      <c r="HX2058" s="11"/>
      <c r="HY2058" s="11"/>
      <c r="HZ2058" s="11"/>
      <c r="IA2058" s="11"/>
      <c r="IB2058" s="11"/>
      <c r="IC2058" s="11"/>
      <c r="ID2058" s="11"/>
      <c r="IE2058" s="11"/>
      <c r="IF2058" s="11"/>
      <c r="IG2058" s="11"/>
      <c r="IH2058" s="11"/>
      <c r="II2058" s="11"/>
      <c r="IJ2058" s="11"/>
    </row>
    <row r="2059" spans="1:244" ht="12.75" customHeight="1">
      <c r="A2059" s="118">
        <v>2058</v>
      </c>
      <c r="B2059" s="128">
        <v>22</v>
      </c>
      <c r="C2059" s="156">
        <v>38869</v>
      </c>
      <c r="D2059" s="157" t="s">
        <v>49</v>
      </c>
      <c r="E2059" s="8">
        <v>2006</v>
      </c>
      <c r="F2059" s="158">
        <f t="shared" si="519"/>
        <v>457</v>
      </c>
      <c r="G2059" s="158">
        <f t="shared" si="520"/>
        <v>2</v>
      </c>
      <c r="H2059" s="162">
        <v>38412</v>
      </c>
      <c r="I2059" s="194">
        <v>731340</v>
      </c>
      <c r="J2059" s="15">
        <v>0</v>
      </c>
      <c r="K2059" s="15">
        <v>0.09</v>
      </c>
      <c r="L2059" s="15">
        <v>0.05</v>
      </c>
      <c r="M2059" s="174">
        <v>0</v>
      </c>
      <c r="O2059" s="15">
        <v>0.01</v>
      </c>
      <c r="Q2059" s="11">
        <v>11</v>
      </c>
      <c r="T2059" s="161">
        <f t="shared" si="524"/>
        <v>65820.599999999991</v>
      </c>
      <c r="U2059" s="161">
        <f t="shared" si="521"/>
        <v>36567</v>
      </c>
      <c r="V2059" s="161">
        <f t="shared" si="522"/>
        <v>7313.4000000000005</v>
      </c>
      <c r="W2059" s="161">
        <f t="shared" si="523"/>
        <v>2925.3600000000006</v>
      </c>
      <c r="X2059" s="11"/>
      <c r="Y2059" s="11"/>
      <c r="Z2059" s="11"/>
      <c r="AA2059" s="11"/>
      <c r="AB2059" s="11"/>
      <c r="AC2059" s="11"/>
      <c r="AD2059" s="11"/>
      <c r="AE2059" s="11"/>
      <c r="AF2059" s="11"/>
      <c r="AG2059" s="11"/>
      <c r="AH2059" s="11"/>
      <c r="AI2059" s="11"/>
      <c r="AJ2059" s="11"/>
      <c r="AK2059" s="11"/>
      <c r="AL2059" s="11"/>
      <c r="AM2059" s="11"/>
      <c r="AN2059" s="11"/>
      <c r="AO2059" s="11"/>
      <c r="AP2059" s="11"/>
      <c r="AQ2059" s="11"/>
      <c r="AR2059" s="11"/>
      <c r="AS2059" s="11"/>
      <c r="AT2059" s="11"/>
      <c r="AU2059" s="11"/>
      <c r="AV2059" s="11"/>
      <c r="AW2059" s="11"/>
      <c r="AX2059" s="11"/>
      <c r="AY2059" s="11"/>
      <c r="AZ2059" s="11"/>
      <c r="BA2059" s="11"/>
      <c r="BB2059" s="11"/>
      <c r="BC2059" s="11"/>
      <c r="BD2059" s="11"/>
      <c r="BE2059" s="11"/>
      <c r="BF2059" s="11"/>
      <c r="BG2059" s="11"/>
      <c r="BH2059" s="11"/>
      <c r="BI2059" s="11"/>
      <c r="BJ2059" s="11"/>
      <c r="BK2059" s="11"/>
      <c r="BL2059" s="11"/>
      <c r="BM2059" s="11"/>
      <c r="BN2059" s="11"/>
      <c r="BO2059" s="11"/>
      <c r="BP2059" s="11"/>
      <c r="BQ2059" s="11"/>
      <c r="BR2059" s="11"/>
      <c r="BS2059" s="11"/>
      <c r="BT2059" s="11"/>
      <c r="BU2059" s="11"/>
      <c r="BV2059" s="11"/>
      <c r="BW2059" s="11"/>
      <c r="BX2059" s="11"/>
      <c r="BY2059" s="11"/>
      <c r="BZ2059" s="11"/>
      <c r="CA2059" s="11"/>
      <c r="CB2059" s="11"/>
      <c r="CC2059" s="11"/>
      <c r="CD2059" s="11"/>
      <c r="CE2059" s="11"/>
      <c r="CF2059" s="11"/>
      <c r="CG2059" s="11"/>
      <c r="CH2059" s="11"/>
      <c r="CI2059" s="11"/>
      <c r="CJ2059" s="11"/>
      <c r="CK2059" s="11"/>
      <c r="CL2059" s="11"/>
      <c r="CM2059" s="11"/>
      <c r="CN2059" s="11"/>
      <c r="CO2059" s="11"/>
      <c r="CP2059" s="11"/>
      <c r="CQ2059" s="11"/>
      <c r="CR2059" s="11"/>
      <c r="CS2059" s="11"/>
      <c r="CT2059" s="11"/>
      <c r="CU2059" s="11"/>
      <c r="CV2059" s="11"/>
      <c r="CW2059" s="11"/>
      <c r="CX2059" s="11"/>
      <c r="CY2059" s="11"/>
      <c r="CZ2059" s="11"/>
      <c r="DA2059" s="11"/>
      <c r="DB2059" s="11"/>
      <c r="DC2059" s="11"/>
      <c r="DD2059" s="11"/>
      <c r="DE2059" s="11"/>
      <c r="DF2059" s="11"/>
      <c r="DG2059" s="11"/>
      <c r="DH2059" s="11"/>
      <c r="DI2059" s="11"/>
      <c r="DJ2059" s="11"/>
      <c r="DK2059" s="11"/>
      <c r="DL2059" s="11"/>
      <c r="DM2059" s="11"/>
      <c r="DN2059" s="11"/>
      <c r="DO2059" s="11"/>
      <c r="DP2059" s="11"/>
      <c r="DQ2059" s="11"/>
      <c r="DR2059" s="11"/>
      <c r="DS2059" s="11"/>
      <c r="DT2059" s="11"/>
      <c r="DU2059" s="11"/>
      <c r="DV2059" s="11"/>
      <c r="DW2059" s="11"/>
      <c r="DX2059" s="11"/>
      <c r="DY2059" s="11"/>
      <c r="DZ2059" s="11"/>
      <c r="EA2059" s="11"/>
      <c r="EB2059" s="11"/>
      <c r="EC2059" s="11"/>
      <c r="ED2059" s="11"/>
      <c r="EE2059" s="11"/>
      <c r="EF2059" s="11"/>
      <c r="EG2059" s="11"/>
      <c r="EH2059" s="11"/>
      <c r="EI2059" s="11"/>
      <c r="EJ2059" s="11"/>
      <c r="EK2059" s="11"/>
      <c r="EL2059" s="11"/>
      <c r="EM2059" s="11"/>
      <c r="EN2059" s="11"/>
      <c r="EO2059" s="11"/>
      <c r="EP2059" s="11"/>
      <c r="EQ2059" s="11"/>
      <c r="ER2059" s="11"/>
      <c r="ES2059" s="11"/>
      <c r="ET2059" s="11"/>
      <c r="EU2059" s="11"/>
      <c r="EV2059" s="11"/>
      <c r="EW2059" s="11"/>
      <c r="EX2059" s="11"/>
      <c r="EY2059" s="11"/>
      <c r="EZ2059" s="11"/>
      <c r="FA2059" s="11"/>
      <c r="FB2059" s="11"/>
      <c r="FC2059" s="11"/>
      <c r="FD2059" s="11"/>
      <c r="FE2059" s="11"/>
      <c r="FF2059" s="11"/>
      <c r="FG2059" s="11"/>
      <c r="FH2059" s="11"/>
      <c r="FI2059" s="11"/>
      <c r="FJ2059" s="11"/>
      <c r="FK2059" s="11"/>
      <c r="FL2059" s="11"/>
      <c r="FM2059" s="11"/>
      <c r="FN2059" s="11"/>
      <c r="FO2059" s="11"/>
      <c r="FP2059" s="11"/>
      <c r="FQ2059" s="11"/>
      <c r="FR2059" s="11"/>
      <c r="FS2059" s="11"/>
      <c r="FT2059" s="11"/>
      <c r="FU2059" s="11"/>
      <c r="FV2059" s="11"/>
      <c r="FW2059" s="11"/>
      <c r="FX2059" s="11"/>
      <c r="FY2059" s="11"/>
      <c r="FZ2059" s="11"/>
      <c r="GA2059" s="11"/>
      <c r="GB2059" s="11"/>
      <c r="GC2059" s="11"/>
      <c r="GD2059" s="11"/>
      <c r="GE2059" s="11"/>
      <c r="GF2059" s="11"/>
      <c r="GG2059" s="11"/>
      <c r="GH2059" s="11"/>
      <c r="GI2059" s="11"/>
      <c r="GJ2059" s="11"/>
      <c r="GK2059" s="11"/>
      <c r="GL2059" s="11"/>
      <c r="GM2059" s="11"/>
      <c r="GN2059" s="11"/>
      <c r="GO2059" s="11"/>
      <c r="GP2059" s="11"/>
      <c r="GQ2059" s="11"/>
      <c r="GR2059" s="11"/>
      <c r="GS2059" s="11"/>
      <c r="GT2059" s="11"/>
      <c r="GU2059" s="11"/>
      <c r="GV2059" s="11"/>
      <c r="GW2059" s="11"/>
      <c r="GX2059" s="11"/>
      <c r="GY2059" s="11"/>
      <c r="GZ2059" s="11"/>
      <c r="HA2059" s="11"/>
      <c r="HB2059" s="11"/>
      <c r="HC2059" s="11"/>
      <c r="HD2059" s="11"/>
      <c r="HE2059" s="11"/>
      <c r="HF2059" s="11"/>
      <c r="HG2059" s="11"/>
      <c r="HH2059" s="11"/>
      <c r="HI2059" s="11"/>
      <c r="HJ2059" s="11"/>
      <c r="HK2059" s="11"/>
      <c r="HL2059" s="11"/>
      <c r="HM2059" s="11"/>
      <c r="HN2059" s="11"/>
      <c r="HO2059" s="11"/>
      <c r="HP2059" s="11"/>
      <c r="HQ2059" s="11"/>
      <c r="HR2059" s="11"/>
      <c r="HS2059" s="11"/>
      <c r="HT2059" s="11"/>
      <c r="HU2059" s="11"/>
      <c r="HV2059" s="11"/>
      <c r="HW2059" s="11"/>
      <c r="HX2059" s="11"/>
      <c r="HY2059" s="11"/>
      <c r="HZ2059" s="11"/>
      <c r="IA2059" s="11"/>
      <c r="IB2059" s="11"/>
      <c r="IC2059" s="11"/>
      <c r="ID2059" s="11"/>
      <c r="IE2059" s="11"/>
      <c r="IF2059" s="11"/>
      <c r="IG2059" s="11"/>
      <c r="IH2059" s="11"/>
      <c r="II2059" s="11"/>
      <c r="IJ2059" s="11"/>
    </row>
    <row r="2060" spans="1:244" ht="12.75" customHeight="1">
      <c r="A2060" s="118">
        <v>2059</v>
      </c>
      <c r="B2060" s="128">
        <v>22</v>
      </c>
      <c r="C2060" s="156">
        <v>38899</v>
      </c>
      <c r="D2060" s="157" t="s">
        <v>50</v>
      </c>
      <c r="E2060" s="8">
        <v>2006</v>
      </c>
      <c r="F2060" s="158">
        <f t="shared" si="519"/>
        <v>487</v>
      </c>
      <c r="G2060" s="158">
        <f t="shared" si="520"/>
        <v>2</v>
      </c>
      <c r="H2060" s="162">
        <v>38412</v>
      </c>
      <c r="I2060" s="194">
        <v>730886</v>
      </c>
      <c r="J2060" s="15">
        <v>0</v>
      </c>
      <c r="K2060" s="15">
        <v>0.08</v>
      </c>
      <c r="L2060" s="15">
        <v>0.05</v>
      </c>
      <c r="M2060" s="174">
        <v>0</v>
      </c>
      <c r="O2060" s="15">
        <v>0</v>
      </c>
      <c r="Q2060" s="11">
        <v>11</v>
      </c>
      <c r="T2060" s="161">
        <f t="shared" si="524"/>
        <v>58470.880000000005</v>
      </c>
      <c r="U2060" s="161">
        <f t="shared" si="521"/>
        <v>36544.300000000003</v>
      </c>
      <c r="V2060" s="161">
        <f t="shared" si="522"/>
        <v>0</v>
      </c>
      <c r="W2060" s="161">
        <f t="shared" si="523"/>
        <v>0</v>
      </c>
      <c r="X2060" s="11"/>
      <c r="Y2060" s="11"/>
      <c r="Z2060" s="11"/>
      <c r="AA2060" s="11"/>
      <c r="AB2060" s="11"/>
      <c r="AC2060" s="11"/>
      <c r="AD2060" s="11"/>
      <c r="AE2060" s="11"/>
      <c r="AF2060" s="11"/>
      <c r="AG2060" s="11"/>
      <c r="AH2060" s="11"/>
      <c r="AI2060" s="11"/>
      <c r="AJ2060" s="11"/>
      <c r="AK2060" s="11"/>
      <c r="AL2060" s="11"/>
      <c r="AM2060" s="11"/>
      <c r="AN2060" s="11"/>
      <c r="AO2060" s="11"/>
      <c r="AP2060" s="11"/>
      <c r="AQ2060" s="11"/>
      <c r="AR2060" s="11"/>
      <c r="AS2060" s="11"/>
      <c r="AT2060" s="11"/>
      <c r="AU2060" s="11"/>
      <c r="AV2060" s="11"/>
      <c r="AW2060" s="11"/>
      <c r="AX2060" s="11"/>
      <c r="AY2060" s="11"/>
      <c r="AZ2060" s="11"/>
      <c r="BA2060" s="11"/>
      <c r="BB2060" s="11"/>
      <c r="BC2060" s="11"/>
      <c r="BD2060" s="11"/>
      <c r="BE2060" s="11"/>
      <c r="BF2060" s="11"/>
      <c r="BG2060" s="11"/>
      <c r="BH2060" s="11"/>
      <c r="BI2060" s="11"/>
      <c r="BJ2060" s="11"/>
      <c r="BK2060" s="11"/>
      <c r="BL2060" s="11"/>
      <c r="BM2060" s="11"/>
      <c r="BN2060" s="11"/>
      <c r="BO2060" s="11"/>
      <c r="BP2060" s="11"/>
      <c r="BQ2060" s="11"/>
      <c r="BR2060" s="11"/>
      <c r="BS2060" s="11"/>
      <c r="BT2060" s="11"/>
      <c r="BU2060" s="11"/>
      <c r="BV2060" s="11"/>
      <c r="BW2060" s="11"/>
      <c r="BX2060" s="11"/>
      <c r="BY2060" s="11"/>
      <c r="BZ2060" s="11"/>
      <c r="CA2060" s="11"/>
      <c r="CB2060" s="11"/>
      <c r="CC2060" s="11"/>
      <c r="CD2060" s="11"/>
      <c r="CE2060" s="11"/>
      <c r="CF2060" s="11"/>
      <c r="CG2060" s="11"/>
      <c r="CH2060" s="11"/>
      <c r="CI2060" s="11"/>
      <c r="CJ2060" s="11"/>
      <c r="CK2060" s="11"/>
      <c r="CL2060" s="11"/>
      <c r="CM2060" s="11"/>
      <c r="CN2060" s="11"/>
      <c r="CO2060" s="11"/>
      <c r="CP2060" s="11"/>
      <c r="CQ2060" s="11"/>
      <c r="CR2060" s="11"/>
      <c r="CS2060" s="11"/>
      <c r="CT2060" s="11"/>
      <c r="CU2060" s="11"/>
      <c r="CV2060" s="11"/>
      <c r="CW2060" s="11"/>
      <c r="CX2060" s="11"/>
      <c r="CY2060" s="11"/>
      <c r="CZ2060" s="11"/>
      <c r="DA2060" s="11"/>
      <c r="DB2060" s="11"/>
      <c r="DC2060" s="11"/>
      <c r="DD2060" s="11"/>
      <c r="DE2060" s="11"/>
      <c r="DF2060" s="11"/>
      <c r="DG2060" s="11"/>
      <c r="DH2060" s="11"/>
      <c r="DI2060" s="11"/>
      <c r="DJ2060" s="11"/>
      <c r="DK2060" s="11"/>
      <c r="DL2060" s="11"/>
      <c r="DM2060" s="11"/>
      <c r="DN2060" s="11"/>
      <c r="DO2060" s="11"/>
      <c r="DP2060" s="11"/>
      <c r="DQ2060" s="11"/>
      <c r="DR2060" s="11"/>
      <c r="DS2060" s="11"/>
      <c r="DT2060" s="11"/>
      <c r="DU2060" s="11"/>
      <c r="DV2060" s="11"/>
      <c r="DW2060" s="11"/>
      <c r="DX2060" s="11"/>
      <c r="DY2060" s="11"/>
      <c r="DZ2060" s="11"/>
      <c r="EA2060" s="11"/>
      <c r="EB2060" s="11"/>
      <c r="EC2060" s="11"/>
      <c r="ED2060" s="11"/>
      <c r="EE2060" s="11"/>
      <c r="EF2060" s="11"/>
      <c r="EG2060" s="11"/>
      <c r="EH2060" s="11"/>
      <c r="EI2060" s="11"/>
      <c r="EJ2060" s="11"/>
      <c r="EK2060" s="11"/>
      <c r="EL2060" s="11"/>
      <c r="EM2060" s="11"/>
      <c r="EN2060" s="11"/>
      <c r="EO2060" s="11"/>
      <c r="EP2060" s="11"/>
      <c r="EQ2060" s="11"/>
      <c r="ER2060" s="11"/>
      <c r="ES2060" s="11"/>
      <c r="ET2060" s="11"/>
      <c r="EU2060" s="11"/>
      <c r="EV2060" s="11"/>
      <c r="EW2060" s="11"/>
      <c r="EX2060" s="11"/>
      <c r="EY2060" s="11"/>
      <c r="EZ2060" s="11"/>
      <c r="FA2060" s="11"/>
      <c r="FB2060" s="11"/>
      <c r="FC2060" s="11"/>
      <c r="FD2060" s="11"/>
      <c r="FE2060" s="11"/>
      <c r="FF2060" s="11"/>
      <c r="FG2060" s="11"/>
      <c r="FH2060" s="11"/>
      <c r="FI2060" s="11"/>
      <c r="FJ2060" s="11"/>
      <c r="FK2060" s="11"/>
      <c r="FL2060" s="11"/>
      <c r="FM2060" s="11"/>
      <c r="FN2060" s="11"/>
      <c r="FO2060" s="11"/>
      <c r="FP2060" s="11"/>
      <c r="FQ2060" s="11"/>
      <c r="FR2060" s="11"/>
      <c r="FS2060" s="11"/>
      <c r="FT2060" s="11"/>
      <c r="FU2060" s="11"/>
      <c r="FV2060" s="11"/>
      <c r="FW2060" s="11"/>
      <c r="FX2060" s="11"/>
      <c r="FY2060" s="11"/>
      <c r="FZ2060" s="11"/>
      <c r="GA2060" s="11"/>
      <c r="GB2060" s="11"/>
      <c r="GC2060" s="11"/>
      <c r="GD2060" s="11"/>
      <c r="GE2060" s="11"/>
      <c r="GF2060" s="11"/>
      <c r="GG2060" s="11"/>
      <c r="GH2060" s="11"/>
      <c r="GI2060" s="11"/>
      <c r="GJ2060" s="11"/>
      <c r="GK2060" s="11"/>
      <c r="GL2060" s="11"/>
      <c r="GM2060" s="11"/>
      <c r="GN2060" s="11"/>
      <c r="GO2060" s="11"/>
      <c r="GP2060" s="11"/>
      <c r="GQ2060" s="11"/>
      <c r="GR2060" s="11"/>
      <c r="GS2060" s="11"/>
      <c r="GT2060" s="11"/>
      <c r="GU2060" s="11"/>
      <c r="GV2060" s="11"/>
      <c r="GW2060" s="11"/>
      <c r="GX2060" s="11"/>
      <c r="GY2060" s="11"/>
      <c r="GZ2060" s="11"/>
      <c r="HA2060" s="11"/>
      <c r="HB2060" s="11"/>
      <c r="HC2060" s="11"/>
      <c r="HD2060" s="11"/>
      <c r="HE2060" s="11"/>
      <c r="HF2060" s="11"/>
      <c r="HG2060" s="11"/>
      <c r="HH2060" s="11"/>
      <c r="HI2060" s="11"/>
      <c r="HJ2060" s="11"/>
      <c r="HK2060" s="11"/>
      <c r="HL2060" s="11"/>
      <c r="HM2060" s="11"/>
      <c r="HN2060" s="11"/>
      <c r="HO2060" s="11"/>
      <c r="HP2060" s="11"/>
      <c r="HQ2060" s="11"/>
      <c r="HR2060" s="11"/>
      <c r="HS2060" s="11"/>
      <c r="HT2060" s="11"/>
      <c r="HU2060" s="11"/>
      <c r="HV2060" s="11"/>
      <c r="HW2060" s="11"/>
      <c r="HX2060" s="11"/>
      <c r="HY2060" s="11"/>
      <c r="HZ2060" s="11"/>
      <c r="IA2060" s="11"/>
      <c r="IB2060" s="11"/>
      <c r="IC2060" s="11"/>
      <c r="ID2060" s="11"/>
      <c r="IE2060" s="11"/>
      <c r="IF2060" s="11"/>
      <c r="IG2060" s="11"/>
      <c r="IH2060" s="11"/>
      <c r="II2060" s="11"/>
      <c r="IJ2060" s="11"/>
    </row>
    <row r="2061" spans="1:244" ht="12.75" customHeight="1">
      <c r="A2061" s="118">
        <v>2060</v>
      </c>
      <c r="B2061" s="128">
        <v>22</v>
      </c>
      <c r="C2061" s="156">
        <v>38930</v>
      </c>
      <c r="D2061" s="157" t="s">
        <v>51</v>
      </c>
      <c r="E2061" s="8">
        <v>2006</v>
      </c>
      <c r="F2061" s="158">
        <f t="shared" si="519"/>
        <v>518</v>
      </c>
      <c r="G2061" s="158">
        <f t="shared" si="520"/>
        <v>2</v>
      </c>
      <c r="H2061" s="162">
        <v>38412</v>
      </c>
      <c r="I2061" s="250">
        <v>730432</v>
      </c>
      <c r="J2061" s="15">
        <v>0</v>
      </c>
      <c r="K2061" s="15">
        <v>5.4166600000000002E-2</v>
      </c>
      <c r="L2061" s="15">
        <v>3.7499999999999999E-2</v>
      </c>
      <c r="M2061" s="174">
        <v>0</v>
      </c>
      <c r="O2061" s="15">
        <v>8.3333000000000001E-3</v>
      </c>
      <c r="Q2061" s="11">
        <v>11</v>
      </c>
      <c r="T2061" s="161">
        <f t="shared" si="524"/>
        <v>39565.017971200003</v>
      </c>
      <c r="U2061" s="161">
        <f t="shared" si="521"/>
        <v>27391.200000000001</v>
      </c>
      <c r="V2061" s="161">
        <f t="shared" si="522"/>
        <v>6086.9089856000001</v>
      </c>
      <c r="W2061" s="161">
        <f t="shared" si="523"/>
        <v>2434.7635942400002</v>
      </c>
      <c r="X2061" s="11"/>
      <c r="Y2061" s="11"/>
      <c r="Z2061" s="11"/>
      <c r="AA2061" s="11"/>
      <c r="AB2061" s="11"/>
      <c r="AC2061" s="11"/>
      <c r="AD2061" s="11"/>
      <c r="AE2061" s="11"/>
      <c r="AF2061" s="11"/>
      <c r="AG2061" s="11"/>
      <c r="AH2061" s="11"/>
      <c r="AI2061" s="11"/>
      <c r="AJ2061" s="11"/>
      <c r="AK2061" s="11"/>
      <c r="AL2061" s="11"/>
      <c r="AM2061" s="11"/>
      <c r="AN2061" s="11"/>
      <c r="AO2061" s="11"/>
      <c r="AP2061" s="11"/>
      <c r="AQ2061" s="11"/>
      <c r="AR2061" s="11"/>
      <c r="AS2061" s="11"/>
      <c r="AT2061" s="11"/>
      <c r="AU2061" s="11"/>
      <c r="AV2061" s="11"/>
      <c r="AW2061" s="11"/>
      <c r="AX2061" s="11"/>
      <c r="AY2061" s="11"/>
      <c r="AZ2061" s="11"/>
      <c r="BA2061" s="11"/>
      <c r="BB2061" s="11"/>
      <c r="BC2061" s="11"/>
      <c r="BD2061" s="11"/>
      <c r="BE2061" s="11"/>
      <c r="BF2061" s="11"/>
      <c r="BG2061" s="11"/>
      <c r="BH2061" s="11"/>
      <c r="BI2061" s="11"/>
      <c r="BJ2061" s="11"/>
      <c r="BK2061" s="11"/>
      <c r="BL2061" s="11"/>
      <c r="BM2061" s="11"/>
      <c r="BN2061" s="11"/>
      <c r="BO2061" s="11"/>
      <c r="BP2061" s="11"/>
      <c r="BQ2061" s="11"/>
      <c r="BR2061" s="11"/>
      <c r="BS2061" s="11"/>
      <c r="BT2061" s="11"/>
      <c r="BU2061" s="11"/>
      <c r="BV2061" s="11"/>
      <c r="BW2061" s="11"/>
      <c r="BX2061" s="11"/>
      <c r="BY2061" s="11"/>
      <c r="BZ2061" s="11"/>
      <c r="CA2061" s="11"/>
      <c r="CB2061" s="11"/>
      <c r="CC2061" s="11"/>
      <c r="CD2061" s="11"/>
      <c r="CE2061" s="11"/>
      <c r="CF2061" s="11"/>
      <c r="CG2061" s="11"/>
      <c r="CH2061" s="11"/>
      <c r="CI2061" s="11"/>
      <c r="CJ2061" s="11"/>
      <c r="CK2061" s="11"/>
      <c r="CL2061" s="11"/>
      <c r="CM2061" s="11"/>
      <c r="CN2061" s="11"/>
      <c r="CO2061" s="11"/>
      <c r="CP2061" s="11"/>
      <c r="CQ2061" s="11"/>
      <c r="CR2061" s="11"/>
      <c r="CS2061" s="11"/>
      <c r="CT2061" s="11"/>
      <c r="CU2061" s="11"/>
      <c r="CV2061" s="11"/>
      <c r="CW2061" s="11"/>
      <c r="CX2061" s="11"/>
      <c r="CY2061" s="11"/>
      <c r="CZ2061" s="11"/>
      <c r="DA2061" s="11"/>
      <c r="DB2061" s="11"/>
      <c r="DC2061" s="11"/>
      <c r="DD2061" s="11"/>
      <c r="DE2061" s="11"/>
      <c r="DF2061" s="11"/>
      <c r="DG2061" s="11"/>
      <c r="DH2061" s="11"/>
      <c r="DI2061" s="11"/>
      <c r="DJ2061" s="11"/>
      <c r="DK2061" s="11"/>
      <c r="DL2061" s="11"/>
      <c r="DM2061" s="11"/>
      <c r="DN2061" s="11"/>
      <c r="DO2061" s="11"/>
      <c r="DP2061" s="11"/>
      <c r="DQ2061" s="11"/>
      <c r="DR2061" s="11"/>
      <c r="DS2061" s="11"/>
      <c r="DT2061" s="11"/>
      <c r="DU2061" s="11"/>
      <c r="DV2061" s="11"/>
      <c r="DW2061" s="11"/>
      <c r="DX2061" s="11"/>
      <c r="DY2061" s="11"/>
      <c r="DZ2061" s="11"/>
      <c r="EA2061" s="11"/>
      <c r="EB2061" s="11"/>
      <c r="EC2061" s="11"/>
      <c r="ED2061" s="11"/>
      <c r="EE2061" s="11"/>
      <c r="EF2061" s="11"/>
      <c r="EG2061" s="11"/>
      <c r="EH2061" s="11"/>
      <c r="EI2061" s="11"/>
      <c r="EJ2061" s="11"/>
      <c r="EK2061" s="11"/>
      <c r="EL2061" s="11"/>
      <c r="EM2061" s="11"/>
      <c r="EN2061" s="11"/>
      <c r="EO2061" s="11"/>
      <c r="EP2061" s="11"/>
      <c r="EQ2061" s="11"/>
      <c r="ER2061" s="11"/>
      <c r="ES2061" s="11"/>
      <c r="ET2061" s="11"/>
      <c r="EU2061" s="11"/>
      <c r="EV2061" s="11"/>
      <c r="EW2061" s="11"/>
      <c r="EX2061" s="11"/>
      <c r="EY2061" s="11"/>
      <c r="EZ2061" s="11"/>
      <c r="FA2061" s="11"/>
      <c r="FB2061" s="11"/>
      <c r="FC2061" s="11"/>
      <c r="FD2061" s="11"/>
      <c r="FE2061" s="11"/>
      <c r="FF2061" s="11"/>
      <c r="FG2061" s="11"/>
      <c r="FH2061" s="11"/>
      <c r="FI2061" s="11"/>
      <c r="FJ2061" s="11"/>
      <c r="FK2061" s="11"/>
      <c r="FL2061" s="11"/>
      <c r="FM2061" s="11"/>
      <c r="FN2061" s="11"/>
      <c r="FO2061" s="11"/>
      <c r="FP2061" s="11"/>
      <c r="FQ2061" s="11"/>
      <c r="FR2061" s="11"/>
      <c r="FS2061" s="11"/>
      <c r="FT2061" s="11"/>
      <c r="FU2061" s="11"/>
      <c r="FV2061" s="11"/>
      <c r="FW2061" s="11"/>
      <c r="FX2061" s="11"/>
      <c r="FY2061" s="11"/>
      <c r="FZ2061" s="11"/>
      <c r="GA2061" s="11"/>
      <c r="GB2061" s="11"/>
      <c r="GC2061" s="11"/>
      <c r="GD2061" s="11"/>
      <c r="GE2061" s="11"/>
      <c r="GF2061" s="11"/>
      <c r="GG2061" s="11"/>
      <c r="GH2061" s="11"/>
      <c r="GI2061" s="11"/>
      <c r="GJ2061" s="11"/>
      <c r="GK2061" s="11"/>
      <c r="GL2061" s="11"/>
      <c r="GM2061" s="11"/>
      <c r="GN2061" s="11"/>
      <c r="GO2061" s="11"/>
      <c r="GP2061" s="11"/>
      <c r="GQ2061" s="11"/>
      <c r="GR2061" s="11"/>
      <c r="GS2061" s="11"/>
      <c r="GT2061" s="11"/>
      <c r="GU2061" s="11"/>
      <c r="GV2061" s="11"/>
      <c r="GW2061" s="11"/>
      <c r="GX2061" s="11"/>
      <c r="GY2061" s="11"/>
      <c r="GZ2061" s="11"/>
      <c r="HA2061" s="11"/>
      <c r="HB2061" s="11"/>
      <c r="HC2061" s="11"/>
      <c r="HD2061" s="11"/>
      <c r="HE2061" s="11"/>
      <c r="HF2061" s="11"/>
      <c r="HG2061" s="11"/>
      <c r="HH2061" s="11"/>
      <c r="HI2061" s="11"/>
      <c r="HJ2061" s="11"/>
      <c r="HK2061" s="11"/>
      <c r="HL2061" s="11"/>
      <c r="HM2061" s="11"/>
      <c r="HN2061" s="11"/>
      <c r="HO2061" s="11"/>
      <c r="HP2061" s="11"/>
      <c r="HQ2061" s="11"/>
      <c r="HR2061" s="11"/>
      <c r="HS2061" s="11"/>
      <c r="HT2061" s="11"/>
      <c r="HU2061" s="11"/>
      <c r="HV2061" s="11"/>
      <c r="HW2061" s="11"/>
      <c r="HX2061" s="11"/>
      <c r="HY2061" s="11"/>
      <c r="HZ2061" s="11"/>
      <c r="IA2061" s="11"/>
      <c r="IB2061" s="11"/>
      <c r="IC2061" s="11"/>
      <c r="ID2061" s="11"/>
      <c r="IE2061" s="11"/>
      <c r="IF2061" s="11"/>
      <c r="IG2061" s="11"/>
      <c r="IH2061" s="11"/>
      <c r="II2061" s="11"/>
      <c r="IJ2061" s="11"/>
    </row>
    <row r="2062" spans="1:244" ht="12.75" customHeight="1">
      <c r="A2062" s="118">
        <v>2061</v>
      </c>
      <c r="B2062" s="128">
        <v>22</v>
      </c>
      <c r="C2062" s="156">
        <v>38961</v>
      </c>
      <c r="D2062" s="157" t="s">
        <v>52</v>
      </c>
      <c r="E2062" s="8">
        <v>2006</v>
      </c>
      <c r="F2062" s="158">
        <f t="shared" si="519"/>
        <v>549</v>
      </c>
      <c r="G2062" s="158">
        <f t="shared" si="520"/>
        <v>2</v>
      </c>
      <c r="H2062" s="162">
        <v>38412</v>
      </c>
      <c r="I2062" s="250">
        <v>729978</v>
      </c>
      <c r="J2062" s="15">
        <v>0</v>
      </c>
      <c r="K2062" s="15">
        <v>7.0000000000000007E-2</v>
      </c>
      <c r="L2062" s="15">
        <v>0.05</v>
      </c>
      <c r="M2062" s="174">
        <v>0</v>
      </c>
      <c r="O2062" s="15">
        <v>0</v>
      </c>
      <c r="Q2062" s="11">
        <v>9</v>
      </c>
      <c r="T2062" s="161">
        <f t="shared" si="524"/>
        <v>51098.460000000006</v>
      </c>
      <c r="U2062" s="161">
        <f t="shared" si="521"/>
        <v>36498.9</v>
      </c>
      <c r="V2062" s="161">
        <f t="shared" si="522"/>
        <v>0</v>
      </c>
      <c r="W2062" s="161">
        <f t="shared" si="523"/>
        <v>0</v>
      </c>
      <c r="X2062" s="11"/>
      <c r="Y2062" s="11"/>
      <c r="Z2062" s="11"/>
      <c r="AA2062" s="11"/>
      <c r="AB2062" s="11"/>
      <c r="AC2062" s="11"/>
      <c r="AD2062" s="11"/>
      <c r="AE2062" s="11"/>
      <c r="AF2062" s="11"/>
      <c r="AG2062" s="11"/>
      <c r="AH2062" s="11"/>
      <c r="AI2062" s="11"/>
      <c r="AJ2062" s="11"/>
      <c r="AK2062" s="11"/>
      <c r="AL2062" s="11"/>
      <c r="AM2062" s="11"/>
      <c r="AN2062" s="11"/>
      <c r="AO2062" s="11"/>
      <c r="AP2062" s="11"/>
      <c r="AQ2062" s="11"/>
      <c r="AR2062" s="11"/>
      <c r="AS2062" s="11"/>
      <c r="AT2062" s="11"/>
      <c r="AU2062" s="11"/>
      <c r="AV2062" s="11"/>
      <c r="AW2062" s="11"/>
      <c r="AX2062" s="11"/>
      <c r="AY2062" s="11"/>
      <c r="AZ2062" s="11"/>
      <c r="BA2062" s="11"/>
      <c r="BB2062" s="11"/>
      <c r="BC2062" s="11"/>
      <c r="BD2062" s="11"/>
      <c r="BE2062" s="11"/>
      <c r="BF2062" s="11"/>
      <c r="BG2062" s="11"/>
      <c r="BH2062" s="11"/>
      <c r="BI2062" s="11"/>
      <c r="BJ2062" s="11"/>
      <c r="BK2062" s="11"/>
      <c r="BL2062" s="11"/>
      <c r="BM2062" s="11"/>
      <c r="BN2062" s="11"/>
      <c r="BO2062" s="11"/>
      <c r="BP2062" s="11"/>
      <c r="BQ2062" s="11"/>
      <c r="BR2062" s="11"/>
      <c r="BS2062" s="11"/>
      <c r="BT2062" s="11"/>
      <c r="BU2062" s="11"/>
      <c r="BV2062" s="11"/>
      <c r="BW2062" s="11"/>
      <c r="BX2062" s="11"/>
      <c r="BY2062" s="11"/>
      <c r="BZ2062" s="11"/>
      <c r="CA2062" s="11"/>
      <c r="CB2062" s="11"/>
      <c r="CC2062" s="11"/>
      <c r="CD2062" s="11"/>
      <c r="CE2062" s="11"/>
      <c r="CF2062" s="11"/>
      <c r="CG2062" s="11"/>
      <c r="CH2062" s="11"/>
      <c r="CI2062" s="11"/>
      <c r="CJ2062" s="11"/>
      <c r="CK2062" s="11"/>
      <c r="CL2062" s="11"/>
      <c r="CM2062" s="11"/>
      <c r="CN2062" s="11"/>
      <c r="CO2062" s="11"/>
      <c r="CP2062" s="11"/>
      <c r="CQ2062" s="11"/>
      <c r="CR2062" s="11"/>
      <c r="CS2062" s="11"/>
      <c r="CT2062" s="11"/>
      <c r="CU2062" s="11"/>
      <c r="CV2062" s="11"/>
      <c r="CW2062" s="11"/>
      <c r="CX2062" s="11"/>
      <c r="CY2062" s="11"/>
      <c r="CZ2062" s="11"/>
      <c r="DA2062" s="11"/>
      <c r="DB2062" s="11"/>
      <c r="DC2062" s="11"/>
      <c r="DD2062" s="11"/>
      <c r="DE2062" s="11"/>
      <c r="DF2062" s="11"/>
      <c r="DG2062" s="11"/>
      <c r="DH2062" s="11"/>
      <c r="DI2062" s="11"/>
      <c r="DJ2062" s="11"/>
      <c r="DK2062" s="11"/>
      <c r="DL2062" s="11"/>
      <c r="DM2062" s="11"/>
      <c r="DN2062" s="11"/>
      <c r="DO2062" s="11"/>
      <c r="DP2062" s="11"/>
      <c r="DQ2062" s="11"/>
      <c r="DR2062" s="11"/>
      <c r="DS2062" s="11"/>
      <c r="DT2062" s="11"/>
      <c r="DU2062" s="11"/>
      <c r="DV2062" s="11"/>
      <c r="DW2062" s="11"/>
      <c r="DX2062" s="11"/>
      <c r="DY2062" s="11"/>
      <c r="DZ2062" s="11"/>
      <c r="EA2062" s="11"/>
      <c r="EB2062" s="11"/>
      <c r="EC2062" s="11"/>
      <c r="ED2062" s="11"/>
      <c r="EE2062" s="11"/>
      <c r="EF2062" s="11"/>
      <c r="EG2062" s="11"/>
      <c r="EH2062" s="11"/>
      <c r="EI2062" s="11"/>
      <c r="EJ2062" s="11"/>
      <c r="EK2062" s="11"/>
      <c r="EL2062" s="11"/>
      <c r="EM2062" s="11"/>
      <c r="EN2062" s="11"/>
      <c r="EO2062" s="11"/>
      <c r="EP2062" s="11"/>
      <c r="EQ2062" s="11"/>
      <c r="ER2062" s="11"/>
      <c r="ES2062" s="11"/>
      <c r="ET2062" s="11"/>
      <c r="EU2062" s="11"/>
      <c r="EV2062" s="11"/>
      <c r="EW2062" s="11"/>
      <c r="EX2062" s="11"/>
      <c r="EY2062" s="11"/>
      <c r="EZ2062" s="11"/>
      <c r="FA2062" s="11"/>
      <c r="FB2062" s="11"/>
      <c r="FC2062" s="11"/>
      <c r="FD2062" s="11"/>
      <c r="FE2062" s="11"/>
      <c r="FF2062" s="11"/>
      <c r="FG2062" s="11"/>
      <c r="FH2062" s="11"/>
      <c r="FI2062" s="11"/>
      <c r="FJ2062" s="11"/>
      <c r="FK2062" s="11"/>
      <c r="FL2062" s="11"/>
      <c r="FM2062" s="11"/>
      <c r="FN2062" s="11"/>
      <c r="FO2062" s="11"/>
      <c r="FP2062" s="11"/>
      <c r="FQ2062" s="11"/>
      <c r="FR2062" s="11"/>
      <c r="FS2062" s="11"/>
      <c r="FT2062" s="11"/>
      <c r="FU2062" s="11"/>
      <c r="FV2062" s="11"/>
      <c r="FW2062" s="11"/>
      <c r="FX2062" s="11"/>
      <c r="FY2062" s="11"/>
      <c r="FZ2062" s="11"/>
      <c r="GA2062" s="11"/>
      <c r="GB2062" s="11"/>
      <c r="GC2062" s="11"/>
      <c r="GD2062" s="11"/>
      <c r="GE2062" s="11"/>
      <c r="GF2062" s="11"/>
      <c r="GG2062" s="11"/>
      <c r="GH2062" s="11"/>
      <c r="GI2062" s="11"/>
      <c r="GJ2062" s="11"/>
      <c r="GK2062" s="11"/>
      <c r="GL2062" s="11"/>
      <c r="GM2062" s="11"/>
      <c r="GN2062" s="11"/>
      <c r="GO2062" s="11"/>
      <c r="GP2062" s="11"/>
      <c r="GQ2062" s="11"/>
      <c r="GR2062" s="11"/>
      <c r="GS2062" s="11"/>
      <c r="GT2062" s="11"/>
      <c r="GU2062" s="11"/>
      <c r="GV2062" s="11"/>
      <c r="GW2062" s="11"/>
      <c r="GX2062" s="11"/>
      <c r="GY2062" s="11"/>
      <c r="GZ2062" s="11"/>
      <c r="HA2062" s="11"/>
      <c r="HB2062" s="11"/>
      <c r="HC2062" s="11"/>
      <c r="HD2062" s="11"/>
      <c r="HE2062" s="11"/>
      <c r="HF2062" s="11"/>
      <c r="HG2062" s="11"/>
      <c r="HH2062" s="11"/>
      <c r="HI2062" s="11"/>
      <c r="HJ2062" s="11"/>
      <c r="HK2062" s="11"/>
      <c r="HL2062" s="11"/>
      <c r="HM2062" s="11"/>
      <c r="HN2062" s="11"/>
      <c r="HO2062" s="11"/>
      <c r="HP2062" s="11"/>
      <c r="HQ2062" s="11"/>
      <c r="HR2062" s="11"/>
      <c r="HS2062" s="11"/>
      <c r="HT2062" s="11"/>
      <c r="HU2062" s="11"/>
      <c r="HV2062" s="11"/>
      <c r="HW2062" s="11"/>
      <c r="HX2062" s="11"/>
      <c r="HY2062" s="11"/>
      <c r="HZ2062" s="11"/>
      <c r="IA2062" s="11"/>
      <c r="IB2062" s="11"/>
      <c r="IC2062" s="11"/>
      <c r="ID2062" s="11"/>
      <c r="IE2062" s="11"/>
      <c r="IF2062" s="11"/>
      <c r="IG2062" s="11"/>
      <c r="IH2062" s="11"/>
      <c r="II2062" s="11"/>
      <c r="IJ2062" s="11"/>
    </row>
    <row r="2063" spans="1:244" ht="12.75" customHeight="1">
      <c r="A2063" s="118">
        <v>2062</v>
      </c>
      <c r="B2063" s="128">
        <v>22</v>
      </c>
      <c r="C2063" s="156">
        <v>38991</v>
      </c>
      <c r="D2063" s="157" t="s">
        <v>53</v>
      </c>
      <c r="E2063" s="8">
        <v>2006</v>
      </c>
      <c r="F2063" s="158">
        <f t="shared" si="519"/>
        <v>579</v>
      </c>
      <c r="G2063" s="158">
        <f t="shared" si="520"/>
        <v>2</v>
      </c>
      <c r="H2063" s="162">
        <v>38412</v>
      </c>
      <c r="I2063" s="250">
        <v>729524</v>
      </c>
      <c r="J2063" s="15">
        <v>0</v>
      </c>
      <c r="K2063" s="15">
        <v>0.06</v>
      </c>
      <c r="L2063" s="15">
        <v>0.04</v>
      </c>
      <c r="M2063" s="174">
        <v>0</v>
      </c>
      <c r="O2063" s="15">
        <v>0</v>
      </c>
      <c r="Q2063" s="11">
        <v>9</v>
      </c>
      <c r="T2063" s="161">
        <f t="shared" si="524"/>
        <v>43771.439999999995</v>
      </c>
      <c r="U2063" s="161">
        <f t="shared" si="521"/>
        <v>29180.959999999999</v>
      </c>
      <c r="V2063" s="161">
        <f t="shared" si="522"/>
        <v>0</v>
      </c>
      <c r="W2063" s="161">
        <f t="shared" si="523"/>
        <v>0</v>
      </c>
      <c r="X2063" s="11"/>
      <c r="Y2063" s="11"/>
      <c r="Z2063" s="11"/>
      <c r="AA2063" s="11"/>
      <c r="AB2063" s="11"/>
      <c r="AC2063" s="11"/>
      <c r="AD2063" s="11"/>
      <c r="AE2063" s="11"/>
      <c r="AF2063" s="11"/>
      <c r="AG2063" s="11"/>
      <c r="AH2063" s="11"/>
      <c r="AI2063" s="11"/>
      <c r="AJ2063" s="11"/>
      <c r="AK2063" s="11"/>
      <c r="AL2063" s="11"/>
      <c r="AM2063" s="11"/>
      <c r="AN2063" s="11"/>
      <c r="AO2063" s="11"/>
      <c r="AP2063" s="11"/>
      <c r="AQ2063" s="11"/>
      <c r="AR2063" s="11"/>
      <c r="AS2063" s="11"/>
      <c r="AT2063" s="11"/>
      <c r="AU2063" s="11"/>
      <c r="AV2063" s="11"/>
      <c r="AW2063" s="11"/>
      <c r="AX2063" s="11"/>
      <c r="AY2063" s="11"/>
      <c r="AZ2063" s="11"/>
      <c r="BA2063" s="11"/>
      <c r="BB2063" s="11"/>
      <c r="BC2063" s="11"/>
      <c r="BD2063" s="11"/>
      <c r="BE2063" s="11"/>
      <c r="BF2063" s="11"/>
      <c r="BG2063" s="11"/>
      <c r="BH2063" s="11"/>
      <c r="BI2063" s="11"/>
      <c r="BJ2063" s="11"/>
      <c r="BK2063" s="11"/>
      <c r="BL2063" s="11"/>
      <c r="BM2063" s="11"/>
      <c r="BN2063" s="11"/>
      <c r="BO2063" s="11"/>
      <c r="BP2063" s="11"/>
      <c r="BQ2063" s="11"/>
      <c r="BR2063" s="11"/>
      <c r="BS2063" s="11"/>
      <c r="BT2063" s="11"/>
      <c r="BU2063" s="11"/>
      <c r="BV2063" s="11"/>
      <c r="BW2063" s="11"/>
      <c r="BX2063" s="11"/>
      <c r="BY2063" s="11"/>
      <c r="BZ2063" s="11"/>
      <c r="CA2063" s="11"/>
      <c r="CB2063" s="11"/>
      <c r="CC2063" s="11"/>
      <c r="CD2063" s="11"/>
      <c r="CE2063" s="11"/>
      <c r="CF2063" s="11"/>
      <c r="CG2063" s="11"/>
      <c r="CH2063" s="11"/>
      <c r="CI2063" s="11"/>
      <c r="CJ2063" s="11"/>
      <c r="CK2063" s="11"/>
      <c r="CL2063" s="11"/>
      <c r="CM2063" s="11"/>
      <c r="CN2063" s="11"/>
      <c r="CO2063" s="11"/>
      <c r="CP2063" s="11"/>
      <c r="CQ2063" s="11"/>
      <c r="CR2063" s="11"/>
      <c r="CS2063" s="11"/>
      <c r="CT2063" s="11"/>
      <c r="CU2063" s="11"/>
      <c r="CV2063" s="11"/>
      <c r="CW2063" s="11"/>
      <c r="CX2063" s="11"/>
      <c r="CY2063" s="11"/>
      <c r="CZ2063" s="11"/>
      <c r="DA2063" s="11"/>
      <c r="DB2063" s="11"/>
      <c r="DC2063" s="11"/>
      <c r="DD2063" s="11"/>
      <c r="DE2063" s="11"/>
      <c r="DF2063" s="11"/>
      <c r="DG2063" s="11"/>
      <c r="DH2063" s="11"/>
      <c r="DI2063" s="11"/>
      <c r="DJ2063" s="11"/>
      <c r="DK2063" s="11"/>
      <c r="DL2063" s="11"/>
      <c r="DM2063" s="11"/>
      <c r="DN2063" s="11"/>
      <c r="DO2063" s="11"/>
      <c r="DP2063" s="11"/>
      <c r="DQ2063" s="11"/>
      <c r="DR2063" s="11"/>
      <c r="DS2063" s="11"/>
      <c r="DT2063" s="11"/>
      <c r="DU2063" s="11"/>
      <c r="DV2063" s="11"/>
      <c r="DW2063" s="11"/>
      <c r="DX2063" s="11"/>
      <c r="DY2063" s="11"/>
      <c r="DZ2063" s="11"/>
      <c r="EA2063" s="11"/>
      <c r="EB2063" s="11"/>
      <c r="EC2063" s="11"/>
      <c r="ED2063" s="11"/>
      <c r="EE2063" s="11"/>
      <c r="EF2063" s="11"/>
      <c r="EG2063" s="11"/>
      <c r="EH2063" s="11"/>
      <c r="EI2063" s="11"/>
      <c r="EJ2063" s="11"/>
      <c r="EK2063" s="11"/>
      <c r="EL2063" s="11"/>
      <c r="EM2063" s="11"/>
      <c r="EN2063" s="11"/>
      <c r="EO2063" s="11"/>
      <c r="EP2063" s="11"/>
      <c r="EQ2063" s="11"/>
      <c r="ER2063" s="11"/>
      <c r="ES2063" s="11"/>
      <c r="ET2063" s="11"/>
      <c r="EU2063" s="11"/>
      <c r="EV2063" s="11"/>
      <c r="EW2063" s="11"/>
      <c r="EX2063" s="11"/>
      <c r="EY2063" s="11"/>
      <c r="EZ2063" s="11"/>
      <c r="FA2063" s="11"/>
      <c r="FB2063" s="11"/>
      <c r="FC2063" s="11"/>
      <c r="FD2063" s="11"/>
      <c r="FE2063" s="11"/>
      <c r="FF2063" s="11"/>
      <c r="FG2063" s="11"/>
      <c r="FH2063" s="11"/>
      <c r="FI2063" s="11"/>
      <c r="FJ2063" s="11"/>
      <c r="FK2063" s="11"/>
      <c r="FL2063" s="11"/>
      <c r="FM2063" s="11"/>
      <c r="FN2063" s="11"/>
      <c r="FO2063" s="11"/>
      <c r="FP2063" s="11"/>
      <c r="FQ2063" s="11"/>
      <c r="FR2063" s="11"/>
      <c r="FS2063" s="11"/>
      <c r="FT2063" s="11"/>
      <c r="FU2063" s="11"/>
      <c r="FV2063" s="11"/>
      <c r="FW2063" s="11"/>
      <c r="FX2063" s="11"/>
      <c r="FY2063" s="11"/>
      <c r="FZ2063" s="11"/>
      <c r="GA2063" s="11"/>
      <c r="GB2063" s="11"/>
      <c r="GC2063" s="11"/>
      <c r="GD2063" s="11"/>
      <c r="GE2063" s="11"/>
      <c r="GF2063" s="11"/>
      <c r="GG2063" s="11"/>
      <c r="GH2063" s="11"/>
      <c r="GI2063" s="11"/>
      <c r="GJ2063" s="11"/>
      <c r="GK2063" s="11"/>
      <c r="GL2063" s="11"/>
      <c r="GM2063" s="11"/>
      <c r="GN2063" s="11"/>
      <c r="GO2063" s="11"/>
      <c r="GP2063" s="11"/>
      <c r="GQ2063" s="11"/>
      <c r="GR2063" s="11"/>
      <c r="GS2063" s="11"/>
      <c r="GT2063" s="11"/>
      <c r="GU2063" s="11"/>
      <c r="GV2063" s="11"/>
      <c r="GW2063" s="11"/>
      <c r="GX2063" s="11"/>
      <c r="GY2063" s="11"/>
      <c r="GZ2063" s="11"/>
      <c r="HA2063" s="11"/>
      <c r="HB2063" s="11"/>
      <c r="HC2063" s="11"/>
      <c r="HD2063" s="11"/>
      <c r="HE2063" s="11"/>
      <c r="HF2063" s="11"/>
      <c r="HG2063" s="11"/>
      <c r="HH2063" s="11"/>
      <c r="HI2063" s="11"/>
      <c r="HJ2063" s="11"/>
      <c r="HK2063" s="11"/>
      <c r="HL2063" s="11"/>
      <c r="HM2063" s="11"/>
      <c r="HN2063" s="11"/>
      <c r="HO2063" s="11"/>
      <c r="HP2063" s="11"/>
      <c r="HQ2063" s="11"/>
      <c r="HR2063" s="11"/>
      <c r="HS2063" s="11"/>
      <c r="HT2063" s="11"/>
      <c r="HU2063" s="11"/>
      <c r="HV2063" s="11"/>
      <c r="HW2063" s="11"/>
      <c r="HX2063" s="11"/>
      <c r="HY2063" s="11"/>
      <c r="HZ2063" s="11"/>
      <c r="IA2063" s="11"/>
      <c r="IB2063" s="11"/>
      <c r="IC2063" s="11"/>
      <c r="ID2063" s="11"/>
      <c r="IE2063" s="11"/>
      <c r="IF2063" s="11"/>
      <c r="IG2063" s="11"/>
      <c r="IH2063" s="11"/>
      <c r="II2063" s="11"/>
      <c r="IJ2063" s="11"/>
    </row>
    <row r="2064" spans="1:244" ht="12.75" customHeight="1">
      <c r="A2064" s="118">
        <v>2063</v>
      </c>
      <c r="B2064" s="128">
        <v>22</v>
      </c>
      <c r="C2064" s="156">
        <v>39022</v>
      </c>
      <c r="D2064" s="157" t="s">
        <v>54</v>
      </c>
      <c r="E2064" s="8">
        <v>2006</v>
      </c>
      <c r="F2064" s="158">
        <f t="shared" si="519"/>
        <v>610</v>
      </c>
      <c r="G2064" s="158">
        <f t="shared" si="520"/>
        <v>2</v>
      </c>
      <c r="H2064" s="162">
        <v>38412</v>
      </c>
      <c r="I2064" s="250">
        <v>729070</v>
      </c>
      <c r="J2064" s="15">
        <v>1.66666E-2</v>
      </c>
      <c r="K2064" s="15">
        <v>0.2</v>
      </c>
      <c r="L2064" s="15">
        <v>0.05</v>
      </c>
      <c r="M2064" s="174">
        <v>0</v>
      </c>
      <c r="O2064" s="15">
        <v>1.66666E-2</v>
      </c>
      <c r="Q2064" s="11">
        <v>8</v>
      </c>
      <c r="T2064" s="161">
        <f t="shared" si="524"/>
        <v>145814</v>
      </c>
      <c r="U2064" s="161">
        <f t="shared" si="521"/>
        <v>36453.5</v>
      </c>
      <c r="V2064" s="161">
        <f t="shared" si="522"/>
        <v>12151.118062</v>
      </c>
      <c r="W2064" s="161">
        <f t="shared" si="523"/>
        <v>4860.4472248000002</v>
      </c>
      <c r="X2064" s="11"/>
      <c r="Y2064" s="11"/>
      <c r="Z2064" s="11"/>
      <c r="AA2064" s="11"/>
      <c r="AB2064" s="11"/>
      <c r="AC2064" s="11"/>
      <c r="AD2064" s="11"/>
      <c r="AE2064" s="11"/>
      <c r="AF2064" s="11"/>
      <c r="AG2064" s="11"/>
      <c r="AH2064" s="11"/>
      <c r="AI2064" s="11"/>
      <c r="AJ2064" s="11"/>
      <c r="AK2064" s="11"/>
      <c r="AL2064" s="11"/>
      <c r="AM2064" s="11"/>
      <c r="AN2064" s="11"/>
      <c r="AO2064" s="11"/>
      <c r="AP2064" s="11"/>
      <c r="AQ2064" s="11"/>
      <c r="AR2064" s="11"/>
      <c r="AS2064" s="11"/>
      <c r="AT2064" s="11"/>
      <c r="AU2064" s="11"/>
      <c r="AV2064" s="11"/>
      <c r="AW2064" s="11"/>
      <c r="AX2064" s="11"/>
      <c r="AY2064" s="11"/>
      <c r="AZ2064" s="11"/>
      <c r="BA2064" s="11"/>
      <c r="BB2064" s="11"/>
      <c r="BC2064" s="11"/>
      <c r="BD2064" s="11"/>
      <c r="BE2064" s="11"/>
      <c r="BF2064" s="11"/>
      <c r="BG2064" s="11"/>
      <c r="BH2064" s="11"/>
      <c r="BI2064" s="11"/>
      <c r="BJ2064" s="11"/>
      <c r="BK2064" s="11"/>
      <c r="BL2064" s="11"/>
      <c r="BM2064" s="11"/>
      <c r="BN2064" s="11"/>
      <c r="BO2064" s="11"/>
      <c r="BP2064" s="11"/>
      <c r="BQ2064" s="11"/>
      <c r="BR2064" s="11"/>
      <c r="BS2064" s="11"/>
      <c r="BT2064" s="11"/>
      <c r="BU2064" s="11"/>
      <c r="BV2064" s="11"/>
      <c r="BW2064" s="11"/>
      <c r="BX2064" s="11"/>
      <c r="BY2064" s="11"/>
      <c r="BZ2064" s="11"/>
      <c r="CA2064" s="11"/>
      <c r="CB2064" s="11"/>
      <c r="CC2064" s="11"/>
      <c r="CD2064" s="11"/>
      <c r="CE2064" s="11"/>
      <c r="CF2064" s="11"/>
      <c r="CG2064" s="11"/>
      <c r="CH2064" s="11"/>
      <c r="CI2064" s="11"/>
      <c r="CJ2064" s="11"/>
      <c r="CK2064" s="11"/>
      <c r="CL2064" s="11"/>
      <c r="CM2064" s="11"/>
      <c r="CN2064" s="11"/>
      <c r="CO2064" s="11"/>
      <c r="CP2064" s="11"/>
      <c r="CQ2064" s="11"/>
      <c r="CR2064" s="11"/>
      <c r="CS2064" s="11"/>
      <c r="CT2064" s="11"/>
      <c r="CU2064" s="11"/>
      <c r="CV2064" s="11"/>
      <c r="CW2064" s="11"/>
      <c r="CX2064" s="11"/>
      <c r="CY2064" s="11"/>
      <c r="CZ2064" s="11"/>
      <c r="DA2064" s="11"/>
      <c r="DB2064" s="11"/>
      <c r="DC2064" s="11"/>
      <c r="DD2064" s="11"/>
      <c r="DE2064" s="11"/>
      <c r="DF2064" s="11"/>
      <c r="DG2064" s="11"/>
      <c r="DH2064" s="11"/>
      <c r="DI2064" s="11"/>
      <c r="DJ2064" s="11"/>
      <c r="DK2064" s="11"/>
      <c r="DL2064" s="11"/>
      <c r="DM2064" s="11"/>
      <c r="DN2064" s="11"/>
      <c r="DO2064" s="11"/>
      <c r="DP2064" s="11"/>
      <c r="DQ2064" s="11"/>
      <c r="DR2064" s="11"/>
      <c r="DS2064" s="11"/>
      <c r="DT2064" s="11"/>
      <c r="DU2064" s="11"/>
      <c r="DV2064" s="11"/>
      <c r="DW2064" s="11"/>
      <c r="DX2064" s="11"/>
      <c r="DY2064" s="11"/>
      <c r="DZ2064" s="11"/>
      <c r="EA2064" s="11"/>
      <c r="EB2064" s="11"/>
      <c r="EC2064" s="11"/>
      <c r="ED2064" s="11"/>
      <c r="EE2064" s="11"/>
      <c r="EF2064" s="11"/>
      <c r="EG2064" s="11"/>
      <c r="EH2064" s="11"/>
      <c r="EI2064" s="11"/>
      <c r="EJ2064" s="11"/>
      <c r="EK2064" s="11"/>
      <c r="EL2064" s="11"/>
      <c r="EM2064" s="11"/>
      <c r="EN2064" s="11"/>
      <c r="EO2064" s="11"/>
      <c r="EP2064" s="11"/>
      <c r="EQ2064" s="11"/>
      <c r="ER2064" s="11"/>
      <c r="ES2064" s="11"/>
      <c r="ET2064" s="11"/>
      <c r="EU2064" s="11"/>
      <c r="EV2064" s="11"/>
      <c r="EW2064" s="11"/>
      <c r="EX2064" s="11"/>
      <c r="EY2064" s="11"/>
      <c r="EZ2064" s="11"/>
      <c r="FA2064" s="11"/>
      <c r="FB2064" s="11"/>
      <c r="FC2064" s="11"/>
      <c r="FD2064" s="11"/>
      <c r="FE2064" s="11"/>
      <c r="FF2064" s="11"/>
      <c r="FG2064" s="11"/>
      <c r="FH2064" s="11"/>
      <c r="FI2064" s="11"/>
      <c r="FJ2064" s="11"/>
      <c r="FK2064" s="11"/>
      <c r="FL2064" s="11"/>
      <c r="FM2064" s="11"/>
      <c r="FN2064" s="11"/>
      <c r="FO2064" s="11"/>
      <c r="FP2064" s="11"/>
      <c r="FQ2064" s="11"/>
      <c r="FR2064" s="11"/>
      <c r="FS2064" s="11"/>
      <c r="FT2064" s="11"/>
      <c r="FU2064" s="11"/>
      <c r="FV2064" s="11"/>
      <c r="FW2064" s="11"/>
      <c r="FX2064" s="11"/>
      <c r="FY2064" s="11"/>
      <c r="FZ2064" s="11"/>
      <c r="GA2064" s="11"/>
      <c r="GB2064" s="11"/>
      <c r="GC2064" s="11"/>
      <c r="GD2064" s="11"/>
      <c r="GE2064" s="11"/>
      <c r="GF2064" s="11"/>
      <c r="GG2064" s="11"/>
      <c r="GH2064" s="11"/>
      <c r="GI2064" s="11"/>
      <c r="GJ2064" s="11"/>
      <c r="GK2064" s="11"/>
      <c r="GL2064" s="11"/>
      <c r="GM2064" s="11"/>
      <c r="GN2064" s="11"/>
      <c r="GO2064" s="11"/>
      <c r="GP2064" s="11"/>
      <c r="GQ2064" s="11"/>
      <c r="GR2064" s="11"/>
      <c r="GS2064" s="11"/>
      <c r="GT2064" s="11"/>
      <c r="GU2064" s="11"/>
      <c r="GV2064" s="11"/>
      <c r="GW2064" s="11"/>
      <c r="GX2064" s="11"/>
      <c r="GY2064" s="11"/>
      <c r="GZ2064" s="11"/>
      <c r="HA2064" s="11"/>
      <c r="HB2064" s="11"/>
      <c r="HC2064" s="11"/>
      <c r="HD2064" s="11"/>
      <c r="HE2064" s="11"/>
      <c r="HF2064" s="11"/>
      <c r="HG2064" s="11"/>
      <c r="HH2064" s="11"/>
      <c r="HI2064" s="11"/>
      <c r="HJ2064" s="11"/>
      <c r="HK2064" s="11"/>
      <c r="HL2064" s="11"/>
      <c r="HM2064" s="11"/>
      <c r="HN2064" s="11"/>
      <c r="HO2064" s="11"/>
      <c r="HP2064" s="11"/>
      <c r="HQ2064" s="11"/>
      <c r="HR2064" s="11"/>
      <c r="HS2064" s="11"/>
      <c r="HT2064" s="11"/>
      <c r="HU2064" s="11"/>
      <c r="HV2064" s="11"/>
      <c r="HW2064" s="11"/>
      <c r="HX2064" s="11"/>
      <c r="HY2064" s="11"/>
      <c r="HZ2064" s="11"/>
      <c r="IA2064" s="11"/>
      <c r="IB2064" s="11"/>
      <c r="IC2064" s="11"/>
      <c r="ID2064" s="11"/>
      <c r="IE2064" s="11"/>
      <c r="IF2064" s="11"/>
      <c r="IG2064" s="11"/>
      <c r="IH2064" s="11"/>
      <c r="II2064" s="11"/>
      <c r="IJ2064" s="11"/>
    </row>
    <row r="2065" spans="1:244" ht="12.75" customHeight="1">
      <c r="A2065" s="118">
        <v>2064</v>
      </c>
      <c r="B2065" s="128">
        <v>22</v>
      </c>
      <c r="C2065" s="156">
        <v>39052</v>
      </c>
      <c r="D2065" s="157" t="s">
        <v>55</v>
      </c>
      <c r="E2065" s="8">
        <v>2006</v>
      </c>
      <c r="F2065" s="158">
        <f t="shared" si="519"/>
        <v>640</v>
      </c>
      <c r="G2065" s="158">
        <f t="shared" si="520"/>
        <v>2</v>
      </c>
      <c r="H2065" s="162">
        <v>38412</v>
      </c>
      <c r="I2065" s="198">
        <v>600000</v>
      </c>
      <c r="J2065" s="15">
        <v>0.05</v>
      </c>
      <c r="K2065" s="15">
        <v>0.57999999999999996</v>
      </c>
      <c r="L2065" s="15">
        <v>0.33</v>
      </c>
      <c r="M2065" s="174">
        <v>0</v>
      </c>
      <c r="O2065" s="15">
        <v>0.15</v>
      </c>
      <c r="Q2065" s="11">
        <v>7</v>
      </c>
      <c r="T2065" s="161">
        <f t="shared" si="524"/>
        <v>348000</v>
      </c>
      <c r="U2065" s="161">
        <f t="shared" si="521"/>
        <v>198000</v>
      </c>
      <c r="V2065" s="161">
        <f t="shared" si="522"/>
        <v>90000</v>
      </c>
      <c r="W2065" s="161">
        <f t="shared" si="523"/>
        <v>36000</v>
      </c>
      <c r="X2065" s="11"/>
      <c r="Y2065" s="11"/>
      <c r="Z2065" s="11"/>
      <c r="AA2065" s="11"/>
      <c r="AB2065" s="11"/>
      <c r="AC2065" s="11"/>
      <c r="AD2065" s="11"/>
      <c r="AE2065" s="11"/>
      <c r="AF2065" s="11"/>
      <c r="AG2065" s="11"/>
      <c r="AH2065" s="11"/>
      <c r="AI2065" s="11"/>
      <c r="AJ2065" s="11"/>
      <c r="AK2065" s="11"/>
      <c r="AL2065" s="11"/>
      <c r="AM2065" s="11"/>
      <c r="AN2065" s="11"/>
      <c r="AO2065" s="11"/>
      <c r="AP2065" s="11"/>
      <c r="AQ2065" s="11"/>
      <c r="AR2065" s="11"/>
      <c r="AS2065" s="11"/>
      <c r="AT2065" s="11"/>
      <c r="AU2065" s="11"/>
      <c r="AV2065" s="11"/>
      <c r="AW2065" s="11"/>
      <c r="AX2065" s="11"/>
      <c r="AY2065" s="11"/>
      <c r="AZ2065" s="11"/>
      <c r="BA2065" s="11"/>
      <c r="BB2065" s="11"/>
      <c r="BC2065" s="11"/>
      <c r="BD2065" s="11"/>
      <c r="BE2065" s="11"/>
      <c r="BF2065" s="11"/>
      <c r="BG2065" s="11"/>
      <c r="BH2065" s="11"/>
      <c r="BI2065" s="11"/>
      <c r="BJ2065" s="11"/>
      <c r="BK2065" s="11"/>
      <c r="BL2065" s="11"/>
      <c r="BM2065" s="11"/>
      <c r="BN2065" s="11"/>
      <c r="BO2065" s="11"/>
      <c r="BP2065" s="11"/>
      <c r="BQ2065" s="11"/>
      <c r="BR2065" s="11"/>
      <c r="BS2065" s="11"/>
      <c r="BT2065" s="11"/>
      <c r="BU2065" s="11"/>
      <c r="BV2065" s="11"/>
      <c r="BW2065" s="11"/>
      <c r="BX2065" s="11"/>
      <c r="BY2065" s="11"/>
      <c r="BZ2065" s="11"/>
      <c r="CA2065" s="11"/>
      <c r="CB2065" s="11"/>
      <c r="CC2065" s="11"/>
      <c r="CD2065" s="11"/>
      <c r="CE2065" s="11"/>
      <c r="CF2065" s="11"/>
      <c r="CG2065" s="11"/>
      <c r="CH2065" s="11"/>
      <c r="CI2065" s="11"/>
      <c r="CJ2065" s="11"/>
      <c r="CK2065" s="11"/>
      <c r="CL2065" s="11"/>
      <c r="CM2065" s="11"/>
      <c r="CN2065" s="11"/>
      <c r="CO2065" s="11"/>
      <c r="CP2065" s="11"/>
      <c r="CQ2065" s="11"/>
      <c r="CR2065" s="11"/>
      <c r="CS2065" s="11"/>
      <c r="CT2065" s="11"/>
      <c r="CU2065" s="11"/>
      <c r="CV2065" s="11"/>
      <c r="CW2065" s="11"/>
      <c r="CX2065" s="11"/>
      <c r="CY2065" s="11"/>
      <c r="CZ2065" s="11"/>
      <c r="DA2065" s="11"/>
      <c r="DB2065" s="11"/>
      <c r="DC2065" s="11"/>
      <c r="DD2065" s="11"/>
      <c r="DE2065" s="11"/>
      <c r="DF2065" s="11"/>
      <c r="DG2065" s="11"/>
      <c r="DH2065" s="11"/>
      <c r="DI2065" s="11"/>
      <c r="DJ2065" s="11"/>
      <c r="DK2065" s="11"/>
      <c r="DL2065" s="11"/>
      <c r="DM2065" s="11"/>
      <c r="DN2065" s="11"/>
      <c r="DO2065" s="11"/>
      <c r="DP2065" s="11"/>
      <c r="DQ2065" s="11"/>
      <c r="DR2065" s="11"/>
      <c r="DS2065" s="11"/>
      <c r="DT2065" s="11"/>
      <c r="DU2065" s="11"/>
      <c r="DV2065" s="11"/>
      <c r="DW2065" s="11"/>
      <c r="DX2065" s="11"/>
      <c r="DY2065" s="11"/>
      <c r="DZ2065" s="11"/>
      <c r="EA2065" s="11"/>
      <c r="EB2065" s="11"/>
      <c r="EC2065" s="11"/>
      <c r="ED2065" s="11"/>
      <c r="EE2065" s="11"/>
      <c r="EF2065" s="11"/>
      <c r="EG2065" s="11"/>
      <c r="EH2065" s="11"/>
      <c r="EI2065" s="11"/>
      <c r="EJ2065" s="11"/>
      <c r="EK2065" s="11"/>
      <c r="EL2065" s="11"/>
      <c r="EM2065" s="11"/>
      <c r="EN2065" s="11"/>
      <c r="EO2065" s="11"/>
      <c r="EP2065" s="11"/>
      <c r="EQ2065" s="11"/>
      <c r="ER2065" s="11"/>
      <c r="ES2065" s="11"/>
      <c r="ET2065" s="11"/>
      <c r="EU2065" s="11"/>
      <c r="EV2065" s="11"/>
      <c r="EW2065" s="11"/>
      <c r="EX2065" s="11"/>
      <c r="EY2065" s="11"/>
      <c r="EZ2065" s="11"/>
      <c r="FA2065" s="11"/>
      <c r="FB2065" s="11"/>
      <c r="FC2065" s="11"/>
      <c r="FD2065" s="11"/>
      <c r="FE2065" s="11"/>
      <c r="FF2065" s="11"/>
      <c r="FG2065" s="11"/>
      <c r="FH2065" s="11"/>
      <c r="FI2065" s="11"/>
      <c r="FJ2065" s="11"/>
      <c r="FK2065" s="11"/>
      <c r="FL2065" s="11"/>
      <c r="FM2065" s="11"/>
      <c r="FN2065" s="11"/>
      <c r="FO2065" s="11"/>
      <c r="FP2065" s="11"/>
      <c r="FQ2065" s="11"/>
      <c r="FR2065" s="11"/>
      <c r="FS2065" s="11"/>
      <c r="FT2065" s="11"/>
      <c r="FU2065" s="11"/>
      <c r="FV2065" s="11"/>
      <c r="FW2065" s="11"/>
      <c r="FX2065" s="11"/>
      <c r="FY2065" s="11"/>
      <c r="FZ2065" s="11"/>
      <c r="GA2065" s="11"/>
      <c r="GB2065" s="11"/>
      <c r="GC2065" s="11"/>
      <c r="GD2065" s="11"/>
      <c r="GE2065" s="11"/>
      <c r="GF2065" s="11"/>
      <c r="GG2065" s="11"/>
      <c r="GH2065" s="11"/>
      <c r="GI2065" s="11"/>
      <c r="GJ2065" s="11"/>
      <c r="GK2065" s="11"/>
      <c r="GL2065" s="11"/>
      <c r="GM2065" s="11"/>
      <c r="GN2065" s="11"/>
      <c r="GO2065" s="11"/>
      <c r="GP2065" s="11"/>
      <c r="GQ2065" s="11"/>
      <c r="GR2065" s="11"/>
      <c r="GS2065" s="11"/>
      <c r="GT2065" s="11"/>
      <c r="GU2065" s="11"/>
      <c r="GV2065" s="11"/>
      <c r="GW2065" s="11"/>
      <c r="GX2065" s="11"/>
      <c r="GY2065" s="11"/>
      <c r="GZ2065" s="11"/>
      <c r="HA2065" s="11"/>
      <c r="HB2065" s="11"/>
      <c r="HC2065" s="11"/>
      <c r="HD2065" s="11"/>
      <c r="HE2065" s="11"/>
      <c r="HF2065" s="11"/>
      <c r="HG2065" s="11"/>
      <c r="HH2065" s="11"/>
      <c r="HI2065" s="11"/>
      <c r="HJ2065" s="11"/>
      <c r="HK2065" s="11"/>
      <c r="HL2065" s="11"/>
      <c r="HM2065" s="11"/>
      <c r="HN2065" s="11"/>
      <c r="HO2065" s="11"/>
      <c r="HP2065" s="11"/>
      <c r="HQ2065" s="11"/>
      <c r="HR2065" s="11"/>
      <c r="HS2065" s="11"/>
      <c r="HT2065" s="11"/>
      <c r="HU2065" s="11"/>
      <c r="HV2065" s="11"/>
      <c r="HW2065" s="11"/>
      <c r="HX2065" s="11"/>
      <c r="HY2065" s="11"/>
      <c r="HZ2065" s="11"/>
      <c r="IA2065" s="11"/>
      <c r="IB2065" s="11"/>
      <c r="IC2065" s="11"/>
      <c r="ID2065" s="11"/>
      <c r="IE2065" s="11"/>
      <c r="IF2065" s="11"/>
      <c r="IG2065" s="11"/>
      <c r="IH2065" s="11"/>
      <c r="II2065" s="11"/>
      <c r="IJ2065" s="11"/>
    </row>
    <row r="2066" spans="1:244" ht="12.75" customHeight="1">
      <c r="A2066" s="118">
        <v>2065</v>
      </c>
      <c r="B2066" s="128">
        <v>22</v>
      </c>
      <c r="C2066" s="156">
        <v>39083</v>
      </c>
      <c r="D2066" s="157" t="s">
        <v>44</v>
      </c>
      <c r="E2066" s="8">
        <v>2007</v>
      </c>
      <c r="F2066" s="158">
        <f t="shared" si="519"/>
        <v>671</v>
      </c>
      <c r="G2066" s="158">
        <f t="shared" si="520"/>
        <v>2</v>
      </c>
      <c r="H2066" s="162">
        <v>38412</v>
      </c>
      <c r="I2066" s="194">
        <v>325418</v>
      </c>
      <c r="J2066" s="15">
        <v>0.67500000000000004</v>
      </c>
      <c r="K2066" s="15">
        <v>0.85</v>
      </c>
      <c r="L2066" s="15">
        <v>0.42499999999999999</v>
      </c>
      <c r="M2066" s="174">
        <v>0</v>
      </c>
      <c r="O2066" s="15">
        <v>0.05</v>
      </c>
      <c r="Q2066" s="11">
        <v>6</v>
      </c>
      <c r="S2066" s="155" t="s">
        <v>7</v>
      </c>
      <c r="T2066" s="161">
        <f t="shared" si="524"/>
        <v>276605.3</v>
      </c>
      <c r="U2066" s="161">
        <f t="shared" si="521"/>
        <v>138302.65</v>
      </c>
      <c r="V2066" s="161">
        <f t="shared" si="522"/>
        <v>16270.900000000001</v>
      </c>
      <c r="W2066" s="161">
        <f t="shared" si="523"/>
        <v>6508.3600000000006</v>
      </c>
      <c r="X2066" s="11"/>
      <c r="Y2066" s="11"/>
      <c r="Z2066" s="11"/>
      <c r="AA2066" s="11"/>
      <c r="AB2066" s="11"/>
      <c r="AC2066" s="11"/>
      <c r="AD2066" s="11"/>
      <c r="AE2066" s="11"/>
      <c r="AF2066" s="11"/>
      <c r="AG2066" s="11"/>
      <c r="AH2066" s="11"/>
      <c r="AI2066" s="11"/>
      <c r="AJ2066" s="11"/>
      <c r="AK2066" s="11"/>
      <c r="AL2066" s="11"/>
      <c r="AM2066" s="11"/>
      <c r="AN2066" s="11"/>
      <c r="AO2066" s="11"/>
      <c r="AP2066" s="11"/>
      <c r="AQ2066" s="11"/>
      <c r="AR2066" s="11"/>
      <c r="AS2066" s="11"/>
      <c r="AT2066" s="11"/>
      <c r="AU2066" s="11"/>
      <c r="AV2066" s="11"/>
      <c r="AW2066" s="11"/>
      <c r="AX2066" s="11"/>
      <c r="AY2066" s="11"/>
      <c r="AZ2066" s="11"/>
      <c r="BA2066" s="11"/>
      <c r="BB2066" s="11"/>
      <c r="BC2066" s="11"/>
      <c r="BD2066" s="11"/>
      <c r="BE2066" s="11"/>
      <c r="BF2066" s="11"/>
      <c r="BG2066" s="11"/>
      <c r="BH2066" s="11"/>
      <c r="BI2066" s="11"/>
      <c r="BJ2066" s="11"/>
      <c r="BK2066" s="11"/>
      <c r="BL2066" s="11"/>
      <c r="BM2066" s="11"/>
      <c r="BN2066" s="11"/>
      <c r="BO2066" s="11"/>
      <c r="BP2066" s="11"/>
      <c r="BQ2066" s="11"/>
      <c r="BR2066" s="11"/>
      <c r="BS2066" s="11"/>
      <c r="BT2066" s="11"/>
      <c r="BU2066" s="11"/>
      <c r="BV2066" s="11"/>
      <c r="BW2066" s="11"/>
      <c r="BX2066" s="11"/>
      <c r="BY2066" s="11"/>
      <c r="BZ2066" s="11"/>
      <c r="CA2066" s="11"/>
      <c r="CB2066" s="11"/>
      <c r="CC2066" s="11"/>
      <c r="CD2066" s="11"/>
      <c r="CE2066" s="11"/>
      <c r="CF2066" s="11"/>
      <c r="CG2066" s="11"/>
      <c r="CH2066" s="11"/>
      <c r="CI2066" s="11"/>
      <c r="CJ2066" s="11"/>
      <c r="CK2066" s="11"/>
      <c r="CL2066" s="11"/>
      <c r="CM2066" s="11"/>
      <c r="CN2066" s="11"/>
      <c r="CO2066" s="11"/>
      <c r="CP2066" s="11"/>
      <c r="CQ2066" s="11"/>
      <c r="CR2066" s="11"/>
      <c r="CS2066" s="11"/>
      <c r="CT2066" s="11"/>
      <c r="CU2066" s="11"/>
      <c r="CV2066" s="11"/>
      <c r="CW2066" s="11"/>
      <c r="CX2066" s="11"/>
      <c r="CY2066" s="11"/>
      <c r="CZ2066" s="11"/>
      <c r="DA2066" s="11"/>
      <c r="DB2066" s="11"/>
      <c r="DC2066" s="11"/>
      <c r="DD2066" s="11"/>
      <c r="DE2066" s="11"/>
      <c r="DF2066" s="11"/>
      <c r="DG2066" s="11"/>
      <c r="DH2066" s="11"/>
      <c r="DI2066" s="11"/>
      <c r="DJ2066" s="11"/>
      <c r="DK2066" s="11"/>
      <c r="DL2066" s="11"/>
      <c r="DM2066" s="11"/>
      <c r="DN2066" s="11"/>
      <c r="DO2066" s="11"/>
      <c r="DP2066" s="11"/>
      <c r="DQ2066" s="11"/>
      <c r="DR2066" s="11"/>
      <c r="DS2066" s="11"/>
      <c r="DT2066" s="11"/>
      <c r="DU2066" s="11"/>
      <c r="DV2066" s="11"/>
      <c r="DW2066" s="11"/>
      <c r="DX2066" s="11"/>
      <c r="DY2066" s="11"/>
      <c r="DZ2066" s="11"/>
      <c r="EA2066" s="11"/>
      <c r="EB2066" s="11"/>
      <c r="EC2066" s="11"/>
      <c r="ED2066" s="11"/>
      <c r="EE2066" s="11"/>
      <c r="EF2066" s="11"/>
      <c r="EG2066" s="11"/>
      <c r="EH2066" s="11"/>
      <c r="EI2066" s="11"/>
      <c r="EJ2066" s="11"/>
      <c r="EK2066" s="11"/>
      <c r="EL2066" s="11"/>
      <c r="EM2066" s="11"/>
      <c r="EN2066" s="11"/>
      <c r="EO2066" s="11"/>
      <c r="EP2066" s="11"/>
      <c r="EQ2066" s="11"/>
      <c r="ER2066" s="11"/>
      <c r="ES2066" s="11"/>
      <c r="ET2066" s="11"/>
      <c r="EU2066" s="11"/>
      <c r="EV2066" s="11"/>
      <c r="EW2066" s="11"/>
      <c r="EX2066" s="11"/>
      <c r="EY2066" s="11"/>
      <c r="EZ2066" s="11"/>
      <c r="FA2066" s="11"/>
      <c r="FB2066" s="11"/>
      <c r="FC2066" s="11"/>
      <c r="FD2066" s="11"/>
      <c r="FE2066" s="11"/>
      <c r="FF2066" s="11"/>
      <c r="FG2066" s="11"/>
      <c r="FH2066" s="11"/>
      <c r="FI2066" s="11"/>
      <c r="FJ2066" s="11"/>
      <c r="FK2066" s="11"/>
      <c r="FL2066" s="11"/>
      <c r="FM2066" s="11"/>
      <c r="FN2066" s="11"/>
      <c r="FO2066" s="11"/>
      <c r="FP2066" s="11"/>
      <c r="FQ2066" s="11"/>
      <c r="FR2066" s="11"/>
      <c r="FS2066" s="11"/>
      <c r="FT2066" s="11"/>
      <c r="FU2066" s="11"/>
      <c r="FV2066" s="11"/>
      <c r="FW2066" s="11"/>
      <c r="FX2066" s="11"/>
      <c r="FY2066" s="11"/>
      <c r="FZ2066" s="11"/>
      <c r="GA2066" s="11"/>
      <c r="GB2066" s="11"/>
      <c r="GC2066" s="11"/>
      <c r="GD2066" s="11"/>
      <c r="GE2066" s="11"/>
      <c r="GF2066" s="11"/>
      <c r="GG2066" s="11"/>
      <c r="GH2066" s="11"/>
      <c r="GI2066" s="11"/>
      <c r="GJ2066" s="11"/>
      <c r="GK2066" s="11"/>
      <c r="GL2066" s="11"/>
      <c r="GM2066" s="11"/>
      <c r="GN2066" s="11"/>
      <c r="GO2066" s="11"/>
      <c r="GP2066" s="11"/>
      <c r="GQ2066" s="11"/>
      <c r="GR2066" s="11"/>
      <c r="GS2066" s="11"/>
      <c r="GT2066" s="11"/>
      <c r="GU2066" s="11"/>
      <c r="GV2066" s="11"/>
      <c r="GW2066" s="11"/>
      <c r="GX2066" s="11"/>
      <c r="GY2066" s="11"/>
      <c r="GZ2066" s="11"/>
      <c r="HA2066" s="11"/>
      <c r="HB2066" s="11"/>
      <c r="HC2066" s="11"/>
      <c r="HD2066" s="11"/>
      <c r="HE2066" s="11"/>
      <c r="HF2066" s="11"/>
      <c r="HG2066" s="11"/>
      <c r="HH2066" s="11"/>
      <c r="HI2066" s="11"/>
      <c r="HJ2066" s="11"/>
      <c r="HK2066" s="11"/>
      <c r="HL2066" s="11"/>
      <c r="HM2066" s="11"/>
      <c r="HN2066" s="11"/>
      <c r="HO2066" s="11"/>
      <c r="HP2066" s="11"/>
      <c r="HQ2066" s="11"/>
      <c r="HR2066" s="11"/>
      <c r="HS2066" s="11"/>
      <c r="HT2066" s="11"/>
      <c r="HU2066" s="11"/>
      <c r="HV2066" s="11"/>
      <c r="HW2066" s="11"/>
      <c r="HX2066" s="11"/>
      <c r="HY2066" s="11"/>
      <c r="HZ2066" s="11"/>
      <c r="IA2066" s="11"/>
      <c r="IB2066" s="11"/>
      <c r="IC2066" s="11"/>
      <c r="ID2066" s="11"/>
      <c r="IE2066" s="11"/>
      <c r="IF2066" s="11"/>
      <c r="IG2066" s="11"/>
      <c r="IH2066" s="11"/>
      <c r="II2066" s="11"/>
      <c r="IJ2066" s="11"/>
    </row>
    <row r="2067" spans="1:244" ht="12.75" customHeight="1">
      <c r="A2067" s="118">
        <v>2066</v>
      </c>
      <c r="B2067" s="128">
        <v>22</v>
      </c>
      <c r="C2067" s="156">
        <v>39114</v>
      </c>
      <c r="D2067" s="157" t="s">
        <v>45</v>
      </c>
      <c r="E2067" s="8">
        <v>2007</v>
      </c>
      <c r="F2067" s="158">
        <f t="shared" si="519"/>
        <v>702</v>
      </c>
      <c r="G2067" s="158">
        <f t="shared" si="520"/>
        <v>2</v>
      </c>
      <c r="H2067" s="162">
        <v>38412</v>
      </c>
      <c r="I2067" s="194">
        <v>322891</v>
      </c>
      <c r="J2067" s="15">
        <v>0.68</v>
      </c>
      <c r="K2067" s="15">
        <v>1.3</v>
      </c>
      <c r="L2067" s="15">
        <v>0.55000000000000004</v>
      </c>
      <c r="M2067" s="174">
        <v>0</v>
      </c>
      <c r="O2067" s="15">
        <v>0.18</v>
      </c>
      <c r="Q2067" s="11">
        <v>7</v>
      </c>
      <c r="S2067" s="155" t="s">
        <v>7</v>
      </c>
      <c r="T2067" s="161">
        <f t="shared" si="524"/>
        <v>419758.3</v>
      </c>
      <c r="U2067" s="161">
        <f t="shared" si="521"/>
        <v>177590.05000000002</v>
      </c>
      <c r="V2067" s="161">
        <f t="shared" si="522"/>
        <v>58120.38</v>
      </c>
      <c r="W2067" s="161">
        <f t="shared" si="523"/>
        <v>23248.152000000002</v>
      </c>
      <c r="X2067" s="11"/>
      <c r="Y2067" s="11"/>
      <c r="Z2067" s="11"/>
      <c r="AA2067" s="11"/>
      <c r="AB2067" s="11"/>
      <c r="AC2067" s="11"/>
      <c r="AD2067" s="11"/>
      <c r="AE2067" s="11"/>
      <c r="AF2067" s="11"/>
      <c r="AG2067" s="11"/>
      <c r="AH2067" s="11"/>
      <c r="AI2067" s="11"/>
      <c r="AJ2067" s="11"/>
      <c r="AK2067" s="11"/>
      <c r="AL2067" s="11"/>
      <c r="AM2067" s="11"/>
      <c r="AN2067" s="11"/>
      <c r="AO2067" s="11"/>
      <c r="AP2067" s="11"/>
      <c r="AQ2067" s="11"/>
      <c r="AR2067" s="11"/>
      <c r="AS2067" s="11"/>
      <c r="AT2067" s="11"/>
      <c r="AU2067" s="11"/>
      <c r="AV2067" s="11"/>
      <c r="AW2067" s="11"/>
      <c r="AX2067" s="11"/>
      <c r="AY2067" s="11"/>
      <c r="AZ2067" s="11"/>
      <c r="BA2067" s="11"/>
      <c r="BB2067" s="11"/>
      <c r="BC2067" s="11"/>
      <c r="BD2067" s="11"/>
      <c r="BE2067" s="11"/>
      <c r="BF2067" s="11"/>
      <c r="BG2067" s="11"/>
      <c r="BH2067" s="11"/>
      <c r="BI2067" s="11"/>
      <c r="BJ2067" s="11"/>
      <c r="BK2067" s="11"/>
      <c r="BL2067" s="11"/>
      <c r="BM2067" s="11"/>
      <c r="BN2067" s="11"/>
      <c r="BO2067" s="11"/>
      <c r="BP2067" s="11"/>
      <c r="BQ2067" s="11"/>
      <c r="BR2067" s="11"/>
      <c r="BS2067" s="11"/>
      <c r="BT2067" s="11"/>
      <c r="BU2067" s="11"/>
      <c r="BV2067" s="11"/>
      <c r="BW2067" s="11"/>
      <c r="BX2067" s="11"/>
      <c r="BY2067" s="11"/>
      <c r="BZ2067" s="11"/>
      <c r="CA2067" s="11"/>
      <c r="CB2067" s="11"/>
      <c r="CC2067" s="11"/>
      <c r="CD2067" s="11"/>
      <c r="CE2067" s="11"/>
      <c r="CF2067" s="11"/>
      <c r="CG2067" s="11"/>
      <c r="CH2067" s="11"/>
      <c r="CI2067" s="11"/>
      <c r="CJ2067" s="11"/>
      <c r="CK2067" s="11"/>
      <c r="CL2067" s="11"/>
      <c r="CM2067" s="11"/>
      <c r="CN2067" s="11"/>
      <c r="CO2067" s="11"/>
      <c r="CP2067" s="11"/>
      <c r="CQ2067" s="11"/>
      <c r="CR2067" s="11"/>
      <c r="CS2067" s="11"/>
      <c r="CT2067" s="11"/>
      <c r="CU2067" s="11"/>
      <c r="CV2067" s="11"/>
      <c r="CW2067" s="11"/>
      <c r="CX2067" s="11"/>
      <c r="CY2067" s="11"/>
      <c r="CZ2067" s="11"/>
      <c r="DA2067" s="11"/>
      <c r="DB2067" s="11"/>
      <c r="DC2067" s="11"/>
      <c r="DD2067" s="11"/>
      <c r="DE2067" s="11"/>
      <c r="DF2067" s="11"/>
      <c r="DG2067" s="11"/>
      <c r="DH2067" s="11"/>
      <c r="DI2067" s="11"/>
      <c r="DJ2067" s="11"/>
      <c r="DK2067" s="11"/>
      <c r="DL2067" s="11"/>
      <c r="DM2067" s="11"/>
      <c r="DN2067" s="11"/>
      <c r="DO2067" s="11"/>
      <c r="DP2067" s="11"/>
      <c r="DQ2067" s="11"/>
      <c r="DR2067" s="11"/>
      <c r="DS2067" s="11"/>
      <c r="DT2067" s="11"/>
      <c r="DU2067" s="11"/>
      <c r="DV2067" s="11"/>
      <c r="DW2067" s="11"/>
      <c r="DX2067" s="11"/>
      <c r="DY2067" s="11"/>
      <c r="DZ2067" s="11"/>
      <c r="EA2067" s="11"/>
      <c r="EB2067" s="11"/>
      <c r="EC2067" s="11"/>
      <c r="ED2067" s="11"/>
      <c r="EE2067" s="11"/>
      <c r="EF2067" s="11"/>
      <c r="EG2067" s="11"/>
      <c r="EH2067" s="11"/>
      <c r="EI2067" s="11"/>
      <c r="EJ2067" s="11"/>
      <c r="EK2067" s="11"/>
      <c r="EL2067" s="11"/>
      <c r="EM2067" s="11"/>
      <c r="EN2067" s="11"/>
      <c r="EO2067" s="11"/>
      <c r="EP2067" s="11"/>
      <c r="EQ2067" s="11"/>
      <c r="ER2067" s="11"/>
      <c r="ES2067" s="11"/>
      <c r="ET2067" s="11"/>
      <c r="EU2067" s="11"/>
      <c r="EV2067" s="11"/>
      <c r="EW2067" s="11"/>
      <c r="EX2067" s="11"/>
      <c r="EY2067" s="11"/>
      <c r="EZ2067" s="11"/>
      <c r="FA2067" s="11"/>
      <c r="FB2067" s="11"/>
      <c r="FC2067" s="11"/>
      <c r="FD2067" s="11"/>
      <c r="FE2067" s="11"/>
      <c r="FF2067" s="11"/>
      <c r="FG2067" s="11"/>
      <c r="FH2067" s="11"/>
      <c r="FI2067" s="11"/>
      <c r="FJ2067" s="11"/>
      <c r="FK2067" s="11"/>
      <c r="FL2067" s="11"/>
      <c r="FM2067" s="11"/>
      <c r="FN2067" s="11"/>
      <c r="FO2067" s="11"/>
      <c r="FP2067" s="11"/>
      <c r="FQ2067" s="11"/>
      <c r="FR2067" s="11"/>
      <c r="FS2067" s="11"/>
      <c r="FT2067" s="11"/>
      <c r="FU2067" s="11"/>
      <c r="FV2067" s="11"/>
      <c r="FW2067" s="11"/>
      <c r="FX2067" s="11"/>
      <c r="FY2067" s="11"/>
      <c r="FZ2067" s="11"/>
      <c r="GA2067" s="11"/>
      <c r="GB2067" s="11"/>
      <c r="GC2067" s="11"/>
      <c r="GD2067" s="11"/>
      <c r="GE2067" s="11"/>
      <c r="GF2067" s="11"/>
      <c r="GG2067" s="11"/>
      <c r="GH2067" s="11"/>
      <c r="GI2067" s="11"/>
      <c r="GJ2067" s="11"/>
      <c r="GK2067" s="11"/>
      <c r="GL2067" s="11"/>
      <c r="GM2067" s="11"/>
      <c r="GN2067" s="11"/>
      <c r="GO2067" s="11"/>
      <c r="GP2067" s="11"/>
      <c r="GQ2067" s="11"/>
      <c r="GR2067" s="11"/>
      <c r="GS2067" s="11"/>
      <c r="GT2067" s="11"/>
      <c r="GU2067" s="11"/>
      <c r="GV2067" s="11"/>
      <c r="GW2067" s="11"/>
      <c r="GX2067" s="11"/>
      <c r="GY2067" s="11"/>
      <c r="GZ2067" s="11"/>
      <c r="HA2067" s="11"/>
      <c r="HB2067" s="11"/>
      <c r="HC2067" s="11"/>
      <c r="HD2067" s="11"/>
      <c r="HE2067" s="11"/>
      <c r="HF2067" s="11"/>
      <c r="HG2067" s="11"/>
      <c r="HH2067" s="11"/>
      <c r="HI2067" s="11"/>
      <c r="HJ2067" s="11"/>
      <c r="HK2067" s="11"/>
      <c r="HL2067" s="11"/>
      <c r="HM2067" s="11"/>
      <c r="HN2067" s="11"/>
      <c r="HO2067" s="11"/>
      <c r="HP2067" s="11"/>
      <c r="HQ2067" s="11"/>
      <c r="HR2067" s="11"/>
      <c r="HS2067" s="11"/>
      <c r="HT2067" s="11"/>
      <c r="HU2067" s="11"/>
      <c r="HV2067" s="11"/>
      <c r="HW2067" s="11"/>
      <c r="HX2067" s="11"/>
      <c r="HY2067" s="11"/>
      <c r="HZ2067" s="11"/>
      <c r="IA2067" s="11"/>
      <c r="IB2067" s="11"/>
      <c r="IC2067" s="11"/>
      <c r="ID2067" s="11"/>
      <c r="IE2067" s="11"/>
      <c r="IF2067" s="11"/>
      <c r="IG2067" s="11"/>
      <c r="IH2067" s="11"/>
      <c r="II2067" s="11"/>
      <c r="IJ2067" s="11"/>
    </row>
    <row r="2068" spans="1:244" ht="12.75" customHeight="1">
      <c r="A2068" s="118">
        <v>2067</v>
      </c>
      <c r="B2068" s="128">
        <v>22</v>
      </c>
      <c r="C2068" s="156">
        <v>39142</v>
      </c>
      <c r="D2068" s="157" t="s">
        <v>46</v>
      </c>
      <c r="E2068" s="8">
        <v>2007</v>
      </c>
      <c r="F2068" s="158">
        <f t="shared" si="519"/>
        <v>730</v>
      </c>
      <c r="G2068" s="158">
        <f>IF(F2068&lt;730,2,3)</f>
        <v>3</v>
      </c>
      <c r="H2068" s="162">
        <v>38412</v>
      </c>
      <c r="I2068" s="194">
        <v>296055</v>
      </c>
      <c r="J2068" s="15">
        <v>0.42</v>
      </c>
      <c r="K2068" s="15">
        <v>2.33</v>
      </c>
      <c r="L2068" s="15">
        <v>1.5</v>
      </c>
      <c r="M2068" s="174">
        <v>0</v>
      </c>
      <c r="O2068" s="15">
        <v>0</v>
      </c>
      <c r="Q2068" s="11">
        <v>7</v>
      </c>
      <c r="S2068" s="155" t="s">
        <v>7</v>
      </c>
      <c r="T2068" s="161">
        <f t="shared" si="524"/>
        <v>689808.15</v>
      </c>
      <c r="U2068" s="161">
        <f t="shared" si="521"/>
        <v>444082.5</v>
      </c>
      <c r="V2068" s="161">
        <f t="shared" si="522"/>
        <v>0</v>
      </c>
      <c r="W2068" s="161">
        <f t="shared" si="523"/>
        <v>0</v>
      </c>
      <c r="X2068" s="11"/>
      <c r="Y2068" s="11"/>
      <c r="Z2068" s="11"/>
      <c r="AA2068" s="11"/>
      <c r="AB2068" s="11"/>
      <c r="AC2068" s="11"/>
      <c r="AD2068" s="11"/>
      <c r="AE2068" s="11"/>
      <c r="AF2068" s="11"/>
      <c r="AG2068" s="11"/>
      <c r="AH2068" s="11"/>
      <c r="AI2068" s="11"/>
      <c r="AJ2068" s="11"/>
      <c r="AK2068" s="11"/>
      <c r="AL2068" s="11"/>
      <c r="AM2068" s="11"/>
      <c r="AN2068" s="11"/>
      <c r="AO2068" s="11"/>
      <c r="AP2068" s="11"/>
      <c r="AQ2068" s="11"/>
      <c r="AR2068" s="11"/>
      <c r="AS2068" s="11"/>
      <c r="AT2068" s="11"/>
      <c r="AU2068" s="11"/>
      <c r="AV2068" s="11"/>
      <c r="AW2068" s="11"/>
      <c r="AX2068" s="11"/>
      <c r="AY2068" s="11"/>
      <c r="AZ2068" s="11"/>
      <c r="BA2068" s="11"/>
      <c r="BB2068" s="11"/>
      <c r="BC2068" s="11"/>
      <c r="BD2068" s="11"/>
      <c r="BE2068" s="11"/>
      <c r="BF2068" s="11"/>
      <c r="BG2068" s="11"/>
      <c r="BH2068" s="11"/>
      <c r="BI2068" s="11"/>
      <c r="BJ2068" s="11"/>
      <c r="BK2068" s="11"/>
      <c r="BL2068" s="11"/>
      <c r="BM2068" s="11"/>
      <c r="BN2068" s="11"/>
      <c r="BO2068" s="11"/>
      <c r="BP2068" s="11"/>
      <c r="BQ2068" s="11"/>
      <c r="BR2068" s="11"/>
      <c r="BS2068" s="11"/>
      <c r="BT2068" s="11"/>
      <c r="BU2068" s="11"/>
      <c r="BV2068" s="11"/>
      <c r="BW2068" s="11"/>
      <c r="BX2068" s="11"/>
      <c r="BY2068" s="11"/>
      <c r="BZ2068" s="11"/>
      <c r="CA2068" s="11"/>
      <c r="CB2068" s="11"/>
      <c r="CC2068" s="11"/>
      <c r="CD2068" s="11"/>
      <c r="CE2068" s="11"/>
      <c r="CF2068" s="11"/>
      <c r="CG2068" s="11"/>
      <c r="CH2068" s="11"/>
      <c r="CI2068" s="11"/>
      <c r="CJ2068" s="11"/>
      <c r="CK2068" s="11"/>
      <c r="CL2068" s="11"/>
      <c r="CM2068" s="11"/>
      <c r="CN2068" s="11"/>
      <c r="CO2068" s="11"/>
      <c r="CP2068" s="11"/>
      <c r="CQ2068" s="11"/>
      <c r="CR2068" s="11"/>
      <c r="CS2068" s="11"/>
      <c r="CT2068" s="11"/>
      <c r="CU2068" s="11"/>
      <c r="CV2068" s="11"/>
      <c r="CW2068" s="11"/>
      <c r="CX2068" s="11"/>
      <c r="CY2068" s="11"/>
      <c r="CZ2068" s="11"/>
      <c r="DA2068" s="11"/>
      <c r="DB2068" s="11"/>
      <c r="DC2068" s="11"/>
      <c r="DD2068" s="11"/>
      <c r="DE2068" s="11"/>
      <c r="DF2068" s="11"/>
      <c r="DG2068" s="11"/>
      <c r="DH2068" s="11"/>
      <c r="DI2068" s="11"/>
      <c r="DJ2068" s="11"/>
      <c r="DK2068" s="11"/>
      <c r="DL2068" s="11"/>
      <c r="DM2068" s="11"/>
      <c r="DN2068" s="11"/>
      <c r="DO2068" s="11"/>
      <c r="DP2068" s="11"/>
      <c r="DQ2068" s="11"/>
      <c r="DR2068" s="11"/>
      <c r="DS2068" s="11"/>
      <c r="DT2068" s="11"/>
      <c r="DU2068" s="11"/>
      <c r="DV2068" s="11"/>
      <c r="DW2068" s="11"/>
      <c r="DX2068" s="11"/>
      <c r="DY2068" s="11"/>
      <c r="DZ2068" s="11"/>
      <c r="EA2068" s="11"/>
      <c r="EB2068" s="11"/>
      <c r="EC2068" s="11"/>
      <c r="ED2068" s="11"/>
      <c r="EE2068" s="11"/>
      <c r="EF2068" s="11"/>
      <c r="EG2068" s="11"/>
      <c r="EH2068" s="11"/>
      <c r="EI2068" s="11"/>
      <c r="EJ2068" s="11"/>
      <c r="EK2068" s="11"/>
      <c r="EL2068" s="11"/>
      <c r="EM2068" s="11"/>
      <c r="EN2068" s="11"/>
      <c r="EO2068" s="11"/>
      <c r="EP2068" s="11"/>
      <c r="EQ2068" s="11"/>
      <c r="ER2068" s="11"/>
      <c r="ES2068" s="11"/>
      <c r="ET2068" s="11"/>
      <c r="EU2068" s="11"/>
      <c r="EV2068" s="11"/>
      <c r="EW2068" s="11"/>
      <c r="EX2068" s="11"/>
      <c r="EY2068" s="11"/>
      <c r="EZ2068" s="11"/>
      <c r="FA2068" s="11"/>
      <c r="FB2068" s="11"/>
      <c r="FC2068" s="11"/>
      <c r="FD2068" s="11"/>
      <c r="FE2068" s="11"/>
      <c r="FF2068" s="11"/>
      <c r="FG2068" s="11"/>
      <c r="FH2068" s="11"/>
      <c r="FI2068" s="11"/>
      <c r="FJ2068" s="11"/>
      <c r="FK2068" s="11"/>
      <c r="FL2068" s="11"/>
      <c r="FM2068" s="11"/>
      <c r="FN2068" s="11"/>
      <c r="FO2068" s="11"/>
      <c r="FP2068" s="11"/>
      <c r="FQ2068" s="11"/>
      <c r="FR2068" s="11"/>
      <c r="FS2068" s="11"/>
      <c r="FT2068" s="11"/>
      <c r="FU2068" s="11"/>
      <c r="FV2068" s="11"/>
      <c r="FW2068" s="11"/>
      <c r="FX2068" s="11"/>
      <c r="FY2068" s="11"/>
      <c r="FZ2068" s="11"/>
      <c r="GA2068" s="11"/>
      <c r="GB2068" s="11"/>
      <c r="GC2068" s="11"/>
      <c r="GD2068" s="11"/>
      <c r="GE2068" s="11"/>
      <c r="GF2068" s="11"/>
      <c r="GG2068" s="11"/>
      <c r="GH2068" s="11"/>
      <c r="GI2068" s="11"/>
      <c r="GJ2068" s="11"/>
      <c r="GK2068" s="11"/>
      <c r="GL2068" s="11"/>
      <c r="GM2068" s="11"/>
      <c r="GN2068" s="11"/>
      <c r="GO2068" s="11"/>
      <c r="GP2068" s="11"/>
      <c r="GQ2068" s="11"/>
      <c r="GR2068" s="11"/>
      <c r="GS2068" s="11"/>
      <c r="GT2068" s="11"/>
      <c r="GU2068" s="11"/>
      <c r="GV2068" s="11"/>
      <c r="GW2068" s="11"/>
      <c r="GX2068" s="11"/>
      <c r="GY2068" s="11"/>
      <c r="GZ2068" s="11"/>
      <c r="HA2068" s="11"/>
      <c r="HB2068" s="11"/>
      <c r="HC2068" s="11"/>
      <c r="HD2068" s="11"/>
      <c r="HE2068" s="11"/>
      <c r="HF2068" s="11"/>
      <c r="HG2068" s="11"/>
      <c r="HH2068" s="11"/>
      <c r="HI2068" s="11"/>
      <c r="HJ2068" s="11"/>
      <c r="HK2068" s="11"/>
      <c r="HL2068" s="11"/>
      <c r="HM2068" s="11"/>
      <c r="HN2068" s="11"/>
      <c r="HO2068" s="11"/>
      <c r="HP2068" s="11"/>
      <c r="HQ2068" s="11"/>
      <c r="HR2068" s="11"/>
      <c r="HS2068" s="11"/>
      <c r="HT2068" s="11"/>
      <c r="HU2068" s="11"/>
      <c r="HV2068" s="11"/>
      <c r="HW2068" s="11"/>
      <c r="HX2068" s="11"/>
      <c r="HY2068" s="11"/>
      <c r="HZ2068" s="11"/>
      <c r="IA2068" s="11"/>
      <c r="IB2068" s="11"/>
      <c r="IC2068" s="11"/>
      <c r="ID2068" s="11"/>
      <c r="IE2068" s="11"/>
      <c r="IF2068" s="11"/>
      <c r="IG2068" s="11"/>
      <c r="IH2068" s="11"/>
      <c r="II2068" s="11"/>
      <c r="IJ2068" s="11"/>
    </row>
    <row r="2069" spans="1:244" ht="12.75" customHeight="1">
      <c r="A2069" s="118">
        <v>2068</v>
      </c>
      <c r="B2069" s="128">
        <v>22</v>
      </c>
      <c r="C2069" s="156">
        <v>39173</v>
      </c>
      <c r="D2069" s="157" t="s">
        <v>47</v>
      </c>
      <c r="E2069" s="8">
        <v>2007</v>
      </c>
      <c r="F2069" s="158">
        <f t="shared" si="519"/>
        <v>761</v>
      </c>
      <c r="G2069" s="158">
        <f>IF(F2069&lt;730,2,3)</f>
        <v>3</v>
      </c>
      <c r="H2069" s="162">
        <v>38412</v>
      </c>
      <c r="I2069" s="194">
        <v>104232</v>
      </c>
      <c r="J2069" s="15">
        <v>0.9</v>
      </c>
      <c r="K2069" s="15">
        <v>4.0999999999999996</v>
      </c>
      <c r="L2069" s="15">
        <v>1.7</v>
      </c>
      <c r="O2069" s="15">
        <v>1.1000000000000001</v>
      </c>
      <c r="Q2069" s="11">
        <v>7</v>
      </c>
      <c r="R2069" s="11">
        <v>28</v>
      </c>
      <c r="S2069" s="155" t="s">
        <v>7</v>
      </c>
      <c r="T2069" s="161">
        <f t="shared" si="524"/>
        <v>427351.19999999995</v>
      </c>
      <c r="U2069" s="161">
        <f t="shared" si="521"/>
        <v>177194.4</v>
      </c>
      <c r="V2069" s="161">
        <f t="shared" si="522"/>
        <v>114655.20000000001</v>
      </c>
      <c r="W2069" s="161">
        <f t="shared" si="523"/>
        <v>45862.080000000009</v>
      </c>
      <c r="X2069" s="11"/>
      <c r="Y2069" s="11"/>
      <c r="Z2069" s="11"/>
      <c r="AA2069" s="11"/>
      <c r="AB2069" s="11"/>
      <c r="AC2069" s="11"/>
      <c r="AD2069" s="11"/>
      <c r="AE2069" s="11"/>
      <c r="AF2069" s="11"/>
      <c r="AG2069" s="11"/>
      <c r="AH2069" s="11"/>
      <c r="AI2069" s="11"/>
      <c r="AJ2069" s="11"/>
      <c r="AK2069" s="11"/>
      <c r="AL2069" s="11"/>
      <c r="AM2069" s="11"/>
      <c r="AN2069" s="11"/>
      <c r="AO2069" s="11"/>
      <c r="AP2069" s="11"/>
      <c r="AQ2069" s="11"/>
      <c r="AR2069" s="11"/>
      <c r="AS2069" s="11"/>
      <c r="AT2069" s="11"/>
      <c r="AU2069" s="11"/>
      <c r="AV2069" s="11"/>
      <c r="AW2069" s="11"/>
      <c r="AX2069" s="11"/>
      <c r="AY2069" s="11"/>
      <c r="AZ2069" s="11"/>
      <c r="BA2069" s="11"/>
      <c r="BB2069" s="11"/>
      <c r="BC2069" s="11"/>
      <c r="BD2069" s="11"/>
      <c r="BE2069" s="11"/>
      <c r="BF2069" s="11"/>
      <c r="BG2069" s="11"/>
      <c r="BH2069" s="11"/>
      <c r="BI2069" s="11"/>
      <c r="BJ2069" s="11"/>
      <c r="BK2069" s="11"/>
      <c r="BL2069" s="11"/>
      <c r="BM2069" s="11"/>
      <c r="BN2069" s="11"/>
      <c r="BO2069" s="11"/>
      <c r="BP2069" s="11"/>
      <c r="BQ2069" s="11"/>
      <c r="BR2069" s="11"/>
      <c r="BS2069" s="11"/>
      <c r="BT2069" s="11"/>
      <c r="BU2069" s="11"/>
      <c r="BV2069" s="11"/>
      <c r="BW2069" s="11"/>
      <c r="BX2069" s="11"/>
      <c r="BY2069" s="11"/>
      <c r="BZ2069" s="11"/>
      <c r="CA2069" s="11"/>
      <c r="CB2069" s="11"/>
      <c r="CC2069" s="11"/>
      <c r="CD2069" s="11"/>
      <c r="CE2069" s="11"/>
      <c r="CF2069" s="11"/>
      <c r="CG2069" s="11"/>
      <c r="CH2069" s="11"/>
      <c r="CI2069" s="11"/>
      <c r="CJ2069" s="11"/>
      <c r="CK2069" s="11"/>
      <c r="CL2069" s="11"/>
      <c r="CM2069" s="11"/>
      <c r="CN2069" s="11"/>
      <c r="CO2069" s="11"/>
      <c r="CP2069" s="11"/>
      <c r="CQ2069" s="11"/>
      <c r="CR2069" s="11"/>
      <c r="CS2069" s="11"/>
      <c r="CT2069" s="11"/>
      <c r="CU2069" s="11"/>
      <c r="CV2069" s="11"/>
      <c r="CW2069" s="11"/>
      <c r="CX2069" s="11"/>
      <c r="CY2069" s="11"/>
      <c r="CZ2069" s="11"/>
      <c r="DA2069" s="11"/>
      <c r="DB2069" s="11"/>
      <c r="DC2069" s="11"/>
      <c r="DD2069" s="11"/>
      <c r="DE2069" s="11"/>
      <c r="DF2069" s="11"/>
      <c r="DG2069" s="11"/>
      <c r="DH2069" s="11"/>
      <c r="DI2069" s="11"/>
      <c r="DJ2069" s="11"/>
      <c r="DK2069" s="11"/>
      <c r="DL2069" s="11"/>
      <c r="DM2069" s="11"/>
      <c r="DN2069" s="11"/>
      <c r="DO2069" s="11"/>
      <c r="DP2069" s="11"/>
      <c r="DQ2069" s="11"/>
      <c r="DR2069" s="11"/>
      <c r="DS2069" s="11"/>
      <c r="DT2069" s="11"/>
      <c r="DU2069" s="11"/>
      <c r="DV2069" s="11"/>
      <c r="DW2069" s="11"/>
      <c r="DX2069" s="11"/>
      <c r="DY2069" s="11"/>
      <c r="DZ2069" s="11"/>
      <c r="EA2069" s="11"/>
      <c r="EB2069" s="11"/>
      <c r="EC2069" s="11"/>
      <c r="ED2069" s="11"/>
      <c r="EE2069" s="11"/>
      <c r="EF2069" s="11"/>
      <c r="EG2069" s="11"/>
      <c r="EH2069" s="11"/>
      <c r="EI2069" s="11"/>
      <c r="EJ2069" s="11"/>
      <c r="EK2069" s="11"/>
      <c r="EL2069" s="11"/>
      <c r="EM2069" s="11"/>
      <c r="EN2069" s="11"/>
      <c r="EO2069" s="11"/>
      <c r="EP2069" s="11"/>
      <c r="EQ2069" s="11"/>
      <c r="ER2069" s="11"/>
      <c r="ES2069" s="11"/>
      <c r="ET2069" s="11"/>
      <c r="EU2069" s="11"/>
      <c r="EV2069" s="11"/>
      <c r="EW2069" s="11"/>
      <c r="EX2069" s="11"/>
      <c r="EY2069" s="11"/>
      <c r="EZ2069" s="11"/>
      <c r="FA2069" s="11"/>
      <c r="FB2069" s="11"/>
      <c r="FC2069" s="11"/>
      <c r="FD2069" s="11"/>
      <c r="FE2069" s="11"/>
      <c r="FF2069" s="11"/>
      <c r="FG2069" s="11"/>
      <c r="FH2069" s="11"/>
      <c r="FI2069" s="11"/>
      <c r="FJ2069" s="11"/>
      <c r="FK2069" s="11"/>
      <c r="FL2069" s="11"/>
      <c r="FM2069" s="11"/>
      <c r="FN2069" s="11"/>
      <c r="FO2069" s="11"/>
      <c r="FP2069" s="11"/>
      <c r="FQ2069" s="11"/>
      <c r="FR2069" s="11"/>
      <c r="FS2069" s="11"/>
      <c r="FT2069" s="11"/>
      <c r="FU2069" s="11"/>
      <c r="FV2069" s="11"/>
      <c r="FW2069" s="11"/>
      <c r="FX2069" s="11"/>
      <c r="FY2069" s="11"/>
      <c r="FZ2069" s="11"/>
      <c r="GA2069" s="11"/>
      <c r="GB2069" s="11"/>
      <c r="GC2069" s="11"/>
      <c r="GD2069" s="11"/>
      <c r="GE2069" s="11"/>
      <c r="GF2069" s="11"/>
      <c r="GG2069" s="11"/>
      <c r="GH2069" s="11"/>
      <c r="GI2069" s="11"/>
      <c r="GJ2069" s="11"/>
      <c r="GK2069" s="11"/>
      <c r="GL2069" s="11"/>
      <c r="GM2069" s="11"/>
      <c r="GN2069" s="11"/>
      <c r="GO2069" s="11"/>
      <c r="GP2069" s="11"/>
      <c r="GQ2069" s="11"/>
      <c r="GR2069" s="11"/>
      <c r="GS2069" s="11"/>
      <c r="GT2069" s="11"/>
      <c r="GU2069" s="11"/>
      <c r="GV2069" s="11"/>
      <c r="GW2069" s="11"/>
      <c r="GX2069" s="11"/>
      <c r="GY2069" s="11"/>
      <c r="GZ2069" s="11"/>
      <c r="HA2069" s="11"/>
      <c r="HB2069" s="11"/>
      <c r="HC2069" s="11"/>
      <c r="HD2069" s="11"/>
      <c r="HE2069" s="11"/>
      <c r="HF2069" s="11"/>
      <c r="HG2069" s="11"/>
      <c r="HH2069" s="11"/>
      <c r="HI2069" s="11"/>
      <c r="HJ2069" s="11"/>
      <c r="HK2069" s="11"/>
      <c r="HL2069" s="11"/>
      <c r="HM2069" s="11"/>
      <c r="HN2069" s="11"/>
      <c r="HO2069" s="11"/>
      <c r="HP2069" s="11"/>
      <c r="HQ2069" s="11"/>
      <c r="HR2069" s="11"/>
      <c r="HS2069" s="11"/>
      <c r="HT2069" s="11"/>
      <c r="HU2069" s="11"/>
      <c r="HV2069" s="11"/>
      <c r="HW2069" s="11"/>
      <c r="HX2069" s="11"/>
      <c r="HY2069" s="11"/>
      <c r="HZ2069" s="11"/>
      <c r="IA2069" s="11"/>
      <c r="IB2069" s="11"/>
      <c r="IC2069" s="11"/>
      <c r="ID2069" s="11"/>
      <c r="IE2069" s="11"/>
      <c r="IF2069" s="11"/>
      <c r="IG2069" s="11"/>
      <c r="IH2069" s="11"/>
      <c r="II2069" s="11"/>
      <c r="IJ2069" s="11"/>
    </row>
    <row r="2070" spans="1:244" ht="12.75" customHeight="1">
      <c r="A2070" s="118">
        <v>2069</v>
      </c>
      <c r="B2070" s="128">
        <v>22</v>
      </c>
      <c r="C2070" s="156">
        <v>39203</v>
      </c>
      <c r="D2070" s="157" t="s">
        <v>48</v>
      </c>
      <c r="E2070" s="8">
        <v>2007</v>
      </c>
      <c r="F2070" s="158">
        <f t="shared" si="519"/>
        <v>791</v>
      </c>
      <c r="G2070" s="158">
        <f>IF(F2070&lt;730,2,3)</f>
        <v>3</v>
      </c>
      <c r="H2070" s="162">
        <v>38412</v>
      </c>
      <c r="I2070" s="194">
        <v>5087</v>
      </c>
      <c r="L2070" s="165">
        <v>2.5</v>
      </c>
      <c r="N2070" s="528" t="s">
        <v>795</v>
      </c>
      <c r="O2070" s="165">
        <v>1.5</v>
      </c>
      <c r="S2070" s="155" t="s">
        <v>7</v>
      </c>
      <c r="U2070" s="161">
        <f t="shared" si="521"/>
        <v>12717.5</v>
      </c>
      <c r="V2070" s="161">
        <f t="shared" si="522"/>
        <v>7630.5</v>
      </c>
      <c r="W2070" s="161">
        <f t="shared" si="523"/>
        <v>3052.2000000000003</v>
      </c>
    </row>
    <row r="2071" spans="1:244" ht="12.75" customHeight="1">
      <c r="A2071" s="118">
        <v>2070</v>
      </c>
      <c r="B2071" s="128">
        <v>22</v>
      </c>
      <c r="C2071" s="156">
        <v>39234</v>
      </c>
      <c r="D2071" s="157" t="s">
        <v>49</v>
      </c>
      <c r="E2071" s="8">
        <v>2007</v>
      </c>
      <c r="H2071" s="162"/>
      <c r="I2071" s="194"/>
    </row>
    <row r="2072" spans="1:244" ht="12.75" customHeight="1">
      <c r="A2072" s="118">
        <v>2071</v>
      </c>
      <c r="B2072" s="128">
        <v>22</v>
      </c>
      <c r="C2072" s="156">
        <v>39264</v>
      </c>
      <c r="D2072" s="157" t="s">
        <v>50</v>
      </c>
      <c r="E2072" s="8">
        <v>2007</v>
      </c>
      <c r="F2072" s="158">
        <f t="shared" ref="F2072:F2091" si="525">C2072-H2072</f>
        <v>212</v>
      </c>
      <c r="G2072" s="158">
        <f t="shared" ref="G2072:G2088" si="526">IF(F2072&lt;365,1,2)</f>
        <v>1</v>
      </c>
      <c r="H2072" s="162">
        <v>39052</v>
      </c>
      <c r="I2072" s="194">
        <v>75750</v>
      </c>
      <c r="J2072" s="15">
        <v>0</v>
      </c>
      <c r="K2072" s="15">
        <v>0.05</v>
      </c>
      <c r="L2072" s="15">
        <v>0.05</v>
      </c>
      <c r="O2072" s="15">
        <v>0.1</v>
      </c>
      <c r="Q2072" s="11">
        <v>10</v>
      </c>
      <c r="S2072" s="155" t="s">
        <v>343</v>
      </c>
      <c r="T2072" s="161">
        <f t="shared" ref="T2072:T2090" si="527">$I2072*K2072</f>
        <v>3787.5</v>
      </c>
      <c r="U2072" s="161">
        <f t="shared" ref="U2072:U2090" si="528">$I2072*L2072</f>
        <v>3787.5</v>
      </c>
      <c r="V2072" s="161">
        <f t="shared" ref="V2072:V2091" si="529">$I2072*O2072</f>
        <v>7575</v>
      </c>
      <c r="W2072" s="161">
        <f t="shared" ref="W2072:W2091" si="530">V2072*0.4</f>
        <v>3030</v>
      </c>
    </row>
    <row r="2073" spans="1:244" ht="12.75" customHeight="1">
      <c r="A2073" s="118">
        <v>2072</v>
      </c>
      <c r="B2073" s="128">
        <v>22</v>
      </c>
      <c r="C2073" s="156">
        <v>39295</v>
      </c>
      <c r="D2073" s="157" t="s">
        <v>51</v>
      </c>
      <c r="E2073" s="8">
        <v>2007</v>
      </c>
      <c r="F2073" s="158">
        <f t="shared" si="525"/>
        <v>243</v>
      </c>
      <c r="G2073" s="158">
        <f t="shared" si="526"/>
        <v>1</v>
      </c>
      <c r="H2073" s="162">
        <v>39052</v>
      </c>
      <c r="I2073" s="194">
        <v>349399</v>
      </c>
      <c r="J2073" s="15">
        <v>0.1</v>
      </c>
      <c r="K2073" s="15">
        <v>0.3</v>
      </c>
      <c r="L2073" s="15">
        <v>0.1</v>
      </c>
      <c r="M2073" s="174">
        <v>0</v>
      </c>
      <c r="O2073" s="15">
        <v>0</v>
      </c>
      <c r="Q2073" s="11">
        <v>10</v>
      </c>
      <c r="R2073" s="11">
        <v>23</v>
      </c>
      <c r="T2073" s="161">
        <f t="shared" si="527"/>
        <v>104819.7</v>
      </c>
      <c r="U2073" s="161">
        <f t="shared" si="528"/>
        <v>34939.9</v>
      </c>
      <c r="V2073" s="161">
        <f t="shared" si="529"/>
        <v>0</v>
      </c>
      <c r="W2073" s="161">
        <f t="shared" si="530"/>
        <v>0</v>
      </c>
    </row>
    <row r="2074" spans="1:244" ht="12.75" customHeight="1">
      <c r="A2074" s="118">
        <v>2073</v>
      </c>
      <c r="B2074" s="128">
        <v>22</v>
      </c>
      <c r="C2074" s="156">
        <v>39326</v>
      </c>
      <c r="D2074" s="157" t="s">
        <v>52</v>
      </c>
      <c r="E2074" s="8">
        <v>2007</v>
      </c>
      <c r="F2074" s="158">
        <f t="shared" si="525"/>
        <v>274</v>
      </c>
      <c r="G2074" s="158">
        <f t="shared" si="526"/>
        <v>1</v>
      </c>
      <c r="H2074" s="162">
        <v>39052</v>
      </c>
      <c r="I2074" s="194">
        <v>656623</v>
      </c>
      <c r="J2074" s="15">
        <v>0.02</v>
      </c>
      <c r="K2074" s="15">
        <v>0.33</v>
      </c>
      <c r="L2074" s="15">
        <v>0.08</v>
      </c>
      <c r="M2074" s="174">
        <v>0</v>
      </c>
      <c r="O2074" s="15">
        <v>0</v>
      </c>
      <c r="Q2074" s="11">
        <v>9</v>
      </c>
      <c r="R2074" s="11">
        <v>27</v>
      </c>
      <c r="T2074" s="161">
        <f t="shared" si="527"/>
        <v>216685.59</v>
      </c>
      <c r="U2074" s="161">
        <f t="shared" si="528"/>
        <v>52529.840000000004</v>
      </c>
      <c r="V2074" s="161">
        <f t="shared" si="529"/>
        <v>0</v>
      </c>
      <c r="W2074" s="161">
        <f t="shared" si="530"/>
        <v>0</v>
      </c>
    </row>
    <row r="2075" spans="1:244" ht="12.75" customHeight="1">
      <c r="A2075" s="118">
        <v>2074</v>
      </c>
      <c r="B2075" s="128">
        <v>22</v>
      </c>
      <c r="C2075" s="156">
        <v>39356</v>
      </c>
      <c r="D2075" s="157" t="s">
        <v>53</v>
      </c>
      <c r="E2075" s="8">
        <v>2007</v>
      </c>
      <c r="F2075" s="158">
        <f t="shared" si="525"/>
        <v>304</v>
      </c>
      <c r="G2075" s="158">
        <f t="shared" si="526"/>
        <v>1</v>
      </c>
      <c r="H2075" s="162">
        <v>39052</v>
      </c>
      <c r="I2075" s="194">
        <v>655839</v>
      </c>
      <c r="J2075" s="15">
        <v>0.05</v>
      </c>
      <c r="K2075" s="15">
        <v>0.2</v>
      </c>
      <c r="L2075" s="15">
        <v>0.05</v>
      </c>
      <c r="M2075" s="174">
        <v>0</v>
      </c>
      <c r="O2075" s="15">
        <v>0.08</v>
      </c>
      <c r="Q2075" s="11">
        <v>8</v>
      </c>
      <c r="T2075" s="161">
        <f t="shared" si="527"/>
        <v>131167.80000000002</v>
      </c>
      <c r="U2075" s="161">
        <f t="shared" si="528"/>
        <v>32791.950000000004</v>
      </c>
      <c r="V2075" s="161">
        <f t="shared" si="529"/>
        <v>52467.12</v>
      </c>
      <c r="W2075" s="161">
        <f t="shared" si="530"/>
        <v>20986.848000000002</v>
      </c>
    </row>
    <row r="2076" spans="1:244" ht="12.75" customHeight="1">
      <c r="A2076" s="118">
        <v>2075</v>
      </c>
      <c r="B2076" s="128">
        <v>22</v>
      </c>
      <c r="C2076" s="156">
        <v>39387</v>
      </c>
      <c r="D2076" s="157" t="s">
        <v>54</v>
      </c>
      <c r="E2076" s="8">
        <v>2007</v>
      </c>
      <c r="F2076" s="158">
        <f t="shared" si="525"/>
        <v>335</v>
      </c>
      <c r="G2076" s="158">
        <f t="shared" si="526"/>
        <v>1</v>
      </c>
      <c r="H2076" s="162">
        <v>39052</v>
      </c>
      <c r="I2076" s="194">
        <v>655723</v>
      </c>
      <c r="J2076" s="15">
        <v>0.1</v>
      </c>
      <c r="K2076" s="15">
        <v>0.22</v>
      </c>
      <c r="L2076" s="15">
        <v>0.08</v>
      </c>
      <c r="M2076" s="174">
        <v>0</v>
      </c>
      <c r="O2076" s="15">
        <v>0.03</v>
      </c>
      <c r="Q2076" s="11">
        <v>8</v>
      </c>
      <c r="T2076" s="161">
        <f t="shared" si="527"/>
        <v>144259.06</v>
      </c>
      <c r="U2076" s="161">
        <f t="shared" si="528"/>
        <v>52457.840000000004</v>
      </c>
      <c r="V2076" s="161">
        <f t="shared" si="529"/>
        <v>19671.689999999999</v>
      </c>
      <c r="W2076" s="161">
        <f t="shared" si="530"/>
        <v>7868.6759999999995</v>
      </c>
    </row>
    <row r="2077" spans="1:244" ht="12.75" customHeight="1">
      <c r="A2077" s="118">
        <v>2076</v>
      </c>
      <c r="B2077" s="128">
        <v>22</v>
      </c>
      <c r="C2077" s="156">
        <v>39417</v>
      </c>
      <c r="D2077" s="157" t="s">
        <v>55</v>
      </c>
      <c r="E2077" s="8">
        <v>2007</v>
      </c>
      <c r="F2077" s="158">
        <f t="shared" si="525"/>
        <v>365</v>
      </c>
      <c r="G2077" s="158">
        <f t="shared" si="526"/>
        <v>2</v>
      </c>
      <c r="H2077" s="162">
        <v>39052</v>
      </c>
      <c r="I2077" s="194">
        <v>655543</v>
      </c>
      <c r="J2077" s="15">
        <v>0.37</v>
      </c>
      <c r="K2077" s="15">
        <v>0.5</v>
      </c>
      <c r="L2077" s="15">
        <v>0.08</v>
      </c>
      <c r="M2077" s="174">
        <v>0</v>
      </c>
      <c r="O2077" s="15">
        <v>0.08</v>
      </c>
      <c r="Q2077" s="11">
        <v>7</v>
      </c>
      <c r="T2077" s="161">
        <f t="shared" si="527"/>
        <v>327771.5</v>
      </c>
      <c r="U2077" s="161">
        <f t="shared" si="528"/>
        <v>52443.44</v>
      </c>
      <c r="V2077" s="161">
        <f t="shared" si="529"/>
        <v>52443.44</v>
      </c>
      <c r="W2077" s="161">
        <f t="shared" si="530"/>
        <v>20977.376000000004</v>
      </c>
    </row>
    <row r="2078" spans="1:244" ht="12.75" customHeight="1">
      <c r="A2078" s="118">
        <v>2077</v>
      </c>
      <c r="B2078" s="128">
        <v>22</v>
      </c>
      <c r="C2078" s="156">
        <v>39448</v>
      </c>
      <c r="D2078" s="157" t="s">
        <v>44</v>
      </c>
      <c r="E2078" s="127">
        <v>2008</v>
      </c>
      <c r="F2078" s="158">
        <f t="shared" si="525"/>
        <v>396</v>
      </c>
      <c r="G2078" s="158">
        <f t="shared" si="526"/>
        <v>2</v>
      </c>
      <c r="H2078" s="162">
        <v>39052</v>
      </c>
      <c r="I2078" s="194">
        <v>655368</v>
      </c>
      <c r="J2078" s="118">
        <v>0.6</v>
      </c>
      <c r="K2078" s="118">
        <v>0.57999999999999996</v>
      </c>
      <c r="L2078" s="118">
        <v>0.22</v>
      </c>
      <c r="M2078" s="193">
        <v>0</v>
      </c>
      <c r="N2078" s="529"/>
      <c r="O2078" s="118">
        <v>0.15</v>
      </c>
      <c r="P2078" s="8">
        <v>1</v>
      </c>
      <c r="Q2078" s="158"/>
      <c r="R2078" s="158"/>
      <c r="T2078" s="161">
        <f t="shared" si="527"/>
        <v>380113.44</v>
      </c>
      <c r="U2078" s="161">
        <f t="shared" si="528"/>
        <v>144180.96</v>
      </c>
      <c r="V2078" s="161">
        <f t="shared" si="529"/>
        <v>98305.2</v>
      </c>
      <c r="W2078" s="161">
        <f t="shared" si="530"/>
        <v>39322.080000000002</v>
      </c>
    </row>
    <row r="2079" spans="1:244" ht="12.75" customHeight="1">
      <c r="A2079" s="118">
        <v>2078</v>
      </c>
      <c r="B2079" s="128">
        <v>22</v>
      </c>
      <c r="C2079" s="156">
        <v>39479</v>
      </c>
      <c r="D2079" s="157" t="s">
        <v>45</v>
      </c>
      <c r="E2079" s="127">
        <v>2008</v>
      </c>
      <c r="F2079" s="158">
        <f t="shared" si="525"/>
        <v>427</v>
      </c>
      <c r="G2079" s="158">
        <f t="shared" si="526"/>
        <v>2</v>
      </c>
      <c r="H2079" s="162">
        <v>39052</v>
      </c>
      <c r="I2079" s="194">
        <v>655142</v>
      </c>
      <c r="J2079" s="11">
        <v>0.33</v>
      </c>
      <c r="K2079" s="11">
        <v>0.4</v>
      </c>
      <c r="L2079" s="128">
        <v>0.17</v>
      </c>
      <c r="M2079" s="174">
        <v>0</v>
      </c>
      <c r="O2079" s="128">
        <v>0.08</v>
      </c>
      <c r="Q2079" s="158"/>
      <c r="R2079" s="158"/>
      <c r="T2079" s="161">
        <f t="shared" si="527"/>
        <v>262056.80000000002</v>
      </c>
      <c r="U2079" s="161">
        <f t="shared" si="528"/>
        <v>111374.14000000001</v>
      </c>
      <c r="V2079" s="161">
        <f t="shared" si="529"/>
        <v>52411.360000000001</v>
      </c>
      <c r="W2079" s="161">
        <f t="shared" si="530"/>
        <v>20964.544000000002</v>
      </c>
    </row>
    <row r="2080" spans="1:244" ht="12.75" customHeight="1">
      <c r="A2080" s="118">
        <v>2079</v>
      </c>
      <c r="B2080" s="128">
        <v>22</v>
      </c>
      <c r="C2080" s="156">
        <v>39508</v>
      </c>
      <c r="D2080" s="157" t="s">
        <v>46</v>
      </c>
      <c r="E2080" s="127">
        <v>2008</v>
      </c>
      <c r="F2080" s="158">
        <f t="shared" si="525"/>
        <v>456</v>
      </c>
      <c r="G2080" s="158">
        <f t="shared" si="526"/>
        <v>2</v>
      </c>
      <c r="H2080" s="162">
        <v>39052</v>
      </c>
      <c r="I2080" s="194">
        <v>654949</v>
      </c>
      <c r="J2080" s="118">
        <v>0.03</v>
      </c>
      <c r="K2080" s="118">
        <v>0.1</v>
      </c>
      <c r="L2080" s="118">
        <v>0.03</v>
      </c>
      <c r="M2080" s="193">
        <v>0</v>
      </c>
      <c r="N2080" s="529"/>
      <c r="O2080" s="118">
        <v>0.02</v>
      </c>
      <c r="Q2080" s="158"/>
      <c r="R2080" s="158"/>
      <c r="T2080" s="161">
        <f t="shared" si="527"/>
        <v>65494.9</v>
      </c>
      <c r="U2080" s="161">
        <f t="shared" si="528"/>
        <v>19648.469999999998</v>
      </c>
      <c r="V2080" s="161">
        <f t="shared" si="529"/>
        <v>13098.98</v>
      </c>
      <c r="W2080" s="161">
        <f t="shared" si="530"/>
        <v>5239.5920000000006</v>
      </c>
    </row>
    <row r="2081" spans="1:23" ht="12.75" customHeight="1">
      <c r="A2081" s="118">
        <v>2080</v>
      </c>
      <c r="B2081" s="128">
        <v>22</v>
      </c>
      <c r="C2081" s="156">
        <v>39539</v>
      </c>
      <c r="D2081" s="157" t="s">
        <v>47</v>
      </c>
      <c r="E2081" s="127">
        <v>2008</v>
      </c>
      <c r="F2081" s="158">
        <f t="shared" si="525"/>
        <v>487</v>
      </c>
      <c r="G2081" s="158">
        <f t="shared" si="526"/>
        <v>2</v>
      </c>
      <c r="H2081" s="162">
        <v>39052</v>
      </c>
      <c r="I2081" s="194">
        <v>654836</v>
      </c>
      <c r="J2081" s="118">
        <v>0</v>
      </c>
      <c r="K2081" s="118">
        <v>0.02</v>
      </c>
      <c r="L2081" s="118">
        <v>0</v>
      </c>
      <c r="M2081" s="193">
        <v>0</v>
      </c>
      <c r="N2081" s="529"/>
      <c r="O2081" s="118">
        <v>0</v>
      </c>
      <c r="Q2081" s="158"/>
      <c r="R2081" s="158"/>
      <c r="T2081" s="161">
        <f t="shared" si="527"/>
        <v>13096.720000000001</v>
      </c>
      <c r="U2081" s="161">
        <f t="shared" si="528"/>
        <v>0</v>
      </c>
      <c r="V2081" s="161">
        <f t="shared" si="529"/>
        <v>0</v>
      </c>
      <c r="W2081" s="161">
        <f t="shared" si="530"/>
        <v>0</v>
      </c>
    </row>
    <row r="2082" spans="1:23" ht="12.75" customHeight="1">
      <c r="A2082" s="118">
        <v>2081</v>
      </c>
      <c r="B2082" s="128">
        <v>22</v>
      </c>
      <c r="C2082" s="156">
        <v>39569</v>
      </c>
      <c r="D2082" s="157" t="s">
        <v>48</v>
      </c>
      <c r="E2082" s="127">
        <v>2008</v>
      </c>
      <c r="F2082" s="158">
        <f t="shared" si="525"/>
        <v>517</v>
      </c>
      <c r="G2082" s="158">
        <f t="shared" si="526"/>
        <v>2</v>
      </c>
      <c r="H2082" s="162">
        <v>39052</v>
      </c>
      <c r="I2082" s="194">
        <v>654123</v>
      </c>
      <c r="J2082" s="15">
        <v>0.03</v>
      </c>
      <c r="K2082" s="15">
        <v>0.03</v>
      </c>
      <c r="L2082" s="15">
        <v>0.02</v>
      </c>
      <c r="M2082" s="174">
        <v>0</v>
      </c>
      <c r="O2082" s="15">
        <v>0.32</v>
      </c>
      <c r="Q2082" s="158"/>
      <c r="R2082" s="158"/>
      <c r="T2082" s="161">
        <f t="shared" si="527"/>
        <v>19623.689999999999</v>
      </c>
      <c r="U2082" s="161">
        <f t="shared" si="528"/>
        <v>13082.460000000001</v>
      </c>
      <c r="V2082" s="161">
        <f t="shared" si="529"/>
        <v>209319.36000000002</v>
      </c>
      <c r="W2082" s="161">
        <f t="shared" si="530"/>
        <v>83727.744000000006</v>
      </c>
    </row>
    <row r="2083" spans="1:23" ht="12.75" customHeight="1">
      <c r="A2083" s="118">
        <v>2082</v>
      </c>
      <c r="B2083" s="128">
        <v>22</v>
      </c>
      <c r="C2083" s="156">
        <v>39600</v>
      </c>
      <c r="D2083" s="157" t="s">
        <v>49</v>
      </c>
      <c r="E2083" s="127">
        <v>2008</v>
      </c>
      <c r="F2083" s="158">
        <f t="shared" si="525"/>
        <v>548</v>
      </c>
      <c r="G2083" s="158">
        <f t="shared" si="526"/>
        <v>2</v>
      </c>
      <c r="H2083" s="162">
        <v>39052</v>
      </c>
      <c r="I2083" s="194">
        <v>901499</v>
      </c>
      <c r="J2083" s="15">
        <v>0.02</v>
      </c>
      <c r="K2083" s="15">
        <v>0.02</v>
      </c>
      <c r="L2083" s="15">
        <v>0</v>
      </c>
      <c r="M2083" s="174">
        <v>0</v>
      </c>
      <c r="O2083" s="15">
        <v>0.03</v>
      </c>
      <c r="Q2083" s="158"/>
      <c r="R2083" s="158"/>
      <c r="S2083" s="155" t="s">
        <v>309</v>
      </c>
      <c r="T2083" s="161">
        <f t="shared" si="527"/>
        <v>18029.98</v>
      </c>
      <c r="U2083" s="161">
        <f t="shared" si="528"/>
        <v>0</v>
      </c>
      <c r="V2083" s="161">
        <f t="shared" si="529"/>
        <v>27044.969999999998</v>
      </c>
      <c r="W2083" s="161">
        <f t="shared" si="530"/>
        <v>10817.987999999999</v>
      </c>
    </row>
    <row r="2084" spans="1:23">
      <c r="A2084" s="118">
        <v>2083</v>
      </c>
      <c r="B2084" s="128">
        <v>22</v>
      </c>
      <c r="C2084" s="156">
        <v>39630</v>
      </c>
      <c r="D2084" s="176" t="s">
        <v>50</v>
      </c>
      <c r="E2084" s="127">
        <v>2008</v>
      </c>
      <c r="F2084" s="158">
        <f t="shared" si="525"/>
        <v>578</v>
      </c>
      <c r="G2084" s="158">
        <f t="shared" si="526"/>
        <v>2</v>
      </c>
      <c r="H2084" s="162">
        <v>39052</v>
      </c>
      <c r="I2084" s="194">
        <v>901000</v>
      </c>
      <c r="J2084" s="15">
        <v>0</v>
      </c>
      <c r="K2084" s="15">
        <v>0</v>
      </c>
      <c r="L2084" s="15">
        <v>0</v>
      </c>
      <c r="M2084" s="174">
        <v>0</v>
      </c>
      <c r="O2084" s="15">
        <v>0</v>
      </c>
      <c r="P2084" s="11"/>
      <c r="R2084" s="158"/>
      <c r="S2084" s="239"/>
      <c r="T2084" s="161">
        <f t="shared" si="527"/>
        <v>0</v>
      </c>
      <c r="U2084" s="161">
        <f t="shared" si="528"/>
        <v>0</v>
      </c>
      <c r="V2084" s="161">
        <f t="shared" si="529"/>
        <v>0</v>
      </c>
      <c r="W2084" s="161">
        <f t="shared" si="530"/>
        <v>0</v>
      </c>
    </row>
    <row r="2085" spans="1:23">
      <c r="A2085" s="118">
        <v>2084</v>
      </c>
      <c r="B2085" s="128">
        <v>22</v>
      </c>
      <c r="C2085" s="156">
        <v>39661</v>
      </c>
      <c r="D2085" s="176" t="s">
        <v>51</v>
      </c>
      <c r="E2085" s="127">
        <v>2008</v>
      </c>
      <c r="F2085" s="158">
        <f t="shared" si="525"/>
        <v>609</v>
      </c>
      <c r="G2085" s="158">
        <f t="shared" si="526"/>
        <v>2</v>
      </c>
      <c r="H2085" s="162">
        <v>39052</v>
      </c>
      <c r="I2085" s="194">
        <v>900000</v>
      </c>
      <c r="J2085" s="15">
        <v>0</v>
      </c>
      <c r="K2085" s="15">
        <v>0.05</v>
      </c>
      <c r="L2085" s="15">
        <v>0.03</v>
      </c>
      <c r="M2085" s="174">
        <v>0</v>
      </c>
      <c r="O2085" s="15">
        <v>0</v>
      </c>
      <c r="P2085" s="11"/>
      <c r="R2085" s="158"/>
      <c r="S2085" s="239"/>
      <c r="T2085" s="161">
        <f t="shared" si="527"/>
        <v>45000</v>
      </c>
      <c r="U2085" s="161">
        <f t="shared" si="528"/>
        <v>27000</v>
      </c>
      <c r="V2085" s="161">
        <f t="shared" si="529"/>
        <v>0</v>
      </c>
      <c r="W2085" s="161">
        <f t="shared" si="530"/>
        <v>0</v>
      </c>
    </row>
    <row r="2086" spans="1:23">
      <c r="A2086" s="118">
        <v>2085</v>
      </c>
      <c r="B2086" s="128">
        <v>22</v>
      </c>
      <c r="C2086" s="156">
        <v>39692</v>
      </c>
      <c r="D2086" s="176" t="s">
        <v>52</v>
      </c>
      <c r="E2086" s="127">
        <v>2008</v>
      </c>
      <c r="F2086" s="158">
        <f t="shared" si="525"/>
        <v>640</v>
      </c>
      <c r="G2086" s="158">
        <f t="shared" si="526"/>
        <v>2</v>
      </c>
      <c r="H2086" s="162">
        <v>39052</v>
      </c>
      <c r="I2086" s="194">
        <v>830000</v>
      </c>
      <c r="J2086" s="15">
        <v>0</v>
      </c>
      <c r="K2086" s="15">
        <v>0.02</v>
      </c>
      <c r="L2086" s="15">
        <v>0</v>
      </c>
      <c r="M2086" s="174">
        <v>0</v>
      </c>
      <c r="O2086" s="15">
        <v>0</v>
      </c>
      <c r="P2086" s="11"/>
      <c r="R2086" s="158"/>
      <c r="S2086" s="239"/>
      <c r="T2086" s="161">
        <f t="shared" si="527"/>
        <v>16600</v>
      </c>
      <c r="U2086" s="161">
        <f t="shared" si="528"/>
        <v>0</v>
      </c>
      <c r="V2086" s="161">
        <f t="shared" si="529"/>
        <v>0</v>
      </c>
      <c r="W2086" s="161">
        <f t="shared" si="530"/>
        <v>0</v>
      </c>
    </row>
    <row r="2087" spans="1:23">
      <c r="A2087" s="118">
        <v>2086</v>
      </c>
      <c r="B2087" s="128">
        <v>22</v>
      </c>
      <c r="C2087" s="156">
        <v>39722</v>
      </c>
      <c r="D2087" s="176" t="s">
        <v>53</v>
      </c>
      <c r="E2087" s="127">
        <v>2008</v>
      </c>
      <c r="F2087" s="158">
        <f t="shared" si="525"/>
        <v>670</v>
      </c>
      <c r="G2087" s="158">
        <f t="shared" si="526"/>
        <v>2</v>
      </c>
      <c r="H2087" s="162">
        <v>39052</v>
      </c>
      <c r="I2087" s="194">
        <v>830000</v>
      </c>
      <c r="J2087" s="15">
        <v>0</v>
      </c>
      <c r="K2087" s="15">
        <v>0.05</v>
      </c>
      <c r="L2087" s="15">
        <v>0.03</v>
      </c>
      <c r="M2087" s="174">
        <v>0</v>
      </c>
      <c r="O2087" s="15">
        <v>0</v>
      </c>
      <c r="P2087" s="11"/>
      <c r="R2087" s="158"/>
      <c r="S2087" s="239"/>
      <c r="T2087" s="161">
        <f t="shared" si="527"/>
        <v>41500</v>
      </c>
      <c r="U2087" s="161">
        <f t="shared" si="528"/>
        <v>24900</v>
      </c>
      <c r="V2087" s="161">
        <f t="shared" si="529"/>
        <v>0</v>
      </c>
      <c r="W2087" s="161">
        <f t="shared" si="530"/>
        <v>0</v>
      </c>
    </row>
    <row r="2088" spans="1:23">
      <c r="A2088" s="118">
        <v>2087</v>
      </c>
      <c r="B2088" s="128">
        <v>22</v>
      </c>
      <c r="C2088" s="156">
        <v>39753</v>
      </c>
      <c r="D2088" s="176" t="s">
        <v>54</v>
      </c>
      <c r="E2088" s="127">
        <v>2008</v>
      </c>
      <c r="F2088" s="158">
        <f t="shared" si="525"/>
        <v>701</v>
      </c>
      <c r="G2088" s="158">
        <f t="shared" si="526"/>
        <v>2</v>
      </c>
      <c r="H2088" s="162">
        <v>39052</v>
      </c>
      <c r="I2088" s="194">
        <v>827000</v>
      </c>
      <c r="J2088" s="15">
        <v>0.08</v>
      </c>
      <c r="K2088" s="15">
        <v>0.27</v>
      </c>
      <c r="L2088" s="15">
        <v>0.06</v>
      </c>
      <c r="M2088" s="174">
        <v>0</v>
      </c>
      <c r="O2088" s="15">
        <v>0.12</v>
      </c>
      <c r="P2088" s="11"/>
      <c r="R2088" s="158"/>
      <c r="S2088" s="239"/>
      <c r="T2088" s="161">
        <f t="shared" si="527"/>
        <v>223290.00000000003</v>
      </c>
      <c r="U2088" s="161">
        <f t="shared" si="528"/>
        <v>49620</v>
      </c>
      <c r="V2088" s="161">
        <f t="shared" si="529"/>
        <v>99240</v>
      </c>
      <c r="W2088" s="161">
        <f t="shared" si="530"/>
        <v>39696</v>
      </c>
    </row>
    <row r="2089" spans="1:23">
      <c r="A2089" s="118">
        <v>2088</v>
      </c>
      <c r="B2089" s="128">
        <v>22</v>
      </c>
      <c r="C2089" s="156">
        <v>39783</v>
      </c>
      <c r="D2089" s="176" t="s">
        <v>55</v>
      </c>
      <c r="E2089" s="127">
        <v>2008</v>
      </c>
      <c r="F2089" s="158">
        <f t="shared" si="525"/>
        <v>731</v>
      </c>
      <c r="G2089" s="158">
        <f>IF(F2089&lt;730,2,3)</f>
        <v>3</v>
      </c>
      <c r="H2089" s="162">
        <v>39052</v>
      </c>
      <c r="I2089" s="194">
        <v>529000</v>
      </c>
      <c r="J2089" s="164">
        <v>0.7</v>
      </c>
      <c r="K2089" s="164">
        <v>0.43333333333333335</v>
      </c>
      <c r="L2089" s="164">
        <v>0.2</v>
      </c>
      <c r="M2089" s="193">
        <v>0</v>
      </c>
      <c r="N2089" s="529"/>
      <c r="O2089" s="164">
        <v>0.18333333333333335</v>
      </c>
      <c r="P2089" s="11"/>
      <c r="R2089" s="158"/>
      <c r="S2089" s="239"/>
      <c r="T2089" s="161">
        <f t="shared" si="527"/>
        <v>229233.33333333334</v>
      </c>
      <c r="U2089" s="161">
        <f t="shared" si="528"/>
        <v>105800</v>
      </c>
      <c r="V2089" s="161">
        <f t="shared" si="529"/>
        <v>96983.333333333343</v>
      </c>
      <c r="W2089" s="161">
        <f t="shared" si="530"/>
        <v>38793.333333333336</v>
      </c>
    </row>
    <row r="2090" spans="1:23" ht="12.75" customHeight="1">
      <c r="A2090" s="118">
        <v>2089</v>
      </c>
      <c r="B2090" s="128">
        <v>22</v>
      </c>
      <c r="C2090" s="156">
        <v>39814</v>
      </c>
      <c r="D2090" s="157" t="s">
        <v>44</v>
      </c>
      <c r="E2090" s="127">
        <v>2009</v>
      </c>
      <c r="F2090" s="158">
        <f t="shared" si="525"/>
        <v>762</v>
      </c>
      <c r="G2090" s="158">
        <f>IF(F2090&lt;730,2,3)</f>
        <v>3</v>
      </c>
      <c r="H2090" s="178">
        <v>39052</v>
      </c>
      <c r="I2090" s="125">
        <v>486941</v>
      </c>
      <c r="J2090" s="164">
        <v>8.3333333333333329E-2</v>
      </c>
      <c r="K2090" s="164">
        <v>0.51666666666666672</v>
      </c>
      <c r="L2090" s="164">
        <v>0.28333333333333333</v>
      </c>
      <c r="M2090" s="193"/>
      <c r="N2090" s="529"/>
      <c r="O2090" s="164">
        <v>8.3333333333333329E-2</v>
      </c>
      <c r="P2090" s="118"/>
      <c r="Q2090" s="118"/>
      <c r="R2090" s="118"/>
      <c r="S2090" s="221" t="s">
        <v>286</v>
      </c>
      <c r="T2090" s="161">
        <f t="shared" si="527"/>
        <v>251586.18333333335</v>
      </c>
      <c r="U2090" s="161">
        <f t="shared" si="528"/>
        <v>137966.61666666667</v>
      </c>
      <c r="V2090" s="161">
        <f t="shared" si="529"/>
        <v>40578.416666666664</v>
      </c>
      <c r="W2090" s="161">
        <f t="shared" si="530"/>
        <v>16231.366666666667</v>
      </c>
    </row>
    <row r="2091" spans="1:23" ht="12.75" customHeight="1">
      <c r="A2091" s="118">
        <v>2090</v>
      </c>
      <c r="B2091" s="128">
        <v>22</v>
      </c>
      <c r="C2091" s="156">
        <v>39845</v>
      </c>
      <c r="D2091" s="157" t="s">
        <v>45</v>
      </c>
      <c r="E2091" s="127">
        <v>2009</v>
      </c>
      <c r="F2091" s="158">
        <f t="shared" si="525"/>
        <v>793</v>
      </c>
      <c r="G2091" s="158">
        <f>IF(F2091&lt;730,2,3)</f>
        <v>3</v>
      </c>
      <c r="H2091" s="178">
        <v>39052</v>
      </c>
      <c r="I2091" s="125">
        <v>105408</v>
      </c>
      <c r="J2091" s="164"/>
      <c r="K2091" s="164"/>
      <c r="L2091" s="177">
        <v>0.4</v>
      </c>
      <c r="M2091" s="193"/>
      <c r="N2091" s="529" t="s">
        <v>795</v>
      </c>
      <c r="O2091" s="177">
        <v>0.1</v>
      </c>
      <c r="P2091" s="118"/>
      <c r="Q2091" s="118"/>
      <c r="R2091" s="118"/>
      <c r="S2091" s="221" t="s">
        <v>380</v>
      </c>
      <c r="T2091" s="118"/>
      <c r="U2091" s="171">
        <f>$I2091*L2091</f>
        <v>42163.200000000004</v>
      </c>
      <c r="V2091" s="171">
        <f t="shared" si="529"/>
        <v>10540.800000000001</v>
      </c>
      <c r="W2091" s="171">
        <f t="shared" si="530"/>
        <v>4216.3200000000006</v>
      </c>
    </row>
    <row r="2092" spans="1:23" ht="12.75" customHeight="1">
      <c r="A2092" s="118">
        <v>2091</v>
      </c>
      <c r="B2092" s="128">
        <v>22</v>
      </c>
      <c r="C2092" s="156">
        <v>39873</v>
      </c>
      <c r="D2092" s="157" t="s">
        <v>46</v>
      </c>
      <c r="E2092" s="127">
        <v>2009</v>
      </c>
      <c r="F2092" s="118"/>
      <c r="G2092" s="118"/>
      <c r="H2092" s="118"/>
      <c r="I2092" s="125"/>
      <c r="J2092" s="164"/>
      <c r="K2092" s="164"/>
      <c r="L2092" s="164"/>
      <c r="M2092" s="193"/>
      <c r="N2092" s="529"/>
      <c r="O2092" s="164"/>
      <c r="P2092" s="118"/>
      <c r="Q2092" s="118"/>
      <c r="R2092" s="118"/>
      <c r="S2092" s="221" t="s">
        <v>254</v>
      </c>
      <c r="T2092" s="118"/>
      <c r="U2092" s="118"/>
      <c r="V2092" s="118"/>
      <c r="W2092" s="118"/>
    </row>
    <row r="2093" spans="1:23" ht="12.75" customHeight="1">
      <c r="A2093" s="118">
        <v>2092</v>
      </c>
      <c r="B2093" s="128">
        <v>22</v>
      </c>
      <c r="C2093" s="156">
        <v>39904</v>
      </c>
      <c r="D2093" s="157" t="s">
        <v>47</v>
      </c>
      <c r="E2093" s="127">
        <v>2009</v>
      </c>
      <c r="F2093" s="118"/>
      <c r="G2093" s="118"/>
      <c r="H2093" s="118"/>
      <c r="I2093" s="125"/>
      <c r="J2093" s="164"/>
      <c r="K2093" s="164"/>
      <c r="L2093" s="164"/>
      <c r="M2093" s="193"/>
      <c r="N2093" s="529"/>
      <c r="O2093" s="164"/>
      <c r="P2093" s="118"/>
      <c r="Q2093" s="118"/>
      <c r="R2093" s="118"/>
      <c r="S2093" s="221"/>
      <c r="T2093" s="118"/>
      <c r="U2093" s="118"/>
      <c r="V2093" s="118"/>
      <c r="W2093" s="118"/>
    </row>
    <row r="2094" spans="1:23" ht="12.75" customHeight="1">
      <c r="A2094" s="118">
        <v>2093</v>
      </c>
      <c r="B2094" s="128">
        <v>22</v>
      </c>
      <c r="C2094" s="156">
        <v>39934</v>
      </c>
      <c r="D2094" s="157" t="s">
        <v>48</v>
      </c>
      <c r="E2094" s="127">
        <v>2009</v>
      </c>
      <c r="F2094" s="118"/>
      <c r="G2094" s="118"/>
      <c r="H2094" s="118"/>
      <c r="I2094" s="125"/>
      <c r="J2094" s="164"/>
      <c r="K2094" s="164"/>
      <c r="L2094" s="164"/>
      <c r="M2094" s="193"/>
      <c r="N2094" s="529"/>
      <c r="O2094" s="164"/>
      <c r="P2094" s="118"/>
      <c r="Q2094" s="118"/>
      <c r="R2094" s="118"/>
      <c r="S2094" s="221"/>
      <c r="T2094" s="118"/>
      <c r="U2094" s="118"/>
      <c r="V2094" s="118"/>
      <c r="W2094" s="118"/>
    </row>
    <row r="2095" spans="1:23" ht="12.75" customHeight="1">
      <c r="A2095" s="118">
        <v>2094</v>
      </c>
      <c r="B2095" s="128">
        <v>22</v>
      </c>
      <c r="C2095" s="156">
        <v>39965</v>
      </c>
      <c r="D2095" s="157" t="s">
        <v>49</v>
      </c>
      <c r="E2095" s="127">
        <v>2009</v>
      </c>
      <c r="F2095" s="158">
        <f>C2095-H2095</f>
        <v>243</v>
      </c>
      <c r="G2095" s="158">
        <f>IF(F2095&lt;365,1,2)</f>
        <v>1</v>
      </c>
      <c r="H2095" s="178">
        <v>39722</v>
      </c>
      <c r="I2095" s="125">
        <v>368868</v>
      </c>
      <c r="J2095" s="191"/>
      <c r="K2095" s="177">
        <v>0.21</v>
      </c>
      <c r="L2095" s="177">
        <v>0.04</v>
      </c>
      <c r="M2095" s="193"/>
      <c r="N2095" s="529" t="s">
        <v>795</v>
      </c>
      <c r="O2095" s="177">
        <v>0.04</v>
      </c>
      <c r="P2095" s="118"/>
      <c r="Q2095" s="118"/>
      <c r="R2095" s="118"/>
      <c r="S2095" s="221" t="s">
        <v>381</v>
      </c>
      <c r="T2095" s="161">
        <f>$I2095*K2095</f>
        <v>77462.28</v>
      </c>
      <c r="U2095" s="161">
        <f>$I2095*L2095</f>
        <v>14754.720000000001</v>
      </c>
      <c r="V2095" s="161">
        <f>$I2095*O2095</f>
        <v>14754.720000000001</v>
      </c>
      <c r="W2095" s="161">
        <f>V2095*0.4</f>
        <v>5901.8880000000008</v>
      </c>
    </row>
    <row r="2096" spans="1:23" ht="12.75" customHeight="1">
      <c r="A2096" s="118">
        <v>2095</v>
      </c>
      <c r="B2096" s="128">
        <v>22</v>
      </c>
      <c r="C2096" s="156">
        <v>39995</v>
      </c>
      <c r="D2096" s="157" t="s">
        <v>50</v>
      </c>
      <c r="E2096" s="127">
        <v>2009</v>
      </c>
      <c r="F2096" s="158">
        <f t="shared" ref="F2096:F2101" si="531">C2096-H2096</f>
        <v>266</v>
      </c>
      <c r="G2096" s="158">
        <f t="shared" ref="G2096:G2101" si="532">IF(F2096&lt;365,1,2)</f>
        <v>1</v>
      </c>
      <c r="H2096" s="175">
        <v>39729</v>
      </c>
      <c r="I2096" s="125">
        <v>873654</v>
      </c>
      <c r="J2096" s="191">
        <v>0</v>
      </c>
      <c r="K2096" s="191">
        <v>0.08</v>
      </c>
      <c r="L2096" s="191">
        <v>0.02</v>
      </c>
      <c r="M2096" s="193"/>
      <c r="N2096" s="529"/>
      <c r="O2096" s="191">
        <v>0</v>
      </c>
      <c r="P2096" s="127"/>
      <c r="Q2096" s="127"/>
      <c r="R2096" s="127"/>
      <c r="S2096" s="221" t="s">
        <v>382</v>
      </c>
      <c r="T2096" s="161">
        <f t="shared" ref="T2096:T2101" si="533">$I2096*K2096</f>
        <v>69892.320000000007</v>
      </c>
      <c r="U2096" s="161">
        <f t="shared" ref="U2096:U2101" si="534">$I2096*L2096</f>
        <v>17473.080000000002</v>
      </c>
      <c r="V2096" s="161">
        <f t="shared" ref="V2096:V2101" si="535">$I2096*O2096</f>
        <v>0</v>
      </c>
      <c r="W2096" s="161">
        <f t="shared" ref="W2096:W2101" si="536">V2096*0.4</f>
        <v>0</v>
      </c>
    </row>
    <row r="2097" spans="1:244" ht="12.75" customHeight="1">
      <c r="A2097" s="118">
        <v>2096</v>
      </c>
      <c r="B2097" s="128">
        <v>22</v>
      </c>
      <c r="C2097" s="156">
        <v>40026</v>
      </c>
      <c r="D2097" s="157" t="s">
        <v>51</v>
      </c>
      <c r="E2097" s="127">
        <v>2009</v>
      </c>
      <c r="F2097" s="158">
        <f t="shared" si="531"/>
        <v>297</v>
      </c>
      <c r="G2097" s="158">
        <f t="shared" si="532"/>
        <v>1</v>
      </c>
      <c r="H2097" s="175">
        <v>39729</v>
      </c>
      <c r="I2097" s="205">
        <v>873288</v>
      </c>
      <c r="J2097" s="191">
        <v>0</v>
      </c>
      <c r="K2097" s="191">
        <v>3.3000000000000002E-2</v>
      </c>
      <c r="L2097" s="191">
        <v>1.7000000000000001E-2</v>
      </c>
      <c r="M2097" s="193">
        <v>0</v>
      </c>
      <c r="N2097" s="529"/>
      <c r="O2097" s="191">
        <v>0</v>
      </c>
      <c r="P2097" s="127"/>
      <c r="Q2097" s="127"/>
      <c r="R2097" s="127"/>
      <c r="S2097" s="140"/>
      <c r="T2097" s="161">
        <f t="shared" si="533"/>
        <v>28818.504000000001</v>
      </c>
      <c r="U2097" s="161">
        <f t="shared" si="534"/>
        <v>14845.896000000001</v>
      </c>
      <c r="V2097" s="161">
        <f t="shared" si="535"/>
        <v>0</v>
      </c>
      <c r="W2097" s="161">
        <f t="shared" si="536"/>
        <v>0</v>
      </c>
    </row>
    <row r="2098" spans="1:244" ht="12.75" customHeight="1">
      <c r="A2098" s="118">
        <v>2097</v>
      </c>
      <c r="B2098" s="128">
        <v>22</v>
      </c>
      <c r="C2098" s="156">
        <v>40057</v>
      </c>
      <c r="D2098" s="157" t="s">
        <v>52</v>
      </c>
      <c r="E2098" s="127">
        <v>2009</v>
      </c>
      <c r="F2098" s="158">
        <f t="shared" si="531"/>
        <v>328</v>
      </c>
      <c r="G2098" s="158">
        <f t="shared" si="532"/>
        <v>1</v>
      </c>
      <c r="H2098" s="175">
        <v>39729</v>
      </c>
      <c r="I2098" s="205">
        <v>872620</v>
      </c>
      <c r="J2098" s="191">
        <v>0.05</v>
      </c>
      <c r="K2098" s="191">
        <v>7.0000000000000007E-2</v>
      </c>
      <c r="L2098" s="191">
        <v>0.08</v>
      </c>
      <c r="M2098" s="193">
        <v>0</v>
      </c>
      <c r="N2098" s="529"/>
      <c r="O2098" s="191">
        <v>0</v>
      </c>
      <c r="P2098" s="127"/>
      <c r="Q2098" s="127"/>
      <c r="R2098" s="127"/>
      <c r="S2098" s="140"/>
      <c r="T2098" s="161">
        <f t="shared" si="533"/>
        <v>61083.400000000009</v>
      </c>
      <c r="U2098" s="161">
        <f t="shared" si="534"/>
        <v>69809.600000000006</v>
      </c>
      <c r="V2098" s="161">
        <f t="shared" si="535"/>
        <v>0</v>
      </c>
      <c r="W2098" s="161">
        <f t="shared" si="536"/>
        <v>0</v>
      </c>
    </row>
    <row r="2099" spans="1:244" ht="12.75" customHeight="1">
      <c r="A2099" s="118">
        <v>2098</v>
      </c>
      <c r="B2099" s="128">
        <v>22</v>
      </c>
      <c r="C2099" s="156">
        <v>40087</v>
      </c>
      <c r="D2099" s="157" t="s">
        <v>53</v>
      </c>
      <c r="E2099" s="127">
        <v>2009</v>
      </c>
      <c r="F2099" s="158">
        <f t="shared" si="531"/>
        <v>358</v>
      </c>
      <c r="G2099" s="158">
        <f t="shared" si="532"/>
        <v>1</v>
      </c>
      <c r="H2099" s="175">
        <v>39729</v>
      </c>
      <c r="I2099" s="205">
        <v>872063</v>
      </c>
      <c r="J2099" s="191">
        <v>0.08</v>
      </c>
      <c r="K2099" s="191">
        <v>0.25</v>
      </c>
      <c r="L2099" s="191">
        <v>0.13</v>
      </c>
      <c r="M2099" s="193">
        <v>0</v>
      </c>
      <c r="N2099" s="529"/>
      <c r="O2099" s="191">
        <v>0.02</v>
      </c>
      <c r="P2099" s="127"/>
      <c r="Q2099" s="127"/>
      <c r="R2099" s="127"/>
      <c r="S2099" s="140"/>
      <c r="T2099" s="161">
        <f t="shared" si="533"/>
        <v>218015.75</v>
      </c>
      <c r="U2099" s="161">
        <f t="shared" si="534"/>
        <v>113368.19</v>
      </c>
      <c r="V2099" s="161">
        <f t="shared" si="535"/>
        <v>17441.260000000002</v>
      </c>
      <c r="W2099" s="161">
        <f t="shared" si="536"/>
        <v>6976.5040000000008</v>
      </c>
    </row>
    <row r="2100" spans="1:244" ht="12.75" customHeight="1">
      <c r="A2100" s="118">
        <v>2099</v>
      </c>
      <c r="B2100" s="128">
        <v>22</v>
      </c>
      <c r="C2100" s="156">
        <v>40118</v>
      </c>
      <c r="D2100" s="157" t="s">
        <v>54</v>
      </c>
      <c r="E2100" s="127">
        <v>2009</v>
      </c>
      <c r="F2100" s="158">
        <f t="shared" si="531"/>
        <v>389</v>
      </c>
      <c r="G2100" s="158">
        <f t="shared" si="532"/>
        <v>2</v>
      </c>
      <c r="H2100" s="175">
        <v>39729</v>
      </c>
      <c r="I2100" s="139">
        <v>871427</v>
      </c>
      <c r="J2100" s="191">
        <v>0.15</v>
      </c>
      <c r="K2100" s="191">
        <v>0.2</v>
      </c>
      <c r="L2100" s="191">
        <v>8.3000000000000004E-2</v>
      </c>
      <c r="M2100" s="193">
        <v>0</v>
      </c>
      <c r="N2100" s="529"/>
      <c r="O2100" s="191">
        <v>0.16700000000000001</v>
      </c>
      <c r="P2100" s="127">
        <v>1</v>
      </c>
      <c r="Q2100" s="127"/>
      <c r="R2100" s="127"/>
      <c r="S2100" s="244"/>
      <c r="T2100" s="161">
        <f t="shared" si="533"/>
        <v>174285.40000000002</v>
      </c>
      <c r="U2100" s="161">
        <f t="shared" si="534"/>
        <v>72328.441000000006</v>
      </c>
      <c r="V2100" s="161">
        <f t="shared" si="535"/>
        <v>145528.30900000001</v>
      </c>
      <c r="W2100" s="161">
        <f t="shared" si="536"/>
        <v>58211.323600000003</v>
      </c>
    </row>
    <row r="2101" spans="1:244" ht="12.75" customHeight="1">
      <c r="A2101" s="118">
        <v>2100</v>
      </c>
      <c r="B2101" s="128">
        <v>22</v>
      </c>
      <c r="C2101" s="156">
        <v>40148</v>
      </c>
      <c r="D2101" s="157" t="s">
        <v>55</v>
      </c>
      <c r="E2101" s="127">
        <v>2009</v>
      </c>
      <c r="F2101" s="158">
        <f t="shared" si="531"/>
        <v>419</v>
      </c>
      <c r="G2101" s="158">
        <f t="shared" si="532"/>
        <v>2</v>
      </c>
      <c r="H2101" s="175">
        <v>39729</v>
      </c>
      <c r="I2101" s="139">
        <v>869450</v>
      </c>
      <c r="J2101" s="191">
        <v>0.02</v>
      </c>
      <c r="K2101" s="191">
        <v>0.03</v>
      </c>
      <c r="L2101" s="191">
        <v>0.02</v>
      </c>
      <c r="M2101" s="193"/>
      <c r="N2101" s="529"/>
      <c r="O2101" s="191">
        <v>0</v>
      </c>
      <c r="P2101" s="127"/>
      <c r="Q2101" s="127"/>
      <c r="R2101" s="127"/>
      <c r="S2101" s="140"/>
      <c r="T2101" s="161">
        <f t="shared" si="533"/>
        <v>26083.5</v>
      </c>
      <c r="U2101" s="161">
        <f t="shared" si="534"/>
        <v>17389</v>
      </c>
      <c r="V2101" s="161">
        <f t="shared" si="535"/>
        <v>0</v>
      </c>
      <c r="W2101" s="161">
        <f t="shared" si="536"/>
        <v>0</v>
      </c>
    </row>
    <row r="2102" spans="1:244" ht="12.75" customHeight="1">
      <c r="A2102" s="118">
        <v>2101</v>
      </c>
      <c r="B2102" s="128">
        <v>23</v>
      </c>
      <c r="C2102" s="156">
        <v>36526</v>
      </c>
      <c r="D2102" s="157" t="s">
        <v>44</v>
      </c>
      <c r="E2102" s="8">
        <v>2000</v>
      </c>
      <c r="F2102" s="158"/>
      <c r="G2102" s="162"/>
      <c r="J2102" s="11"/>
      <c r="K2102" s="11"/>
      <c r="L2102" s="11"/>
      <c r="O2102" s="11"/>
      <c r="T2102" s="11"/>
      <c r="V2102" s="11"/>
      <c r="W2102" s="11"/>
    </row>
    <row r="2103" spans="1:244" ht="12.75" customHeight="1">
      <c r="A2103" s="118">
        <v>2102</v>
      </c>
      <c r="B2103" s="128">
        <v>23</v>
      </c>
      <c r="C2103" s="156">
        <v>36557</v>
      </c>
      <c r="D2103" s="157" t="s">
        <v>45</v>
      </c>
      <c r="E2103" s="8">
        <v>2000</v>
      </c>
      <c r="F2103" s="158"/>
      <c r="G2103" s="162"/>
      <c r="J2103" s="11"/>
      <c r="K2103" s="11"/>
      <c r="L2103" s="11"/>
      <c r="O2103" s="11"/>
      <c r="T2103" s="11"/>
      <c r="V2103" s="11"/>
      <c r="W2103" s="11"/>
    </row>
    <row r="2104" spans="1:244" ht="12.75" customHeight="1">
      <c r="A2104" s="118">
        <v>2103</v>
      </c>
      <c r="B2104" s="128">
        <v>23</v>
      </c>
      <c r="C2104" s="156">
        <v>36586</v>
      </c>
      <c r="D2104" s="157" t="s">
        <v>46</v>
      </c>
      <c r="E2104" s="8">
        <v>2000</v>
      </c>
      <c r="F2104" s="158"/>
      <c r="G2104" s="162"/>
      <c r="J2104" s="11"/>
      <c r="K2104" s="11"/>
      <c r="L2104" s="11"/>
      <c r="O2104" s="11"/>
      <c r="T2104" s="11"/>
      <c r="V2104" s="11"/>
      <c r="W2104" s="11"/>
    </row>
    <row r="2105" spans="1:244" s="127" customFormat="1" ht="12.75" customHeight="1">
      <c r="A2105" s="118">
        <v>2104</v>
      </c>
      <c r="B2105" s="128">
        <v>23</v>
      </c>
      <c r="C2105" s="156">
        <v>36617</v>
      </c>
      <c r="D2105" s="157" t="s">
        <v>47</v>
      </c>
      <c r="E2105" s="8">
        <v>2000</v>
      </c>
      <c r="F2105" s="158"/>
      <c r="G2105" s="162"/>
      <c r="H2105" s="11"/>
      <c r="I2105" s="163"/>
      <c r="J2105" s="15"/>
      <c r="K2105" s="15"/>
      <c r="L2105" s="15"/>
      <c r="M2105" s="174"/>
      <c r="N2105" s="528"/>
      <c r="O2105" s="15"/>
      <c r="P2105" s="8"/>
      <c r="Q2105" s="11"/>
      <c r="R2105" s="11"/>
      <c r="S2105" s="155"/>
      <c r="T2105" s="15"/>
      <c r="U2105" s="161"/>
      <c r="V2105" s="15"/>
      <c r="W2105" s="15"/>
      <c r="X2105" s="118"/>
      <c r="Y2105" s="118"/>
      <c r="Z2105" s="118"/>
      <c r="AA2105" s="118"/>
      <c r="AB2105" s="118"/>
      <c r="AC2105" s="118"/>
      <c r="AD2105" s="118"/>
      <c r="AE2105" s="118"/>
      <c r="AF2105" s="118"/>
      <c r="AG2105" s="118"/>
      <c r="AH2105" s="118"/>
      <c r="AI2105" s="118"/>
      <c r="AJ2105" s="118"/>
      <c r="AK2105" s="118"/>
      <c r="AL2105" s="118"/>
      <c r="AM2105" s="118"/>
      <c r="AN2105" s="118"/>
      <c r="AO2105" s="118"/>
      <c r="AP2105" s="118"/>
      <c r="AQ2105" s="118"/>
      <c r="AR2105" s="118"/>
      <c r="AS2105" s="118"/>
      <c r="AT2105" s="118"/>
      <c r="AU2105" s="118"/>
      <c r="AV2105" s="118"/>
      <c r="AW2105" s="118"/>
      <c r="AX2105" s="118"/>
      <c r="AY2105" s="118"/>
      <c r="AZ2105" s="118"/>
      <c r="BA2105" s="118"/>
      <c r="BB2105" s="118"/>
      <c r="BC2105" s="118"/>
      <c r="BD2105" s="118"/>
      <c r="BE2105" s="118"/>
      <c r="BF2105" s="118"/>
      <c r="BG2105" s="118"/>
      <c r="BH2105" s="118"/>
      <c r="BI2105" s="118"/>
      <c r="BJ2105" s="118"/>
      <c r="BK2105" s="118"/>
      <c r="BL2105" s="118"/>
      <c r="BM2105" s="118"/>
      <c r="BN2105" s="118"/>
      <c r="BO2105" s="118"/>
      <c r="BP2105" s="118"/>
      <c r="BQ2105" s="118"/>
      <c r="BR2105" s="118"/>
      <c r="BS2105" s="118"/>
      <c r="BT2105" s="118"/>
      <c r="BU2105" s="118"/>
      <c r="BV2105" s="118"/>
      <c r="BW2105" s="118"/>
      <c r="BX2105" s="118"/>
      <c r="BY2105" s="118"/>
      <c r="BZ2105" s="118"/>
      <c r="CA2105" s="118"/>
      <c r="CB2105" s="118"/>
      <c r="CC2105" s="118"/>
      <c r="CD2105" s="118"/>
      <c r="CE2105" s="118"/>
      <c r="CF2105" s="118"/>
      <c r="CG2105" s="118"/>
      <c r="CH2105" s="118"/>
      <c r="CI2105" s="118"/>
      <c r="CJ2105" s="118"/>
      <c r="CK2105" s="118"/>
      <c r="CL2105" s="118"/>
      <c r="CM2105" s="118"/>
      <c r="CN2105" s="118"/>
      <c r="CO2105" s="118"/>
      <c r="CP2105" s="118"/>
      <c r="CQ2105" s="118"/>
      <c r="CR2105" s="118"/>
      <c r="CS2105" s="118"/>
      <c r="CT2105" s="118"/>
      <c r="CU2105" s="118"/>
      <c r="CV2105" s="118"/>
      <c r="CW2105" s="118"/>
      <c r="CX2105" s="118"/>
      <c r="CY2105" s="118"/>
      <c r="CZ2105" s="118"/>
      <c r="DA2105" s="118"/>
      <c r="DB2105" s="118"/>
      <c r="DC2105" s="118"/>
      <c r="DD2105" s="118"/>
      <c r="DE2105" s="118"/>
      <c r="DF2105" s="118"/>
      <c r="DG2105" s="118"/>
      <c r="DH2105" s="118"/>
      <c r="DI2105" s="118"/>
      <c r="DJ2105" s="118"/>
      <c r="DK2105" s="118"/>
      <c r="DL2105" s="118"/>
      <c r="DM2105" s="118"/>
      <c r="DN2105" s="118"/>
      <c r="DO2105" s="118"/>
      <c r="DP2105" s="118"/>
      <c r="DQ2105" s="118"/>
      <c r="DR2105" s="118"/>
      <c r="DS2105" s="118"/>
      <c r="DT2105" s="118"/>
      <c r="DU2105" s="118"/>
      <c r="DV2105" s="118"/>
      <c r="DW2105" s="118"/>
      <c r="DX2105" s="118"/>
      <c r="DY2105" s="118"/>
      <c r="DZ2105" s="118"/>
      <c r="EA2105" s="118"/>
      <c r="EB2105" s="118"/>
      <c r="EC2105" s="118"/>
      <c r="ED2105" s="118"/>
      <c r="EE2105" s="118"/>
      <c r="EF2105" s="118"/>
      <c r="EG2105" s="118"/>
      <c r="EH2105" s="118"/>
      <c r="EI2105" s="118"/>
      <c r="EJ2105" s="118"/>
      <c r="EK2105" s="118"/>
      <c r="EL2105" s="118"/>
      <c r="EM2105" s="118"/>
      <c r="EN2105" s="118"/>
      <c r="EO2105" s="118"/>
      <c r="EP2105" s="118"/>
      <c r="EQ2105" s="118"/>
      <c r="ER2105" s="118"/>
      <c r="ES2105" s="118"/>
      <c r="ET2105" s="118"/>
      <c r="EU2105" s="118"/>
      <c r="EV2105" s="118"/>
      <c r="EW2105" s="118"/>
      <c r="EX2105" s="118"/>
      <c r="EY2105" s="118"/>
      <c r="EZ2105" s="118"/>
      <c r="FA2105" s="118"/>
      <c r="FB2105" s="118"/>
      <c r="FC2105" s="118"/>
      <c r="FD2105" s="118"/>
      <c r="FE2105" s="118"/>
      <c r="FF2105" s="118"/>
      <c r="FG2105" s="118"/>
      <c r="FH2105" s="118"/>
      <c r="FI2105" s="118"/>
      <c r="FJ2105" s="118"/>
      <c r="FK2105" s="118"/>
      <c r="FL2105" s="118"/>
      <c r="FM2105" s="118"/>
      <c r="FN2105" s="118"/>
      <c r="FO2105" s="118"/>
      <c r="FP2105" s="118"/>
      <c r="FQ2105" s="118"/>
      <c r="FR2105" s="118"/>
      <c r="FS2105" s="118"/>
      <c r="FT2105" s="118"/>
      <c r="FU2105" s="118"/>
      <c r="FV2105" s="118"/>
      <c r="FW2105" s="118"/>
      <c r="FX2105" s="118"/>
      <c r="FY2105" s="118"/>
      <c r="FZ2105" s="118"/>
      <c r="GA2105" s="118"/>
      <c r="GB2105" s="118"/>
      <c r="GC2105" s="118"/>
      <c r="GD2105" s="118"/>
      <c r="GE2105" s="118"/>
      <c r="GF2105" s="118"/>
      <c r="GG2105" s="118"/>
      <c r="GH2105" s="118"/>
      <c r="GI2105" s="118"/>
      <c r="GJ2105" s="118"/>
      <c r="GK2105" s="118"/>
      <c r="GL2105" s="118"/>
      <c r="GM2105" s="118"/>
      <c r="GN2105" s="118"/>
      <c r="GO2105" s="118"/>
      <c r="GP2105" s="118"/>
      <c r="GQ2105" s="118"/>
      <c r="GR2105" s="118"/>
      <c r="GS2105" s="118"/>
      <c r="GT2105" s="118"/>
      <c r="GU2105" s="118"/>
      <c r="GV2105" s="118"/>
      <c r="GW2105" s="118"/>
      <c r="GX2105" s="118"/>
      <c r="GY2105" s="118"/>
      <c r="GZ2105" s="118"/>
      <c r="HA2105" s="118"/>
      <c r="HB2105" s="118"/>
      <c r="HC2105" s="118"/>
      <c r="HD2105" s="118"/>
      <c r="HE2105" s="118"/>
      <c r="HF2105" s="118"/>
      <c r="HG2105" s="118"/>
      <c r="HH2105" s="118"/>
      <c r="HI2105" s="118"/>
      <c r="HJ2105" s="118"/>
      <c r="HK2105" s="118"/>
      <c r="HL2105" s="118"/>
      <c r="HM2105" s="118"/>
      <c r="HN2105" s="118"/>
      <c r="HO2105" s="118"/>
      <c r="HP2105" s="118"/>
      <c r="HQ2105" s="118"/>
      <c r="HR2105" s="118"/>
      <c r="HS2105" s="118"/>
      <c r="HT2105" s="118"/>
      <c r="HU2105" s="118"/>
      <c r="HV2105" s="118"/>
      <c r="HW2105" s="118"/>
      <c r="HX2105" s="118"/>
      <c r="HY2105" s="118"/>
      <c r="HZ2105" s="118"/>
      <c r="IA2105" s="118"/>
      <c r="IB2105" s="118"/>
      <c r="IC2105" s="118"/>
      <c r="ID2105" s="118"/>
      <c r="IE2105" s="118"/>
      <c r="IF2105" s="118"/>
      <c r="IG2105" s="118"/>
      <c r="IH2105" s="118"/>
      <c r="II2105" s="118"/>
      <c r="IJ2105" s="118"/>
    </row>
    <row r="2106" spans="1:244" s="127" customFormat="1" ht="12.75" customHeight="1">
      <c r="A2106" s="118">
        <v>2105</v>
      </c>
      <c r="B2106" s="128">
        <v>23</v>
      </c>
      <c r="C2106" s="156">
        <v>36647</v>
      </c>
      <c r="D2106" s="157" t="s">
        <v>48</v>
      </c>
      <c r="E2106" s="8">
        <v>2000</v>
      </c>
      <c r="F2106" s="158"/>
      <c r="G2106" s="162"/>
      <c r="H2106" s="11"/>
      <c r="I2106" s="163"/>
      <c r="J2106" s="15"/>
      <c r="K2106" s="15"/>
      <c r="L2106" s="15"/>
      <c r="M2106" s="174"/>
      <c r="N2106" s="528"/>
      <c r="O2106" s="15"/>
      <c r="P2106" s="8"/>
      <c r="Q2106" s="11"/>
      <c r="R2106" s="11"/>
      <c r="S2106" s="155"/>
      <c r="T2106" s="15"/>
      <c r="U2106" s="161"/>
      <c r="V2106" s="15"/>
      <c r="W2106" s="15"/>
      <c r="X2106" s="118"/>
      <c r="Y2106" s="118"/>
      <c r="Z2106" s="118"/>
      <c r="AA2106" s="118"/>
      <c r="AB2106" s="118"/>
      <c r="AC2106" s="118"/>
      <c r="AD2106" s="118"/>
      <c r="AE2106" s="118"/>
      <c r="AF2106" s="118"/>
      <c r="AG2106" s="118"/>
      <c r="AH2106" s="118"/>
      <c r="AI2106" s="118"/>
      <c r="AJ2106" s="118"/>
      <c r="AK2106" s="118"/>
      <c r="AL2106" s="118"/>
      <c r="AM2106" s="118"/>
      <c r="AN2106" s="118"/>
      <c r="AO2106" s="118"/>
      <c r="AP2106" s="118"/>
      <c r="AQ2106" s="118"/>
      <c r="AR2106" s="118"/>
      <c r="AS2106" s="118"/>
      <c r="AT2106" s="118"/>
      <c r="AU2106" s="118"/>
      <c r="AV2106" s="118"/>
      <c r="AW2106" s="118"/>
      <c r="AX2106" s="118"/>
      <c r="AY2106" s="118"/>
      <c r="AZ2106" s="118"/>
      <c r="BA2106" s="118"/>
      <c r="BB2106" s="118"/>
      <c r="BC2106" s="118"/>
      <c r="BD2106" s="118"/>
      <c r="BE2106" s="118"/>
      <c r="BF2106" s="118"/>
      <c r="BG2106" s="118"/>
      <c r="BH2106" s="118"/>
      <c r="BI2106" s="118"/>
      <c r="BJ2106" s="118"/>
      <c r="BK2106" s="118"/>
      <c r="BL2106" s="118"/>
      <c r="BM2106" s="118"/>
      <c r="BN2106" s="118"/>
      <c r="BO2106" s="118"/>
      <c r="BP2106" s="118"/>
      <c r="BQ2106" s="118"/>
      <c r="BR2106" s="118"/>
      <c r="BS2106" s="118"/>
      <c r="BT2106" s="118"/>
      <c r="BU2106" s="118"/>
      <c r="BV2106" s="118"/>
      <c r="BW2106" s="118"/>
      <c r="BX2106" s="118"/>
      <c r="BY2106" s="118"/>
      <c r="BZ2106" s="118"/>
      <c r="CA2106" s="118"/>
      <c r="CB2106" s="118"/>
      <c r="CC2106" s="118"/>
      <c r="CD2106" s="118"/>
      <c r="CE2106" s="118"/>
      <c r="CF2106" s="118"/>
      <c r="CG2106" s="118"/>
      <c r="CH2106" s="118"/>
      <c r="CI2106" s="118"/>
      <c r="CJ2106" s="118"/>
      <c r="CK2106" s="118"/>
      <c r="CL2106" s="118"/>
      <c r="CM2106" s="118"/>
      <c r="CN2106" s="118"/>
      <c r="CO2106" s="118"/>
      <c r="CP2106" s="118"/>
      <c r="CQ2106" s="118"/>
      <c r="CR2106" s="118"/>
      <c r="CS2106" s="118"/>
      <c r="CT2106" s="118"/>
      <c r="CU2106" s="118"/>
      <c r="CV2106" s="118"/>
      <c r="CW2106" s="118"/>
      <c r="CX2106" s="118"/>
      <c r="CY2106" s="118"/>
      <c r="CZ2106" s="118"/>
      <c r="DA2106" s="118"/>
      <c r="DB2106" s="118"/>
      <c r="DC2106" s="118"/>
      <c r="DD2106" s="118"/>
      <c r="DE2106" s="118"/>
      <c r="DF2106" s="118"/>
      <c r="DG2106" s="118"/>
      <c r="DH2106" s="118"/>
      <c r="DI2106" s="118"/>
      <c r="DJ2106" s="118"/>
      <c r="DK2106" s="118"/>
      <c r="DL2106" s="118"/>
      <c r="DM2106" s="118"/>
      <c r="DN2106" s="118"/>
      <c r="DO2106" s="118"/>
      <c r="DP2106" s="118"/>
      <c r="DQ2106" s="118"/>
      <c r="DR2106" s="118"/>
      <c r="DS2106" s="118"/>
      <c r="DT2106" s="118"/>
      <c r="DU2106" s="118"/>
      <c r="DV2106" s="118"/>
      <c r="DW2106" s="118"/>
      <c r="DX2106" s="118"/>
      <c r="DY2106" s="118"/>
      <c r="DZ2106" s="118"/>
      <c r="EA2106" s="118"/>
      <c r="EB2106" s="118"/>
      <c r="EC2106" s="118"/>
      <c r="ED2106" s="118"/>
      <c r="EE2106" s="118"/>
      <c r="EF2106" s="118"/>
      <c r="EG2106" s="118"/>
      <c r="EH2106" s="118"/>
      <c r="EI2106" s="118"/>
      <c r="EJ2106" s="118"/>
      <c r="EK2106" s="118"/>
      <c r="EL2106" s="118"/>
      <c r="EM2106" s="118"/>
      <c r="EN2106" s="118"/>
      <c r="EO2106" s="118"/>
      <c r="EP2106" s="118"/>
      <c r="EQ2106" s="118"/>
      <c r="ER2106" s="118"/>
      <c r="ES2106" s="118"/>
      <c r="ET2106" s="118"/>
      <c r="EU2106" s="118"/>
      <c r="EV2106" s="118"/>
      <c r="EW2106" s="118"/>
      <c r="EX2106" s="118"/>
      <c r="EY2106" s="118"/>
      <c r="EZ2106" s="118"/>
      <c r="FA2106" s="118"/>
      <c r="FB2106" s="118"/>
      <c r="FC2106" s="118"/>
      <c r="FD2106" s="118"/>
      <c r="FE2106" s="118"/>
      <c r="FF2106" s="118"/>
      <c r="FG2106" s="118"/>
      <c r="FH2106" s="118"/>
      <c r="FI2106" s="118"/>
      <c r="FJ2106" s="118"/>
      <c r="FK2106" s="118"/>
      <c r="FL2106" s="118"/>
      <c r="FM2106" s="118"/>
      <c r="FN2106" s="118"/>
      <c r="FO2106" s="118"/>
      <c r="FP2106" s="118"/>
      <c r="FQ2106" s="118"/>
      <c r="FR2106" s="118"/>
      <c r="FS2106" s="118"/>
      <c r="FT2106" s="118"/>
      <c r="FU2106" s="118"/>
      <c r="FV2106" s="118"/>
      <c r="FW2106" s="118"/>
      <c r="FX2106" s="118"/>
      <c r="FY2106" s="118"/>
      <c r="FZ2106" s="118"/>
      <c r="GA2106" s="118"/>
      <c r="GB2106" s="118"/>
      <c r="GC2106" s="118"/>
      <c r="GD2106" s="118"/>
      <c r="GE2106" s="118"/>
      <c r="GF2106" s="118"/>
      <c r="GG2106" s="118"/>
      <c r="GH2106" s="118"/>
      <c r="GI2106" s="118"/>
      <c r="GJ2106" s="118"/>
      <c r="GK2106" s="118"/>
      <c r="GL2106" s="118"/>
      <c r="GM2106" s="118"/>
      <c r="GN2106" s="118"/>
      <c r="GO2106" s="118"/>
      <c r="GP2106" s="118"/>
      <c r="GQ2106" s="118"/>
      <c r="GR2106" s="118"/>
      <c r="GS2106" s="118"/>
      <c r="GT2106" s="118"/>
      <c r="GU2106" s="118"/>
      <c r="GV2106" s="118"/>
      <c r="GW2106" s="118"/>
      <c r="GX2106" s="118"/>
      <c r="GY2106" s="118"/>
      <c r="GZ2106" s="118"/>
      <c r="HA2106" s="118"/>
      <c r="HB2106" s="118"/>
      <c r="HC2106" s="118"/>
      <c r="HD2106" s="118"/>
      <c r="HE2106" s="118"/>
      <c r="HF2106" s="118"/>
      <c r="HG2106" s="118"/>
      <c r="HH2106" s="118"/>
      <c r="HI2106" s="118"/>
      <c r="HJ2106" s="118"/>
      <c r="HK2106" s="118"/>
      <c r="HL2106" s="118"/>
      <c r="HM2106" s="118"/>
      <c r="HN2106" s="118"/>
      <c r="HO2106" s="118"/>
      <c r="HP2106" s="118"/>
      <c r="HQ2106" s="118"/>
      <c r="HR2106" s="118"/>
      <c r="HS2106" s="118"/>
      <c r="HT2106" s="118"/>
      <c r="HU2106" s="118"/>
      <c r="HV2106" s="118"/>
      <c r="HW2106" s="118"/>
      <c r="HX2106" s="118"/>
      <c r="HY2106" s="118"/>
      <c r="HZ2106" s="118"/>
      <c r="IA2106" s="118"/>
      <c r="IB2106" s="118"/>
      <c r="IC2106" s="118"/>
      <c r="ID2106" s="118"/>
      <c r="IE2106" s="118"/>
      <c r="IF2106" s="118"/>
      <c r="IG2106" s="118"/>
      <c r="IH2106" s="118"/>
      <c r="II2106" s="118"/>
      <c r="IJ2106" s="118"/>
    </row>
    <row r="2107" spans="1:244" s="127" customFormat="1" ht="12.75" customHeight="1">
      <c r="A2107" s="118">
        <v>2106</v>
      </c>
      <c r="B2107" s="128">
        <v>23</v>
      </c>
      <c r="C2107" s="156">
        <v>36678</v>
      </c>
      <c r="D2107" s="157" t="s">
        <v>49</v>
      </c>
      <c r="E2107" s="8">
        <v>2000</v>
      </c>
      <c r="F2107" s="158"/>
      <c r="G2107" s="162"/>
      <c r="H2107" s="11"/>
      <c r="I2107" s="163"/>
      <c r="J2107" s="15"/>
      <c r="K2107" s="15"/>
      <c r="L2107" s="15"/>
      <c r="M2107" s="174"/>
      <c r="N2107" s="528"/>
      <c r="O2107" s="15"/>
      <c r="P2107" s="8"/>
      <c r="Q2107" s="11"/>
      <c r="R2107" s="11"/>
      <c r="S2107" s="155"/>
      <c r="T2107" s="15"/>
      <c r="U2107" s="161"/>
      <c r="V2107" s="15"/>
      <c r="W2107" s="15"/>
      <c r="X2107" s="118"/>
      <c r="Y2107" s="118"/>
      <c r="Z2107" s="118"/>
      <c r="AA2107" s="118"/>
      <c r="AB2107" s="118"/>
      <c r="AC2107" s="118"/>
      <c r="AD2107" s="118"/>
      <c r="AE2107" s="118"/>
      <c r="AF2107" s="118"/>
      <c r="AG2107" s="118"/>
      <c r="AH2107" s="118"/>
      <c r="AI2107" s="118"/>
      <c r="AJ2107" s="118"/>
      <c r="AK2107" s="118"/>
      <c r="AL2107" s="118"/>
      <c r="AM2107" s="118"/>
      <c r="AN2107" s="118"/>
      <c r="AO2107" s="118"/>
      <c r="AP2107" s="118"/>
      <c r="AQ2107" s="118"/>
      <c r="AR2107" s="118"/>
      <c r="AS2107" s="118"/>
      <c r="AT2107" s="118"/>
      <c r="AU2107" s="118"/>
      <c r="AV2107" s="118"/>
      <c r="AW2107" s="118"/>
      <c r="AX2107" s="118"/>
      <c r="AY2107" s="118"/>
      <c r="AZ2107" s="118"/>
      <c r="BA2107" s="118"/>
      <c r="BB2107" s="118"/>
      <c r="BC2107" s="118"/>
      <c r="BD2107" s="118"/>
      <c r="BE2107" s="118"/>
      <c r="BF2107" s="118"/>
      <c r="BG2107" s="118"/>
      <c r="BH2107" s="118"/>
      <c r="BI2107" s="118"/>
      <c r="BJ2107" s="118"/>
      <c r="BK2107" s="118"/>
      <c r="BL2107" s="118"/>
      <c r="BM2107" s="118"/>
      <c r="BN2107" s="118"/>
      <c r="BO2107" s="118"/>
      <c r="BP2107" s="118"/>
      <c r="BQ2107" s="118"/>
      <c r="BR2107" s="118"/>
      <c r="BS2107" s="118"/>
      <c r="BT2107" s="118"/>
      <c r="BU2107" s="118"/>
      <c r="BV2107" s="118"/>
      <c r="BW2107" s="118"/>
      <c r="BX2107" s="118"/>
      <c r="BY2107" s="118"/>
      <c r="BZ2107" s="118"/>
      <c r="CA2107" s="118"/>
      <c r="CB2107" s="118"/>
      <c r="CC2107" s="118"/>
      <c r="CD2107" s="118"/>
      <c r="CE2107" s="118"/>
      <c r="CF2107" s="118"/>
      <c r="CG2107" s="118"/>
      <c r="CH2107" s="118"/>
      <c r="CI2107" s="118"/>
      <c r="CJ2107" s="118"/>
      <c r="CK2107" s="118"/>
      <c r="CL2107" s="118"/>
      <c r="CM2107" s="118"/>
      <c r="CN2107" s="118"/>
      <c r="CO2107" s="118"/>
      <c r="CP2107" s="118"/>
      <c r="CQ2107" s="118"/>
      <c r="CR2107" s="118"/>
      <c r="CS2107" s="118"/>
      <c r="CT2107" s="118"/>
      <c r="CU2107" s="118"/>
      <c r="CV2107" s="118"/>
      <c r="CW2107" s="118"/>
      <c r="CX2107" s="118"/>
      <c r="CY2107" s="118"/>
      <c r="CZ2107" s="118"/>
      <c r="DA2107" s="118"/>
      <c r="DB2107" s="118"/>
      <c r="DC2107" s="118"/>
      <c r="DD2107" s="118"/>
      <c r="DE2107" s="118"/>
      <c r="DF2107" s="118"/>
      <c r="DG2107" s="118"/>
      <c r="DH2107" s="118"/>
      <c r="DI2107" s="118"/>
      <c r="DJ2107" s="118"/>
      <c r="DK2107" s="118"/>
      <c r="DL2107" s="118"/>
      <c r="DM2107" s="118"/>
      <c r="DN2107" s="118"/>
      <c r="DO2107" s="118"/>
      <c r="DP2107" s="118"/>
      <c r="DQ2107" s="118"/>
      <c r="DR2107" s="118"/>
      <c r="DS2107" s="118"/>
      <c r="DT2107" s="118"/>
      <c r="DU2107" s="118"/>
      <c r="DV2107" s="118"/>
      <c r="DW2107" s="118"/>
      <c r="DX2107" s="118"/>
      <c r="DY2107" s="118"/>
      <c r="DZ2107" s="118"/>
      <c r="EA2107" s="118"/>
      <c r="EB2107" s="118"/>
      <c r="EC2107" s="118"/>
      <c r="ED2107" s="118"/>
      <c r="EE2107" s="118"/>
      <c r="EF2107" s="118"/>
      <c r="EG2107" s="118"/>
      <c r="EH2107" s="118"/>
      <c r="EI2107" s="118"/>
      <c r="EJ2107" s="118"/>
      <c r="EK2107" s="118"/>
      <c r="EL2107" s="118"/>
      <c r="EM2107" s="118"/>
      <c r="EN2107" s="118"/>
      <c r="EO2107" s="118"/>
      <c r="EP2107" s="118"/>
      <c r="EQ2107" s="118"/>
      <c r="ER2107" s="118"/>
      <c r="ES2107" s="118"/>
      <c r="ET2107" s="118"/>
      <c r="EU2107" s="118"/>
      <c r="EV2107" s="118"/>
      <c r="EW2107" s="118"/>
      <c r="EX2107" s="118"/>
      <c r="EY2107" s="118"/>
      <c r="EZ2107" s="118"/>
      <c r="FA2107" s="118"/>
      <c r="FB2107" s="118"/>
      <c r="FC2107" s="118"/>
      <c r="FD2107" s="118"/>
      <c r="FE2107" s="118"/>
      <c r="FF2107" s="118"/>
      <c r="FG2107" s="118"/>
      <c r="FH2107" s="118"/>
      <c r="FI2107" s="118"/>
      <c r="FJ2107" s="118"/>
      <c r="FK2107" s="118"/>
      <c r="FL2107" s="118"/>
      <c r="FM2107" s="118"/>
      <c r="FN2107" s="118"/>
      <c r="FO2107" s="118"/>
      <c r="FP2107" s="118"/>
      <c r="FQ2107" s="118"/>
      <c r="FR2107" s="118"/>
      <c r="FS2107" s="118"/>
      <c r="FT2107" s="118"/>
      <c r="FU2107" s="118"/>
      <c r="FV2107" s="118"/>
      <c r="FW2107" s="118"/>
      <c r="FX2107" s="118"/>
      <c r="FY2107" s="118"/>
      <c r="FZ2107" s="118"/>
      <c r="GA2107" s="118"/>
      <c r="GB2107" s="118"/>
      <c r="GC2107" s="118"/>
      <c r="GD2107" s="118"/>
      <c r="GE2107" s="118"/>
      <c r="GF2107" s="118"/>
      <c r="GG2107" s="118"/>
      <c r="GH2107" s="118"/>
      <c r="GI2107" s="118"/>
      <c r="GJ2107" s="118"/>
      <c r="GK2107" s="118"/>
      <c r="GL2107" s="118"/>
      <c r="GM2107" s="118"/>
      <c r="GN2107" s="118"/>
      <c r="GO2107" s="118"/>
      <c r="GP2107" s="118"/>
      <c r="GQ2107" s="118"/>
      <c r="GR2107" s="118"/>
      <c r="GS2107" s="118"/>
      <c r="GT2107" s="118"/>
      <c r="GU2107" s="118"/>
      <c r="GV2107" s="118"/>
      <c r="GW2107" s="118"/>
      <c r="GX2107" s="118"/>
      <c r="GY2107" s="118"/>
      <c r="GZ2107" s="118"/>
      <c r="HA2107" s="118"/>
      <c r="HB2107" s="118"/>
      <c r="HC2107" s="118"/>
      <c r="HD2107" s="118"/>
      <c r="HE2107" s="118"/>
      <c r="HF2107" s="118"/>
      <c r="HG2107" s="118"/>
      <c r="HH2107" s="118"/>
      <c r="HI2107" s="118"/>
      <c r="HJ2107" s="118"/>
      <c r="HK2107" s="118"/>
      <c r="HL2107" s="118"/>
      <c r="HM2107" s="118"/>
      <c r="HN2107" s="118"/>
      <c r="HO2107" s="118"/>
      <c r="HP2107" s="118"/>
      <c r="HQ2107" s="118"/>
      <c r="HR2107" s="118"/>
      <c r="HS2107" s="118"/>
      <c r="HT2107" s="118"/>
      <c r="HU2107" s="118"/>
      <c r="HV2107" s="118"/>
      <c r="HW2107" s="118"/>
      <c r="HX2107" s="118"/>
      <c r="HY2107" s="118"/>
      <c r="HZ2107" s="118"/>
      <c r="IA2107" s="118"/>
      <c r="IB2107" s="118"/>
      <c r="IC2107" s="118"/>
      <c r="ID2107" s="118"/>
      <c r="IE2107" s="118"/>
      <c r="IF2107" s="118"/>
      <c r="IG2107" s="118"/>
      <c r="IH2107" s="118"/>
      <c r="II2107" s="118"/>
      <c r="IJ2107" s="118"/>
    </row>
    <row r="2108" spans="1:244" s="127" customFormat="1" ht="12.75" customHeight="1">
      <c r="A2108" s="118">
        <v>2107</v>
      </c>
      <c r="B2108" s="128">
        <v>23</v>
      </c>
      <c r="C2108" s="156">
        <v>36708</v>
      </c>
      <c r="D2108" s="157" t="s">
        <v>50</v>
      </c>
      <c r="E2108" s="8">
        <v>2000</v>
      </c>
      <c r="F2108" s="158"/>
      <c r="G2108" s="162"/>
      <c r="H2108" s="11"/>
      <c r="I2108" s="163"/>
      <c r="J2108" s="15"/>
      <c r="K2108" s="15"/>
      <c r="L2108" s="15"/>
      <c r="M2108" s="174"/>
      <c r="N2108" s="528"/>
      <c r="O2108" s="15"/>
      <c r="P2108" s="8"/>
      <c r="Q2108" s="11"/>
      <c r="R2108" s="11"/>
      <c r="S2108" s="155"/>
      <c r="T2108" s="15"/>
      <c r="U2108" s="161"/>
      <c r="V2108" s="15"/>
      <c r="W2108" s="15"/>
      <c r="X2108" s="118"/>
      <c r="Y2108" s="118"/>
      <c r="Z2108" s="118"/>
      <c r="AA2108" s="118"/>
      <c r="AB2108" s="118"/>
      <c r="AC2108" s="118"/>
      <c r="AD2108" s="118"/>
      <c r="AE2108" s="118"/>
      <c r="AF2108" s="118"/>
      <c r="AG2108" s="118"/>
      <c r="AH2108" s="118"/>
      <c r="AI2108" s="118"/>
      <c r="AJ2108" s="118"/>
      <c r="AK2108" s="118"/>
      <c r="AL2108" s="118"/>
      <c r="AM2108" s="118"/>
      <c r="AN2108" s="118"/>
      <c r="AO2108" s="118"/>
      <c r="AP2108" s="118"/>
      <c r="AQ2108" s="118"/>
      <c r="AR2108" s="118"/>
      <c r="AS2108" s="118"/>
      <c r="AT2108" s="118"/>
      <c r="AU2108" s="118"/>
      <c r="AV2108" s="118"/>
      <c r="AW2108" s="118"/>
      <c r="AX2108" s="118"/>
      <c r="AY2108" s="118"/>
      <c r="AZ2108" s="118"/>
      <c r="BA2108" s="118"/>
      <c r="BB2108" s="118"/>
      <c r="BC2108" s="118"/>
      <c r="BD2108" s="118"/>
      <c r="BE2108" s="118"/>
      <c r="BF2108" s="118"/>
      <c r="BG2108" s="118"/>
      <c r="BH2108" s="118"/>
      <c r="BI2108" s="118"/>
      <c r="BJ2108" s="118"/>
      <c r="BK2108" s="118"/>
      <c r="BL2108" s="118"/>
      <c r="BM2108" s="118"/>
      <c r="BN2108" s="118"/>
      <c r="BO2108" s="118"/>
      <c r="BP2108" s="118"/>
      <c r="BQ2108" s="118"/>
      <c r="BR2108" s="118"/>
      <c r="BS2108" s="118"/>
      <c r="BT2108" s="118"/>
      <c r="BU2108" s="118"/>
      <c r="BV2108" s="118"/>
      <c r="BW2108" s="118"/>
      <c r="BX2108" s="118"/>
      <c r="BY2108" s="118"/>
      <c r="BZ2108" s="118"/>
      <c r="CA2108" s="118"/>
      <c r="CB2108" s="118"/>
      <c r="CC2108" s="118"/>
      <c r="CD2108" s="118"/>
      <c r="CE2108" s="118"/>
      <c r="CF2108" s="118"/>
      <c r="CG2108" s="118"/>
      <c r="CH2108" s="118"/>
      <c r="CI2108" s="118"/>
      <c r="CJ2108" s="118"/>
      <c r="CK2108" s="118"/>
      <c r="CL2108" s="118"/>
      <c r="CM2108" s="118"/>
      <c r="CN2108" s="118"/>
      <c r="CO2108" s="118"/>
      <c r="CP2108" s="118"/>
      <c r="CQ2108" s="118"/>
      <c r="CR2108" s="118"/>
      <c r="CS2108" s="118"/>
      <c r="CT2108" s="118"/>
      <c r="CU2108" s="118"/>
      <c r="CV2108" s="118"/>
      <c r="CW2108" s="118"/>
      <c r="CX2108" s="118"/>
      <c r="CY2108" s="118"/>
      <c r="CZ2108" s="118"/>
      <c r="DA2108" s="118"/>
      <c r="DB2108" s="118"/>
      <c r="DC2108" s="118"/>
      <c r="DD2108" s="118"/>
      <c r="DE2108" s="118"/>
      <c r="DF2108" s="118"/>
      <c r="DG2108" s="118"/>
      <c r="DH2108" s="118"/>
      <c r="DI2108" s="118"/>
      <c r="DJ2108" s="118"/>
      <c r="DK2108" s="118"/>
      <c r="DL2108" s="118"/>
      <c r="DM2108" s="118"/>
      <c r="DN2108" s="118"/>
      <c r="DO2108" s="118"/>
      <c r="DP2108" s="118"/>
      <c r="DQ2108" s="118"/>
      <c r="DR2108" s="118"/>
      <c r="DS2108" s="118"/>
      <c r="DT2108" s="118"/>
      <c r="DU2108" s="118"/>
      <c r="DV2108" s="118"/>
      <c r="DW2108" s="118"/>
      <c r="DX2108" s="118"/>
      <c r="DY2108" s="118"/>
      <c r="DZ2108" s="118"/>
      <c r="EA2108" s="118"/>
      <c r="EB2108" s="118"/>
      <c r="EC2108" s="118"/>
      <c r="ED2108" s="118"/>
      <c r="EE2108" s="118"/>
      <c r="EF2108" s="118"/>
      <c r="EG2108" s="118"/>
      <c r="EH2108" s="118"/>
      <c r="EI2108" s="118"/>
      <c r="EJ2108" s="118"/>
      <c r="EK2108" s="118"/>
      <c r="EL2108" s="118"/>
      <c r="EM2108" s="118"/>
      <c r="EN2108" s="118"/>
      <c r="EO2108" s="118"/>
      <c r="EP2108" s="118"/>
      <c r="EQ2108" s="118"/>
      <c r="ER2108" s="118"/>
      <c r="ES2108" s="118"/>
      <c r="ET2108" s="118"/>
      <c r="EU2108" s="118"/>
      <c r="EV2108" s="118"/>
      <c r="EW2108" s="118"/>
      <c r="EX2108" s="118"/>
      <c r="EY2108" s="118"/>
      <c r="EZ2108" s="118"/>
      <c r="FA2108" s="118"/>
      <c r="FB2108" s="118"/>
      <c r="FC2108" s="118"/>
      <c r="FD2108" s="118"/>
      <c r="FE2108" s="118"/>
      <c r="FF2108" s="118"/>
      <c r="FG2108" s="118"/>
      <c r="FH2108" s="118"/>
      <c r="FI2108" s="118"/>
      <c r="FJ2108" s="118"/>
      <c r="FK2108" s="118"/>
      <c r="FL2108" s="118"/>
      <c r="FM2108" s="118"/>
      <c r="FN2108" s="118"/>
      <c r="FO2108" s="118"/>
      <c r="FP2108" s="118"/>
      <c r="FQ2108" s="118"/>
      <c r="FR2108" s="118"/>
      <c r="FS2108" s="118"/>
      <c r="FT2108" s="118"/>
      <c r="FU2108" s="118"/>
      <c r="FV2108" s="118"/>
      <c r="FW2108" s="118"/>
      <c r="FX2108" s="118"/>
      <c r="FY2108" s="118"/>
      <c r="FZ2108" s="118"/>
      <c r="GA2108" s="118"/>
      <c r="GB2108" s="118"/>
      <c r="GC2108" s="118"/>
      <c r="GD2108" s="118"/>
      <c r="GE2108" s="118"/>
      <c r="GF2108" s="118"/>
      <c r="GG2108" s="118"/>
      <c r="GH2108" s="118"/>
      <c r="GI2108" s="118"/>
      <c r="GJ2108" s="118"/>
      <c r="GK2108" s="118"/>
      <c r="GL2108" s="118"/>
      <c r="GM2108" s="118"/>
      <c r="GN2108" s="118"/>
      <c r="GO2108" s="118"/>
      <c r="GP2108" s="118"/>
      <c r="GQ2108" s="118"/>
      <c r="GR2108" s="118"/>
      <c r="GS2108" s="118"/>
      <c r="GT2108" s="118"/>
      <c r="GU2108" s="118"/>
      <c r="GV2108" s="118"/>
      <c r="GW2108" s="118"/>
      <c r="GX2108" s="118"/>
      <c r="GY2108" s="118"/>
      <c r="GZ2108" s="118"/>
      <c r="HA2108" s="118"/>
      <c r="HB2108" s="118"/>
      <c r="HC2108" s="118"/>
      <c r="HD2108" s="118"/>
      <c r="HE2108" s="118"/>
      <c r="HF2108" s="118"/>
      <c r="HG2108" s="118"/>
      <c r="HH2108" s="118"/>
      <c r="HI2108" s="118"/>
      <c r="HJ2108" s="118"/>
      <c r="HK2108" s="118"/>
      <c r="HL2108" s="118"/>
      <c r="HM2108" s="118"/>
      <c r="HN2108" s="118"/>
      <c r="HO2108" s="118"/>
      <c r="HP2108" s="118"/>
      <c r="HQ2108" s="118"/>
      <c r="HR2108" s="118"/>
      <c r="HS2108" s="118"/>
      <c r="HT2108" s="118"/>
      <c r="HU2108" s="118"/>
      <c r="HV2108" s="118"/>
      <c r="HW2108" s="118"/>
      <c r="HX2108" s="118"/>
      <c r="HY2108" s="118"/>
      <c r="HZ2108" s="118"/>
      <c r="IA2108" s="118"/>
      <c r="IB2108" s="118"/>
      <c r="IC2108" s="118"/>
      <c r="ID2108" s="118"/>
      <c r="IE2108" s="118"/>
      <c r="IF2108" s="118"/>
      <c r="IG2108" s="118"/>
      <c r="IH2108" s="118"/>
      <c r="II2108" s="118"/>
      <c r="IJ2108" s="118"/>
    </row>
    <row r="2109" spans="1:244" s="127" customFormat="1" ht="12.75" customHeight="1">
      <c r="A2109" s="118">
        <v>2108</v>
      </c>
      <c r="B2109" s="128">
        <v>23</v>
      </c>
      <c r="C2109" s="156">
        <v>36739</v>
      </c>
      <c r="D2109" s="157" t="s">
        <v>51</v>
      </c>
      <c r="E2109" s="8">
        <v>2000</v>
      </c>
      <c r="F2109" s="158"/>
      <c r="G2109" s="162"/>
      <c r="H2109" s="11"/>
      <c r="I2109" s="163"/>
      <c r="J2109" s="15"/>
      <c r="K2109" s="15"/>
      <c r="L2109" s="15"/>
      <c r="M2109" s="174"/>
      <c r="N2109" s="528"/>
      <c r="O2109" s="15"/>
      <c r="P2109" s="8"/>
      <c r="Q2109" s="11"/>
      <c r="R2109" s="11"/>
      <c r="S2109" s="155"/>
      <c r="T2109" s="15"/>
      <c r="U2109" s="161"/>
      <c r="V2109" s="15"/>
      <c r="W2109" s="15"/>
      <c r="X2109" s="118"/>
      <c r="Y2109" s="118"/>
      <c r="Z2109" s="118"/>
      <c r="AA2109" s="118"/>
      <c r="AB2109" s="118"/>
      <c r="AC2109" s="118"/>
      <c r="AD2109" s="118"/>
      <c r="AE2109" s="118"/>
      <c r="AF2109" s="118"/>
      <c r="AG2109" s="118"/>
      <c r="AH2109" s="118"/>
      <c r="AI2109" s="118"/>
      <c r="AJ2109" s="118"/>
      <c r="AK2109" s="118"/>
      <c r="AL2109" s="118"/>
      <c r="AM2109" s="118"/>
      <c r="AN2109" s="118"/>
      <c r="AO2109" s="118"/>
      <c r="AP2109" s="118"/>
      <c r="AQ2109" s="118"/>
      <c r="AR2109" s="118"/>
      <c r="AS2109" s="118"/>
      <c r="AT2109" s="118"/>
      <c r="AU2109" s="118"/>
      <c r="AV2109" s="118"/>
      <c r="AW2109" s="118"/>
      <c r="AX2109" s="118"/>
      <c r="AY2109" s="118"/>
      <c r="AZ2109" s="118"/>
      <c r="BA2109" s="118"/>
      <c r="BB2109" s="118"/>
      <c r="BC2109" s="118"/>
      <c r="BD2109" s="118"/>
      <c r="BE2109" s="118"/>
      <c r="BF2109" s="118"/>
      <c r="BG2109" s="118"/>
      <c r="BH2109" s="118"/>
      <c r="BI2109" s="118"/>
      <c r="BJ2109" s="118"/>
      <c r="BK2109" s="118"/>
      <c r="BL2109" s="118"/>
      <c r="BM2109" s="118"/>
      <c r="BN2109" s="118"/>
      <c r="BO2109" s="118"/>
      <c r="BP2109" s="118"/>
      <c r="BQ2109" s="118"/>
      <c r="BR2109" s="118"/>
      <c r="BS2109" s="118"/>
      <c r="BT2109" s="118"/>
      <c r="BU2109" s="118"/>
      <c r="BV2109" s="118"/>
      <c r="BW2109" s="118"/>
      <c r="BX2109" s="118"/>
      <c r="BY2109" s="118"/>
      <c r="BZ2109" s="118"/>
      <c r="CA2109" s="118"/>
      <c r="CB2109" s="118"/>
      <c r="CC2109" s="118"/>
      <c r="CD2109" s="118"/>
      <c r="CE2109" s="118"/>
      <c r="CF2109" s="118"/>
      <c r="CG2109" s="118"/>
      <c r="CH2109" s="118"/>
      <c r="CI2109" s="118"/>
      <c r="CJ2109" s="118"/>
      <c r="CK2109" s="118"/>
      <c r="CL2109" s="118"/>
      <c r="CM2109" s="118"/>
      <c r="CN2109" s="118"/>
      <c r="CO2109" s="118"/>
      <c r="CP2109" s="118"/>
      <c r="CQ2109" s="118"/>
      <c r="CR2109" s="118"/>
      <c r="CS2109" s="118"/>
      <c r="CT2109" s="118"/>
      <c r="CU2109" s="118"/>
      <c r="CV2109" s="118"/>
      <c r="CW2109" s="118"/>
      <c r="CX2109" s="118"/>
      <c r="CY2109" s="118"/>
      <c r="CZ2109" s="118"/>
      <c r="DA2109" s="118"/>
      <c r="DB2109" s="118"/>
      <c r="DC2109" s="118"/>
      <c r="DD2109" s="118"/>
      <c r="DE2109" s="118"/>
      <c r="DF2109" s="118"/>
      <c r="DG2109" s="118"/>
      <c r="DH2109" s="118"/>
      <c r="DI2109" s="118"/>
      <c r="DJ2109" s="118"/>
      <c r="DK2109" s="118"/>
      <c r="DL2109" s="118"/>
      <c r="DM2109" s="118"/>
      <c r="DN2109" s="118"/>
      <c r="DO2109" s="118"/>
      <c r="DP2109" s="118"/>
      <c r="DQ2109" s="118"/>
      <c r="DR2109" s="118"/>
      <c r="DS2109" s="118"/>
      <c r="DT2109" s="118"/>
      <c r="DU2109" s="118"/>
      <c r="DV2109" s="118"/>
      <c r="DW2109" s="118"/>
      <c r="DX2109" s="118"/>
      <c r="DY2109" s="118"/>
      <c r="DZ2109" s="118"/>
      <c r="EA2109" s="118"/>
      <c r="EB2109" s="118"/>
      <c r="EC2109" s="118"/>
      <c r="ED2109" s="118"/>
      <c r="EE2109" s="118"/>
      <c r="EF2109" s="118"/>
      <c r="EG2109" s="118"/>
      <c r="EH2109" s="118"/>
      <c r="EI2109" s="118"/>
      <c r="EJ2109" s="118"/>
      <c r="EK2109" s="118"/>
      <c r="EL2109" s="118"/>
      <c r="EM2109" s="118"/>
      <c r="EN2109" s="118"/>
      <c r="EO2109" s="118"/>
      <c r="EP2109" s="118"/>
      <c r="EQ2109" s="118"/>
      <c r="ER2109" s="118"/>
      <c r="ES2109" s="118"/>
      <c r="ET2109" s="118"/>
      <c r="EU2109" s="118"/>
      <c r="EV2109" s="118"/>
      <c r="EW2109" s="118"/>
      <c r="EX2109" s="118"/>
      <c r="EY2109" s="118"/>
      <c r="EZ2109" s="118"/>
      <c r="FA2109" s="118"/>
      <c r="FB2109" s="118"/>
      <c r="FC2109" s="118"/>
      <c r="FD2109" s="118"/>
      <c r="FE2109" s="118"/>
      <c r="FF2109" s="118"/>
      <c r="FG2109" s="118"/>
      <c r="FH2109" s="118"/>
      <c r="FI2109" s="118"/>
      <c r="FJ2109" s="118"/>
      <c r="FK2109" s="118"/>
      <c r="FL2109" s="118"/>
      <c r="FM2109" s="118"/>
      <c r="FN2109" s="118"/>
      <c r="FO2109" s="118"/>
      <c r="FP2109" s="118"/>
      <c r="FQ2109" s="118"/>
      <c r="FR2109" s="118"/>
      <c r="FS2109" s="118"/>
      <c r="FT2109" s="118"/>
      <c r="FU2109" s="118"/>
      <c r="FV2109" s="118"/>
      <c r="FW2109" s="118"/>
      <c r="FX2109" s="118"/>
      <c r="FY2109" s="118"/>
      <c r="FZ2109" s="118"/>
      <c r="GA2109" s="118"/>
      <c r="GB2109" s="118"/>
      <c r="GC2109" s="118"/>
      <c r="GD2109" s="118"/>
      <c r="GE2109" s="118"/>
      <c r="GF2109" s="118"/>
      <c r="GG2109" s="118"/>
      <c r="GH2109" s="118"/>
      <c r="GI2109" s="118"/>
      <c r="GJ2109" s="118"/>
      <c r="GK2109" s="118"/>
      <c r="GL2109" s="118"/>
      <c r="GM2109" s="118"/>
      <c r="GN2109" s="118"/>
      <c r="GO2109" s="118"/>
      <c r="GP2109" s="118"/>
      <c r="GQ2109" s="118"/>
      <c r="GR2109" s="118"/>
      <c r="GS2109" s="118"/>
      <c r="GT2109" s="118"/>
      <c r="GU2109" s="118"/>
      <c r="GV2109" s="118"/>
      <c r="GW2109" s="118"/>
      <c r="GX2109" s="118"/>
      <c r="GY2109" s="118"/>
      <c r="GZ2109" s="118"/>
      <c r="HA2109" s="118"/>
      <c r="HB2109" s="118"/>
      <c r="HC2109" s="118"/>
      <c r="HD2109" s="118"/>
      <c r="HE2109" s="118"/>
      <c r="HF2109" s="118"/>
      <c r="HG2109" s="118"/>
      <c r="HH2109" s="118"/>
      <c r="HI2109" s="118"/>
      <c r="HJ2109" s="118"/>
      <c r="HK2109" s="118"/>
      <c r="HL2109" s="118"/>
      <c r="HM2109" s="118"/>
      <c r="HN2109" s="118"/>
      <c r="HO2109" s="118"/>
      <c r="HP2109" s="118"/>
      <c r="HQ2109" s="118"/>
      <c r="HR2109" s="118"/>
      <c r="HS2109" s="118"/>
      <c r="HT2109" s="118"/>
      <c r="HU2109" s="118"/>
      <c r="HV2109" s="118"/>
      <c r="HW2109" s="118"/>
      <c r="HX2109" s="118"/>
      <c r="HY2109" s="118"/>
      <c r="HZ2109" s="118"/>
      <c r="IA2109" s="118"/>
      <c r="IB2109" s="118"/>
      <c r="IC2109" s="118"/>
      <c r="ID2109" s="118"/>
      <c r="IE2109" s="118"/>
      <c r="IF2109" s="118"/>
      <c r="IG2109" s="118"/>
      <c r="IH2109" s="118"/>
      <c r="II2109" s="118"/>
      <c r="IJ2109" s="118"/>
    </row>
    <row r="2110" spans="1:244" s="127" customFormat="1" ht="12.75" customHeight="1">
      <c r="A2110" s="118">
        <v>2109</v>
      </c>
      <c r="B2110" s="128">
        <v>23</v>
      </c>
      <c r="C2110" s="156">
        <v>36770</v>
      </c>
      <c r="D2110" s="157" t="s">
        <v>52</v>
      </c>
      <c r="E2110" s="8">
        <v>2000</v>
      </c>
      <c r="F2110" s="158"/>
      <c r="G2110" s="162"/>
      <c r="H2110" s="11"/>
      <c r="I2110" s="163"/>
      <c r="J2110" s="11"/>
      <c r="K2110" s="11"/>
      <c r="L2110" s="11"/>
      <c r="M2110" s="174"/>
      <c r="N2110" s="528"/>
      <c r="O2110" s="11"/>
      <c r="P2110" s="8"/>
      <c r="Q2110" s="11"/>
      <c r="R2110" s="11"/>
      <c r="S2110" s="155"/>
      <c r="T2110" s="11"/>
      <c r="U2110" s="161"/>
      <c r="V2110" s="11"/>
      <c r="W2110" s="11"/>
      <c r="X2110" s="118"/>
      <c r="Y2110" s="118"/>
      <c r="Z2110" s="118"/>
      <c r="AA2110" s="118"/>
      <c r="AB2110" s="118"/>
      <c r="AC2110" s="118"/>
      <c r="AD2110" s="118"/>
      <c r="AE2110" s="118"/>
      <c r="AF2110" s="118"/>
      <c r="AG2110" s="118"/>
      <c r="AH2110" s="118"/>
      <c r="AI2110" s="118"/>
      <c r="AJ2110" s="118"/>
      <c r="AK2110" s="118"/>
      <c r="AL2110" s="118"/>
      <c r="AM2110" s="118"/>
      <c r="AN2110" s="118"/>
      <c r="AO2110" s="118"/>
      <c r="AP2110" s="118"/>
      <c r="AQ2110" s="118"/>
      <c r="AR2110" s="118"/>
      <c r="AS2110" s="118"/>
      <c r="AT2110" s="118"/>
      <c r="AU2110" s="118"/>
      <c r="AV2110" s="118"/>
      <c r="AW2110" s="118"/>
      <c r="AX2110" s="118"/>
      <c r="AY2110" s="118"/>
      <c r="AZ2110" s="118"/>
      <c r="BA2110" s="118"/>
      <c r="BB2110" s="118"/>
      <c r="BC2110" s="118"/>
      <c r="BD2110" s="118"/>
      <c r="BE2110" s="118"/>
      <c r="BF2110" s="118"/>
      <c r="BG2110" s="118"/>
      <c r="BH2110" s="118"/>
      <c r="BI2110" s="118"/>
      <c r="BJ2110" s="118"/>
      <c r="BK2110" s="118"/>
      <c r="BL2110" s="118"/>
      <c r="BM2110" s="118"/>
      <c r="BN2110" s="118"/>
      <c r="BO2110" s="118"/>
      <c r="BP2110" s="118"/>
      <c r="BQ2110" s="118"/>
      <c r="BR2110" s="118"/>
      <c r="BS2110" s="118"/>
      <c r="BT2110" s="118"/>
      <c r="BU2110" s="118"/>
      <c r="BV2110" s="118"/>
      <c r="BW2110" s="118"/>
      <c r="BX2110" s="118"/>
      <c r="BY2110" s="118"/>
      <c r="BZ2110" s="118"/>
      <c r="CA2110" s="118"/>
      <c r="CB2110" s="118"/>
      <c r="CC2110" s="118"/>
      <c r="CD2110" s="118"/>
      <c r="CE2110" s="118"/>
      <c r="CF2110" s="118"/>
      <c r="CG2110" s="118"/>
      <c r="CH2110" s="118"/>
      <c r="CI2110" s="118"/>
      <c r="CJ2110" s="118"/>
      <c r="CK2110" s="118"/>
      <c r="CL2110" s="118"/>
      <c r="CM2110" s="118"/>
      <c r="CN2110" s="118"/>
      <c r="CO2110" s="118"/>
      <c r="CP2110" s="118"/>
      <c r="CQ2110" s="118"/>
      <c r="CR2110" s="118"/>
      <c r="CS2110" s="118"/>
      <c r="CT2110" s="118"/>
      <c r="CU2110" s="118"/>
      <c r="CV2110" s="118"/>
      <c r="CW2110" s="118"/>
      <c r="CX2110" s="118"/>
      <c r="CY2110" s="118"/>
      <c r="CZ2110" s="118"/>
      <c r="DA2110" s="118"/>
      <c r="DB2110" s="118"/>
      <c r="DC2110" s="118"/>
      <c r="DD2110" s="118"/>
      <c r="DE2110" s="118"/>
      <c r="DF2110" s="118"/>
      <c r="DG2110" s="118"/>
      <c r="DH2110" s="118"/>
      <c r="DI2110" s="118"/>
      <c r="DJ2110" s="118"/>
      <c r="DK2110" s="118"/>
      <c r="DL2110" s="118"/>
      <c r="DM2110" s="118"/>
      <c r="DN2110" s="118"/>
      <c r="DO2110" s="118"/>
      <c r="DP2110" s="118"/>
      <c r="DQ2110" s="118"/>
      <c r="DR2110" s="118"/>
      <c r="DS2110" s="118"/>
      <c r="DT2110" s="118"/>
      <c r="DU2110" s="118"/>
      <c r="DV2110" s="118"/>
      <c r="DW2110" s="118"/>
      <c r="DX2110" s="118"/>
      <c r="DY2110" s="118"/>
      <c r="DZ2110" s="118"/>
      <c r="EA2110" s="118"/>
      <c r="EB2110" s="118"/>
      <c r="EC2110" s="118"/>
      <c r="ED2110" s="118"/>
      <c r="EE2110" s="118"/>
      <c r="EF2110" s="118"/>
      <c r="EG2110" s="118"/>
      <c r="EH2110" s="118"/>
      <c r="EI2110" s="118"/>
      <c r="EJ2110" s="118"/>
      <c r="EK2110" s="118"/>
      <c r="EL2110" s="118"/>
      <c r="EM2110" s="118"/>
      <c r="EN2110" s="118"/>
      <c r="EO2110" s="118"/>
      <c r="EP2110" s="118"/>
      <c r="EQ2110" s="118"/>
      <c r="ER2110" s="118"/>
      <c r="ES2110" s="118"/>
      <c r="ET2110" s="118"/>
      <c r="EU2110" s="118"/>
      <c r="EV2110" s="118"/>
      <c r="EW2110" s="118"/>
      <c r="EX2110" s="118"/>
      <c r="EY2110" s="118"/>
      <c r="EZ2110" s="118"/>
      <c r="FA2110" s="118"/>
      <c r="FB2110" s="118"/>
      <c r="FC2110" s="118"/>
      <c r="FD2110" s="118"/>
      <c r="FE2110" s="118"/>
      <c r="FF2110" s="118"/>
      <c r="FG2110" s="118"/>
      <c r="FH2110" s="118"/>
      <c r="FI2110" s="118"/>
      <c r="FJ2110" s="118"/>
      <c r="FK2110" s="118"/>
      <c r="FL2110" s="118"/>
      <c r="FM2110" s="118"/>
      <c r="FN2110" s="118"/>
      <c r="FO2110" s="118"/>
      <c r="FP2110" s="118"/>
      <c r="FQ2110" s="118"/>
      <c r="FR2110" s="118"/>
      <c r="FS2110" s="118"/>
      <c r="FT2110" s="118"/>
      <c r="FU2110" s="118"/>
      <c r="FV2110" s="118"/>
      <c r="FW2110" s="118"/>
      <c r="FX2110" s="118"/>
      <c r="FY2110" s="118"/>
      <c r="FZ2110" s="118"/>
      <c r="GA2110" s="118"/>
      <c r="GB2110" s="118"/>
      <c r="GC2110" s="118"/>
      <c r="GD2110" s="118"/>
      <c r="GE2110" s="118"/>
      <c r="GF2110" s="118"/>
      <c r="GG2110" s="118"/>
      <c r="GH2110" s="118"/>
      <c r="GI2110" s="118"/>
      <c r="GJ2110" s="118"/>
      <c r="GK2110" s="118"/>
      <c r="GL2110" s="118"/>
      <c r="GM2110" s="118"/>
      <c r="GN2110" s="118"/>
      <c r="GO2110" s="118"/>
      <c r="GP2110" s="118"/>
      <c r="GQ2110" s="118"/>
      <c r="GR2110" s="118"/>
      <c r="GS2110" s="118"/>
      <c r="GT2110" s="118"/>
      <c r="GU2110" s="118"/>
      <c r="GV2110" s="118"/>
      <c r="GW2110" s="118"/>
      <c r="GX2110" s="118"/>
      <c r="GY2110" s="118"/>
      <c r="GZ2110" s="118"/>
      <c r="HA2110" s="118"/>
      <c r="HB2110" s="118"/>
      <c r="HC2110" s="118"/>
      <c r="HD2110" s="118"/>
      <c r="HE2110" s="118"/>
      <c r="HF2110" s="118"/>
      <c r="HG2110" s="118"/>
      <c r="HH2110" s="118"/>
      <c r="HI2110" s="118"/>
      <c r="HJ2110" s="118"/>
      <c r="HK2110" s="118"/>
      <c r="HL2110" s="118"/>
      <c r="HM2110" s="118"/>
      <c r="HN2110" s="118"/>
      <c r="HO2110" s="118"/>
      <c r="HP2110" s="118"/>
      <c r="HQ2110" s="118"/>
      <c r="HR2110" s="118"/>
      <c r="HS2110" s="118"/>
      <c r="HT2110" s="118"/>
      <c r="HU2110" s="118"/>
      <c r="HV2110" s="118"/>
      <c r="HW2110" s="118"/>
      <c r="HX2110" s="118"/>
      <c r="HY2110" s="118"/>
      <c r="HZ2110" s="118"/>
      <c r="IA2110" s="118"/>
      <c r="IB2110" s="118"/>
      <c r="IC2110" s="118"/>
      <c r="ID2110" s="118"/>
      <c r="IE2110" s="118"/>
      <c r="IF2110" s="118"/>
      <c r="IG2110" s="118"/>
      <c r="IH2110" s="118"/>
      <c r="II2110" s="118"/>
      <c r="IJ2110" s="118"/>
    </row>
    <row r="2111" spans="1:244" s="127" customFormat="1" ht="12.75" customHeight="1">
      <c r="A2111" s="118">
        <v>2110</v>
      </c>
      <c r="B2111" s="128">
        <v>23</v>
      </c>
      <c r="C2111" s="156">
        <v>36800</v>
      </c>
      <c r="D2111" s="157" t="s">
        <v>53</v>
      </c>
      <c r="E2111" s="8">
        <v>2000</v>
      </c>
      <c r="F2111" s="158"/>
      <c r="G2111" s="162"/>
      <c r="H2111" s="11"/>
      <c r="I2111" s="163"/>
      <c r="J2111" s="11"/>
      <c r="K2111" s="11"/>
      <c r="L2111" s="11"/>
      <c r="M2111" s="174"/>
      <c r="N2111" s="528"/>
      <c r="O2111" s="11"/>
      <c r="P2111" s="8"/>
      <c r="Q2111" s="11"/>
      <c r="R2111" s="11"/>
      <c r="S2111" s="155"/>
      <c r="T2111" s="11"/>
      <c r="U2111" s="161"/>
      <c r="V2111" s="11"/>
      <c r="W2111" s="11"/>
      <c r="X2111" s="118"/>
      <c r="Y2111" s="118"/>
      <c r="Z2111" s="118"/>
      <c r="AA2111" s="118"/>
      <c r="AB2111" s="118"/>
      <c r="AC2111" s="118"/>
      <c r="AD2111" s="118"/>
      <c r="AE2111" s="118"/>
      <c r="AF2111" s="118"/>
      <c r="AG2111" s="118"/>
      <c r="AH2111" s="118"/>
      <c r="AI2111" s="118"/>
      <c r="AJ2111" s="118"/>
      <c r="AK2111" s="118"/>
      <c r="AL2111" s="118"/>
      <c r="AM2111" s="118"/>
      <c r="AN2111" s="118"/>
      <c r="AO2111" s="118"/>
      <c r="AP2111" s="118"/>
      <c r="AQ2111" s="118"/>
      <c r="AR2111" s="118"/>
      <c r="AS2111" s="118"/>
      <c r="AT2111" s="118"/>
      <c r="AU2111" s="118"/>
      <c r="AV2111" s="118"/>
      <c r="AW2111" s="118"/>
      <c r="AX2111" s="118"/>
      <c r="AY2111" s="118"/>
      <c r="AZ2111" s="118"/>
      <c r="BA2111" s="118"/>
      <c r="BB2111" s="118"/>
      <c r="BC2111" s="118"/>
      <c r="BD2111" s="118"/>
      <c r="BE2111" s="118"/>
      <c r="BF2111" s="118"/>
      <c r="BG2111" s="118"/>
      <c r="BH2111" s="118"/>
      <c r="BI2111" s="118"/>
      <c r="BJ2111" s="118"/>
      <c r="BK2111" s="118"/>
      <c r="BL2111" s="118"/>
      <c r="BM2111" s="118"/>
      <c r="BN2111" s="118"/>
      <c r="BO2111" s="118"/>
      <c r="BP2111" s="118"/>
      <c r="BQ2111" s="118"/>
      <c r="BR2111" s="118"/>
      <c r="BS2111" s="118"/>
      <c r="BT2111" s="118"/>
      <c r="BU2111" s="118"/>
      <c r="BV2111" s="118"/>
      <c r="BW2111" s="118"/>
      <c r="BX2111" s="118"/>
      <c r="BY2111" s="118"/>
      <c r="BZ2111" s="118"/>
      <c r="CA2111" s="118"/>
      <c r="CB2111" s="118"/>
      <c r="CC2111" s="118"/>
      <c r="CD2111" s="118"/>
      <c r="CE2111" s="118"/>
      <c r="CF2111" s="118"/>
      <c r="CG2111" s="118"/>
      <c r="CH2111" s="118"/>
      <c r="CI2111" s="118"/>
      <c r="CJ2111" s="118"/>
      <c r="CK2111" s="118"/>
      <c r="CL2111" s="118"/>
      <c r="CM2111" s="118"/>
      <c r="CN2111" s="118"/>
      <c r="CO2111" s="118"/>
      <c r="CP2111" s="118"/>
      <c r="CQ2111" s="118"/>
      <c r="CR2111" s="118"/>
      <c r="CS2111" s="118"/>
      <c r="CT2111" s="118"/>
      <c r="CU2111" s="118"/>
      <c r="CV2111" s="118"/>
      <c r="CW2111" s="118"/>
      <c r="CX2111" s="118"/>
      <c r="CY2111" s="118"/>
      <c r="CZ2111" s="118"/>
      <c r="DA2111" s="118"/>
      <c r="DB2111" s="118"/>
      <c r="DC2111" s="118"/>
      <c r="DD2111" s="118"/>
      <c r="DE2111" s="118"/>
      <c r="DF2111" s="118"/>
      <c r="DG2111" s="118"/>
      <c r="DH2111" s="118"/>
      <c r="DI2111" s="118"/>
      <c r="DJ2111" s="118"/>
      <c r="DK2111" s="118"/>
      <c r="DL2111" s="118"/>
      <c r="DM2111" s="118"/>
      <c r="DN2111" s="118"/>
      <c r="DO2111" s="118"/>
      <c r="DP2111" s="118"/>
      <c r="DQ2111" s="118"/>
      <c r="DR2111" s="118"/>
      <c r="DS2111" s="118"/>
      <c r="DT2111" s="118"/>
      <c r="DU2111" s="118"/>
      <c r="DV2111" s="118"/>
      <c r="DW2111" s="118"/>
      <c r="DX2111" s="118"/>
      <c r="DY2111" s="118"/>
      <c r="DZ2111" s="118"/>
      <c r="EA2111" s="118"/>
      <c r="EB2111" s="118"/>
      <c r="EC2111" s="118"/>
      <c r="ED2111" s="118"/>
      <c r="EE2111" s="118"/>
      <c r="EF2111" s="118"/>
      <c r="EG2111" s="118"/>
      <c r="EH2111" s="118"/>
      <c r="EI2111" s="118"/>
      <c r="EJ2111" s="118"/>
      <c r="EK2111" s="118"/>
      <c r="EL2111" s="118"/>
      <c r="EM2111" s="118"/>
      <c r="EN2111" s="118"/>
      <c r="EO2111" s="118"/>
      <c r="EP2111" s="118"/>
      <c r="EQ2111" s="118"/>
      <c r="ER2111" s="118"/>
      <c r="ES2111" s="118"/>
      <c r="ET2111" s="118"/>
      <c r="EU2111" s="118"/>
      <c r="EV2111" s="118"/>
      <c r="EW2111" s="118"/>
      <c r="EX2111" s="118"/>
      <c r="EY2111" s="118"/>
      <c r="EZ2111" s="118"/>
      <c r="FA2111" s="118"/>
      <c r="FB2111" s="118"/>
      <c r="FC2111" s="118"/>
      <c r="FD2111" s="118"/>
      <c r="FE2111" s="118"/>
      <c r="FF2111" s="118"/>
      <c r="FG2111" s="118"/>
      <c r="FH2111" s="118"/>
      <c r="FI2111" s="118"/>
      <c r="FJ2111" s="118"/>
      <c r="FK2111" s="118"/>
      <c r="FL2111" s="118"/>
      <c r="FM2111" s="118"/>
      <c r="FN2111" s="118"/>
      <c r="FO2111" s="118"/>
      <c r="FP2111" s="118"/>
      <c r="FQ2111" s="118"/>
      <c r="FR2111" s="118"/>
      <c r="FS2111" s="118"/>
      <c r="FT2111" s="118"/>
      <c r="FU2111" s="118"/>
      <c r="FV2111" s="118"/>
      <c r="FW2111" s="118"/>
      <c r="FX2111" s="118"/>
      <c r="FY2111" s="118"/>
      <c r="FZ2111" s="118"/>
      <c r="GA2111" s="118"/>
      <c r="GB2111" s="118"/>
      <c r="GC2111" s="118"/>
      <c r="GD2111" s="118"/>
      <c r="GE2111" s="118"/>
      <c r="GF2111" s="118"/>
      <c r="GG2111" s="118"/>
      <c r="GH2111" s="118"/>
      <c r="GI2111" s="118"/>
      <c r="GJ2111" s="118"/>
      <c r="GK2111" s="118"/>
      <c r="GL2111" s="118"/>
      <c r="GM2111" s="118"/>
      <c r="GN2111" s="118"/>
      <c r="GO2111" s="118"/>
      <c r="GP2111" s="118"/>
      <c r="GQ2111" s="118"/>
      <c r="GR2111" s="118"/>
      <c r="GS2111" s="118"/>
      <c r="GT2111" s="118"/>
      <c r="GU2111" s="118"/>
      <c r="GV2111" s="118"/>
      <c r="GW2111" s="118"/>
      <c r="GX2111" s="118"/>
      <c r="GY2111" s="118"/>
      <c r="GZ2111" s="118"/>
      <c r="HA2111" s="118"/>
      <c r="HB2111" s="118"/>
      <c r="HC2111" s="118"/>
      <c r="HD2111" s="118"/>
      <c r="HE2111" s="118"/>
      <c r="HF2111" s="118"/>
      <c r="HG2111" s="118"/>
      <c r="HH2111" s="118"/>
      <c r="HI2111" s="118"/>
      <c r="HJ2111" s="118"/>
      <c r="HK2111" s="118"/>
      <c r="HL2111" s="118"/>
      <c r="HM2111" s="118"/>
      <c r="HN2111" s="118"/>
      <c r="HO2111" s="118"/>
      <c r="HP2111" s="118"/>
      <c r="HQ2111" s="118"/>
      <c r="HR2111" s="118"/>
      <c r="HS2111" s="118"/>
      <c r="HT2111" s="118"/>
      <c r="HU2111" s="118"/>
      <c r="HV2111" s="118"/>
      <c r="HW2111" s="118"/>
      <c r="HX2111" s="118"/>
      <c r="HY2111" s="118"/>
      <c r="HZ2111" s="118"/>
      <c r="IA2111" s="118"/>
      <c r="IB2111" s="118"/>
      <c r="IC2111" s="118"/>
      <c r="ID2111" s="118"/>
      <c r="IE2111" s="118"/>
      <c r="IF2111" s="118"/>
      <c r="IG2111" s="118"/>
      <c r="IH2111" s="118"/>
      <c r="II2111" s="118"/>
      <c r="IJ2111" s="118"/>
    </row>
    <row r="2112" spans="1:244" s="127" customFormat="1" ht="12.75" customHeight="1">
      <c r="A2112" s="118">
        <v>2111</v>
      </c>
      <c r="B2112" s="128">
        <v>23</v>
      </c>
      <c r="C2112" s="156">
        <v>36831</v>
      </c>
      <c r="D2112" s="157" t="s">
        <v>54</v>
      </c>
      <c r="E2112" s="8">
        <v>2000</v>
      </c>
      <c r="F2112" s="158"/>
      <c r="G2112" s="162"/>
      <c r="H2112" s="11"/>
      <c r="I2112" s="163"/>
      <c r="J2112" s="11"/>
      <c r="K2112" s="11"/>
      <c r="L2112" s="11"/>
      <c r="M2112" s="174"/>
      <c r="N2112" s="528"/>
      <c r="O2112" s="11"/>
      <c r="P2112" s="8"/>
      <c r="Q2112" s="11"/>
      <c r="R2112" s="11"/>
      <c r="S2112" s="155"/>
      <c r="T2112" s="11"/>
      <c r="U2112" s="161"/>
      <c r="V2112" s="11"/>
      <c r="W2112" s="11"/>
      <c r="X2112" s="118"/>
      <c r="Y2112" s="118"/>
      <c r="Z2112" s="118"/>
      <c r="AA2112" s="118"/>
      <c r="AB2112" s="118"/>
      <c r="AC2112" s="118"/>
      <c r="AD2112" s="118"/>
      <c r="AE2112" s="118"/>
      <c r="AF2112" s="118"/>
      <c r="AG2112" s="118"/>
      <c r="AH2112" s="118"/>
      <c r="AI2112" s="118"/>
      <c r="AJ2112" s="118"/>
      <c r="AK2112" s="118"/>
      <c r="AL2112" s="118"/>
      <c r="AM2112" s="118"/>
      <c r="AN2112" s="118"/>
      <c r="AO2112" s="118"/>
      <c r="AP2112" s="118"/>
      <c r="AQ2112" s="118"/>
      <c r="AR2112" s="118"/>
      <c r="AS2112" s="118"/>
      <c r="AT2112" s="118"/>
      <c r="AU2112" s="118"/>
      <c r="AV2112" s="118"/>
      <c r="AW2112" s="118"/>
      <c r="AX2112" s="118"/>
      <c r="AY2112" s="118"/>
      <c r="AZ2112" s="118"/>
      <c r="BA2112" s="118"/>
      <c r="BB2112" s="118"/>
      <c r="BC2112" s="118"/>
      <c r="BD2112" s="118"/>
      <c r="BE2112" s="118"/>
      <c r="BF2112" s="118"/>
      <c r="BG2112" s="118"/>
      <c r="BH2112" s="118"/>
      <c r="BI2112" s="118"/>
      <c r="BJ2112" s="118"/>
      <c r="BK2112" s="118"/>
      <c r="BL2112" s="118"/>
      <c r="BM2112" s="118"/>
      <c r="BN2112" s="118"/>
      <c r="BO2112" s="118"/>
      <c r="BP2112" s="118"/>
      <c r="BQ2112" s="118"/>
      <c r="BR2112" s="118"/>
      <c r="BS2112" s="118"/>
      <c r="BT2112" s="118"/>
      <c r="BU2112" s="118"/>
      <c r="BV2112" s="118"/>
      <c r="BW2112" s="118"/>
      <c r="BX2112" s="118"/>
      <c r="BY2112" s="118"/>
      <c r="BZ2112" s="118"/>
      <c r="CA2112" s="118"/>
      <c r="CB2112" s="118"/>
      <c r="CC2112" s="118"/>
      <c r="CD2112" s="118"/>
      <c r="CE2112" s="118"/>
      <c r="CF2112" s="118"/>
      <c r="CG2112" s="118"/>
      <c r="CH2112" s="118"/>
      <c r="CI2112" s="118"/>
      <c r="CJ2112" s="118"/>
      <c r="CK2112" s="118"/>
      <c r="CL2112" s="118"/>
      <c r="CM2112" s="118"/>
      <c r="CN2112" s="118"/>
      <c r="CO2112" s="118"/>
      <c r="CP2112" s="118"/>
      <c r="CQ2112" s="118"/>
      <c r="CR2112" s="118"/>
      <c r="CS2112" s="118"/>
      <c r="CT2112" s="118"/>
      <c r="CU2112" s="118"/>
      <c r="CV2112" s="118"/>
      <c r="CW2112" s="118"/>
      <c r="CX2112" s="118"/>
      <c r="CY2112" s="118"/>
      <c r="CZ2112" s="118"/>
      <c r="DA2112" s="118"/>
      <c r="DB2112" s="118"/>
      <c r="DC2112" s="118"/>
      <c r="DD2112" s="118"/>
      <c r="DE2112" s="118"/>
      <c r="DF2112" s="118"/>
      <c r="DG2112" s="118"/>
      <c r="DH2112" s="118"/>
      <c r="DI2112" s="118"/>
      <c r="DJ2112" s="118"/>
      <c r="DK2112" s="118"/>
      <c r="DL2112" s="118"/>
      <c r="DM2112" s="118"/>
      <c r="DN2112" s="118"/>
      <c r="DO2112" s="118"/>
      <c r="DP2112" s="118"/>
      <c r="DQ2112" s="118"/>
      <c r="DR2112" s="118"/>
      <c r="DS2112" s="118"/>
      <c r="DT2112" s="118"/>
      <c r="DU2112" s="118"/>
      <c r="DV2112" s="118"/>
      <c r="DW2112" s="118"/>
      <c r="DX2112" s="118"/>
      <c r="DY2112" s="118"/>
      <c r="DZ2112" s="118"/>
      <c r="EA2112" s="118"/>
      <c r="EB2112" s="118"/>
      <c r="EC2112" s="118"/>
      <c r="ED2112" s="118"/>
      <c r="EE2112" s="118"/>
      <c r="EF2112" s="118"/>
      <c r="EG2112" s="118"/>
      <c r="EH2112" s="118"/>
      <c r="EI2112" s="118"/>
      <c r="EJ2112" s="118"/>
      <c r="EK2112" s="118"/>
      <c r="EL2112" s="118"/>
      <c r="EM2112" s="118"/>
      <c r="EN2112" s="118"/>
      <c r="EO2112" s="118"/>
      <c r="EP2112" s="118"/>
      <c r="EQ2112" s="118"/>
      <c r="ER2112" s="118"/>
      <c r="ES2112" s="118"/>
      <c r="ET2112" s="118"/>
      <c r="EU2112" s="118"/>
      <c r="EV2112" s="118"/>
      <c r="EW2112" s="118"/>
      <c r="EX2112" s="118"/>
      <c r="EY2112" s="118"/>
      <c r="EZ2112" s="118"/>
      <c r="FA2112" s="118"/>
      <c r="FB2112" s="118"/>
      <c r="FC2112" s="118"/>
      <c r="FD2112" s="118"/>
      <c r="FE2112" s="118"/>
      <c r="FF2112" s="118"/>
      <c r="FG2112" s="118"/>
      <c r="FH2112" s="118"/>
      <c r="FI2112" s="118"/>
      <c r="FJ2112" s="118"/>
      <c r="FK2112" s="118"/>
      <c r="FL2112" s="118"/>
      <c r="FM2112" s="118"/>
      <c r="FN2112" s="118"/>
      <c r="FO2112" s="118"/>
      <c r="FP2112" s="118"/>
      <c r="FQ2112" s="118"/>
      <c r="FR2112" s="118"/>
      <c r="FS2112" s="118"/>
      <c r="FT2112" s="118"/>
      <c r="FU2112" s="118"/>
      <c r="FV2112" s="118"/>
      <c r="FW2112" s="118"/>
      <c r="FX2112" s="118"/>
      <c r="FY2112" s="118"/>
      <c r="FZ2112" s="118"/>
      <c r="GA2112" s="118"/>
      <c r="GB2112" s="118"/>
      <c r="GC2112" s="118"/>
      <c r="GD2112" s="118"/>
      <c r="GE2112" s="118"/>
      <c r="GF2112" s="118"/>
      <c r="GG2112" s="118"/>
      <c r="GH2112" s="118"/>
      <c r="GI2112" s="118"/>
      <c r="GJ2112" s="118"/>
      <c r="GK2112" s="118"/>
      <c r="GL2112" s="118"/>
      <c r="GM2112" s="118"/>
      <c r="GN2112" s="118"/>
      <c r="GO2112" s="118"/>
      <c r="GP2112" s="118"/>
      <c r="GQ2112" s="118"/>
      <c r="GR2112" s="118"/>
      <c r="GS2112" s="118"/>
      <c r="GT2112" s="118"/>
      <c r="GU2112" s="118"/>
      <c r="GV2112" s="118"/>
      <c r="GW2112" s="118"/>
      <c r="GX2112" s="118"/>
      <c r="GY2112" s="118"/>
      <c r="GZ2112" s="118"/>
      <c r="HA2112" s="118"/>
      <c r="HB2112" s="118"/>
      <c r="HC2112" s="118"/>
      <c r="HD2112" s="118"/>
      <c r="HE2112" s="118"/>
      <c r="HF2112" s="118"/>
      <c r="HG2112" s="118"/>
      <c r="HH2112" s="118"/>
      <c r="HI2112" s="118"/>
      <c r="HJ2112" s="118"/>
      <c r="HK2112" s="118"/>
      <c r="HL2112" s="118"/>
      <c r="HM2112" s="118"/>
      <c r="HN2112" s="118"/>
      <c r="HO2112" s="118"/>
      <c r="HP2112" s="118"/>
      <c r="HQ2112" s="118"/>
      <c r="HR2112" s="118"/>
      <c r="HS2112" s="118"/>
      <c r="HT2112" s="118"/>
      <c r="HU2112" s="118"/>
      <c r="HV2112" s="118"/>
      <c r="HW2112" s="118"/>
      <c r="HX2112" s="118"/>
      <c r="HY2112" s="118"/>
      <c r="HZ2112" s="118"/>
      <c r="IA2112" s="118"/>
      <c r="IB2112" s="118"/>
      <c r="IC2112" s="118"/>
      <c r="ID2112" s="118"/>
      <c r="IE2112" s="118"/>
      <c r="IF2112" s="118"/>
      <c r="IG2112" s="118"/>
      <c r="IH2112" s="118"/>
      <c r="II2112" s="118"/>
      <c r="IJ2112" s="118"/>
    </row>
    <row r="2113" spans="1:244" s="127" customFormat="1" ht="12.75" customHeight="1">
      <c r="A2113" s="118">
        <v>2112</v>
      </c>
      <c r="B2113" s="128">
        <v>23</v>
      </c>
      <c r="C2113" s="156">
        <v>36861</v>
      </c>
      <c r="D2113" s="157" t="s">
        <v>55</v>
      </c>
      <c r="E2113" s="8">
        <v>2000</v>
      </c>
      <c r="F2113" s="158"/>
      <c r="G2113" s="162"/>
      <c r="H2113" s="11"/>
      <c r="I2113" s="163"/>
      <c r="J2113" s="11"/>
      <c r="K2113" s="11"/>
      <c r="L2113" s="11"/>
      <c r="M2113" s="174"/>
      <c r="N2113" s="528"/>
      <c r="O2113" s="11"/>
      <c r="P2113" s="8"/>
      <c r="Q2113" s="11"/>
      <c r="R2113" s="11"/>
      <c r="S2113" s="155"/>
      <c r="T2113" s="11"/>
      <c r="U2113" s="161"/>
      <c r="V2113" s="11"/>
      <c r="W2113" s="11"/>
      <c r="X2113" s="118"/>
      <c r="Y2113" s="118"/>
      <c r="Z2113" s="118"/>
      <c r="AA2113" s="118"/>
      <c r="AB2113" s="118"/>
      <c r="AC2113" s="118"/>
      <c r="AD2113" s="118"/>
      <c r="AE2113" s="118"/>
      <c r="AF2113" s="118"/>
      <c r="AG2113" s="118"/>
      <c r="AH2113" s="118"/>
      <c r="AI2113" s="118"/>
      <c r="AJ2113" s="118"/>
      <c r="AK2113" s="118"/>
      <c r="AL2113" s="118"/>
      <c r="AM2113" s="118"/>
      <c r="AN2113" s="118"/>
      <c r="AO2113" s="118"/>
      <c r="AP2113" s="118"/>
      <c r="AQ2113" s="118"/>
      <c r="AR2113" s="118"/>
      <c r="AS2113" s="118"/>
      <c r="AT2113" s="118"/>
      <c r="AU2113" s="118"/>
      <c r="AV2113" s="118"/>
      <c r="AW2113" s="118"/>
      <c r="AX2113" s="118"/>
      <c r="AY2113" s="118"/>
      <c r="AZ2113" s="118"/>
      <c r="BA2113" s="118"/>
      <c r="BB2113" s="118"/>
      <c r="BC2113" s="118"/>
      <c r="BD2113" s="118"/>
      <c r="BE2113" s="118"/>
      <c r="BF2113" s="118"/>
      <c r="BG2113" s="118"/>
      <c r="BH2113" s="118"/>
      <c r="BI2113" s="118"/>
      <c r="BJ2113" s="118"/>
      <c r="BK2113" s="118"/>
      <c r="BL2113" s="118"/>
      <c r="BM2113" s="118"/>
      <c r="BN2113" s="118"/>
      <c r="BO2113" s="118"/>
      <c r="BP2113" s="118"/>
      <c r="BQ2113" s="118"/>
      <c r="BR2113" s="118"/>
      <c r="BS2113" s="118"/>
      <c r="BT2113" s="118"/>
      <c r="BU2113" s="118"/>
      <c r="BV2113" s="118"/>
      <c r="BW2113" s="118"/>
      <c r="BX2113" s="118"/>
      <c r="BY2113" s="118"/>
      <c r="BZ2113" s="118"/>
      <c r="CA2113" s="118"/>
      <c r="CB2113" s="118"/>
      <c r="CC2113" s="118"/>
      <c r="CD2113" s="118"/>
      <c r="CE2113" s="118"/>
      <c r="CF2113" s="118"/>
      <c r="CG2113" s="118"/>
      <c r="CH2113" s="118"/>
      <c r="CI2113" s="118"/>
      <c r="CJ2113" s="118"/>
      <c r="CK2113" s="118"/>
      <c r="CL2113" s="118"/>
      <c r="CM2113" s="118"/>
      <c r="CN2113" s="118"/>
      <c r="CO2113" s="118"/>
      <c r="CP2113" s="118"/>
      <c r="CQ2113" s="118"/>
      <c r="CR2113" s="118"/>
      <c r="CS2113" s="118"/>
      <c r="CT2113" s="118"/>
      <c r="CU2113" s="118"/>
      <c r="CV2113" s="118"/>
      <c r="CW2113" s="118"/>
      <c r="CX2113" s="118"/>
      <c r="CY2113" s="118"/>
      <c r="CZ2113" s="118"/>
      <c r="DA2113" s="118"/>
      <c r="DB2113" s="118"/>
      <c r="DC2113" s="118"/>
      <c r="DD2113" s="118"/>
      <c r="DE2113" s="118"/>
      <c r="DF2113" s="118"/>
      <c r="DG2113" s="118"/>
      <c r="DH2113" s="118"/>
      <c r="DI2113" s="118"/>
      <c r="DJ2113" s="118"/>
      <c r="DK2113" s="118"/>
      <c r="DL2113" s="118"/>
      <c r="DM2113" s="118"/>
      <c r="DN2113" s="118"/>
      <c r="DO2113" s="118"/>
      <c r="DP2113" s="118"/>
      <c r="DQ2113" s="118"/>
      <c r="DR2113" s="118"/>
      <c r="DS2113" s="118"/>
      <c r="DT2113" s="118"/>
      <c r="DU2113" s="118"/>
      <c r="DV2113" s="118"/>
      <c r="DW2113" s="118"/>
      <c r="DX2113" s="118"/>
      <c r="DY2113" s="118"/>
      <c r="DZ2113" s="118"/>
      <c r="EA2113" s="118"/>
      <c r="EB2113" s="118"/>
      <c r="EC2113" s="118"/>
      <c r="ED2113" s="118"/>
      <c r="EE2113" s="118"/>
      <c r="EF2113" s="118"/>
      <c r="EG2113" s="118"/>
      <c r="EH2113" s="118"/>
      <c r="EI2113" s="118"/>
      <c r="EJ2113" s="118"/>
      <c r="EK2113" s="118"/>
      <c r="EL2113" s="118"/>
      <c r="EM2113" s="118"/>
      <c r="EN2113" s="118"/>
      <c r="EO2113" s="118"/>
      <c r="EP2113" s="118"/>
      <c r="EQ2113" s="118"/>
      <c r="ER2113" s="118"/>
      <c r="ES2113" s="118"/>
      <c r="ET2113" s="118"/>
      <c r="EU2113" s="118"/>
      <c r="EV2113" s="118"/>
      <c r="EW2113" s="118"/>
      <c r="EX2113" s="118"/>
      <c r="EY2113" s="118"/>
      <c r="EZ2113" s="118"/>
      <c r="FA2113" s="118"/>
      <c r="FB2113" s="118"/>
      <c r="FC2113" s="118"/>
      <c r="FD2113" s="118"/>
      <c r="FE2113" s="118"/>
      <c r="FF2113" s="118"/>
      <c r="FG2113" s="118"/>
      <c r="FH2113" s="118"/>
      <c r="FI2113" s="118"/>
      <c r="FJ2113" s="118"/>
      <c r="FK2113" s="118"/>
      <c r="FL2113" s="118"/>
      <c r="FM2113" s="118"/>
      <c r="FN2113" s="118"/>
      <c r="FO2113" s="118"/>
      <c r="FP2113" s="118"/>
      <c r="FQ2113" s="118"/>
      <c r="FR2113" s="118"/>
      <c r="FS2113" s="118"/>
      <c r="FT2113" s="118"/>
      <c r="FU2113" s="118"/>
      <c r="FV2113" s="118"/>
      <c r="FW2113" s="118"/>
      <c r="FX2113" s="118"/>
      <c r="FY2113" s="118"/>
      <c r="FZ2113" s="118"/>
      <c r="GA2113" s="118"/>
      <c r="GB2113" s="118"/>
      <c r="GC2113" s="118"/>
      <c r="GD2113" s="118"/>
      <c r="GE2113" s="118"/>
      <c r="GF2113" s="118"/>
      <c r="GG2113" s="118"/>
      <c r="GH2113" s="118"/>
      <c r="GI2113" s="118"/>
      <c r="GJ2113" s="118"/>
      <c r="GK2113" s="118"/>
      <c r="GL2113" s="118"/>
      <c r="GM2113" s="118"/>
      <c r="GN2113" s="118"/>
      <c r="GO2113" s="118"/>
      <c r="GP2113" s="118"/>
      <c r="GQ2113" s="118"/>
      <c r="GR2113" s="118"/>
      <c r="GS2113" s="118"/>
      <c r="GT2113" s="118"/>
      <c r="GU2113" s="118"/>
      <c r="GV2113" s="118"/>
      <c r="GW2113" s="118"/>
      <c r="GX2113" s="118"/>
      <c r="GY2113" s="118"/>
      <c r="GZ2113" s="118"/>
      <c r="HA2113" s="118"/>
      <c r="HB2113" s="118"/>
      <c r="HC2113" s="118"/>
      <c r="HD2113" s="118"/>
      <c r="HE2113" s="118"/>
      <c r="HF2113" s="118"/>
      <c r="HG2113" s="118"/>
      <c r="HH2113" s="118"/>
      <c r="HI2113" s="118"/>
      <c r="HJ2113" s="118"/>
      <c r="HK2113" s="118"/>
      <c r="HL2113" s="118"/>
      <c r="HM2113" s="118"/>
      <c r="HN2113" s="118"/>
      <c r="HO2113" s="118"/>
      <c r="HP2113" s="118"/>
      <c r="HQ2113" s="118"/>
      <c r="HR2113" s="118"/>
      <c r="HS2113" s="118"/>
      <c r="HT2113" s="118"/>
      <c r="HU2113" s="118"/>
      <c r="HV2113" s="118"/>
      <c r="HW2113" s="118"/>
      <c r="HX2113" s="118"/>
      <c r="HY2113" s="118"/>
      <c r="HZ2113" s="118"/>
      <c r="IA2113" s="118"/>
      <c r="IB2113" s="118"/>
      <c r="IC2113" s="118"/>
      <c r="ID2113" s="118"/>
      <c r="IE2113" s="118"/>
      <c r="IF2113" s="118"/>
      <c r="IG2113" s="118"/>
      <c r="IH2113" s="118"/>
      <c r="II2113" s="118"/>
      <c r="IJ2113" s="118"/>
    </row>
    <row r="2114" spans="1:244" s="127" customFormat="1" ht="12.75" customHeight="1">
      <c r="A2114" s="118">
        <v>2113</v>
      </c>
      <c r="B2114" s="128">
        <v>23</v>
      </c>
      <c r="C2114" s="156">
        <v>36892</v>
      </c>
      <c r="D2114" s="157" t="s">
        <v>44</v>
      </c>
      <c r="E2114" s="8">
        <v>2001</v>
      </c>
      <c r="F2114" s="158"/>
      <c r="G2114" s="162"/>
      <c r="H2114" s="11"/>
      <c r="I2114" s="163"/>
      <c r="J2114" s="11"/>
      <c r="K2114" s="11"/>
      <c r="L2114" s="11"/>
      <c r="M2114" s="174"/>
      <c r="N2114" s="528"/>
      <c r="O2114" s="11"/>
      <c r="P2114" s="8"/>
      <c r="Q2114" s="11"/>
      <c r="R2114" s="11"/>
      <c r="S2114" s="155"/>
      <c r="T2114" s="11"/>
      <c r="U2114" s="161"/>
      <c r="V2114" s="11"/>
      <c r="W2114" s="11"/>
      <c r="X2114" s="118"/>
      <c r="Y2114" s="118"/>
      <c r="Z2114" s="118"/>
      <c r="AA2114" s="118"/>
      <c r="AB2114" s="118"/>
      <c r="AC2114" s="118"/>
      <c r="AD2114" s="118"/>
      <c r="AE2114" s="118"/>
      <c r="AF2114" s="118"/>
      <c r="AG2114" s="118"/>
      <c r="AH2114" s="118"/>
      <c r="AI2114" s="118"/>
      <c r="AJ2114" s="118"/>
      <c r="AK2114" s="118"/>
      <c r="AL2114" s="118"/>
      <c r="AM2114" s="118"/>
      <c r="AN2114" s="118"/>
      <c r="AO2114" s="118"/>
      <c r="AP2114" s="118"/>
      <c r="AQ2114" s="118"/>
      <c r="AR2114" s="118"/>
      <c r="AS2114" s="118"/>
      <c r="AT2114" s="118"/>
      <c r="AU2114" s="118"/>
      <c r="AV2114" s="118"/>
      <c r="AW2114" s="118"/>
      <c r="AX2114" s="118"/>
      <c r="AY2114" s="118"/>
      <c r="AZ2114" s="118"/>
      <c r="BA2114" s="118"/>
      <c r="BB2114" s="118"/>
      <c r="BC2114" s="118"/>
      <c r="BD2114" s="118"/>
      <c r="BE2114" s="118"/>
      <c r="BF2114" s="118"/>
      <c r="BG2114" s="118"/>
      <c r="BH2114" s="118"/>
      <c r="BI2114" s="118"/>
      <c r="BJ2114" s="118"/>
      <c r="BK2114" s="118"/>
      <c r="BL2114" s="118"/>
      <c r="BM2114" s="118"/>
      <c r="BN2114" s="118"/>
      <c r="BO2114" s="118"/>
      <c r="BP2114" s="118"/>
      <c r="BQ2114" s="118"/>
      <c r="BR2114" s="118"/>
      <c r="BS2114" s="118"/>
      <c r="BT2114" s="118"/>
      <c r="BU2114" s="118"/>
      <c r="BV2114" s="118"/>
      <c r="BW2114" s="118"/>
      <c r="BX2114" s="118"/>
      <c r="BY2114" s="118"/>
      <c r="BZ2114" s="118"/>
      <c r="CA2114" s="118"/>
      <c r="CB2114" s="118"/>
      <c r="CC2114" s="118"/>
      <c r="CD2114" s="118"/>
      <c r="CE2114" s="118"/>
      <c r="CF2114" s="118"/>
      <c r="CG2114" s="118"/>
      <c r="CH2114" s="118"/>
      <c r="CI2114" s="118"/>
      <c r="CJ2114" s="118"/>
      <c r="CK2114" s="118"/>
      <c r="CL2114" s="118"/>
      <c r="CM2114" s="118"/>
      <c r="CN2114" s="118"/>
      <c r="CO2114" s="118"/>
      <c r="CP2114" s="118"/>
      <c r="CQ2114" s="118"/>
      <c r="CR2114" s="118"/>
      <c r="CS2114" s="118"/>
      <c r="CT2114" s="118"/>
      <c r="CU2114" s="118"/>
      <c r="CV2114" s="118"/>
      <c r="CW2114" s="118"/>
      <c r="CX2114" s="118"/>
      <c r="CY2114" s="118"/>
      <c r="CZ2114" s="118"/>
      <c r="DA2114" s="118"/>
      <c r="DB2114" s="118"/>
      <c r="DC2114" s="118"/>
      <c r="DD2114" s="118"/>
      <c r="DE2114" s="118"/>
      <c r="DF2114" s="118"/>
      <c r="DG2114" s="118"/>
      <c r="DH2114" s="118"/>
      <c r="DI2114" s="118"/>
      <c r="DJ2114" s="118"/>
      <c r="DK2114" s="118"/>
      <c r="DL2114" s="118"/>
      <c r="DM2114" s="118"/>
      <c r="DN2114" s="118"/>
      <c r="DO2114" s="118"/>
      <c r="DP2114" s="118"/>
      <c r="DQ2114" s="118"/>
      <c r="DR2114" s="118"/>
      <c r="DS2114" s="118"/>
      <c r="DT2114" s="118"/>
      <c r="DU2114" s="118"/>
      <c r="DV2114" s="118"/>
      <c r="DW2114" s="118"/>
      <c r="DX2114" s="118"/>
      <c r="DY2114" s="118"/>
      <c r="DZ2114" s="118"/>
      <c r="EA2114" s="118"/>
      <c r="EB2114" s="118"/>
      <c r="EC2114" s="118"/>
      <c r="ED2114" s="118"/>
      <c r="EE2114" s="118"/>
      <c r="EF2114" s="118"/>
      <c r="EG2114" s="118"/>
      <c r="EH2114" s="118"/>
      <c r="EI2114" s="118"/>
      <c r="EJ2114" s="118"/>
      <c r="EK2114" s="118"/>
      <c r="EL2114" s="118"/>
      <c r="EM2114" s="118"/>
      <c r="EN2114" s="118"/>
      <c r="EO2114" s="118"/>
      <c r="EP2114" s="118"/>
      <c r="EQ2114" s="118"/>
      <c r="ER2114" s="118"/>
      <c r="ES2114" s="118"/>
      <c r="ET2114" s="118"/>
      <c r="EU2114" s="118"/>
      <c r="EV2114" s="118"/>
      <c r="EW2114" s="118"/>
      <c r="EX2114" s="118"/>
      <c r="EY2114" s="118"/>
      <c r="EZ2114" s="118"/>
      <c r="FA2114" s="118"/>
      <c r="FB2114" s="118"/>
      <c r="FC2114" s="118"/>
      <c r="FD2114" s="118"/>
      <c r="FE2114" s="118"/>
      <c r="FF2114" s="118"/>
      <c r="FG2114" s="118"/>
      <c r="FH2114" s="118"/>
      <c r="FI2114" s="118"/>
      <c r="FJ2114" s="118"/>
      <c r="FK2114" s="118"/>
      <c r="FL2114" s="118"/>
      <c r="FM2114" s="118"/>
      <c r="FN2114" s="118"/>
      <c r="FO2114" s="118"/>
      <c r="FP2114" s="118"/>
      <c r="FQ2114" s="118"/>
      <c r="FR2114" s="118"/>
      <c r="FS2114" s="118"/>
      <c r="FT2114" s="118"/>
      <c r="FU2114" s="118"/>
      <c r="FV2114" s="118"/>
      <c r="FW2114" s="118"/>
      <c r="FX2114" s="118"/>
      <c r="FY2114" s="118"/>
      <c r="FZ2114" s="118"/>
      <c r="GA2114" s="118"/>
      <c r="GB2114" s="118"/>
      <c r="GC2114" s="118"/>
      <c r="GD2114" s="118"/>
      <c r="GE2114" s="118"/>
      <c r="GF2114" s="118"/>
      <c r="GG2114" s="118"/>
      <c r="GH2114" s="118"/>
      <c r="GI2114" s="118"/>
      <c r="GJ2114" s="118"/>
      <c r="GK2114" s="118"/>
      <c r="GL2114" s="118"/>
      <c r="GM2114" s="118"/>
      <c r="GN2114" s="118"/>
      <c r="GO2114" s="118"/>
      <c r="GP2114" s="118"/>
      <c r="GQ2114" s="118"/>
      <c r="GR2114" s="118"/>
      <c r="GS2114" s="118"/>
      <c r="GT2114" s="118"/>
      <c r="GU2114" s="118"/>
      <c r="GV2114" s="118"/>
      <c r="GW2114" s="118"/>
      <c r="GX2114" s="118"/>
      <c r="GY2114" s="118"/>
      <c r="GZ2114" s="118"/>
      <c r="HA2114" s="118"/>
      <c r="HB2114" s="118"/>
      <c r="HC2114" s="118"/>
      <c r="HD2114" s="118"/>
      <c r="HE2114" s="118"/>
      <c r="HF2114" s="118"/>
      <c r="HG2114" s="118"/>
      <c r="HH2114" s="118"/>
      <c r="HI2114" s="118"/>
      <c r="HJ2114" s="118"/>
      <c r="HK2114" s="118"/>
      <c r="HL2114" s="118"/>
      <c r="HM2114" s="118"/>
      <c r="HN2114" s="118"/>
      <c r="HO2114" s="118"/>
      <c r="HP2114" s="118"/>
      <c r="HQ2114" s="118"/>
      <c r="HR2114" s="118"/>
      <c r="HS2114" s="118"/>
      <c r="HT2114" s="118"/>
      <c r="HU2114" s="118"/>
      <c r="HV2114" s="118"/>
      <c r="HW2114" s="118"/>
      <c r="HX2114" s="118"/>
      <c r="HY2114" s="118"/>
      <c r="HZ2114" s="118"/>
      <c r="IA2114" s="118"/>
      <c r="IB2114" s="118"/>
      <c r="IC2114" s="118"/>
      <c r="ID2114" s="118"/>
      <c r="IE2114" s="118"/>
      <c r="IF2114" s="118"/>
      <c r="IG2114" s="118"/>
      <c r="IH2114" s="118"/>
      <c r="II2114" s="118"/>
      <c r="IJ2114" s="118"/>
    </row>
    <row r="2115" spans="1:244" ht="12.75" customHeight="1">
      <c r="A2115" s="118">
        <v>2114</v>
      </c>
      <c r="B2115" s="128">
        <v>23</v>
      </c>
      <c r="C2115" s="156">
        <v>36923</v>
      </c>
      <c r="D2115" s="157" t="s">
        <v>45</v>
      </c>
      <c r="E2115" s="8">
        <v>2001</v>
      </c>
      <c r="F2115" s="158"/>
      <c r="G2115" s="162"/>
      <c r="J2115" s="11"/>
      <c r="K2115" s="11"/>
      <c r="L2115" s="11"/>
      <c r="O2115" s="11"/>
      <c r="T2115" s="11"/>
      <c r="V2115" s="11"/>
      <c r="W2115" s="11"/>
    </row>
    <row r="2116" spans="1:244" ht="12.75" customHeight="1">
      <c r="A2116" s="118">
        <v>2115</v>
      </c>
      <c r="B2116" s="128">
        <v>23</v>
      </c>
      <c r="C2116" s="156">
        <v>36951</v>
      </c>
      <c r="D2116" s="157" t="s">
        <v>46</v>
      </c>
      <c r="E2116" s="8">
        <v>2001</v>
      </c>
      <c r="F2116" s="158"/>
      <c r="G2116" s="162"/>
      <c r="J2116" s="11"/>
      <c r="K2116" s="11"/>
      <c r="L2116" s="11"/>
      <c r="O2116" s="11"/>
      <c r="T2116" s="11"/>
      <c r="V2116" s="11"/>
      <c r="W2116" s="11"/>
    </row>
    <row r="2117" spans="1:244" ht="12.75" customHeight="1">
      <c r="A2117" s="118">
        <v>2116</v>
      </c>
      <c r="B2117" s="128">
        <v>23</v>
      </c>
      <c r="C2117" s="156">
        <v>36982</v>
      </c>
      <c r="D2117" s="157" t="s">
        <v>47</v>
      </c>
      <c r="E2117" s="8">
        <v>2001</v>
      </c>
      <c r="F2117" s="158"/>
      <c r="G2117" s="162"/>
      <c r="J2117" s="11"/>
      <c r="K2117" s="11"/>
      <c r="L2117" s="11"/>
      <c r="O2117" s="11"/>
      <c r="T2117" s="11"/>
      <c r="V2117" s="11"/>
      <c r="W2117" s="11"/>
    </row>
    <row r="2118" spans="1:244" s="127" customFormat="1" ht="12.75" customHeight="1">
      <c r="A2118" s="118">
        <v>2117</v>
      </c>
      <c r="B2118" s="128">
        <v>23</v>
      </c>
      <c r="C2118" s="156">
        <v>37012</v>
      </c>
      <c r="D2118" s="157" t="s">
        <v>48</v>
      </c>
      <c r="E2118" s="8">
        <v>2001</v>
      </c>
      <c r="F2118" s="158"/>
      <c r="G2118" s="162"/>
      <c r="H2118" s="11"/>
      <c r="I2118" s="163"/>
      <c r="J2118" s="11"/>
      <c r="K2118" s="11"/>
      <c r="L2118" s="11"/>
      <c r="M2118" s="174"/>
      <c r="N2118" s="528"/>
      <c r="O2118" s="11"/>
      <c r="P2118" s="8"/>
      <c r="Q2118" s="11"/>
      <c r="R2118" s="11"/>
      <c r="S2118" s="155"/>
      <c r="T2118" s="11"/>
      <c r="U2118" s="161"/>
      <c r="V2118" s="11"/>
      <c r="W2118" s="11"/>
      <c r="X2118" s="118"/>
      <c r="Y2118" s="118"/>
      <c r="Z2118" s="118"/>
      <c r="AA2118" s="118"/>
      <c r="AB2118" s="118"/>
      <c r="AC2118" s="118"/>
      <c r="AD2118" s="118"/>
      <c r="AE2118" s="118"/>
      <c r="AF2118" s="118"/>
      <c r="AG2118" s="118"/>
      <c r="AH2118" s="118"/>
      <c r="AI2118" s="118"/>
      <c r="AJ2118" s="118"/>
      <c r="AK2118" s="118"/>
      <c r="AL2118" s="118"/>
      <c r="AM2118" s="118"/>
      <c r="AN2118" s="118"/>
      <c r="AO2118" s="118"/>
      <c r="AP2118" s="118"/>
      <c r="AQ2118" s="118"/>
      <c r="AR2118" s="118"/>
      <c r="AS2118" s="118"/>
      <c r="AT2118" s="118"/>
      <c r="AU2118" s="118"/>
      <c r="AV2118" s="118"/>
      <c r="AW2118" s="118"/>
      <c r="AX2118" s="118"/>
      <c r="AY2118" s="118"/>
      <c r="AZ2118" s="118"/>
      <c r="BA2118" s="118"/>
      <c r="BB2118" s="118"/>
      <c r="BC2118" s="118"/>
      <c r="BD2118" s="118"/>
      <c r="BE2118" s="118"/>
      <c r="BF2118" s="118"/>
      <c r="BG2118" s="118"/>
      <c r="BH2118" s="118"/>
      <c r="BI2118" s="118"/>
      <c r="BJ2118" s="118"/>
      <c r="BK2118" s="118"/>
      <c r="BL2118" s="118"/>
      <c r="BM2118" s="118"/>
      <c r="BN2118" s="118"/>
      <c r="BO2118" s="118"/>
      <c r="BP2118" s="118"/>
      <c r="BQ2118" s="118"/>
      <c r="BR2118" s="118"/>
      <c r="BS2118" s="118"/>
      <c r="BT2118" s="118"/>
      <c r="BU2118" s="118"/>
      <c r="BV2118" s="118"/>
      <c r="BW2118" s="118"/>
      <c r="BX2118" s="118"/>
      <c r="BY2118" s="118"/>
      <c r="BZ2118" s="118"/>
      <c r="CA2118" s="118"/>
      <c r="CB2118" s="118"/>
      <c r="CC2118" s="118"/>
      <c r="CD2118" s="118"/>
      <c r="CE2118" s="118"/>
      <c r="CF2118" s="118"/>
      <c r="CG2118" s="118"/>
      <c r="CH2118" s="118"/>
      <c r="CI2118" s="118"/>
      <c r="CJ2118" s="118"/>
      <c r="CK2118" s="118"/>
      <c r="CL2118" s="118"/>
      <c r="CM2118" s="118"/>
      <c r="CN2118" s="118"/>
      <c r="CO2118" s="118"/>
      <c r="CP2118" s="118"/>
      <c r="CQ2118" s="118"/>
      <c r="CR2118" s="118"/>
      <c r="CS2118" s="118"/>
      <c r="CT2118" s="118"/>
      <c r="CU2118" s="118"/>
      <c r="CV2118" s="118"/>
      <c r="CW2118" s="118"/>
      <c r="CX2118" s="118"/>
      <c r="CY2118" s="118"/>
      <c r="CZ2118" s="118"/>
      <c r="DA2118" s="118"/>
      <c r="DB2118" s="118"/>
      <c r="DC2118" s="118"/>
      <c r="DD2118" s="118"/>
      <c r="DE2118" s="118"/>
      <c r="DF2118" s="118"/>
      <c r="DG2118" s="118"/>
      <c r="DH2118" s="118"/>
      <c r="DI2118" s="118"/>
      <c r="DJ2118" s="118"/>
      <c r="DK2118" s="118"/>
      <c r="DL2118" s="118"/>
      <c r="DM2118" s="118"/>
      <c r="DN2118" s="118"/>
      <c r="DO2118" s="118"/>
      <c r="DP2118" s="118"/>
      <c r="DQ2118" s="118"/>
      <c r="DR2118" s="118"/>
      <c r="DS2118" s="118"/>
      <c r="DT2118" s="118"/>
      <c r="DU2118" s="118"/>
      <c r="DV2118" s="118"/>
      <c r="DW2118" s="118"/>
      <c r="DX2118" s="118"/>
      <c r="DY2118" s="118"/>
      <c r="DZ2118" s="118"/>
      <c r="EA2118" s="118"/>
      <c r="EB2118" s="118"/>
      <c r="EC2118" s="118"/>
      <c r="ED2118" s="118"/>
      <c r="EE2118" s="118"/>
      <c r="EF2118" s="118"/>
      <c r="EG2118" s="118"/>
      <c r="EH2118" s="118"/>
      <c r="EI2118" s="118"/>
      <c r="EJ2118" s="118"/>
      <c r="EK2118" s="118"/>
      <c r="EL2118" s="118"/>
      <c r="EM2118" s="118"/>
      <c r="EN2118" s="118"/>
      <c r="EO2118" s="118"/>
      <c r="EP2118" s="118"/>
      <c r="EQ2118" s="118"/>
      <c r="ER2118" s="118"/>
      <c r="ES2118" s="118"/>
      <c r="ET2118" s="118"/>
      <c r="EU2118" s="118"/>
      <c r="EV2118" s="118"/>
      <c r="EW2118" s="118"/>
      <c r="EX2118" s="118"/>
      <c r="EY2118" s="118"/>
      <c r="EZ2118" s="118"/>
      <c r="FA2118" s="118"/>
      <c r="FB2118" s="118"/>
      <c r="FC2118" s="118"/>
      <c r="FD2118" s="118"/>
      <c r="FE2118" s="118"/>
      <c r="FF2118" s="118"/>
      <c r="FG2118" s="118"/>
      <c r="FH2118" s="118"/>
      <c r="FI2118" s="118"/>
      <c r="FJ2118" s="118"/>
      <c r="FK2118" s="118"/>
      <c r="FL2118" s="118"/>
      <c r="FM2118" s="118"/>
      <c r="FN2118" s="118"/>
      <c r="FO2118" s="118"/>
      <c r="FP2118" s="118"/>
      <c r="FQ2118" s="118"/>
      <c r="FR2118" s="118"/>
      <c r="FS2118" s="118"/>
      <c r="FT2118" s="118"/>
      <c r="FU2118" s="118"/>
      <c r="FV2118" s="118"/>
      <c r="FW2118" s="118"/>
      <c r="FX2118" s="118"/>
      <c r="FY2118" s="118"/>
      <c r="FZ2118" s="118"/>
      <c r="GA2118" s="118"/>
      <c r="GB2118" s="118"/>
      <c r="GC2118" s="118"/>
      <c r="GD2118" s="118"/>
      <c r="GE2118" s="118"/>
      <c r="GF2118" s="118"/>
      <c r="GG2118" s="118"/>
      <c r="GH2118" s="118"/>
      <c r="GI2118" s="118"/>
      <c r="GJ2118" s="118"/>
      <c r="GK2118" s="118"/>
      <c r="GL2118" s="118"/>
      <c r="GM2118" s="118"/>
      <c r="GN2118" s="118"/>
      <c r="GO2118" s="118"/>
      <c r="GP2118" s="118"/>
      <c r="GQ2118" s="118"/>
      <c r="GR2118" s="118"/>
      <c r="GS2118" s="118"/>
      <c r="GT2118" s="118"/>
      <c r="GU2118" s="118"/>
      <c r="GV2118" s="118"/>
      <c r="GW2118" s="118"/>
      <c r="GX2118" s="118"/>
      <c r="GY2118" s="118"/>
      <c r="GZ2118" s="118"/>
      <c r="HA2118" s="118"/>
      <c r="HB2118" s="118"/>
      <c r="HC2118" s="118"/>
      <c r="HD2118" s="118"/>
      <c r="HE2118" s="118"/>
      <c r="HF2118" s="118"/>
      <c r="HG2118" s="118"/>
      <c r="HH2118" s="118"/>
      <c r="HI2118" s="118"/>
      <c r="HJ2118" s="118"/>
      <c r="HK2118" s="118"/>
      <c r="HL2118" s="118"/>
      <c r="HM2118" s="118"/>
      <c r="HN2118" s="118"/>
      <c r="HO2118" s="118"/>
      <c r="HP2118" s="118"/>
      <c r="HQ2118" s="118"/>
      <c r="HR2118" s="118"/>
      <c r="HS2118" s="118"/>
      <c r="HT2118" s="118"/>
      <c r="HU2118" s="118"/>
      <c r="HV2118" s="118"/>
      <c r="HW2118" s="118"/>
      <c r="HX2118" s="118"/>
      <c r="HY2118" s="118"/>
      <c r="HZ2118" s="118"/>
      <c r="IA2118" s="118"/>
      <c r="IB2118" s="118"/>
      <c r="IC2118" s="118"/>
      <c r="ID2118" s="118"/>
      <c r="IE2118" s="118"/>
      <c r="IF2118" s="118"/>
      <c r="IG2118" s="118"/>
      <c r="IH2118" s="118"/>
      <c r="II2118" s="118"/>
      <c r="IJ2118" s="118"/>
    </row>
    <row r="2119" spans="1:244" s="127" customFormat="1" ht="12.75" customHeight="1">
      <c r="A2119" s="118">
        <v>2118</v>
      </c>
      <c r="B2119" s="128">
        <v>23</v>
      </c>
      <c r="C2119" s="156">
        <v>37043</v>
      </c>
      <c r="D2119" s="157" t="s">
        <v>49</v>
      </c>
      <c r="E2119" s="8">
        <v>2001</v>
      </c>
      <c r="F2119" s="158"/>
      <c r="G2119" s="162"/>
      <c r="H2119" s="11"/>
      <c r="I2119" s="163"/>
      <c r="J2119" s="11"/>
      <c r="K2119" s="11"/>
      <c r="L2119" s="11"/>
      <c r="M2119" s="174"/>
      <c r="N2119" s="528"/>
      <c r="O2119" s="11"/>
      <c r="P2119" s="8"/>
      <c r="Q2119" s="11"/>
      <c r="R2119" s="11"/>
      <c r="S2119" s="155"/>
      <c r="T2119" s="11"/>
      <c r="U2119" s="161"/>
      <c r="V2119" s="11"/>
      <c r="W2119" s="11"/>
      <c r="X2119" s="118"/>
      <c r="Y2119" s="118"/>
      <c r="Z2119" s="118"/>
      <c r="AA2119" s="118"/>
      <c r="AB2119" s="118"/>
      <c r="AC2119" s="118"/>
      <c r="AD2119" s="118"/>
      <c r="AE2119" s="118"/>
      <c r="AF2119" s="118"/>
      <c r="AG2119" s="118"/>
      <c r="AH2119" s="118"/>
      <c r="AI2119" s="118"/>
      <c r="AJ2119" s="118"/>
      <c r="AK2119" s="118"/>
      <c r="AL2119" s="118"/>
      <c r="AM2119" s="118"/>
      <c r="AN2119" s="118"/>
      <c r="AO2119" s="118"/>
      <c r="AP2119" s="118"/>
      <c r="AQ2119" s="118"/>
      <c r="AR2119" s="118"/>
      <c r="AS2119" s="118"/>
      <c r="AT2119" s="118"/>
      <c r="AU2119" s="118"/>
      <c r="AV2119" s="118"/>
      <c r="AW2119" s="118"/>
      <c r="AX2119" s="118"/>
      <c r="AY2119" s="118"/>
      <c r="AZ2119" s="118"/>
      <c r="BA2119" s="118"/>
      <c r="BB2119" s="118"/>
      <c r="BC2119" s="118"/>
      <c r="BD2119" s="118"/>
      <c r="BE2119" s="118"/>
      <c r="BF2119" s="118"/>
      <c r="BG2119" s="118"/>
      <c r="BH2119" s="118"/>
      <c r="BI2119" s="118"/>
      <c r="BJ2119" s="118"/>
      <c r="BK2119" s="118"/>
      <c r="BL2119" s="118"/>
      <c r="BM2119" s="118"/>
      <c r="BN2119" s="118"/>
      <c r="BO2119" s="118"/>
      <c r="BP2119" s="118"/>
      <c r="BQ2119" s="118"/>
      <c r="BR2119" s="118"/>
      <c r="BS2119" s="118"/>
      <c r="BT2119" s="118"/>
      <c r="BU2119" s="118"/>
      <c r="BV2119" s="118"/>
      <c r="BW2119" s="118"/>
      <c r="BX2119" s="118"/>
      <c r="BY2119" s="118"/>
      <c r="BZ2119" s="118"/>
      <c r="CA2119" s="118"/>
      <c r="CB2119" s="118"/>
      <c r="CC2119" s="118"/>
      <c r="CD2119" s="118"/>
      <c r="CE2119" s="118"/>
      <c r="CF2119" s="118"/>
      <c r="CG2119" s="118"/>
      <c r="CH2119" s="118"/>
      <c r="CI2119" s="118"/>
      <c r="CJ2119" s="118"/>
      <c r="CK2119" s="118"/>
      <c r="CL2119" s="118"/>
      <c r="CM2119" s="118"/>
      <c r="CN2119" s="118"/>
      <c r="CO2119" s="118"/>
      <c r="CP2119" s="118"/>
      <c r="CQ2119" s="118"/>
      <c r="CR2119" s="118"/>
      <c r="CS2119" s="118"/>
      <c r="CT2119" s="118"/>
      <c r="CU2119" s="118"/>
      <c r="CV2119" s="118"/>
      <c r="CW2119" s="118"/>
      <c r="CX2119" s="118"/>
      <c r="CY2119" s="118"/>
      <c r="CZ2119" s="118"/>
      <c r="DA2119" s="118"/>
      <c r="DB2119" s="118"/>
      <c r="DC2119" s="118"/>
      <c r="DD2119" s="118"/>
      <c r="DE2119" s="118"/>
      <c r="DF2119" s="118"/>
      <c r="DG2119" s="118"/>
      <c r="DH2119" s="118"/>
      <c r="DI2119" s="118"/>
      <c r="DJ2119" s="118"/>
      <c r="DK2119" s="118"/>
      <c r="DL2119" s="118"/>
      <c r="DM2119" s="118"/>
      <c r="DN2119" s="118"/>
      <c r="DO2119" s="118"/>
      <c r="DP2119" s="118"/>
      <c r="DQ2119" s="118"/>
      <c r="DR2119" s="118"/>
      <c r="DS2119" s="118"/>
      <c r="DT2119" s="118"/>
      <c r="DU2119" s="118"/>
      <c r="DV2119" s="118"/>
      <c r="DW2119" s="118"/>
      <c r="DX2119" s="118"/>
      <c r="DY2119" s="118"/>
      <c r="DZ2119" s="118"/>
      <c r="EA2119" s="118"/>
      <c r="EB2119" s="118"/>
      <c r="EC2119" s="118"/>
      <c r="ED2119" s="118"/>
      <c r="EE2119" s="118"/>
      <c r="EF2119" s="118"/>
      <c r="EG2119" s="118"/>
      <c r="EH2119" s="118"/>
      <c r="EI2119" s="118"/>
      <c r="EJ2119" s="118"/>
      <c r="EK2119" s="118"/>
      <c r="EL2119" s="118"/>
      <c r="EM2119" s="118"/>
      <c r="EN2119" s="118"/>
      <c r="EO2119" s="118"/>
      <c r="EP2119" s="118"/>
      <c r="EQ2119" s="118"/>
      <c r="ER2119" s="118"/>
      <c r="ES2119" s="118"/>
      <c r="ET2119" s="118"/>
      <c r="EU2119" s="118"/>
      <c r="EV2119" s="118"/>
      <c r="EW2119" s="118"/>
      <c r="EX2119" s="118"/>
      <c r="EY2119" s="118"/>
      <c r="EZ2119" s="118"/>
      <c r="FA2119" s="118"/>
      <c r="FB2119" s="118"/>
      <c r="FC2119" s="118"/>
      <c r="FD2119" s="118"/>
      <c r="FE2119" s="118"/>
      <c r="FF2119" s="118"/>
      <c r="FG2119" s="118"/>
      <c r="FH2119" s="118"/>
      <c r="FI2119" s="118"/>
      <c r="FJ2119" s="118"/>
      <c r="FK2119" s="118"/>
      <c r="FL2119" s="118"/>
      <c r="FM2119" s="118"/>
      <c r="FN2119" s="118"/>
      <c r="FO2119" s="118"/>
      <c r="FP2119" s="118"/>
      <c r="FQ2119" s="118"/>
      <c r="FR2119" s="118"/>
      <c r="FS2119" s="118"/>
      <c r="FT2119" s="118"/>
      <c r="FU2119" s="118"/>
      <c r="FV2119" s="118"/>
      <c r="FW2119" s="118"/>
      <c r="FX2119" s="118"/>
      <c r="FY2119" s="118"/>
      <c r="FZ2119" s="118"/>
      <c r="GA2119" s="118"/>
      <c r="GB2119" s="118"/>
      <c r="GC2119" s="118"/>
      <c r="GD2119" s="118"/>
      <c r="GE2119" s="118"/>
      <c r="GF2119" s="118"/>
      <c r="GG2119" s="118"/>
      <c r="GH2119" s="118"/>
      <c r="GI2119" s="118"/>
      <c r="GJ2119" s="118"/>
      <c r="GK2119" s="118"/>
      <c r="GL2119" s="118"/>
      <c r="GM2119" s="118"/>
      <c r="GN2119" s="118"/>
      <c r="GO2119" s="118"/>
      <c r="GP2119" s="118"/>
      <c r="GQ2119" s="118"/>
      <c r="GR2119" s="118"/>
      <c r="GS2119" s="118"/>
      <c r="GT2119" s="118"/>
      <c r="GU2119" s="118"/>
      <c r="GV2119" s="118"/>
      <c r="GW2119" s="118"/>
      <c r="GX2119" s="118"/>
      <c r="GY2119" s="118"/>
      <c r="GZ2119" s="118"/>
      <c r="HA2119" s="118"/>
      <c r="HB2119" s="118"/>
      <c r="HC2119" s="118"/>
      <c r="HD2119" s="118"/>
      <c r="HE2119" s="118"/>
      <c r="HF2119" s="118"/>
      <c r="HG2119" s="118"/>
      <c r="HH2119" s="118"/>
      <c r="HI2119" s="118"/>
      <c r="HJ2119" s="118"/>
      <c r="HK2119" s="118"/>
      <c r="HL2119" s="118"/>
      <c r="HM2119" s="118"/>
      <c r="HN2119" s="118"/>
      <c r="HO2119" s="118"/>
      <c r="HP2119" s="118"/>
      <c r="HQ2119" s="118"/>
      <c r="HR2119" s="118"/>
      <c r="HS2119" s="118"/>
      <c r="HT2119" s="118"/>
      <c r="HU2119" s="118"/>
      <c r="HV2119" s="118"/>
      <c r="HW2119" s="118"/>
      <c r="HX2119" s="118"/>
      <c r="HY2119" s="118"/>
      <c r="HZ2119" s="118"/>
      <c r="IA2119" s="118"/>
      <c r="IB2119" s="118"/>
      <c r="IC2119" s="118"/>
      <c r="ID2119" s="118"/>
      <c r="IE2119" s="118"/>
      <c r="IF2119" s="118"/>
      <c r="IG2119" s="118"/>
      <c r="IH2119" s="118"/>
      <c r="II2119" s="118"/>
      <c r="IJ2119" s="118"/>
    </row>
    <row r="2120" spans="1:244" s="127" customFormat="1" ht="12.75" customHeight="1">
      <c r="A2120" s="118">
        <v>2119</v>
      </c>
      <c r="B2120" s="128">
        <v>23</v>
      </c>
      <c r="C2120" s="156">
        <v>37073</v>
      </c>
      <c r="D2120" s="157" t="s">
        <v>50</v>
      </c>
      <c r="E2120" s="8">
        <v>2001</v>
      </c>
      <c r="F2120" s="158"/>
      <c r="G2120" s="162"/>
      <c r="H2120" s="11"/>
      <c r="I2120" s="163"/>
      <c r="J2120" s="11"/>
      <c r="K2120" s="11"/>
      <c r="L2120" s="11"/>
      <c r="M2120" s="174"/>
      <c r="N2120" s="528"/>
      <c r="O2120" s="11"/>
      <c r="P2120" s="8"/>
      <c r="Q2120" s="11"/>
      <c r="R2120" s="11"/>
      <c r="S2120" s="155"/>
      <c r="T2120" s="11"/>
      <c r="U2120" s="161"/>
      <c r="V2120" s="11"/>
      <c r="W2120" s="11"/>
      <c r="X2120" s="118"/>
      <c r="Y2120" s="118"/>
      <c r="Z2120" s="118"/>
      <c r="AA2120" s="118"/>
      <c r="AB2120" s="118"/>
      <c r="AC2120" s="118"/>
      <c r="AD2120" s="118"/>
      <c r="AE2120" s="118"/>
      <c r="AF2120" s="118"/>
      <c r="AG2120" s="118"/>
      <c r="AH2120" s="118"/>
      <c r="AI2120" s="118"/>
      <c r="AJ2120" s="118"/>
      <c r="AK2120" s="118"/>
      <c r="AL2120" s="118"/>
      <c r="AM2120" s="118"/>
      <c r="AN2120" s="118"/>
      <c r="AO2120" s="118"/>
      <c r="AP2120" s="118"/>
      <c r="AQ2120" s="118"/>
      <c r="AR2120" s="118"/>
      <c r="AS2120" s="118"/>
      <c r="AT2120" s="118"/>
      <c r="AU2120" s="118"/>
      <c r="AV2120" s="118"/>
      <c r="AW2120" s="118"/>
      <c r="AX2120" s="118"/>
      <c r="AY2120" s="118"/>
      <c r="AZ2120" s="118"/>
      <c r="BA2120" s="118"/>
      <c r="BB2120" s="118"/>
      <c r="BC2120" s="118"/>
      <c r="BD2120" s="118"/>
      <c r="BE2120" s="118"/>
      <c r="BF2120" s="118"/>
      <c r="BG2120" s="118"/>
      <c r="BH2120" s="118"/>
      <c r="BI2120" s="118"/>
      <c r="BJ2120" s="118"/>
      <c r="BK2120" s="118"/>
      <c r="BL2120" s="118"/>
      <c r="BM2120" s="118"/>
      <c r="BN2120" s="118"/>
      <c r="BO2120" s="118"/>
      <c r="BP2120" s="118"/>
      <c r="BQ2120" s="118"/>
      <c r="BR2120" s="118"/>
      <c r="BS2120" s="118"/>
      <c r="BT2120" s="118"/>
      <c r="BU2120" s="118"/>
      <c r="BV2120" s="118"/>
      <c r="BW2120" s="118"/>
      <c r="BX2120" s="118"/>
      <c r="BY2120" s="118"/>
      <c r="BZ2120" s="118"/>
      <c r="CA2120" s="118"/>
      <c r="CB2120" s="118"/>
      <c r="CC2120" s="118"/>
      <c r="CD2120" s="118"/>
      <c r="CE2120" s="118"/>
      <c r="CF2120" s="118"/>
      <c r="CG2120" s="118"/>
      <c r="CH2120" s="118"/>
      <c r="CI2120" s="118"/>
      <c r="CJ2120" s="118"/>
      <c r="CK2120" s="118"/>
      <c r="CL2120" s="118"/>
      <c r="CM2120" s="118"/>
      <c r="CN2120" s="118"/>
      <c r="CO2120" s="118"/>
      <c r="CP2120" s="118"/>
      <c r="CQ2120" s="118"/>
      <c r="CR2120" s="118"/>
      <c r="CS2120" s="118"/>
      <c r="CT2120" s="118"/>
      <c r="CU2120" s="118"/>
      <c r="CV2120" s="118"/>
      <c r="CW2120" s="118"/>
      <c r="CX2120" s="118"/>
      <c r="CY2120" s="118"/>
      <c r="CZ2120" s="118"/>
      <c r="DA2120" s="118"/>
      <c r="DB2120" s="118"/>
      <c r="DC2120" s="118"/>
      <c r="DD2120" s="118"/>
      <c r="DE2120" s="118"/>
      <c r="DF2120" s="118"/>
      <c r="DG2120" s="118"/>
      <c r="DH2120" s="118"/>
      <c r="DI2120" s="118"/>
      <c r="DJ2120" s="118"/>
      <c r="DK2120" s="118"/>
      <c r="DL2120" s="118"/>
      <c r="DM2120" s="118"/>
      <c r="DN2120" s="118"/>
      <c r="DO2120" s="118"/>
      <c r="DP2120" s="118"/>
      <c r="DQ2120" s="118"/>
      <c r="DR2120" s="118"/>
      <c r="DS2120" s="118"/>
      <c r="DT2120" s="118"/>
      <c r="DU2120" s="118"/>
      <c r="DV2120" s="118"/>
      <c r="DW2120" s="118"/>
      <c r="DX2120" s="118"/>
      <c r="DY2120" s="118"/>
      <c r="DZ2120" s="118"/>
      <c r="EA2120" s="118"/>
      <c r="EB2120" s="118"/>
      <c r="EC2120" s="118"/>
      <c r="ED2120" s="118"/>
      <c r="EE2120" s="118"/>
      <c r="EF2120" s="118"/>
      <c r="EG2120" s="118"/>
      <c r="EH2120" s="118"/>
      <c r="EI2120" s="118"/>
      <c r="EJ2120" s="118"/>
      <c r="EK2120" s="118"/>
      <c r="EL2120" s="118"/>
      <c r="EM2120" s="118"/>
      <c r="EN2120" s="118"/>
      <c r="EO2120" s="118"/>
      <c r="EP2120" s="118"/>
      <c r="EQ2120" s="118"/>
      <c r="ER2120" s="118"/>
      <c r="ES2120" s="118"/>
      <c r="ET2120" s="118"/>
      <c r="EU2120" s="118"/>
      <c r="EV2120" s="118"/>
      <c r="EW2120" s="118"/>
      <c r="EX2120" s="118"/>
      <c r="EY2120" s="118"/>
      <c r="EZ2120" s="118"/>
      <c r="FA2120" s="118"/>
      <c r="FB2120" s="118"/>
      <c r="FC2120" s="118"/>
      <c r="FD2120" s="118"/>
      <c r="FE2120" s="118"/>
      <c r="FF2120" s="118"/>
      <c r="FG2120" s="118"/>
      <c r="FH2120" s="118"/>
      <c r="FI2120" s="118"/>
      <c r="FJ2120" s="118"/>
      <c r="FK2120" s="118"/>
      <c r="FL2120" s="118"/>
      <c r="FM2120" s="118"/>
      <c r="FN2120" s="118"/>
      <c r="FO2120" s="118"/>
      <c r="FP2120" s="118"/>
      <c r="FQ2120" s="118"/>
      <c r="FR2120" s="118"/>
      <c r="FS2120" s="118"/>
      <c r="FT2120" s="118"/>
      <c r="FU2120" s="118"/>
      <c r="FV2120" s="118"/>
      <c r="FW2120" s="118"/>
      <c r="FX2120" s="118"/>
      <c r="FY2120" s="118"/>
      <c r="FZ2120" s="118"/>
      <c r="GA2120" s="118"/>
      <c r="GB2120" s="118"/>
      <c r="GC2120" s="118"/>
      <c r="GD2120" s="118"/>
      <c r="GE2120" s="118"/>
      <c r="GF2120" s="118"/>
      <c r="GG2120" s="118"/>
      <c r="GH2120" s="118"/>
      <c r="GI2120" s="118"/>
      <c r="GJ2120" s="118"/>
      <c r="GK2120" s="118"/>
      <c r="GL2120" s="118"/>
      <c r="GM2120" s="118"/>
      <c r="GN2120" s="118"/>
      <c r="GO2120" s="118"/>
      <c r="GP2120" s="118"/>
      <c r="GQ2120" s="118"/>
      <c r="GR2120" s="118"/>
      <c r="GS2120" s="118"/>
      <c r="GT2120" s="118"/>
      <c r="GU2120" s="118"/>
      <c r="GV2120" s="118"/>
      <c r="GW2120" s="118"/>
      <c r="GX2120" s="118"/>
      <c r="GY2120" s="118"/>
      <c r="GZ2120" s="118"/>
      <c r="HA2120" s="118"/>
      <c r="HB2120" s="118"/>
      <c r="HC2120" s="118"/>
      <c r="HD2120" s="118"/>
      <c r="HE2120" s="118"/>
      <c r="HF2120" s="118"/>
      <c r="HG2120" s="118"/>
      <c r="HH2120" s="118"/>
      <c r="HI2120" s="118"/>
      <c r="HJ2120" s="118"/>
      <c r="HK2120" s="118"/>
      <c r="HL2120" s="118"/>
      <c r="HM2120" s="118"/>
      <c r="HN2120" s="118"/>
      <c r="HO2120" s="118"/>
      <c r="HP2120" s="118"/>
      <c r="HQ2120" s="118"/>
      <c r="HR2120" s="118"/>
      <c r="HS2120" s="118"/>
      <c r="HT2120" s="118"/>
      <c r="HU2120" s="118"/>
      <c r="HV2120" s="118"/>
      <c r="HW2120" s="118"/>
      <c r="HX2120" s="118"/>
      <c r="HY2120" s="118"/>
      <c r="HZ2120" s="118"/>
      <c r="IA2120" s="118"/>
      <c r="IB2120" s="118"/>
      <c r="IC2120" s="118"/>
      <c r="ID2120" s="118"/>
      <c r="IE2120" s="118"/>
      <c r="IF2120" s="118"/>
      <c r="IG2120" s="118"/>
      <c r="IH2120" s="118"/>
      <c r="II2120" s="118"/>
      <c r="IJ2120" s="118"/>
    </row>
    <row r="2121" spans="1:244" s="127" customFormat="1" ht="12.75" customHeight="1">
      <c r="A2121" s="118">
        <v>2120</v>
      </c>
      <c r="B2121" s="128">
        <v>23</v>
      </c>
      <c r="C2121" s="156">
        <v>37104</v>
      </c>
      <c r="D2121" s="157" t="s">
        <v>51</v>
      </c>
      <c r="E2121" s="8">
        <v>2001</v>
      </c>
      <c r="F2121" s="158"/>
      <c r="G2121" s="162"/>
      <c r="H2121" s="11"/>
      <c r="I2121" s="163"/>
      <c r="J2121" s="11"/>
      <c r="K2121" s="11"/>
      <c r="L2121" s="11"/>
      <c r="M2121" s="174"/>
      <c r="N2121" s="528"/>
      <c r="O2121" s="11"/>
      <c r="P2121" s="8"/>
      <c r="Q2121" s="11"/>
      <c r="R2121" s="11"/>
      <c r="S2121" s="155"/>
      <c r="T2121" s="11"/>
      <c r="U2121" s="161"/>
      <c r="V2121" s="11"/>
      <c r="W2121" s="11"/>
      <c r="X2121" s="118"/>
      <c r="Y2121" s="118"/>
      <c r="Z2121" s="118"/>
      <c r="AA2121" s="118"/>
      <c r="AB2121" s="118"/>
      <c r="AC2121" s="118"/>
      <c r="AD2121" s="118"/>
      <c r="AE2121" s="118"/>
      <c r="AF2121" s="118"/>
      <c r="AG2121" s="118"/>
      <c r="AH2121" s="118"/>
      <c r="AI2121" s="118"/>
      <c r="AJ2121" s="118"/>
      <c r="AK2121" s="118"/>
      <c r="AL2121" s="118"/>
      <c r="AM2121" s="118"/>
      <c r="AN2121" s="118"/>
      <c r="AO2121" s="118"/>
      <c r="AP2121" s="118"/>
      <c r="AQ2121" s="118"/>
      <c r="AR2121" s="118"/>
      <c r="AS2121" s="118"/>
      <c r="AT2121" s="118"/>
      <c r="AU2121" s="118"/>
      <c r="AV2121" s="118"/>
      <c r="AW2121" s="118"/>
      <c r="AX2121" s="118"/>
      <c r="AY2121" s="118"/>
      <c r="AZ2121" s="118"/>
      <c r="BA2121" s="118"/>
      <c r="BB2121" s="118"/>
      <c r="BC2121" s="118"/>
      <c r="BD2121" s="118"/>
      <c r="BE2121" s="118"/>
      <c r="BF2121" s="118"/>
      <c r="BG2121" s="118"/>
      <c r="BH2121" s="118"/>
      <c r="BI2121" s="118"/>
      <c r="BJ2121" s="118"/>
      <c r="BK2121" s="118"/>
      <c r="BL2121" s="118"/>
      <c r="BM2121" s="118"/>
      <c r="BN2121" s="118"/>
      <c r="BO2121" s="118"/>
      <c r="BP2121" s="118"/>
      <c r="BQ2121" s="118"/>
      <c r="BR2121" s="118"/>
      <c r="BS2121" s="118"/>
      <c r="BT2121" s="118"/>
      <c r="BU2121" s="118"/>
      <c r="BV2121" s="118"/>
      <c r="BW2121" s="118"/>
      <c r="BX2121" s="118"/>
      <c r="BY2121" s="118"/>
      <c r="BZ2121" s="118"/>
      <c r="CA2121" s="118"/>
      <c r="CB2121" s="118"/>
      <c r="CC2121" s="118"/>
      <c r="CD2121" s="118"/>
      <c r="CE2121" s="118"/>
      <c r="CF2121" s="118"/>
      <c r="CG2121" s="118"/>
      <c r="CH2121" s="118"/>
      <c r="CI2121" s="118"/>
      <c r="CJ2121" s="118"/>
      <c r="CK2121" s="118"/>
      <c r="CL2121" s="118"/>
      <c r="CM2121" s="118"/>
      <c r="CN2121" s="118"/>
      <c r="CO2121" s="118"/>
      <c r="CP2121" s="118"/>
      <c r="CQ2121" s="118"/>
      <c r="CR2121" s="118"/>
      <c r="CS2121" s="118"/>
      <c r="CT2121" s="118"/>
      <c r="CU2121" s="118"/>
      <c r="CV2121" s="118"/>
      <c r="CW2121" s="118"/>
      <c r="CX2121" s="118"/>
      <c r="CY2121" s="118"/>
      <c r="CZ2121" s="118"/>
      <c r="DA2121" s="118"/>
      <c r="DB2121" s="118"/>
      <c r="DC2121" s="118"/>
      <c r="DD2121" s="118"/>
      <c r="DE2121" s="118"/>
      <c r="DF2121" s="118"/>
      <c r="DG2121" s="118"/>
      <c r="DH2121" s="118"/>
      <c r="DI2121" s="118"/>
      <c r="DJ2121" s="118"/>
      <c r="DK2121" s="118"/>
      <c r="DL2121" s="118"/>
      <c r="DM2121" s="118"/>
      <c r="DN2121" s="118"/>
      <c r="DO2121" s="118"/>
      <c r="DP2121" s="118"/>
      <c r="DQ2121" s="118"/>
      <c r="DR2121" s="118"/>
      <c r="DS2121" s="118"/>
      <c r="DT2121" s="118"/>
      <c r="DU2121" s="118"/>
      <c r="DV2121" s="118"/>
      <c r="DW2121" s="118"/>
      <c r="DX2121" s="118"/>
      <c r="DY2121" s="118"/>
      <c r="DZ2121" s="118"/>
      <c r="EA2121" s="118"/>
      <c r="EB2121" s="118"/>
      <c r="EC2121" s="118"/>
      <c r="ED2121" s="118"/>
      <c r="EE2121" s="118"/>
      <c r="EF2121" s="118"/>
      <c r="EG2121" s="118"/>
      <c r="EH2121" s="118"/>
      <c r="EI2121" s="118"/>
      <c r="EJ2121" s="118"/>
      <c r="EK2121" s="118"/>
      <c r="EL2121" s="118"/>
      <c r="EM2121" s="118"/>
      <c r="EN2121" s="118"/>
      <c r="EO2121" s="118"/>
      <c r="EP2121" s="118"/>
      <c r="EQ2121" s="118"/>
      <c r="ER2121" s="118"/>
      <c r="ES2121" s="118"/>
      <c r="ET2121" s="118"/>
      <c r="EU2121" s="118"/>
      <c r="EV2121" s="118"/>
      <c r="EW2121" s="118"/>
      <c r="EX2121" s="118"/>
      <c r="EY2121" s="118"/>
      <c r="EZ2121" s="118"/>
      <c r="FA2121" s="118"/>
      <c r="FB2121" s="118"/>
      <c r="FC2121" s="118"/>
      <c r="FD2121" s="118"/>
      <c r="FE2121" s="118"/>
      <c r="FF2121" s="118"/>
      <c r="FG2121" s="118"/>
      <c r="FH2121" s="118"/>
      <c r="FI2121" s="118"/>
      <c r="FJ2121" s="118"/>
      <c r="FK2121" s="118"/>
      <c r="FL2121" s="118"/>
      <c r="FM2121" s="118"/>
      <c r="FN2121" s="118"/>
      <c r="FO2121" s="118"/>
      <c r="FP2121" s="118"/>
      <c r="FQ2121" s="118"/>
      <c r="FR2121" s="118"/>
      <c r="FS2121" s="118"/>
      <c r="FT2121" s="118"/>
      <c r="FU2121" s="118"/>
      <c r="FV2121" s="118"/>
      <c r="FW2121" s="118"/>
      <c r="FX2121" s="118"/>
      <c r="FY2121" s="118"/>
      <c r="FZ2121" s="118"/>
      <c r="GA2121" s="118"/>
      <c r="GB2121" s="118"/>
      <c r="GC2121" s="118"/>
      <c r="GD2121" s="118"/>
      <c r="GE2121" s="118"/>
      <c r="GF2121" s="118"/>
      <c r="GG2121" s="118"/>
      <c r="GH2121" s="118"/>
      <c r="GI2121" s="118"/>
      <c r="GJ2121" s="118"/>
      <c r="GK2121" s="118"/>
      <c r="GL2121" s="118"/>
      <c r="GM2121" s="118"/>
      <c r="GN2121" s="118"/>
      <c r="GO2121" s="118"/>
      <c r="GP2121" s="118"/>
      <c r="GQ2121" s="118"/>
      <c r="GR2121" s="118"/>
      <c r="GS2121" s="118"/>
      <c r="GT2121" s="118"/>
      <c r="GU2121" s="118"/>
      <c r="GV2121" s="118"/>
      <c r="GW2121" s="118"/>
      <c r="GX2121" s="118"/>
      <c r="GY2121" s="118"/>
      <c r="GZ2121" s="118"/>
      <c r="HA2121" s="118"/>
      <c r="HB2121" s="118"/>
      <c r="HC2121" s="118"/>
      <c r="HD2121" s="118"/>
      <c r="HE2121" s="118"/>
      <c r="HF2121" s="118"/>
      <c r="HG2121" s="118"/>
      <c r="HH2121" s="118"/>
      <c r="HI2121" s="118"/>
      <c r="HJ2121" s="118"/>
      <c r="HK2121" s="118"/>
      <c r="HL2121" s="118"/>
      <c r="HM2121" s="118"/>
      <c r="HN2121" s="118"/>
      <c r="HO2121" s="118"/>
      <c r="HP2121" s="118"/>
      <c r="HQ2121" s="118"/>
      <c r="HR2121" s="118"/>
      <c r="HS2121" s="118"/>
      <c r="HT2121" s="118"/>
      <c r="HU2121" s="118"/>
      <c r="HV2121" s="118"/>
      <c r="HW2121" s="118"/>
      <c r="HX2121" s="118"/>
      <c r="HY2121" s="118"/>
      <c r="HZ2121" s="118"/>
      <c r="IA2121" s="118"/>
      <c r="IB2121" s="118"/>
      <c r="IC2121" s="118"/>
      <c r="ID2121" s="118"/>
      <c r="IE2121" s="118"/>
      <c r="IF2121" s="118"/>
      <c r="IG2121" s="118"/>
      <c r="IH2121" s="118"/>
      <c r="II2121" s="118"/>
      <c r="IJ2121" s="118"/>
    </row>
    <row r="2122" spans="1:244" s="127" customFormat="1" ht="12.75" customHeight="1">
      <c r="A2122" s="118">
        <v>2121</v>
      </c>
      <c r="B2122" s="128">
        <v>23</v>
      </c>
      <c r="C2122" s="156">
        <v>37135</v>
      </c>
      <c r="D2122" s="157" t="s">
        <v>52</v>
      </c>
      <c r="E2122" s="8">
        <v>2001</v>
      </c>
      <c r="F2122" s="158"/>
      <c r="G2122" s="162"/>
      <c r="H2122" s="11"/>
      <c r="I2122" s="163"/>
      <c r="J2122" s="11"/>
      <c r="K2122" s="11"/>
      <c r="L2122" s="11"/>
      <c r="M2122" s="174"/>
      <c r="N2122" s="528"/>
      <c r="O2122" s="11"/>
      <c r="P2122" s="8"/>
      <c r="Q2122" s="11"/>
      <c r="R2122" s="11"/>
      <c r="S2122" s="155"/>
      <c r="T2122" s="11"/>
      <c r="U2122" s="161"/>
      <c r="V2122" s="11"/>
      <c r="W2122" s="11"/>
      <c r="X2122" s="118"/>
      <c r="Y2122" s="118"/>
      <c r="Z2122" s="118"/>
      <c r="AA2122" s="118"/>
      <c r="AB2122" s="118"/>
      <c r="AC2122" s="118"/>
      <c r="AD2122" s="118"/>
      <c r="AE2122" s="118"/>
      <c r="AF2122" s="118"/>
      <c r="AG2122" s="118"/>
      <c r="AH2122" s="118"/>
      <c r="AI2122" s="118"/>
      <c r="AJ2122" s="118"/>
      <c r="AK2122" s="118"/>
      <c r="AL2122" s="118"/>
      <c r="AM2122" s="118"/>
      <c r="AN2122" s="118"/>
      <c r="AO2122" s="118"/>
      <c r="AP2122" s="118"/>
      <c r="AQ2122" s="118"/>
      <c r="AR2122" s="118"/>
      <c r="AS2122" s="118"/>
      <c r="AT2122" s="118"/>
      <c r="AU2122" s="118"/>
      <c r="AV2122" s="118"/>
      <c r="AW2122" s="118"/>
      <c r="AX2122" s="118"/>
      <c r="AY2122" s="118"/>
      <c r="AZ2122" s="118"/>
      <c r="BA2122" s="118"/>
      <c r="BB2122" s="118"/>
      <c r="BC2122" s="118"/>
      <c r="BD2122" s="118"/>
      <c r="BE2122" s="118"/>
      <c r="BF2122" s="118"/>
      <c r="BG2122" s="118"/>
      <c r="BH2122" s="118"/>
      <c r="BI2122" s="118"/>
      <c r="BJ2122" s="118"/>
      <c r="BK2122" s="118"/>
      <c r="BL2122" s="118"/>
      <c r="BM2122" s="118"/>
      <c r="BN2122" s="118"/>
      <c r="BO2122" s="118"/>
      <c r="BP2122" s="118"/>
      <c r="BQ2122" s="118"/>
      <c r="BR2122" s="118"/>
      <c r="BS2122" s="118"/>
      <c r="BT2122" s="118"/>
      <c r="BU2122" s="118"/>
      <c r="BV2122" s="118"/>
      <c r="BW2122" s="118"/>
      <c r="BX2122" s="118"/>
      <c r="BY2122" s="118"/>
      <c r="BZ2122" s="118"/>
      <c r="CA2122" s="118"/>
      <c r="CB2122" s="118"/>
      <c r="CC2122" s="118"/>
      <c r="CD2122" s="118"/>
      <c r="CE2122" s="118"/>
      <c r="CF2122" s="118"/>
      <c r="CG2122" s="118"/>
      <c r="CH2122" s="118"/>
      <c r="CI2122" s="118"/>
      <c r="CJ2122" s="118"/>
      <c r="CK2122" s="118"/>
      <c r="CL2122" s="118"/>
      <c r="CM2122" s="118"/>
      <c r="CN2122" s="118"/>
      <c r="CO2122" s="118"/>
      <c r="CP2122" s="118"/>
      <c r="CQ2122" s="118"/>
      <c r="CR2122" s="118"/>
      <c r="CS2122" s="118"/>
      <c r="CT2122" s="118"/>
      <c r="CU2122" s="118"/>
      <c r="CV2122" s="118"/>
      <c r="CW2122" s="118"/>
      <c r="CX2122" s="118"/>
      <c r="CY2122" s="118"/>
      <c r="CZ2122" s="118"/>
      <c r="DA2122" s="118"/>
      <c r="DB2122" s="118"/>
      <c r="DC2122" s="118"/>
      <c r="DD2122" s="118"/>
      <c r="DE2122" s="118"/>
      <c r="DF2122" s="118"/>
      <c r="DG2122" s="118"/>
      <c r="DH2122" s="118"/>
      <c r="DI2122" s="118"/>
      <c r="DJ2122" s="118"/>
      <c r="DK2122" s="118"/>
      <c r="DL2122" s="118"/>
      <c r="DM2122" s="118"/>
      <c r="DN2122" s="118"/>
      <c r="DO2122" s="118"/>
      <c r="DP2122" s="118"/>
      <c r="DQ2122" s="118"/>
      <c r="DR2122" s="118"/>
      <c r="DS2122" s="118"/>
      <c r="DT2122" s="118"/>
      <c r="DU2122" s="118"/>
      <c r="DV2122" s="118"/>
      <c r="DW2122" s="118"/>
      <c r="DX2122" s="118"/>
      <c r="DY2122" s="118"/>
      <c r="DZ2122" s="118"/>
      <c r="EA2122" s="118"/>
      <c r="EB2122" s="118"/>
      <c r="EC2122" s="118"/>
      <c r="ED2122" s="118"/>
      <c r="EE2122" s="118"/>
      <c r="EF2122" s="118"/>
      <c r="EG2122" s="118"/>
      <c r="EH2122" s="118"/>
      <c r="EI2122" s="118"/>
      <c r="EJ2122" s="118"/>
      <c r="EK2122" s="118"/>
      <c r="EL2122" s="118"/>
      <c r="EM2122" s="118"/>
      <c r="EN2122" s="118"/>
      <c r="EO2122" s="118"/>
      <c r="EP2122" s="118"/>
      <c r="EQ2122" s="118"/>
      <c r="ER2122" s="118"/>
      <c r="ES2122" s="118"/>
      <c r="ET2122" s="118"/>
      <c r="EU2122" s="118"/>
      <c r="EV2122" s="118"/>
      <c r="EW2122" s="118"/>
      <c r="EX2122" s="118"/>
      <c r="EY2122" s="118"/>
      <c r="EZ2122" s="118"/>
      <c r="FA2122" s="118"/>
      <c r="FB2122" s="118"/>
      <c r="FC2122" s="118"/>
      <c r="FD2122" s="118"/>
      <c r="FE2122" s="118"/>
      <c r="FF2122" s="118"/>
      <c r="FG2122" s="118"/>
      <c r="FH2122" s="118"/>
      <c r="FI2122" s="118"/>
      <c r="FJ2122" s="118"/>
      <c r="FK2122" s="118"/>
      <c r="FL2122" s="118"/>
      <c r="FM2122" s="118"/>
      <c r="FN2122" s="118"/>
      <c r="FO2122" s="118"/>
      <c r="FP2122" s="118"/>
      <c r="FQ2122" s="118"/>
      <c r="FR2122" s="118"/>
      <c r="FS2122" s="118"/>
      <c r="FT2122" s="118"/>
      <c r="FU2122" s="118"/>
      <c r="FV2122" s="118"/>
      <c r="FW2122" s="118"/>
      <c r="FX2122" s="118"/>
      <c r="FY2122" s="118"/>
      <c r="FZ2122" s="118"/>
      <c r="GA2122" s="118"/>
      <c r="GB2122" s="118"/>
      <c r="GC2122" s="118"/>
      <c r="GD2122" s="118"/>
      <c r="GE2122" s="118"/>
      <c r="GF2122" s="118"/>
      <c r="GG2122" s="118"/>
      <c r="GH2122" s="118"/>
      <c r="GI2122" s="118"/>
      <c r="GJ2122" s="118"/>
      <c r="GK2122" s="118"/>
      <c r="GL2122" s="118"/>
      <c r="GM2122" s="118"/>
      <c r="GN2122" s="118"/>
      <c r="GO2122" s="118"/>
      <c r="GP2122" s="118"/>
      <c r="GQ2122" s="118"/>
      <c r="GR2122" s="118"/>
      <c r="GS2122" s="118"/>
      <c r="GT2122" s="118"/>
      <c r="GU2122" s="118"/>
      <c r="GV2122" s="118"/>
      <c r="GW2122" s="118"/>
      <c r="GX2122" s="118"/>
      <c r="GY2122" s="118"/>
      <c r="GZ2122" s="118"/>
      <c r="HA2122" s="118"/>
      <c r="HB2122" s="118"/>
      <c r="HC2122" s="118"/>
      <c r="HD2122" s="118"/>
      <c r="HE2122" s="118"/>
      <c r="HF2122" s="118"/>
      <c r="HG2122" s="118"/>
      <c r="HH2122" s="118"/>
      <c r="HI2122" s="118"/>
      <c r="HJ2122" s="118"/>
      <c r="HK2122" s="118"/>
      <c r="HL2122" s="118"/>
      <c r="HM2122" s="118"/>
      <c r="HN2122" s="118"/>
      <c r="HO2122" s="118"/>
      <c r="HP2122" s="118"/>
      <c r="HQ2122" s="118"/>
      <c r="HR2122" s="118"/>
      <c r="HS2122" s="118"/>
      <c r="HT2122" s="118"/>
      <c r="HU2122" s="118"/>
      <c r="HV2122" s="118"/>
      <c r="HW2122" s="118"/>
      <c r="HX2122" s="118"/>
      <c r="HY2122" s="118"/>
      <c r="HZ2122" s="118"/>
      <c r="IA2122" s="118"/>
      <c r="IB2122" s="118"/>
      <c r="IC2122" s="118"/>
      <c r="ID2122" s="118"/>
      <c r="IE2122" s="118"/>
      <c r="IF2122" s="118"/>
      <c r="IG2122" s="118"/>
      <c r="IH2122" s="118"/>
      <c r="II2122" s="118"/>
      <c r="IJ2122" s="118"/>
    </row>
    <row r="2123" spans="1:244" s="127" customFormat="1" ht="12.75" customHeight="1">
      <c r="A2123" s="118">
        <v>2122</v>
      </c>
      <c r="B2123" s="128">
        <v>23</v>
      </c>
      <c r="C2123" s="156">
        <v>37165</v>
      </c>
      <c r="D2123" s="157" t="s">
        <v>53</v>
      </c>
      <c r="E2123" s="8">
        <v>2001</v>
      </c>
      <c r="F2123" s="158">
        <f t="shared" ref="F2123:F2142" si="537">C2123-H2123</f>
        <v>242</v>
      </c>
      <c r="G2123" s="158">
        <f t="shared" ref="G2123:G2138" si="538">IF(F2123&lt;365,1,2)</f>
        <v>1</v>
      </c>
      <c r="H2123" s="162">
        <v>36923</v>
      </c>
      <c r="I2123" s="163">
        <v>481614</v>
      </c>
      <c r="J2123" s="11"/>
      <c r="K2123" s="11"/>
      <c r="L2123" s="11"/>
      <c r="M2123" s="174"/>
      <c r="N2123" s="528"/>
      <c r="O2123" s="11"/>
      <c r="P2123" s="8"/>
      <c r="Q2123" s="11"/>
      <c r="R2123" s="11"/>
      <c r="S2123" s="155" t="s">
        <v>343</v>
      </c>
      <c r="T2123" s="11"/>
      <c r="U2123" s="161"/>
      <c r="V2123" s="11"/>
      <c r="W2123" s="11"/>
      <c r="X2123" s="118"/>
      <c r="Y2123" s="118"/>
      <c r="Z2123" s="118"/>
      <c r="AA2123" s="118"/>
      <c r="AB2123" s="118"/>
      <c r="AC2123" s="118"/>
      <c r="AD2123" s="118"/>
      <c r="AE2123" s="118"/>
      <c r="AF2123" s="118"/>
      <c r="AG2123" s="118"/>
      <c r="AH2123" s="118"/>
      <c r="AI2123" s="118"/>
      <c r="AJ2123" s="118"/>
      <c r="AK2123" s="118"/>
      <c r="AL2123" s="118"/>
      <c r="AM2123" s="118"/>
      <c r="AN2123" s="118"/>
      <c r="AO2123" s="118"/>
      <c r="AP2123" s="118"/>
      <c r="AQ2123" s="118"/>
      <c r="AR2123" s="118"/>
      <c r="AS2123" s="118"/>
      <c r="AT2123" s="118"/>
      <c r="AU2123" s="118"/>
      <c r="AV2123" s="118"/>
      <c r="AW2123" s="118"/>
      <c r="AX2123" s="118"/>
      <c r="AY2123" s="118"/>
      <c r="AZ2123" s="118"/>
      <c r="BA2123" s="118"/>
      <c r="BB2123" s="118"/>
      <c r="BC2123" s="118"/>
      <c r="BD2123" s="118"/>
      <c r="BE2123" s="118"/>
      <c r="BF2123" s="118"/>
      <c r="BG2123" s="118"/>
      <c r="BH2123" s="118"/>
      <c r="BI2123" s="118"/>
      <c r="BJ2123" s="118"/>
      <c r="BK2123" s="118"/>
      <c r="BL2123" s="118"/>
      <c r="BM2123" s="118"/>
      <c r="BN2123" s="118"/>
      <c r="BO2123" s="118"/>
      <c r="BP2123" s="118"/>
      <c r="BQ2123" s="118"/>
      <c r="BR2123" s="118"/>
      <c r="BS2123" s="118"/>
      <c r="BT2123" s="118"/>
      <c r="BU2123" s="118"/>
      <c r="BV2123" s="118"/>
      <c r="BW2123" s="118"/>
      <c r="BX2123" s="118"/>
      <c r="BY2123" s="118"/>
      <c r="BZ2123" s="118"/>
      <c r="CA2123" s="118"/>
      <c r="CB2123" s="118"/>
      <c r="CC2123" s="118"/>
      <c r="CD2123" s="118"/>
      <c r="CE2123" s="118"/>
      <c r="CF2123" s="118"/>
      <c r="CG2123" s="118"/>
      <c r="CH2123" s="118"/>
      <c r="CI2123" s="118"/>
      <c r="CJ2123" s="118"/>
      <c r="CK2123" s="118"/>
      <c r="CL2123" s="118"/>
      <c r="CM2123" s="118"/>
      <c r="CN2123" s="118"/>
      <c r="CO2123" s="118"/>
      <c r="CP2123" s="118"/>
      <c r="CQ2123" s="118"/>
      <c r="CR2123" s="118"/>
      <c r="CS2123" s="118"/>
      <c r="CT2123" s="118"/>
      <c r="CU2123" s="118"/>
      <c r="CV2123" s="118"/>
      <c r="CW2123" s="118"/>
      <c r="CX2123" s="118"/>
      <c r="CY2123" s="118"/>
      <c r="CZ2123" s="118"/>
      <c r="DA2123" s="118"/>
      <c r="DB2123" s="118"/>
      <c r="DC2123" s="118"/>
      <c r="DD2123" s="118"/>
      <c r="DE2123" s="118"/>
      <c r="DF2123" s="118"/>
      <c r="DG2123" s="118"/>
      <c r="DH2123" s="118"/>
      <c r="DI2123" s="118"/>
      <c r="DJ2123" s="118"/>
      <c r="DK2123" s="118"/>
      <c r="DL2123" s="118"/>
      <c r="DM2123" s="118"/>
      <c r="DN2123" s="118"/>
      <c r="DO2123" s="118"/>
      <c r="DP2123" s="118"/>
      <c r="DQ2123" s="118"/>
      <c r="DR2123" s="118"/>
      <c r="DS2123" s="118"/>
      <c r="DT2123" s="118"/>
      <c r="DU2123" s="118"/>
      <c r="DV2123" s="118"/>
      <c r="DW2123" s="118"/>
      <c r="DX2123" s="118"/>
      <c r="DY2123" s="118"/>
      <c r="DZ2123" s="118"/>
      <c r="EA2123" s="118"/>
      <c r="EB2123" s="118"/>
      <c r="EC2123" s="118"/>
      <c r="ED2123" s="118"/>
      <c r="EE2123" s="118"/>
      <c r="EF2123" s="118"/>
      <c r="EG2123" s="118"/>
      <c r="EH2123" s="118"/>
      <c r="EI2123" s="118"/>
      <c r="EJ2123" s="118"/>
      <c r="EK2123" s="118"/>
      <c r="EL2123" s="118"/>
      <c r="EM2123" s="118"/>
      <c r="EN2123" s="118"/>
      <c r="EO2123" s="118"/>
      <c r="EP2123" s="118"/>
      <c r="EQ2123" s="118"/>
      <c r="ER2123" s="118"/>
      <c r="ES2123" s="118"/>
      <c r="ET2123" s="118"/>
      <c r="EU2123" s="118"/>
      <c r="EV2123" s="118"/>
      <c r="EW2123" s="118"/>
      <c r="EX2123" s="118"/>
      <c r="EY2123" s="118"/>
      <c r="EZ2123" s="118"/>
      <c r="FA2123" s="118"/>
      <c r="FB2123" s="118"/>
      <c r="FC2123" s="118"/>
      <c r="FD2123" s="118"/>
      <c r="FE2123" s="118"/>
      <c r="FF2123" s="118"/>
      <c r="FG2123" s="118"/>
      <c r="FH2123" s="118"/>
      <c r="FI2123" s="118"/>
      <c r="FJ2123" s="118"/>
      <c r="FK2123" s="118"/>
      <c r="FL2123" s="118"/>
      <c r="FM2123" s="118"/>
      <c r="FN2123" s="118"/>
      <c r="FO2123" s="118"/>
      <c r="FP2123" s="118"/>
      <c r="FQ2123" s="118"/>
      <c r="FR2123" s="118"/>
      <c r="FS2123" s="118"/>
      <c r="FT2123" s="118"/>
      <c r="FU2123" s="118"/>
      <c r="FV2123" s="118"/>
      <c r="FW2123" s="118"/>
      <c r="FX2123" s="118"/>
      <c r="FY2123" s="118"/>
      <c r="FZ2123" s="118"/>
      <c r="GA2123" s="118"/>
      <c r="GB2123" s="118"/>
      <c r="GC2123" s="118"/>
      <c r="GD2123" s="118"/>
      <c r="GE2123" s="118"/>
      <c r="GF2123" s="118"/>
      <c r="GG2123" s="118"/>
      <c r="GH2123" s="118"/>
      <c r="GI2123" s="118"/>
      <c r="GJ2123" s="118"/>
      <c r="GK2123" s="118"/>
      <c r="GL2123" s="118"/>
      <c r="GM2123" s="118"/>
      <c r="GN2123" s="118"/>
      <c r="GO2123" s="118"/>
      <c r="GP2123" s="118"/>
      <c r="GQ2123" s="118"/>
      <c r="GR2123" s="118"/>
      <c r="GS2123" s="118"/>
      <c r="GT2123" s="118"/>
      <c r="GU2123" s="118"/>
      <c r="GV2123" s="118"/>
      <c r="GW2123" s="118"/>
      <c r="GX2123" s="118"/>
      <c r="GY2123" s="118"/>
      <c r="GZ2123" s="118"/>
      <c r="HA2123" s="118"/>
      <c r="HB2123" s="118"/>
      <c r="HC2123" s="118"/>
      <c r="HD2123" s="118"/>
      <c r="HE2123" s="118"/>
      <c r="HF2123" s="118"/>
      <c r="HG2123" s="118"/>
      <c r="HH2123" s="118"/>
      <c r="HI2123" s="118"/>
      <c r="HJ2123" s="118"/>
      <c r="HK2123" s="118"/>
      <c r="HL2123" s="118"/>
      <c r="HM2123" s="118"/>
      <c r="HN2123" s="118"/>
      <c r="HO2123" s="118"/>
      <c r="HP2123" s="118"/>
      <c r="HQ2123" s="118"/>
      <c r="HR2123" s="118"/>
      <c r="HS2123" s="118"/>
      <c r="HT2123" s="118"/>
      <c r="HU2123" s="118"/>
      <c r="HV2123" s="118"/>
      <c r="HW2123" s="118"/>
      <c r="HX2123" s="118"/>
      <c r="HY2123" s="118"/>
      <c r="HZ2123" s="118"/>
      <c r="IA2123" s="118"/>
      <c r="IB2123" s="118"/>
      <c r="IC2123" s="118"/>
      <c r="ID2123" s="118"/>
      <c r="IE2123" s="118"/>
      <c r="IF2123" s="118"/>
      <c r="IG2123" s="118"/>
      <c r="IH2123" s="118"/>
      <c r="II2123" s="118"/>
      <c r="IJ2123" s="118"/>
    </row>
    <row r="2124" spans="1:244" s="127" customFormat="1" ht="12.75" customHeight="1">
      <c r="A2124" s="118">
        <v>2123</v>
      </c>
      <c r="B2124" s="128">
        <v>23</v>
      </c>
      <c r="C2124" s="156">
        <v>37196</v>
      </c>
      <c r="D2124" s="157" t="s">
        <v>54</v>
      </c>
      <c r="E2124" s="8">
        <v>2001</v>
      </c>
      <c r="F2124" s="158">
        <f t="shared" si="537"/>
        <v>273</v>
      </c>
      <c r="G2124" s="158">
        <f t="shared" si="538"/>
        <v>1</v>
      </c>
      <c r="H2124" s="162">
        <v>36923</v>
      </c>
      <c r="I2124" s="163">
        <v>479203</v>
      </c>
      <c r="J2124" s="11"/>
      <c r="K2124" s="11"/>
      <c r="L2124" s="11"/>
      <c r="M2124" s="174"/>
      <c r="N2124" s="528"/>
      <c r="O2124" s="11"/>
      <c r="P2124" s="8"/>
      <c r="Q2124" s="11"/>
      <c r="R2124" s="11"/>
      <c r="S2124" s="155"/>
      <c r="T2124" s="11"/>
      <c r="U2124" s="161"/>
      <c r="V2124" s="11"/>
      <c r="W2124" s="11"/>
      <c r="X2124" s="118"/>
      <c r="Y2124" s="118"/>
      <c r="Z2124" s="118"/>
      <c r="AA2124" s="118"/>
      <c r="AB2124" s="118"/>
      <c r="AC2124" s="118"/>
      <c r="AD2124" s="118"/>
      <c r="AE2124" s="118"/>
      <c r="AF2124" s="118"/>
      <c r="AG2124" s="118"/>
      <c r="AH2124" s="118"/>
      <c r="AI2124" s="118"/>
      <c r="AJ2124" s="118"/>
      <c r="AK2124" s="118"/>
      <c r="AL2124" s="118"/>
      <c r="AM2124" s="118"/>
      <c r="AN2124" s="118"/>
      <c r="AO2124" s="118"/>
      <c r="AP2124" s="118"/>
      <c r="AQ2124" s="118"/>
      <c r="AR2124" s="118"/>
      <c r="AS2124" s="118"/>
      <c r="AT2124" s="118"/>
      <c r="AU2124" s="118"/>
      <c r="AV2124" s="118"/>
      <c r="AW2124" s="118"/>
      <c r="AX2124" s="118"/>
      <c r="AY2124" s="118"/>
      <c r="AZ2124" s="118"/>
      <c r="BA2124" s="118"/>
      <c r="BB2124" s="118"/>
      <c r="BC2124" s="118"/>
      <c r="BD2124" s="118"/>
      <c r="BE2124" s="118"/>
      <c r="BF2124" s="118"/>
      <c r="BG2124" s="118"/>
      <c r="BH2124" s="118"/>
      <c r="BI2124" s="118"/>
      <c r="BJ2124" s="118"/>
      <c r="BK2124" s="118"/>
      <c r="BL2124" s="118"/>
      <c r="BM2124" s="118"/>
      <c r="BN2124" s="118"/>
      <c r="BO2124" s="118"/>
      <c r="BP2124" s="118"/>
      <c r="BQ2124" s="118"/>
      <c r="BR2124" s="118"/>
      <c r="BS2124" s="118"/>
      <c r="BT2124" s="118"/>
      <c r="BU2124" s="118"/>
      <c r="BV2124" s="118"/>
      <c r="BW2124" s="118"/>
      <c r="BX2124" s="118"/>
      <c r="BY2124" s="118"/>
      <c r="BZ2124" s="118"/>
      <c r="CA2124" s="118"/>
      <c r="CB2124" s="118"/>
      <c r="CC2124" s="118"/>
      <c r="CD2124" s="118"/>
      <c r="CE2124" s="118"/>
      <c r="CF2124" s="118"/>
      <c r="CG2124" s="118"/>
      <c r="CH2124" s="118"/>
      <c r="CI2124" s="118"/>
      <c r="CJ2124" s="118"/>
      <c r="CK2124" s="118"/>
      <c r="CL2124" s="118"/>
      <c r="CM2124" s="118"/>
      <c r="CN2124" s="118"/>
      <c r="CO2124" s="118"/>
      <c r="CP2124" s="118"/>
      <c r="CQ2124" s="118"/>
      <c r="CR2124" s="118"/>
      <c r="CS2124" s="118"/>
      <c r="CT2124" s="118"/>
      <c r="CU2124" s="118"/>
      <c r="CV2124" s="118"/>
      <c r="CW2124" s="118"/>
      <c r="CX2124" s="118"/>
      <c r="CY2124" s="118"/>
      <c r="CZ2124" s="118"/>
      <c r="DA2124" s="118"/>
      <c r="DB2124" s="118"/>
      <c r="DC2124" s="118"/>
      <c r="DD2124" s="118"/>
      <c r="DE2124" s="118"/>
      <c r="DF2124" s="118"/>
      <c r="DG2124" s="118"/>
      <c r="DH2124" s="118"/>
      <c r="DI2124" s="118"/>
      <c r="DJ2124" s="118"/>
      <c r="DK2124" s="118"/>
      <c r="DL2124" s="118"/>
      <c r="DM2124" s="118"/>
      <c r="DN2124" s="118"/>
      <c r="DO2124" s="118"/>
      <c r="DP2124" s="118"/>
      <c r="DQ2124" s="118"/>
      <c r="DR2124" s="118"/>
      <c r="DS2124" s="118"/>
      <c r="DT2124" s="118"/>
      <c r="DU2124" s="118"/>
      <c r="DV2124" s="118"/>
      <c r="DW2124" s="118"/>
      <c r="DX2124" s="118"/>
      <c r="DY2124" s="118"/>
      <c r="DZ2124" s="118"/>
      <c r="EA2124" s="118"/>
      <c r="EB2124" s="118"/>
      <c r="EC2124" s="118"/>
      <c r="ED2124" s="118"/>
      <c r="EE2124" s="118"/>
      <c r="EF2124" s="118"/>
      <c r="EG2124" s="118"/>
      <c r="EH2124" s="118"/>
      <c r="EI2124" s="118"/>
      <c r="EJ2124" s="118"/>
      <c r="EK2124" s="118"/>
      <c r="EL2124" s="118"/>
      <c r="EM2124" s="118"/>
      <c r="EN2124" s="118"/>
      <c r="EO2124" s="118"/>
      <c r="EP2124" s="118"/>
      <c r="EQ2124" s="118"/>
      <c r="ER2124" s="118"/>
      <c r="ES2124" s="118"/>
      <c r="ET2124" s="118"/>
      <c r="EU2124" s="118"/>
      <c r="EV2124" s="118"/>
      <c r="EW2124" s="118"/>
      <c r="EX2124" s="118"/>
      <c r="EY2124" s="118"/>
      <c r="EZ2124" s="118"/>
      <c r="FA2124" s="118"/>
      <c r="FB2124" s="118"/>
      <c r="FC2124" s="118"/>
      <c r="FD2124" s="118"/>
      <c r="FE2124" s="118"/>
      <c r="FF2124" s="118"/>
      <c r="FG2124" s="118"/>
      <c r="FH2124" s="118"/>
      <c r="FI2124" s="118"/>
      <c r="FJ2124" s="118"/>
      <c r="FK2124" s="118"/>
      <c r="FL2124" s="118"/>
      <c r="FM2124" s="118"/>
      <c r="FN2124" s="118"/>
      <c r="FO2124" s="118"/>
      <c r="FP2124" s="118"/>
      <c r="FQ2124" s="118"/>
      <c r="FR2124" s="118"/>
      <c r="FS2124" s="118"/>
      <c r="FT2124" s="118"/>
      <c r="FU2124" s="118"/>
      <c r="FV2124" s="118"/>
      <c r="FW2124" s="118"/>
      <c r="FX2124" s="118"/>
      <c r="FY2124" s="118"/>
      <c r="FZ2124" s="118"/>
      <c r="GA2124" s="118"/>
      <c r="GB2124" s="118"/>
      <c r="GC2124" s="118"/>
      <c r="GD2124" s="118"/>
      <c r="GE2124" s="118"/>
      <c r="GF2124" s="118"/>
      <c r="GG2124" s="118"/>
      <c r="GH2124" s="118"/>
      <c r="GI2124" s="118"/>
      <c r="GJ2124" s="118"/>
      <c r="GK2124" s="118"/>
      <c r="GL2124" s="118"/>
      <c r="GM2124" s="118"/>
      <c r="GN2124" s="118"/>
      <c r="GO2124" s="118"/>
      <c r="GP2124" s="118"/>
      <c r="GQ2124" s="118"/>
      <c r="GR2124" s="118"/>
      <c r="GS2124" s="118"/>
      <c r="GT2124" s="118"/>
      <c r="GU2124" s="118"/>
      <c r="GV2124" s="118"/>
      <c r="GW2124" s="118"/>
      <c r="GX2124" s="118"/>
      <c r="GY2124" s="118"/>
      <c r="GZ2124" s="118"/>
      <c r="HA2124" s="118"/>
      <c r="HB2124" s="118"/>
      <c r="HC2124" s="118"/>
      <c r="HD2124" s="118"/>
      <c r="HE2124" s="118"/>
      <c r="HF2124" s="118"/>
      <c r="HG2124" s="118"/>
      <c r="HH2124" s="118"/>
      <c r="HI2124" s="118"/>
      <c r="HJ2124" s="118"/>
      <c r="HK2124" s="118"/>
      <c r="HL2124" s="118"/>
      <c r="HM2124" s="118"/>
      <c r="HN2124" s="118"/>
      <c r="HO2124" s="118"/>
      <c r="HP2124" s="118"/>
      <c r="HQ2124" s="118"/>
      <c r="HR2124" s="118"/>
      <c r="HS2124" s="118"/>
      <c r="HT2124" s="118"/>
      <c r="HU2124" s="118"/>
      <c r="HV2124" s="118"/>
      <c r="HW2124" s="118"/>
      <c r="HX2124" s="118"/>
      <c r="HY2124" s="118"/>
      <c r="HZ2124" s="118"/>
      <c r="IA2124" s="118"/>
      <c r="IB2124" s="118"/>
      <c r="IC2124" s="118"/>
      <c r="ID2124" s="118"/>
      <c r="IE2124" s="118"/>
      <c r="IF2124" s="118"/>
      <c r="IG2124" s="118"/>
      <c r="IH2124" s="118"/>
      <c r="II2124" s="118"/>
      <c r="IJ2124" s="118"/>
    </row>
    <row r="2125" spans="1:244" s="127" customFormat="1" ht="12.75" customHeight="1">
      <c r="A2125" s="118">
        <v>2124</v>
      </c>
      <c r="B2125" s="128">
        <v>23</v>
      </c>
      <c r="C2125" s="156">
        <v>37226</v>
      </c>
      <c r="D2125" s="157" t="s">
        <v>55</v>
      </c>
      <c r="E2125" s="8">
        <v>2001</v>
      </c>
      <c r="F2125" s="158">
        <f t="shared" si="537"/>
        <v>303</v>
      </c>
      <c r="G2125" s="158">
        <f t="shared" si="538"/>
        <v>1</v>
      </c>
      <c r="H2125" s="162">
        <v>36923</v>
      </c>
      <c r="I2125" s="163">
        <v>478029</v>
      </c>
      <c r="J2125" s="11"/>
      <c r="K2125" s="11"/>
      <c r="L2125" s="11"/>
      <c r="M2125" s="174"/>
      <c r="N2125" s="528"/>
      <c r="O2125" s="11"/>
      <c r="P2125" s="8"/>
      <c r="Q2125" s="11"/>
      <c r="R2125" s="11"/>
      <c r="S2125" s="155"/>
      <c r="T2125" s="11"/>
      <c r="U2125" s="161"/>
      <c r="V2125" s="11"/>
      <c r="W2125" s="11"/>
      <c r="X2125" s="118"/>
      <c r="Y2125" s="118"/>
      <c r="Z2125" s="118"/>
      <c r="AA2125" s="118"/>
      <c r="AB2125" s="118"/>
      <c r="AC2125" s="118"/>
      <c r="AD2125" s="118"/>
      <c r="AE2125" s="118"/>
      <c r="AF2125" s="118"/>
      <c r="AG2125" s="118"/>
      <c r="AH2125" s="118"/>
      <c r="AI2125" s="118"/>
      <c r="AJ2125" s="118"/>
      <c r="AK2125" s="118"/>
      <c r="AL2125" s="118"/>
      <c r="AM2125" s="118"/>
      <c r="AN2125" s="118"/>
      <c r="AO2125" s="118"/>
      <c r="AP2125" s="118"/>
      <c r="AQ2125" s="118"/>
      <c r="AR2125" s="118"/>
      <c r="AS2125" s="118"/>
      <c r="AT2125" s="118"/>
      <c r="AU2125" s="118"/>
      <c r="AV2125" s="118"/>
      <c r="AW2125" s="118"/>
      <c r="AX2125" s="118"/>
      <c r="AY2125" s="118"/>
      <c r="AZ2125" s="118"/>
      <c r="BA2125" s="118"/>
      <c r="BB2125" s="118"/>
      <c r="BC2125" s="118"/>
      <c r="BD2125" s="118"/>
      <c r="BE2125" s="118"/>
      <c r="BF2125" s="118"/>
      <c r="BG2125" s="118"/>
      <c r="BH2125" s="118"/>
      <c r="BI2125" s="118"/>
      <c r="BJ2125" s="118"/>
      <c r="BK2125" s="118"/>
      <c r="BL2125" s="118"/>
      <c r="BM2125" s="118"/>
      <c r="BN2125" s="118"/>
      <c r="BO2125" s="118"/>
      <c r="BP2125" s="118"/>
      <c r="BQ2125" s="118"/>
      <c r="BR2125" s="118"/>
      <c r="BS2125" s="118"/>
      <c r="BT2125" s="118"/>
      <c r="BU2125" s="118"/>
      <c r="BV2125" s="118"/>
      <c r="BW2125" s="118"/>
      <c r="BX2125" s="118"/>
      <c r="BY2125" s="118"/>
      <c r="BZ2125" s="118"/>
      <c r="CA2125" s="118"/>
      <c r="CB2125" s="118"/>
      <c r="CC2125" s="118"/>
      <c r="CD2125" s="118"/>
      <c r="CE2125" s="118"/>
      <c r="CF2125" s="118"/>
      <c r="CG2125" s="118"/>
      <c r="CH2125" s="118"/>
      <c r="CI2125" s="118"/>
      <c r="CJ2125" s="118"/>
      <c r="CK2125" s="118"/>
      <c r="CL2125" s="118"/>
      <c r="CM2125" s="118"/>
      <c r="CN2125" s="118"/>
      <c r="CO2125" s="118"/>
      <c r="CP2125" s="118"/>
      <c r="CQ2125" s="118"/>
      <c r="CR2125" s="118"/>
      <c r="CS2125" s="118"/>
      <c r="CT2125" s="118"/>
      <c r="CU2125" s="118"/>
      <c r="CV2125" s="118"/>
      <c r="CW2125" s="118"/>
      <c r="CX2125" s="118"/>
      <c r="CY2125" s="118"/>
      <c r="CZ2125" s="118"/>
      <c r="DA2125" s="118"/>
      <c r="DB2125" s="118"/>
      <c r="DC2125" s="118"/>
      <c r="DD2125" s="118"/>
      <c r="DE2125" s="118"/>
      <c r="DF2125" s="118"/>
      <c r="DG2125" s="118"/>
      <c r="DH2125" s="118"/>
      <c r="DI2125" s="118"/>
      <c r="DJ2125" s="118"/>
      <c r="DK2125" s="118"/>
      <c r="DL2125" s="118"/>
      <c r="DM2125" s="118"/>
      <c r="DN2125" s="118"/>
      <c r="DO2125" s="118"/>
      <c r="DP2125" s="118"/>
      <c r="DQ2125" s="118"/>
      <c r="DR2125" s="118"/>
      <c r="DS2125" s="118"/>
      <c r="DT2125" s="118"/>
      <c r="DU2125" s="118"/>
      <c r="DV2125" s="118"/>
      <c r="DW2125" s="118"/>
      <c r="DX2125" s="118"/>
      <c r="DY2125" s="118"/>
      <c r="DZ2125" s="118"/>
      <c r="EA2125" s="118"/>
      <c r="EB2125" s="118"/>
      <c r="EC2125" s="118"/>
      <c r="ED2125" s="118"/>
      <c r="EE2125" s="118"/>
      <c r="EF2125" s="118"/>
      <c r="EG2125" s="118"/>
      <c r="EH2125" s="118"/>
      <c r="EI2125" s="118"/>
      <c r="EJ2125" s="118"/>
      <c r="EK2125" s="118"/>
      <c r="EL2125" s="118"/>
      <c r="EM2125" s="118"/>
      <c r="EN2125" s="118"/>
      <c r="EO2125" s="118"/>
      <c r="EP2125" s="118"/>
      <c r="EQ2125" s="118"/>
      <c r="ER2125" s="118"/>
      <c r="ES2125" s="118"/>
      <c r="ET2125" s="118"/>
      <c r="EU2125" s="118"/>
      <c r="EV2125" s="118"/>
      <c r="EW2125" s="118"/>
      <c r="EX2125" s="118"/>
      <c r="EY2125" s="118"/>
      <c r="EZ2125" s="118"/>
      <c r="FA2125" s="118"/>
      <c r="FB2125" s="118"/>
      <c r="FC2125" s="118"/>
      <c r="FD2125" s="118"/>
      <c r="FE2125" s="118"/>
      <c r="FF2125" s="118"/>
      <c r="FG2125" s="118"/>
      <c r="FH2125" s="118"/>
      <c r="FI2125" s="118"/>
      <c r="FJ2125" s="118"/>
      <c r="FK2125" s="118"/>
      <c r="FL2125" s="118"/>
      <c r="FM2125" s="118"/>
      <c r="FN2125" s="118"/>
      <c r="FO2125" s="118"/>
      <c r="FP2125" s="118"/>
      <c r="FQ2125" s="118"/>
      <c r="FR2125" s="118"/>
      <c r="FS2125" s="118"/>
      <c r="FT2125" s="118"/>
      <c r="FU2125" s="118"/>
      <c r="FV2125" s="118"/>
      <c r="FW2125" s="118"/>
      <c r="FX2125" s="118"/>
      <c r="FY2125" s="118"/>
      <c r="FZ2125" s="118"/>
      <c r="GA2125" s="118"/>
      <c r="GB2125" s="118"/>
      <c r="GC2125" s="118"/>
      <c r="GD2125" s="118"/>
      <c r="GE2125" s="118"/>
      <c r="GF2125" s="118"/>
      <c r="GG2125" s="118"/>
      <c r="GH2125" s="118"/>
      <c r="GI2125" s="118"/>
      <c r="GJ2125" s="118"/>
      <c r="GK2125" s="118"/>
      <c r="GL2125" s="118"/>
      <c r="GM2125" s="118"/>
      <c r="GN2125" s="118"/>
      <c r="GO2125" s="118"/>
      <c r="GP2125" s="118"/>
      <c r="GQ2125" s="118"/>
      <c r="GR2125" s="118"/>
      <c r="GS2125" s="118"/>
      <c r="GT2125" s="118"/>
      <c r="GU2125" s="118"/>
      <c r="GV2125" s="118"/>
      <c r="GW2125" s="118"/>
      <c r="GX2125" s="118"/>
      <c r="GY2125" s="118"/>
      <c r="GZ2125" s="118"/>
      <c r="HA2125" s="118"/>
      <c r="HB2125" s="118"/>
      <c r="HC2125" s="118"/>
      <c r="HD2125" s="118"/>
      <c r="HE2125" s="118"/>
      <c r="HF2125" s="118"/>
      <c r="HG2125" s="118"/>
      <c r="HH2125" s="118"/>
      <c r="HI2125" s="118"/>
      <c r="HJ2125" s="118"/>
      <c r="HK2125" s="118"/>
      <c r="HL2125" s="118"/>
      <c r="HM2125" s="118"/>
      <c r="HN2125" s="118"/>
      <c r="HO2125" s="118"/>
      <c r="HP2125" s="118"/>
      <c r="HQ2125" s="118"/>
      <c r="HR2125" s="118"/>
      <c r="HS2125" s="118"/>
      <c r="HT2125" s="118"/>
      <c r="HU2125" s="118"/>
      <c r="HV2125" s="118"/>
      <c r="HW2125" s="118"/>
      <c r="HX2125" s="118"/>
      <c r="HY2125" s="118"/>
      <c r="HZ2125" s="118"/>
      <c r="IA2125" s="118"/>
      <c r="IB2125" s="118"/>
      <c r="IC2125" s="118"/>
      <c r="ID2125" s="118"/>
      <c r="IE2125" s="118"/>
      <c r="IF2125" s="118"/>
      <c r="IG2125" s="118"/>
      <c r="IH2125" s="118"/>
      <c r="II2125" s="118"/>
      <c r="IJ2125" s="118"/>
    </row>
    <row r="2126" spans="1:244" s="127" customFormat="1" ht="12.75" customHeight="1">
      <c r="A2126" s="118">
        <v>2125</v>
      </c>
      <c r="B2126" s="128">
        <v>23</v>
      </c>
      <c r="C2126" s="156">
        <v>37257</v>
      </c>
      <c r="D2126" s="157" t="s">
        <v>44</v>
      </c>
      <c r="E2126" s="8">
        <v>2002</v>
      </c>
      <c r="F2126" s="158">
        <f t="shared" si="537"/>
        <v>334</v>
      </c>
      <c r="G2126" s="158">
        <f t="shared" si="538"/>
        <v>1</v>
      </c>
      <c r="H2126" s="162">
        <v>36923</v>
      </c>
      <c r="I2126" s="163">
        <v>477624</v>
      </c>
      <c r="J2126" s="8">
        <v>8.85</v>
      </c>
      <c r="K2126" s="11">
        <v>2.98</v>
      </c>
      <c r="L2126" s="11">
        <v>0.7</v>
      </c>
      <c r="M2126" s="174"/>
      <c r="N2126" s="528"/>
      <c r="O2126" s="11">
        <v>0.26</v>
      </c>
      <c r="P2126" s="8"/>
      <c r="Q2126" s="11"/>
      <c r="R2126" s="11"/>
      <c r="S2126" s="155"/>
      <c r="T2126" s="161">
        <f>$I2126*K2126</f>
        <v>1423319.52</v>
      </c>
      <c r="U2126" s="161">
        <f>$I2126*L2126</f>
        <v>334336.8</v>
      </c>
      <c r="V2126" s="161">
        <f>$I2126*O2126</f>
        <v>124182.24</v>
      </c>
      <c r="W2126" s="161">
        <f>V2126*0.4</f>
        <v>49672.896000000008</v>
      </c>
      <c r="X2126" s="118"/>
      <c r="Y2126" s="118"/>
      <c r="Z2126" s="118"/>
      <c r="AA2126" s="118"/>
      <c r="AB2126" s="118"/>
      <c r="AC2126" s="118"/>
      <c r="AD2126" s="118"/>
      <c r="AE2126" s="118"/>
      <c r="AF2126" s="118"/>
      <c r="AG2126" s="118"/>
      <c r="AH2126" s="118"/>
      <c r="AI2126" s="118"/>
      <c r="AJ2126" s="118"/>
      <c r="AK2126" s="118"/>
      <c r="AL2126" s="118"/>
      <c r="AM2126" s="118"/>
      <c r="AN2126" s="118"/>
      <c r="AO2126" s="118"/>
      <c r="AP2126" s="118"/>
      <c r="AQ2126" s="118"/>
      <c r="AR2126" s="118"/>
      <c r="AS2126" s="118"/>
      <c r="AT2126" s="118"/>
      <c r="AU2126" s="118"/>
      <c r="AV2126" s="118"/>
      <c r="AW2126" s="118"/>
      <c r="AX2126" s="118"/>
      <c r="AY2126" s="118"/>
      <c r="AZ2126" s="118"/>
      <c r="BA2126" s="118"/>
      <c r="BB2126" s="118"/>
      <c r="BC2126" s="118"/>
      <c r="BD2126" s="118"/>
      <c r="BE2126" s="118"/>
      <c r="BF2126" s="118"/>
      <c r="BG2126" s="118"/>
      <c r="BH2126" s="118"/>
      <c r="BI2126" s="118"/>
      <c r="BJ2126" s="118"/>
      <c r="BK2126" s="118"/>
      <c r="BL2126" s="118"/>
      <c r="BM2126" s="118"/>
      <c r="BN2126" s="118"/>
      <c r="BO2126" s="118"/>
      <c r="BP2126" s="118"/>
      <c r="BQ2126" s="118"/>
      <c r="BR2126" s="118"/>
      <c r="BS2126" s="118"/>
      <c r="BT2126" s="118"/>
      <c r="BU2126" s="118"/>
      <c r="BV2126" s="118"/>
      <c r="BW2126" s="118"/>
      <c r="BX2126" s="118"/>
      <c r="BY2126" s="118"/>
      <c r="BZ2126" s="118"/>
      <c r="CA2126" s="118"/>
      <c r="CB2126" s="118"/>
      <c r="CC2126" s="118"/>
      <c r="CD2126" s="118"/>
      <c r="CE2126" s="118"/>
      <c r="CF2126" s="118"/>
      <c r="CG2126" s="118"/>
      <c r="CH2126" s="118"/>
      <c r="CI2126" s="118"/>
      <c r="CJ2126" s="118"/>
      <c r="CK2126" s="118"/>
      <c r="CL2126" s="118"/>
      <c r="CM2126" s="118"/>
      <c r="CN2126" s="118"/>
      <c r="CO2126" s="118"/>
      <c r="CP2126" s="118"/>
      <c r="CQ2126" s="118"/>
      <c r="CR2126" s="118"/>
      <c r="CS2126" s="118"/>
      <c r="CT2126" s="118"/>
      <c r="CU2126" s="118"/>
      <c r="CV2126" s="118"/>
      <c r="CW2126" s="118"/>
      <c r="CX2126" s="118"/>
      <c r="CY2126" s="118"/>
      <c r="CZ2126" s="118"/>
      <c r="DA2126" s="118"/>
      <c r="DB2126" s="118"/>
      <c r="DC2126" s="118"/>
      <c r="DD2126" s="118"/>
      <c r="DE2126" s="118"/>
      <c r="DF2126" s="118"/>
      <c r="DG2126" s="118"/>
      <c r="DH2126" s="118"/>
      <c r="DI2126" s="118"/>
      <c r="DJ2126" s="118"/>
      <c r="DK2126" s="118"/>
      <c r="DL2126" s="118"/>
      <c r="DM2126" s="118"/>
      <c r="DN2126" s="118"/>
      <c r="DO2126" s="118"/>
      <c r="DP2126" s="118"/>
      <c r="DQ2126" s="118"/>
      <c r="DR2126" s="118"/>
      <c r="DS2126" s="118"/>
      <c r="DT2126" s="118"/>
      <c r="DU2126" s="118"/>
      <c r="DV2126" s="118"/>
      <c r="DW2126" s="118"/>
      <c r="DX2126" s="118"/>
      <c r="DY2126" s="118"/>
      <c r="DZ2126" s="118"/>
      <c r="EA2126" s="118"/>
      <c r="EB2126" s="118"/>
      <c r="EC2126" s="118"/>
      <c r="ED2126" s="118"/>
      <c r="EE2126" s="118"/>
      <c r="EF2126" s="118"/>
      <c r="EG2126" s="118"/>
      <c r="EH2126" s="118"/>
      <c r="EI2126" s="118"/>
      <c r="EJ2126" s="118"/>
      <c r="EK2126" s="118"/>
      <c r="EL2126" s="118"/>
      <c r="EM2126" s="118"/>
      <c r="EN2126" s="118"/>
      <c r="EO2126" s="118"/>
      <c r="EP2126" s="118"/>
      <c r="EQ2126" s="118"/>
      <c r="ER2126" s="118"/>
      <c r="ES2126" s="118"/>
      <c r="ET2126" s="118"/>
      <c r="EU2126" s="118"/>
      <c r="EV2126" s="118"/>
      <c r="EW2126" s="118"/>
      <c r="EX2126" s="118"/>
      <c r="EY2126" s="118"/>
      <c r="EZ2126" s="118"/>
      <c r="FA2126" s="118"/>
      <c r="FB2126" s="118"/>
      <c r="FC2126" s="118"/>
      <c r="FD2126" s="118"/>
      <c r="FE2126" s="118"/>
      <c r="FF2126" s="118"/>
      <c r="FG2126" s="118"/>
      <c r="FH2126" s="118"/>
      <c r="FI2126" s="118"/>
      <c r="FJ2126" s="118"/>
      <c r="FK2126" s="118"/>
      <c r="FL2126" s="118"/>
      <c r="FM2126" s="118"/>
      <c r="FN2126" s="118"/>
      <c r="FO2126" s="118"/>
      <c r="FP2126" s="118"/>
      <c r="FQ2126" s="118"/>
      <c r="FR2126" s="118"/>
      <c r="FS2126" s="118"/>
      <c r="FT2126" s="118"/>
      <c r="FU2126" s="118"/>
      <c r="FV2126" s="118"/>
      <c r="FW2126" s="118"/>
      <c r="FX2126" s="118"/>
      <c r="FY2126" s="118"/>
      <c r="FZ2126" s="118"/>
      <c r="GA2126" s="118"/>
      <c r="GB2126" s="118"/>
      <c r="GC2126" s="118"/>
      <c r="GD2126" s="118"/>
      <c r="GE2126" s="118"/>
      <c r="GF2126" s="118"/>
      <c r="GG2126" s="118"/>
      <c r="GH2126" s="118"/>
      <c r="GI2126" s="118"/>
      <c r="GJ2126" s="118"/>
      <c r="GK2126" s="118"/>
      <c r="GL2126" s="118"/>
      <c r="GM2126" s="118"/>
      <c r="GN2126" s="118"/>
      <c r="GO2126" s="118"/>
      <c r="GP2126" s="118"/>
      <c r="GQ2126" s="118"/>
      <c r="GR2126" s="118"/>
      <c r="GS2126" s="118"/>
      <c r="GT2126" s="118"/>
      <c r="GU2126" s="118"/>
      <c r="GV2126" s="118"/>
      <c r="GW2126" s="118"/>
      <c r="GX2126" s="118"/>
      <c r="GY2126" s="118"/>
      <c r="GZ2126" s="118"/>
      <c r="HA2126" s="118"/>
      <c r="HB2126" s="118"/>
      <c r="HC2126" s="118"/>
      <c r="HD2126" s="118"/>
      <c r="HE2126" s="118"/>
      <c r="HF2126" s="118"/>
      <c r="HG2126" s="118"/>
      <c r="HH2126" s="118"/>
      <c r="HI2126" s="118"/>
      <c r="HJ2126" s="118"/>
      <c r="HK2126" s="118"/>
      <c r="HL2126" s="118"/>
      <c r="HM2126" s="118"/>
      <c r="HN2126" s="118"/>
      <c r="HO2126" s="118"/>
      <c r="HP2126" s="118"/>
      <c r="HQ2126" s="118"/>
      <c r="HR2126" s="118"/>
      <c r="HS2126" s="118"/>
      <c r="HT2126" s="118"/>
      <c r="HU2126" s="118"/>
      <c r="HV2126" s="118"/>
      <c r="HW2126" s="118"/>
      <c r="HX2126" s="118"/>
      <c r="HY2126" s="118"/>
      <c r="HZ2126" s="118"/>
      <c r="IA2126" s="118"/>
      <c r="IB2126" s="118"/>
      <c r="IC2126" s="118"/>
      <c r="ID2126" s="118"/>
      <c r="IE2126" s="118"/>
      <c r="IF2126" s="118"/>
      <c r="IG2126" s="118"/>
      <c r="IH2126" s="118"/>
      <c r="II2126" s="118"/>
      <c r="IJ2126" s="118"/>
    </row>
    <row r="2127" spans="1:244" s="127" customFormat="1" ht="12.75" customHeight="1">
      <c r="A2127" s="118">
        <v>2126</v>
      </c>
      <c r="B2127" s="128">
        <v>23</v>
      </c>
      <c r="C2127" s="156">
        <v>37288</v>
      </c>
      <c r="D2127" s="157" t="s">
        <v>45</v>
      </c>
      <c r="E2127" s="8">
        <v>2002</v>
      </c>
      <c r="F2127" s="158">
        <f t="shared" si="537"/>
        <v>365</v>
      </c>
      <c r="G2127" s="158">
        <f t="shared" si="538"/>
        <v>2</v>
      </c>
      <c r="H2127" s="162">
        <v>36923</v>
      </c>
      <c r="I2127" s="163">
        <v>477089</v>
      </c>
      <c r="J2127" s="166"/>
      <c r="K2127" s="11"/>
      <c r="L2127" s="11"/>
      <c r="M2127" s="174"/>
      <c r="N2127" s="528"/>
      <c r="O2127" s="11"/>
      <c r="P2127" s="8"/>
      <c r="Q2127" s="11">
        <v>7.02</v>
      </c>
      <c r="R2127" s="11"/>
      <c r="S2127" s="155"/>
      <c r="T2127" s="11"/>
      <c r="U2127" s="161"/>
      <c r="V2127" s="11"/>
      <c r="W2127" s="11"/>
      <c r="X2127" s="118"/>
      <c r="Y2127" s="118"/>
      <c r="Z2127" s="118"/>
      <c r="AA2127" s="118"/>
      <c r="AB2127" s="118"/>
      <c r="AC2127" s="118"/>
      <c r="AD2127" s="118"/>
      <c r="AE2127" s="118"/>
      <c r="AF2127" s="118"/>
      <c r="AG2127" s="118"/>
      <c r="AH2127" s="118"/>
      <c r="AI2127" s="118"/>
      <c r="AJ2127" s="118"/>
      <c r="AK2127" s="118"/>
      <c r="AL2127" s="118"/>
      <c r="AM2127" s="118"/>
      <c r="AN2127" s="118"/>
      <c r="AO2127" s="118"/>
      <c r="AP2127" s="118"/>
      <c r="AQ2127" s="118"/>
      <c r="AR2127" s="118"/>
      <c r="AS2127" s="118"/>
      <c r="AT2127" s="118"/>
      <c r="AU2127" s="118"/>
      <c r="AV2127" s="118"/>
      <c r="AW2127" s="118"/>
      <c r="AX2127" s="118"/>
      <c r="AY2127" s="118"/>
      <c r="AZ2127" s="118"/>
      <c r="BA2127" s="118"/>
      <c r="BB2127" s="118"/>
      <c r="BC2127" s="118"/>
      <c r="BD2127" s="118"/>
      <c r="BE2127" s="118"/>
      <c r="BF2127" s="118"/>
      <c r="BG2127" s="118"/>
      <c r="BH2127" s="118"/>
      <c r="BI2127" s="118"/>
      <c r="BJ2127" s="118"/>
      <c r="BK2127" s="118"/>
      <c r="BL2127" s="118"/>
      <c r="BM2127" s="118"/>
      <c r="BN2127" s="118"/>
      <c r="BO2127" s="118"/>
      <c r="BP2127" s="118"/>
      <c r="BQ2127" s="118"/>
      <c r="BR2127" s="118"/>
      <c r="BS2127" s="118"/>
      <c r="BT2127" s="118"/>
      <c r="BU2127" s="118"/>
      <c r="BV2127" s="118"/>
      <c r="BW2127" s="118"/>
      <c r="BX2127" s="118"/>
      <c r="BY2127" s="118"/>
      <c r="BZ2127" s="118"/>
      <c r="CA2127" s="118"/>
      <c r="CB2127" s="118"/>
      <c r="CC2127" s="118"/>
      <c r="CD2127" s="118"/>
      <c r="CE2127" s="118"/>
      <c r="CF2127" s="118"/>
      <c r="CG2127" s="118"/>
      <c r="CH2127" s="118"/>
      <c r="CI2127" s="118"/>
      <c r="CJ2127" s="118"/>
      <c r="CK2127" s="118"/>
      <c r="CL2127" s="118"/>
      <c r="CM2127" s="118"/>
      <c r="CN2127" s="118"/>
      <c r="CO2127" s="118"/>
      <c r="CP2127" s="118"/>
      <c r="CQ2127" s="118"/>
      <c r="CR2127" s="118"/>
      <c r="CS2127" s="118"/>
      <c r="CT2127" s="118"/>
      <c r="CU2127" s="118"/>
      <c r="CV2127" s="118"/>
      <c r="CW2127" s="118"/>
      <c r="CX2127" s="118"/>
      <c r="CY2127" s="118"/>
      <c r="CZ2127" s="118"/>
      <c r="DA2127" s="118"/>
      <c r="DB2127" s="118"/>
      <c r="DC2127" s="118"/>
      <c r="DD2127" s="118"/>
      <c r="DE2127" s="118"/>
      <c r="DF2127" s="118"/>
      <c r="DG2127" s="118"/>
      <c r="DH2127" s="118"/>
      <c r="DI2127" s="118"/>
      <c r="DJ2127" s="118"/>
      <c r="DK2127" s="118"/>
      <c r="DL2127" s="118"/>
      <c r="DM2127" s="118"/>
      <c r="DN2127" s="118"/>
      <c r="DO2127" s="118"/>
      <c r="DP2127" s="118"/>
      <c r="DQ2127" s="118"/>
      <c r="DR2127" s="118"/>
      <c r="DS2127" s="118"/>
      <c r="DT2127" s="118"/>
      <c r="DU2127" s="118"/>
      <c r="DV2127" s="118"/>
      <c r="DW2127" s="118"/>
      <c r="DX2127" s="118"/>
      <c r="DY2127" s="118"/>
      <c r="DZ2127" s="118"/>
      <c r="EA2127" s="118"/>
      <c r="EB2127" s="118"/>
      <c r="EC2127" s="118"/>
      <c r="ED2127" s="118"/>
      <c r="EE2127" s="118"/>
      <c r="EF2127" s="118"/>
      <c r="EG2127" s="118"/>
      <c r="EH2127" s="118"/>
      <c r="EI2127" s="118"/>
      <c r="EJ2127" s="118"/>
      <c r="EK2127" s="118"/>
      <c r="EL2127" s="118"/>
      <c r="EM2127" s="118"/>
      <c r="EN2127" s="118"/>
      <c r="EO2127" s="118"/>
      <c r="EP2127" s="118"/>
      <c r="EQ2127" s="118"/>
      <c r="ER2127" s="118"/>
      <c r="ES2127" s="118"/>
      <c r="ET2127" s="118"/>
      <c r="EU2127" s="118"/>
      <c r="EV2127" s="118"/>
      <c r="EW2127" s="118"/>
      <c r="EX2127" s="118"/>
      <c r="EY2127" s="118"/>
      <c r="EZ2127" s="118"/>
      <c r="FA2127" s="118"/>
      <c r="FB2127" s="118"/>
      <c r="FC2127" s="118"/>
      <c r="FD2127" s="118"/>
      <c r="FE2127" s="118"/>
      <c r="FF2127" s="118"/>
      <c r="FG2127" s="118"/>
      <c r="FH2127" s="118"/>
      <c r="FI2127" s="118"/>
      <c r="FJ2127" s="118"/>
      <c r="FK2127" s="118"/>
      <c r="FL2127" s="118"/>
      <c r="FM2127" s="118"/>
      <c r="FN2127" s="118"/>
      <c r="FO2127" s="118"/>
      <c r="FP2127" s="118"/>
      <c r="FQ2127" s="118"/>
      <c r="FR2127" s="118"/>
      <c r="FS2127" s="118"/>
      <c r="FT2127" s="118"/>
      <c r="FU2127" s="118"/>
      <c r="FV2127" s="118"/>
      <c r="FW2127" s="118"/>
      <c r="FX2127" s="118"/>
      <c r="FY2127" s="118"/>
      <c r="FZ2127" s="118"/>
      <c r="GA2127" s="118"/>
      <c r="GB2127" s="118"/>
      <c r="GC2127" s="118"/>
      <c r="GD2127" s="118"/>
      <c r="GE2127" s="118"/>
      <c r="GF2127" s="118"/>
      <c r="GG2127" s="118"/>
      <c r="GH2127" s="118"/>
      <c r="GI2127" s="118"/>
      <c r="GJ2127" s="118"/>
      <c r="GK2127" s="118"/>
      <c r="GL2127" s="118"/>
      <c r="GM2127" s="118"/>
      <c r="GN2127" s="118"/>
      <c r="GO2127" s="118"/>
      <c r="GP2127" s="118"/>
      <c r="GQ2127" s="118"/>
      <c r="GR2127" s="118"/>
      <c r="GS2127" s="118"/>
      <c r="GT2127" s="118"/>
      <c r="GU2127" s="118"/>
      <c r="GV2127" s="118"/>
      <c r="GW2127" s="118"/>
      <c r="GX2127" s="118"/>
      <c r="GY2127" s="118"/>
      <c r="GZ2127" s="118"/>
      <c r="HA2127" s="118"/>
      <c r="HB2127" s="118"/>
      <c r="HC2127" s="118"/>
      <c r="HD2127" s="118"/>
      <c r="HE2127" s="118"/>
      <c r="HF2127" s="118"/>
      <c r="HG2127" s="118"/>
      <c r="HH2127" s="118"/>
      <c r="HI2127" s="118"/>
      <c r="HJ2127" s="118"/>
      <c r="HK2127" s="118"/>
      <c r="HL2127" s="118"/>
      <c r="HM2127" s="118"/>
      <c r="HN2127" s="118"/>
      <c r="HO2127" s="118"/>
      <c r="HP2127" s="118"/>
      <c r="HQ2127" s="118"/>
      <c r="HR2127" s="118"/>
      <c r="HS2127" s="118"/>
      <c r="HT2127" s="118"/>
      <c r="HU2127" s="118"/>
      <c r="HV2127" s="118"/>
      <c r="HW2127" s="118"/>
      <c r="HX2127" s="118"/>
      <c r="HY2127" s="118"/>
      <c r="HZ2127" s="118"/>
      <c r="IA2127" s="118"/>
      <c r="IB2127" s="118"/>
      <c r="IC2127" s="118"/>
      <c r="ID2127" s="118"/>
      <c r="IE2127" s="118"/>
      <c r="IF2127" s="118"/>
      <c r="IG2127" s="118"/>
      <c r="IH2127" s="118"/>
      <c r="II2127" s="118"/>
      <c r="IJ2127" s="118"/>
    </row>
    <row r="2128" spans="1:244" s="127" customFormat="1" ht="12.75" customHeight="1">
      <c r="A2128" s="118">
        <v>2127</v>
      </c>
      <c r="B2128" s="128">
        <v>23</v>
      </c>
      <c r="C2128" s="156">
        <v>37316</v>
      </c>
      <c r="D2128" s="157" t="s">
        <v>46</v>
      </c>
      <c r="E2128" s="8">
        <v>2002</v>
      </c>
      <c r="F2128" s="158">
        <f t="shared" si="537"/>
        <v>393</v>
      </c>
      <c r="G2128" s="158">
        <f t="shared" si="538"/>
        <v>2</v>
      </c>
      <c r="H2128" s="162">
        <v>36923</v>
      </c>
      <c r="I2128" s="163">
        <v>476556</v>
      </c>
      <c r="J2128" s="166"/>
      <c r="K2128" s="11"/>
      <c r="L2128" s="11"/>
      <c r="M2128" s="174"/>
      <c r="N2128" s="528"/>
      <c r="O2128" s="11"/>
      <c r="P2128" s="8"/>
      <c r="Q2128" s="11">
        <v>6.6</v>
      </c>
      <c r="R2128" s="11"/>
      <c r="S2128" s="155"/>
      <c r="T2128" s="11"/>
      <c r="U2128" s="161"/>
      <c r="V2128" s="11"/>
      <c r="W2128" s="11"/>
      <c r="X2128" s="118"/>
      <c r="Y2128" s="118"/>
      <c r="Z2128" s="118"/>
      <c r="AA2128" s="118"/>
      <c r="AB2128" s="118"/>
      <c r="AC2128" s="118"/>
      <c r="AD2128" s="118"/>
      <c r="AE2128" s="118"/>
      <c r="AF2128" s="118"/>
      <c r="AG2128" s="118"/>
      <c r="AH2128" s="118"/>
      <c r="AI2128" s="118"/>
      <c r="AJ2128" s="118"/>
      <c r="AK2128" s="118"/>
      <c r="AL2128" s="118"/>
      <c r="AM2128" s="118"/>
      <c r="AN2128" s="118"/>
      <c r="AO2128" s="118"/>
      <c r="AP2128" s="118"/>
      <c r="AQ2128" s="118"/>
      <c r="AR2128" s="118"/>
      <c r="AS2128" s="118"/>
      <c r="AT2128" s="118"/>
      <c r="AU2128" s="118"/>
      <c r="AV2128" s="118"/>
      <c r="AW2128" s="118"/>
      <c r="AX2128" s="118"/>
      <c r="AY2128" s="118"/>
      <c r="AZ2128" s="118"/>
      <c r="BA2128" s="118"/>
      <c r="BB2128" s="118"/>
      <c r="BC2128" s="118"/>
      <c r="BD2128" s="118"/>
      <c r="BE2128" s="118"/>
      <c r="BF2128" s="118"/>
      <c r="BG2128" s="118"/>
      <c r="BH2128" s="118"/>
      <c r="BI2128" s="118"/>
      <c r="BJ2128" s="118"/>
      <c r="BK2128" s="118"/>
      <c r="BL2128" s="118"/>
      <c r="BM2128" s="118"/>
      <c r="BN2128" s="118"/>
      <c r="BO2128" s="118"/>
      <c r="BP2128" s="118"/>
      <c r="BQ2128" s="118"/>
      <c r="BR2128" s="118"/>
      <c r="BS2128" s="118"/>
      <c r="BT2128" s="118"/>
      <c r="BU2128" s="118"/>
      <c r="BV2128" s="118"/>
      <c r="BW2128" s="118"/>
      <c r="BX2128" s="118"/>
      <c r="BY2128" s="118"/>
      <c r="BZ2128" s="118"/>
      <c r="CA2128" s="118"/>
      <c r="CB2128" s="118"/>
      <c r="CC2128" s="118"/>
      <c r="CD2128" s="118"/>
      <c r="CE2128" s="118"/>
      <c r="CF2128" s="118"/>
      <c r="CG2128" s="118"/>
      <c r="CH2128" s="118"/>
      <c r="CI2128" s="118"/>
      <c r="CJ2128" s="118"/>
      <c r="CK2128" s="118"/>
      <c r="CL2128" s="118"/>
      <c r="CM2128" s="118"/>
      <c r="CN2128" s="118"/>
      <c r="CO2128" s="118"/>
      <c r="CP2128" s="118"/>
      <c r="CQ2128" s="118"/>
      <c r="CR2128" s="118"/>
      <c r="CS2128" s="118"/>
      <c r="CT2128" s="118"/>
      <c r="CU2128" s="118"/>
      <c r="CV2128" s="118"/>
      <c r="CW2128" s="118"/>
      <c r="CX2128" s="118"/>
      <c r="CY2128" s="118"/>
      <c r="CZ2128" s="118"/>
      <c r="DA2128" s="118"/>
      <c r="DB2128" s="118"/>
      <c r="DC2128" s="118"/>
      <c r="DD2128" s="118"/>
      <c r="DE2128" s="118"/>
      <c r="DF2128" s="118"/>
      <c r="DG2128" s="118"/>
      <c r="DH2128" s="118"/>
      <c r="DI2128" s="118"/>
      <c r="DJ2128" s="118"/>
      <c r="DK2128" s="118"/>
      <c r="DL2128" s="118"/>
      <c r="DM2128" s="118"/>
      <c r="DN2128" s="118"/>
      <c r="DO2128" s="118"/>
      <c r="DP2128" s="118"/>
      <c r="DQ2128" s="118"/>
      <c r="DR2128" s="118"/>
      <c r="DS2128" s="118"/>
      <c r="DT2128" s="118"/>
      <c r="DU2128" s="118"/>
      <c r="DV2128" s="118"/>
      <c r="DW2128" s="118"/>
      <c r="DX2128" s="118"/>
      <c r="DY2128" s="118"/>
      <c r="DZ2128" s="118"/>
      <c r="EA2128" s="118"/>
      <c r="EB2128" s="118"/>
      <c r="EC2128" s="118"/>
      <c r="ED2128" s="118"/>
      <c r="EE2128" s="118"/>
      <c r="EF2128" s="118"/>
      <c r="EG2128" s="118"/>
      <c r="EH2128" s="118"/>
      <c r="EI2128" s="118"/>
      <c r="EJ2128" s="118"/>
      <c r="EK2128" s="118"/>
      <c r="EL2128" s="118"/>
      <c r="EM2128" s="118"/>
      <c r="EN2128" s="118"/>
      <c r="EO2128" s="118"/>
      <c r="EP2128" s="118"/>
      <c r="EQ2128" s="118"/>
      <c r="ER2128" s="118"/>
      <c r="ES2128" s="118"/>
      <c r="ET2128" s="118"/>
      <c r="EU2128" s="118"/>
      <c r="EV2128" s="118"/>
      <c r="EW2128" s="118"/>
      <c r="EX2128" s="118"/>
      <c r="EY2128" s="118"/>
      <c r="EZ2128" s="118"/>
      <c r="FA2128" s="118"/>
      <c r="FB2128" s="118"/>
      <c r="FC2128" s="118"/>
      <c r="FD2128" s="118"/>
      <c r="FE2128" s="118"/>
      <c r="FF2128" s="118"/>
      <c r="FG2128" s="118"/>
      <c r="FH2128" s="118"/>
      <c r="FI2128" s="118"/>
      <c r="FJ2128" s="118"/>
      <c r="FK2128" s="118"/>
      <c r="FL2128" s="118"/>
      <c r="FM2128" s="118"/>
      <c r="FN2128" s="118"/>
      <c r="FO2128" s="118"/>
      <c r="FP2128" s="118"/>
      <c r="FQ2128" s="118"/>
      <c r="FR2128" s="118"/>
      <c r="FS2128" s="118"/>
      <c r="FT2128" s="118"/>
      <c r="FU2128" s="118"/>
      <c r="FV2128" s="118"/>
      <c r="FW2128" s="118"/>
      <c r="FX2128" s="118"/>
      <c r="FY2128" s="118"/>
      <c r="FZ2128" s="118"/>
      <c r="GA2128" s="118"/>
      <c r="GB2128" s="118"/>
      <c r="GC2128" s="118"/>
      <c r="GD2128" s="118"/>
      <c r="GE2128" s="118"/>
      <c r="GF2128" s="118"/>
      <c r="GG2128" s="118"/>
      <c r="GH2128" s="118"/>
      <c r="GI2128" s="118"/>
      <c r="GJ2128" s="118"/>
      <c r="GK2128" s="118"/>
      <c r="GL2128" s="118"/>
      <c r="GM2128" s="118"/>
      <c r="GN2128" s="118"/>
      <c r="GO2128" s="118"/>
      <c r="GP2128" s="118"/>
      <c r="GQ2128" s="118"/>
      <c r="GR2128" s="118"/>
      <c r="GS2128" s="118"/>
      <c r="GT2128" s="118"/>
      <c r="GU2128" s="118"/>
      <c r="GV2128" s="118"/>
      <c r="GW2128" s="118"/>
      <c r="GX2128" s="118"/>
      <c r="GY2128" s="118"/>
      <c r="GZ2128" s="118"/>
      <c r="HA2128" s="118"/>
      <c r="HB2128" s="118"/>
      <c r="HC2128" s="118"/>
      <c r="HD2128" s="118"/>
      <c r="HE2128" s="118"/>
      <c r="HF2128" s="118"/>
      <c r="HG2128" s="118"/>
      <c r="HH2128" s="118"/>
      <c r="HI2128" s="118"/>
      <c r="HJ2128" s="118"/>
      <c r="HK2128" s="118"/>
      <c r="HL2128" s="118"/>
      <c r="HM2128" s="118"/>
      <c r="HN2128" s="118"/>
      <c r="HO2128" s="118"/>
      <c r="HP2128" s="118"/>
      <c r="HQ2128" s="118"/>
      <c r="HR2128" s="118"/>
      <c r="HS2128" s="118"/>
      <c r="HT2128" s="118"/>
      <c r="HU2128" s="118"/>
      <c r="HV2128" s="118"/>
      <c r="HW2128" s="118"/>
      <c r="HX2128" s="118"/>
      <c r="HY2128" s="118"/>
      <c r="HZ2128" s="118"/>
      <c r="IA2128" s="118"/>
      <c r="IB2128" s="118"/>
      <c r="IC2128" s="118"/>
      <c r="ID2128" s="118"/>
      <c r="IE2128" s="118"/>
      <c r="IF2128" s="118"/>
      <c r="IG2128" s="118"/>
      <c r="IH2128" s="118"/>
      <c r="II2128" s="118"/>
      <c r="IJ2128" s="118"/>
    </row>
    <row r="2129" spans="1:244" s="127" customFormat="1" ht="12.75" customHeight="1">
      <c r="A2129" s="118">
        <v>2128</v>
      </c>
      <c r="B2129" s="128">
        <v>23</v>
      </c>
      <c r="C2129" s="156">
        <v>37347</v>
      </c>
      <c r="D2129" s="157" t="s">
        <v>47</v>
      </c>
      <c r="E2129" s="8">
        <v>2002</v>
      </c>
      <c r="F2129" s="158">
        <f t="shared" si="537"/>
        <v>424</v>
      </c>
      <c r="G2129" s="158">
        <f t="shared" si="538"/>
        <v>2</v>
      </c>
      <c r="H2129" s="162">
        <v>36923</v>
      </c>
      <c r="I2129" s="163">
        <v>476035</v>
      </c>
      <c r="J2129" s="166"/>
      <c r="K2129" s="11"/>
      <c r="L2129" s="11"/>
      <c r="M2129" s="174"/>
      <c r="N2129" s="528"/>
      <c r="O2129" s="11"/>
      <c r="P2129" s="8"/>
      <c r="Q2129" s="11">
        <v>7.35</v>
      </c>
      <c r="R2129" s="11"/>
      <c r="S2129" s="155"/>
      <c r="T2129" s="11"/>
      <c r="U2129" s="161"/>
      <c r="V2129" s="11"/>
      <c r="W2129" s="11"/>
      <c r="X2129" s="118"/>
      <c r="Y2129" s="118"/>
      <c r="Z2129" s="118"/>
      <c r="AA2129" s="118"/>
      <c r="AB2129" s="118"/>
      <c r="AC2129" s="118"/>
      <c r="AD2129" s="118"/>
      <c r="AE2129" s="118"/>
      <c r="AF2129" s="118"/>
      <c r="AG2129" s="118"/>
      <c r="AH2129" s="118"/>
      <c r="AI2129" s="118"/>
      <c r="AJ2129" s="118"/>
      <c r="AK2129" s="118"/>
      <c r="AL2129" s="118"/>
      <c r="AM2129" s="118"/>
      <c r="AN2129" s="118"/>
      <c r="AO2129" s="118"/>
      <c r="AP2129" s="118"/>
      <c r="AQ2129" s="118"/>
      <c r="AR2129" s="118"/>
      <c r="AS2129" s="118"/>
      <c r="AT2129" s="118"/>
      <c r="AU2129" s="118"/>
      <c r="AV2129" s="118"/>
      <c r="AW2129" s="118"/>
      <c r="AX2129" s="118"/>
      <c r="AY2129" s="118"/>
      <c r="AZ2129" s="118"/>
      <c r="BA2129" s="118"/>
      <c r="BB2129" s="118"/>
      <c r="BC2129" s="118"/>
      <c r="BD2129" s="118"/>
      <c r="BE2129" s="118"/>
      <c r="BF2129" s="118"/>
      <c r="BG2129" s="118"/>
      <c r="BH2129" s="118"/>
      <c r="BI2129" s="118"/>
      <c r="BJ2129" s="118"/>
      <c r="BK2129" s="118"/>
      <c r="BL2129" s="118"/>
      <c r="BM2129" s="118"/>
      <c r="BN2129" s="118"/>
      <c r="BO2129" s="118"/>
      <c r="BP2129" s="118"/>
      <c r="BQ2129" s="118"/>
      <c r="BR2129" s="118"/>
      <c r="BS2129" s="118"/>
      <c r="BT2129" s="118"/>
      <c r="BU2129" s="118"/>
      <c r="BV2129" s="118"/>
      <c r="BW2129" s="118"/>
      <c r="BX2129" s="118"/>
      <c r="BY2129" s="118"/>
      <c r="BZ2129" s="118"/>
      <c r="CA2129" s="118"/>
      <c r="CB2129" s="118"/>
      <c r="CC2129" s="118"/>
      <c r="CD2129" s="118"/>
      <c r="CE2129" s="118"/>
      <c r="CF2129" s="118"/>
      <c r="CG2129" s="118"/>
      <c r="CH2129" s="118"/>
      <c r="CI2129" s="118"/>
      <c r="CJ2129" s="118"/>
      <c r="CK2129" s="118"/>
      <c r="CL2129" s="118"/>
      <c r="CM2129" s="118"/>
      <c r="CN2129" s="118"/>
      <c r="CO2129" s="118"/>
      <c r="CP2129" s="118"/>
      <c r="CQ2129" s="118"/>
      <c r="CR2129" s="118"/>
      <c r="CS2129" s="118"/>
      <c r="CT2129" s="118"/>
      <c r="CU2129" s="118"/>
      <c r="CV2129" s="118"/>
      <c r="CW2129" s="118"/>
      <c r="CX2129" s="118"/>
      <c r="CY2129" s="118"/>
      <c r="CZ2129" s="118"/>
      <c r="DA2129" s="118"/>
      <c r="DB2129" s="118"/>
      <c r="DC2129" s="118"/>
      <c r="DD2129" s="118"/>
      <c r="DE2129" s="118"/>
      <c r="DF2129" s="118"/>
      <c r="DG2129" s="118"/>
      <c r="DH2129" s="118"/>
      <c r="DI2129" s="118"/>
      <c r="DJ2129" s="118"/>
      <c r="DK2129" s="118"/>
      <c r="DL2129" s="118"/>
      <c r="DM2129" s="118"/>
      <c r="DN2129" s="118"/>
      <c r="DO2129" s="118"/>
      <c r="DP2129" s="118"/>
      <c r="DQ2129" s="118"/>
      <c r="DR2129" s="118"/>
      <c r="DS2129" s="118"/>
      <c r="DT2129" s="118"/>
      <c r="DU2129" s="118"/>
      <c r="DV2129" s="118"/>
      <c r="DW2129" s="118"/>
      <c r="DX2129" s="118"/>
      <c r="DY2129" s="118"/>
      <c r="DZ2129" s="118"/>
      <c r="EA2129" s="118"/>
      <c r="EB2129" s="118"/>
      <c r="EC2129" s="118"/>
      <c r="ED2129" s="118"/>
      <c r="EE2129" s="118"/>
      <c r="EF2129" s="118"/>
      <c r="EG2129" s="118"/>
      <c r="EH2129" s="118"/>
      <c r="EI2129" s="118"/>
      <c r="EJ2129" s="118"/>
      <c r="EK2129" s="118"/>
      <c r="EL2129" s="118"/>
      <c r="EM2129" s="118"/>
      <c r="EN2129" s="118"/>
      <c r="EO2129" s="118"/>
      <c r="EP2129" s="118"/>
      <c r="EQ2129" s="118"/>
      <c r="ER2129" s="118"/>
      <c r="ES2129" s="118"/>
      <c r="ET2129" s="118"/>
      <c r="EU2129" s="118"/>
      <c r="EV2129" s="118"/>
      <c r="EW2129" s="118"/>
      <c r="EX2129" s="118"/>
      <c r="EY2129" s="118"/>
      <c r="EZ2129" s="118"/>
      <c r="FA2129" s="118"/>
      <c r="FB2129" s="118"/>
      <c r="FC2129" s="118"/>
      <c r="FD2129" s="118"/>
      <c r="FE2129" s="118"/>
      <c r="FF2129" s="118"/>
      <c r="FG2129" s="118"/>
      <c r="FH2129" s="118"/>
      <c r="FI2129" s="118"/>
      <c r="FJ2129" s="118"/>
      <c r="FK2129" s="118"/>
      <c r="FL2129" s="118"/>
      <c r="FM2129" s="118"/>
      <c r="FN2129" s="118"/>
      <c r="FO2129" s="118"/>
      <c r="FP2129" s="118"/>
      <c r="FQ2129" s="118"/>
      <c r="FR2129" s="118"/>
      <c r="FS2129" s="118"/>
      <c r="FT2129" s="118"/>
      <c r="FU2129" s="118"/>
      <c r="FV2129" s="118"/>
      <c r="FW2129" s="118"/>
      <c r="FX2129" s="118"/>
      <c r="FY2129" s="118"/>
      <c r="FZ2129" s="118"/>
      <c r="GA2129" s="118"/>
      <c r="GB2129" s="118"/>
      <c r="GC2129" s="118"/>
      <c r="GD2129" s="118"/>
      <c r="GE2129" s="118"/>
      <c r="GF2129" s="118"/>
      <c r="GG2129" s="118"/>
      <c r="GH2129" s="118"/>
      <c r="GI2129" s="118"/>
      <c r="GJ2129" s="118"/>
      <c r="GK2129" s="118"/>
      <c r="GL2129" s="118"/>
      <c r="GM2129" s="118"/>
      <c r="GN2129" s="118"/>
      <c r="GO2129" s="118"/>
      <c r="GP2129" s="118"/>
      <c r="GQ2129" s="118"/>
      <c r="GR2129" s="118"/>
      <c r="GS2129" s="118"/>
      <c r="GT2129" s="118"/>
      <c r="GU2129" s="118"/>
      <c r="GV2129" s="118"/>
      <c r="GW2129" s="118"/>
      <c r="GX2129" s="118"/>
      <c r="GY2129" s="118"/>
      <c r="GZ2129" s="118"/>
      <c r="HA2129" s="118"/>
      <c r="HB2129" s="118"/>
      <c r="HC2129" s="118"/>
      <c r="HD2129" s="118"/>
      <c r="HE2129" s="118"/>
      <c r="HF2129" s="118"/>
      <c r="HG2129" s="118"/>
      <c r="HH2129" s="118"/>
      <c r="HI2129" s="118"/>
      <c r="HJ2129" s="118"/>
      <c r="HK2129" s="118"/>
      <c r="HL2129" s="118"/>
      <c r="HM2129" s="118"/>
      <c r="HN2129" s="118"/>
      <c r="HO2129" s="118"/>
      <c r="HP2129" s="118"/>
      <c r="HQ2129" s="118"/>
      <c r="HR2129" s="118"/>
      <c r="HS2129" s="118"/>
      <c r="HT2129" s="118"/>
      <c r="HU2129" s="118"/>
      <c r="HV2129" s="118"/>
      <c r="HW2129" s="118"/>
      <c r="HX2129" s="118"/>
      <c r="HY2129" s="118"/>
      <c r="HZ2129" s="118"/>
      <c r="IA2129" s="118"/>
      <c r="IB2129" s="118"/>
      <c r="IC2129" s="118"/>
      <c r="ID2129" s="118"/>
      <c r="IE2129" s="118"/>
      <c r="IF2129" s="118"/>
      <c r="IG2129" s="118"/>
      <c r="IH2129" s="118"/>
      <c r="II2129" s="118"/>
      <c r="IJ2129" s="118"/>
    </row>
    <row r="2130" spans="1:244" ht="12.75" customHeight="1">
      <c r="A2130" s="118">
        <v>2129</v>
      </c>
      <c r="B2130" s="128">
        <v>23</v>
      </c>
      <c r="C2130" s="156">
        <v>37377</v>
      </c>
      <c r="D2130" s="157" t="s">
        <v>48</v>
      </c>
      <c r="E2130" s="8">
        <v>2002</v>
      </c>
      <c r="F2130" s="158">
        <f t="shared" si="537"/>
        <v>454</v>
      </c>
      <c r="G2130" s="158">
        <f t="shared" si="538"/>
        <v>2</v>
      </c>
      <c r="H2130" s="162">
        <v>36923</v>
      </c>
      <c r="I2130" s="163">
        <v>475416</v>
      </c>
      <c r="J2130" s="8">
        <v>8.85</v>
      </c>
      <c r="K2130" s="11">
        <v>7.35</v>
      </c>
      <c r="L2130" s="11">
        <v>2.75</v>
      </c>
      <c r="O2130" s="11">
        <v>0</v>
      </c>
      <c r="Q2130" s="11">
        <v>8.5</v>
      </c>
      <c r="T2130" s="161">
        <f>$I2130*K2130</f>
        <v>3494307.5999999996</v>
      </c>
      <c r="U2130" s="161">
        <f>$I2130*L2130</f>
        <v>1307394</v>
      </c>
      <c r="V2130" s="161">
        <f>$I2130*O2130</f>
        <v>0</v>
      </c>
      <c r="W2130" s="161">
        <f>V2130*0.4</f>
        <v>0</v>
      </c>
    </row>
    <row r="2131" spans="1:244" ht="12.75" customHeight="1">
      <c r="A2131" s="118">
        <v>2130</v>
      </c>
      <c r="B2131" s="128">
        <v>23</v>
      </c>
      <c r="C2131" s="156">
        <v>37408</v>
      </c>
      <c r="D2131" s="157" t="s">
        <v>49</v>
      </c>
      <c r="E2131" s="8">
        <v>2002</v>
      </c>
      <c r="F2131" s="158">
        <f t="shared" si="537"/>
        <v>485</v>
      </c>
      <c r="G2131" s="158">
        <f t="shared" si="538"/>
        <v>2</v>
      </c>
      <c r="H2131" s="162">
        <v>36923</v>
      </c>
      <c r="I2131" s="163">
        <v>473750</v>
      </c>
      <c r="J2131" s="166"/>
      <c r="K2131" s="11"/>
      <c r="L2131" s="11"/>
      <c r="O2131" s="11"/>
      <c r="Q2131" s="11">
        <v>10.199999999999999</v>
      </c>
      <c r="T2131" s="11"/>
      <c r="V2131" s="11"/>
      <c r="W2131" s="11"/>
    </row>
    <row r="2132" spans="1:244" ht="12.75" customHeight="1">
      <c r="A2132" s="118">
        <v>2131</v>
      </c>
      <c r="B2132" s="128">
        <v>23</v>
      </c>
      <c r="C2132" s="156">
        <v>37438</v>
      </c>
      <c r="D2132" s="157" t="s">
        <v>50</v>
      </c>
      <c r="E2132" s="8">
        <v>2002</v>
      </c>
      <c r="F2132" s="158">
        <f t="shared" si="537"/>
        <v>515</v>
      </c>
      <c r="G2132" s="158">
        <f t="shared" si="538"/>
        <v>2</v>
      </c>
      <c r="H2132" s="162">
        <v>36923</v>
      </c>
      <c r="I2132" s="163">
        <v>463387</v>
      </c>
      <c r="J2132" s="166"/>
      <c r="K2132" s="11"/>
      <c r="L2132" s="11"/>
      <c r="O2132" s="11"/>
      <c r="Q2132" s="11">
        <v>11.2</v>
      </c>
      <c r="T2132" s="11"/>
      <c r="V2132" s="11"/>
      <c r="W2132" s="11"/>
    </row>
    <row r="2133" spans="1:244" ht="12.75" customHeight="1">
      <c r="A2133" s="118">
        <v>2132</v>
      </c>
      <c r="B2133" s="128">
        <v>23</v>
      </c>
      <c r="C2133" s="156">
        <v>37469</v>
      </c>
      <c r="D2133" s="157" t="s">
        <v>51</v>
      </c>
      <c r="E2133" s="8">
        <v>2002</v>
      </c>
      <c r="F2133" s="158">
        <f t="shared" si="537"/>
        <v>546</v>
      </c>
      <c r="G2133" s="158">
        <f t="shared" si="538"/>
        <v>2</v>
      </c>
      <c r="H2133" s="162">
        <v>36923</v>
      </c>
      <c r="I2133" s="163">
        <v>462860</v>
      </c>
      <c r="J2133" s="166"/>
      <c r="K2133" s="11"/>
      <c r="L2133" s="11"/>
      <c r="O2133" s="11"/>
      <c r="Q2133" s="11">
        <v>10.7</v>
      </c>
      <c r="T2133" s="11"/>
      <c r="V2133" s="11"/>
      <c r="W2133" s="11"/>
    </row>
    <row r="2134" spans="1:244">
      <c r="A2134" s="118">
        <v>2133</v>
      </c>
      <c r="B2134" s="128">
        <v>23</v>
      </c>
      <c r="C2134" s="156">
        <v>37500</v>
      </c>
      <c r="D2134" s="157" t="s">
        <v>52</v>
      </c>
      <c r="E2134" s="8">
        <v>2002</v>
      </c>
      <c r="F2134" s="158">
        <f t="shared" si="537"/>
        <v>577</v>
      </c>
      <c r="G2134" s="158">
        <f t="shared" si="538"/>
        <v>2</v>
      </c>
      <c r="H2134" s="162">
        <v>36923</v>
      </c>
      <c r="I2134" s="179">
        <v>420000</v>
      </c>
      <c r="J2134" s="166"/>
      <c r="K2134" s="11"/>
      <c r="L2134" s="11"/>
      <c r="O2134" s="11"/>
      <c r="T2134" s="11"/>
      <c r="V2134" s="11"/>
      <c r="W2134" s="11"/>
    </row>
    <row r="2135" spans="1:244" ht="12.75" customHeight="1">
      <c r="A2135" s="118">
        <v>2134</v>
      </c>
      <c r="B2135" s="260">
        <v>23</v>
      </c>
      <c r="C2135" s="156">
        <v>37530</v>
      </c>
      <c r="D2135" s="157" t="s">
        <v>53</v>
      </c>
      <c r="E2135" s="8">
        <v>2002</v>
      </c>
      <c r="F2135" s="158">
        <f t="shared" si="537"/>
        <v>607</v>
      </c>
      <c r="G2135" s="158">
        <f t="shared" si="538"/>
        <v>2</v>
      </c>
      <c r="H2135" s="162">
        <v>36923</v>
      </c>
      <c r="I2135" s="163">
        <v>397166</v>
      </c>
      <c r="J2135" s="11"/>
      <c r="K2135" s="11"/>
      <c r="L2135" s="11"/>
      <c r="O2135" s="11"/>
      <c r="T2135" s="11"/>
      <c r="V2135" s="11"/>
      <c r="W2135" s="11"/>
    </row>
    <row r="2136" spans="1:244">
      <c r="A2136" s="118">
        <v>2135</v>
      </c>
      <c r="B2136" s="260">
        <v>23</v>
      </c>
      <c r="C2136" s="156">
        <v>37561</v>
      </c>
      <c r="D2136" s="157" t="s">
        <v>54</v>
      </c>
      <c r="E2136" s="8">
        <v>2002</v>
      </c>
      <c r="F2136" s="158">
        <f t="shared" si="537"/>
        <v>638</v>
      </c>
      <c r="G2136" s="158">
        <f t="shared" si="538"/>
        <v>2</v>
      </c>
      <c r="H2136" s="162">
        <v>36923</v>
      </c>
      <c r="I2136" s="163">
        <v>380436</v>
      </c>
      <c r="J2136" s="11"/>
      <c r="K2136" s="11"/>
      <c r="L2136" s="11"/>
      <c r="O2136" s="11"/>
      <c r="Q2136" s="11">
        <v>7.9</v>
      </c>
      <c r="T2136" s="11"/>
      <c r="V2136" s="11"/>
      <c r="W2136" s="11"/>
    </row>
    <row r="2137" spans="1:244">
      <c r="A2137" s="118">
        <v>2136</v>
      </c>
      <c r="B2137" s="260">
        <v>23</v>
      </c>
      <c r="C2137" s="156">
        <v>37591</v>
      </c>
      <c r="D2137" s="157" t="s">
        <v>55</v>
      </c>
      <c r="E2137" s="8">
        <v>2002</v>
      </c>
      <c r="F2137" s="158">
        <f t="shared" si="537"/>
        <v>668</v>
      </c>
      <c r="G2137" s="158">
        <f t="shared" si="538"/>
        <v>2</v>
      </c>
      <c r="H2137" s="162">
        <v>36923</v>
      </c>
      <c r="I2137" s="163">
        <v>283336</v>
      </c>
      <c r="J2137" s="11"/>
      <c r="K2137" s="11"/>
      <c r="L2137" s="11"/>
      <c r="O2137" s="11"/>
      <c r="Q2137" s="11">
        <v>7.5</v>
      </c>
      <c r="T2137" s="11"/>
      <c r="V2137" s="11"/>
      <c r="W2137" s="11"/>
    </row>
    <row r="2138" spans="1:244">
      <c r="A2138" s="118">
        <v>2137</v>
      </c>
      <c r="B2138" s="128">
        <v>23</v>
      </c>
      <c r="C2138" s="156">
        <v>37622</v>
      </c>
      <c r="D2138" s="157" t="s">
        <v>44</v>
      </c>
      <c r="E2138" s="8">
        <v>2003</v>
      </c>
      <c r="F2138" s="158">
        <f t="shared" si="537"/>
        <v>699</v>
      </c>
      <c r="G2138" s="158">
        <f t="shared" si="538"/>
        <v>2</v>
      </c>
      <c r="H2138" s="162">
        <v>36923</v>
      </c>
      <c r="I2138" s="163">
        <v>287076</v>
      </c>
      <c r="J2138" s="11">
        <v>9.6999999999999993</v>
      </c>
      <c r="K2138" s="11">
        <v>4.5199999999999996</v>
      </c>
      <c r="L2138" s="11">
        <v>2.11</v>
      </c>
      <c r="O2138" s="11">
        <v>0.56999999999999995</v>
      </c>
      <c r="Q2138" s="11">
        <v>7.5</v>
      </c>
      <c r="T2138" s="161">
        <f t="shared" ref="T2138:U2141" si="539">$I2138*K2138</f>
        <v>1297583.5199999998</v>
      </c>
      <c r="U2138" s="161">
        <f t="shared" si="539"/>
        <v>605730.36</v>
      </c>
      <c r="V2138" s="161">
        <f t="shared" ref="V2138:V2141" si="540">$I2138*O2138</f>
        <v>163633.31999999998</v>
      </c>
      <c r="W2138" s="161">
        <f>V2138*0.4</f>
        <v>65453.327999999994</v>
      </c>
    </row>
    <row r="2139" spans="1:244">
      <c r="A2139" s="118">
        <v>2138</v>
      </c>
      <c r="B2139" s="128">
        <v>23</v>
      </c>
      <c r="C2139" s="156">
        <v>37653</v>
      </c>
      <c r="D2139" s="157" t="s">
        <v>45</v>
      </c>
      <c r="E2139" s="8">
        <v>2003</v>
      </c>
      <c r="F2139" s="158">
        <f t="shared" si="537"/>
        <v>730</v>
      </c>
      <c r="G2139" s="158">
        <f>IF(F2139&lt;730,2,3)</f>
        <v>3</v>
      </c>
      <c r="H2139" s="162">
        <v>36923</v>
      </c>
      <c r="I2139" s="163">
        <v>286003</v>
      </c>
      <c r="J2139" s="11">
        <v>4.28</v>
      </c>
      <c r="K2139" s="11">
        <v>3.68</v>
      </c>
      <c r="L2139" s="11">
        <v>1.48</v>
      </c>
      <c r="M2139" s="174">
        <v>1</v>
      </c>
      <c r="O2139" s="11">
        <v>0.33</v>
      </c>
      <c r="Q2139" s="11">
        <v>7.3</v>
      </c>
      <c r="T2139" s="161">
        <f t="shared" si="539"/>
        <v>1052491.04</v>
      </c>
      <c r="U2139" s="161">
        <f t="shared" si="539"/>
        <v>423284.44</v>
      </c>
      <c r="V2139" s="161">
        <f t="shared" si="540"/>
        <v>94380.99</v>
      </c>
      <c r="W2139" s="161">
        <f>V2139*0.4</f>
        <v>37752.396000000001</v>
      </c>
    </row>
    <row r="2140" spans="1:244">
      <c r="A2140" s="118">
        <v>2139</v>
      </c>
      <c r="B2140" s="128">
        <v>23</v>
      </c>
      <c r="C2140" s="156">
        <v>37681</v>
      </c>
      <c r="D2140" s="157" t="s">
        <v>46</v>
      </c>
      <c r="E2140" s="8">
        <v>2003</v>
      </c>
      <c r="F2140" s="158">
        <f t="shared" si="537"/>
        <v>758</v>
      </c>
      <c r="G2140" s="158">
        <f>IF(F2140&lt;730,2,3)</f>
        <v>3</v>
      </c>
      <c r="H2140" s="162">
        <v>36923</v>
      </c>
      <c r="I2140" s="194">
        <v>151097</v>
      </c>
      <c r="J2140" s="15">
        <v>11.6</v>
      </c>
      <c r="K2140" s="15">
        <v>4.9000000000000004</v>
      </c>
      <c r="L2140" s="15">
        <v>1.7</v>
      </c>
      <c r="M2140" s="174">
        <v>0</v>
      </c>
      <c r="O2140" s="15">
        <v>0.4</v>
      </c>
      <c r="Q2140" s="11">
        <v>7.8</v>
      </c>
      <c r="R2140" s="11">
        <v>31.5</v>
      </c>
      <c r="S2140" s="155" t="s">
        <v>7</v>
      </c>
      <c r="T2140" s="161">
        <f t="shared" si="539"/>
        <v>740375.3</v>
      </c>
      <c r="U2140" s="161">
        <f t="shared" si="539"/>
        <v>256864.9</v>
      </c>
      <c r="V2140" s="161">
        <f t="shared" si="540"/>
        <v>60438.8</v>
      </c>
      <c r="W2140" s="161">
        <f>V2140*0.4</f>
        <v>24175.520000000004</v>
      </c>
    </row>
    <row r="2141" spans="1:244">
      <c r="A2141" s="118">
        <v>2140</v>
      </c>
      <c r="B2141" s="128">
        <v>23</v>
      </c>
      <c r="C2141" s="156">
        <v>37712</v>
      </c>
      <c r="D2141" s="157" t="s">
        <v>47</v>
      </c>
      <c r="E2141" s="8">
        <v>2003</v>
      </c>
      <c r="F2141" s="158">
        <f t="shared" si="537"/>
        <v>789</v>
      </c>
      <c r="G2141" s="158">
        <f>IF(F2141&lt;730,2,3)</f>
        <v>3</v>
      </c>
      <c r="H2141" s="162">
        <v>36923</v>
      </c>
      <c r="I2141" s="194">
        <v>112838</v>
      </c>
      <c r="J2141" s="15">
        <v>0.6</v>
      </c>
      <c r="K2141" s="15">
        <v>3.7</v>
      </c>
      <c r="L2141" s="15">
        <v>1.9</v>
      </c>
      <c r="O2141" s="15">
        <v>4.3</v>
      </c>
      <c r="Q2141" s="11">
        <v>8.1</v>
      </c>
      <c r="R2141" s="11">
        <v>32</v>
      </c>
      <c r="S2141" s="155" t="s">
        <v>7</v>
      </c>
      <c r="T2141" s="161">
        <f t="shared" si="539"/>
        <v>417500.60000000003</v>
      </c>
      <c r="U2141" s="161">
        <f t="shared" si="539"/>
        <v>214392.19999999998</v>
      </c>
      <c r="V2141" s="161">
        <f t="shared" si="540"/>
        <v>485203.39999999997</v>
      </c>
      <c r="W2141" s="161">
        <f>V2141*0.4</f>
        <v>194081.36</v>
      </c>
    </row>
    <row r="2142" spans="1:244">
      <c r="A2142" s="118">
        <v>2141</v>
      </c>
      <c r="B2142" s="128">
        <v>23</v>
      </c>
      <c r="C2142" s="156">
        <v>37742</v>
      </c>
      <c r="D2142" s="157" t="s">
        <v>48</v>
      </c>
      <c r="E2142" s="8">
        <v>2003</v>
      </c>
      <c r="F2142" s="158">
        <f t="shared" si="537"/>
        <v>819</v>
      </c>
      <c r="G2142" s="158">
        <f>IF(F2142&lt;730,2,3)</f>
        <v>3</v>
      </c>
      <c r="H2142" s="162">
        <v>36923</v>
      </c>
      <c r="I2142" s="194">
        <v>50668</v>
      </c>
      <c r="L2142" s="165">
        <v>2.2000000000000002</v>
      </c>
      <c r="N2142" s="528" t="s">
        <v>795</v>
      </c>
      <c r="O2142" s="165">
        <v>6</v>
      </c>
      <c r="S2142" s="155" t="s">
        <v>7</v>
      </c>
      <c r="U2142" s="161">
        <f>$I2142*L2142</f>
        <v>111469.6</v>
      </c>
      <c r="V2142" s="161">
        <f>$I2142*O2142</f>
        <v>304008</v>
      </c>
      <c r="W2142" s="161">
        <f>V2142*0.4</f>
        <v>121603.20000000001</v>
      </c>
    </row>
    <row r="2143" spans="1:244">
      <c r="A2143" s="118">
        <v>2142</v>
      </c>
      <c r="B2143" s="128">
        <v>23</v>
      </c>
      <c r="C2143" s="156">
        <v>37773</v>
      </c>
      <c r="D2143" s="157" t="s">
        <v>49</v>
      </c>
      <c r="E2143" s="8">
        <v>2003</v>
      </c>
      <c r="F2143" s="158"/>
      <c r="I2143" s="194"/>
    </row>
    <row r="2144" spans="1:244">
      <c r="A2144" s="118">
        <v>2143</v>
      </c>
      <c r="B2144" s="128">
        <v>23</v>
      </c>
      <c r="C2144" s="156">
        <v>37803</v>
      </c>
      <c r="D2144" s="157" t="s">
        <v>50</v>
      </c>
      <c r="E2144" s="8">
        <v>2003</v>
      </c>
      <c r="F2144" s="158"/>
      <c r="I2144" s="194"/>
      <c r="J2144" s="194"/>
    </row>
    <row r="2145" spans="1:244">
      <c r="A2145" s="118">
        <v>2144</v>
      </c>
      <c r="B2145" s="128">
        <v>23</v>
      </c>
      <c r="C2145" s="156">
        <v>37834</v>
      </c>
      <c r="D2145" s="157" t="s">
        <v>51</v>
      </c>
      <c r="E2145" s="8">
        <v>2003</v>
      </c>
      <c r="F2145" s="158"/>
      <c r="I2145" s="194"/>
      <c r="J2145" s="194"/>
    </row>
    <row r="2146" spans="1:244">
      <c r="A2146" s="118">
        <v>2145</v>
      </c>
      <c r="B2146" s="128">
        <v>23</v>
      </c>
      <c r="C2146" s="156">
        <v>37865</v>
      </c>
      <c r="D2146" s="157" t="s">
        <v>52</v>
      </c>
      <c r="E2146" s="8">
        <v>2003</v>
      </c>
      <c r="F2146" s="158"/>
      <c r="I2146" s="194"/>
      <c r="J2146" s="194"/>
    </row>
    <row r="2147" spans="1:244">
      <c r="A2147" s="118">
        <v>2146</v>
      </c>
      <c r="B2147" s="128">
        <v>23</v>
      </c>
      <c r="C2147" s="156">
        <v>37895</v>
      </c>
      <c r="D2147" s="157" t="s">
        <v>53</v>
      </c>
      <c r="E2147" s="8">
        <v>2003</v>
      </c>
      <c r="F2147" s="158"/>
      <c r="I2147" s="194"/>
      <c r="J2147" s="194"/>
    </row>
    <row r="2148" spans="1:244" s="127" customFormat="1" ht="12.75" customHeight="1">
      <c r="A2148" s="118">
        <v>2147</v>
      </c>
      <c r="B2148" s="128">
        <v>23</v>
      </c>
      <c r="C2148" s="156">
        <v>37926</v>
      </c>
      <c r="D2148" s="157" t="s">
        <v>54</v>
      </c>
      <c r="E2148" s="8">
        <v>2003</v>
      </c>
      <c r="F2148" s="158"/>
      <c r="G2148" s="11"/>
      <c r="H2148" s="11"/>
      <c r="I2148" s="194"/>
      <c r="J2148" s="194"/>
      <c r="K2148" s="15"/>
      <c r="L2148" s="15"/>
      <c r="M2148" s="174"/>
      <c r="N2148" s="528"/>
      <c r="O2148" s="15"/>
      <c r="P2148" s="8"/>
      <c r="Q2148" s="11"/>
      <c r="R2148" s="11"/>
      <c r="S2148" s="155"/>
      <c r="T2148" s="15"/>
      <c r="U2148" s="161"/>
      <c r="V2148" s="15"/>
      <c r="W2148" s="15"/>
      <c r="X2148" s="118"/>
      <c r="Y2148" s="118"/>
      <c r="Z2148" s="118"/>
      <c r="AA2148" s="118"/>
      <c r="AB2148" s="118"/>
      <c r="AC2148" s="118"/>
      <c r="AD2148" s="118"/>
      <c r="AE2148" s="118"/>
      <c r="AF2148" s="118"/>
      <c r="AG2148" s="118"/>
      <c r="AH2148" s="118"/>
      <c r="AI2148" s="118"/>
      <c r="AJ2148" s="118"/>
      <c r="AK2148" s="118"/>
      <c r="AL2148" s="118"/>
      <c r="AM2148" s="118"/>
      <c r="AN2148" s="118"/>
      <c r="AO2148" s="118"/>
      <c r="AP2148" s="118"/>
      <c r="AQ2148" s="118"/>
      <c r="AR2148" s="118"/>
      <c r="AS2148" s="118"/>
      <c r="AT2148" s="118"/>
      <c r="AU2148" s="118"/>
      <c r="AV2148" s="118"/>
      <c r="AW2148" s="118"/>
      <c r="AX2148" s="118"/>
      <c r="AY2148" s="118"/>
      <c r="AZ2148" s="118"/>
      <c r="BA2148" s="118"/>
      <c r="BB2148" s="118"/>
      <c r="BC2148" s="118"/>
      <c r="BD2148" s="118"/>
      <c r="BE2148" s="118"/>
      <c r="BF2148" s="118"/>
      <c r="BG2148" s="118"/>
      <c r="BH2148" s="118"/>
      <c r="BI2148" s="118"/>
      <c r="BJ2148" s="118"/>
      <c r="BK2148" s="118"/>
      <c r="BL2148" s="118"/>
      <c r="BM2148" s="118"/>
      <c r="BN2148" s="118"/>
      <c r="BO2148" s="118"/>
      <c r="BP2148" s="118"/>
      <c r="BQ2148" s="118"/>
      <c r="BR2148" s="118"/>
      <c r="BS2148" s="118"/>
      <c r="BT2148" s="118"/>
      <c r="BU2148" s="118"/>
      <c r="BV2148" s="118"/>
      <c r="BW2148" s="118"/>
      <c r="BX2148" s="118"/>
      <c r="BY2148" s="118"/>
      <c r="BZ2148" s="118"/>
      <c r="CA2148" s="118"/>
      <c r="CB2148" s="118"/>
      <c r="CC2148" s="118"/>
      <c r="CD2148" s="118"/>
      <c r="CE2148" s="118"/>
      <c r="CF2148" s="118"/>
      <c r="CG2148" s="118"/>
      <c r="CH2148" s="118"/>
      <c r="CI2148" s="118"/>
      <c r="CJ2148" s="118"/>
      <c r="CK2148" s="118"/>
      <c r="CL2148" s="118"/>
      <c r="CM2148" s="118"/>
      <c r="CN2148" s="118"/>
      <c r="CO2148" s="118"/>
      <c r="CP2148" s="118"/>
      <c r="CQ2148" s="118"/>
      <c r="CR2148" s="118"/>
      <c r="CS2148" s="118"/>
      <c r="CT2148" s="118"/>
      <c r="CU2148" s="118"/>
      <c r="CV2148" s="118"/>
      <c r="CW2148" s="118"/>
      <c r="CX2148" s="118"/>
      <c r="CY2148" s="118"/>
      <c r="CZ2148" s="118"/>
      <c r="DA2148" s="118"/>
      <c r="DB2148" s="118"/>
      <c r="DC2148" s="118"/>
      <c r="DD2148" s="118"/>
      <c r="DE2148" s="118"/>
      <c r="DF2148" s="118"/>
      <c r="DG2148" s="118"/>
      <c r="DH2148" s="118"/>
      <c r="DI2148" s="118"/>
      <c r="DJ2148" s="118"/>
      <c r="DK2148" s="118"/>
      <c r="DL2148" s="118"/>
      <c r="DM2148" s="118"/>
      <c r="DN2148" s="118"/>
      <c r="DO2148" s="118"/>
      <c r="DP2148" s="118"/>
      <c r="DQ2148" s="118"/>
      <c r="DR2148" s="118"/>
      <c r="DS2148" s="118"/>
      <c r="DT2148" s="118"/>
      <c r="DU2148" s="118"/>
      <c r="DV2148" s="118"/>
      <c r="DW2148" s="118"/>
      <c r="DX2148" s="118"/>
      <c r="DY2148" s="118"/>
      <c r="DZ2148" s="118"/>
      <c r="EA2148" s="118"/>
      <c r="EB2148" s="118"/>
      <c r="EC2148" s="118"/>
      <c r="ED2148" s="118"/>
      <c r="EE2148" s="118"/>
      <c r="EF2148" s="118"/>
      <c r="EG2148" s="118"/>
      <c r="EH2148" s="118"/>
      <c r="EI2148" s="118"/>
      <c r="EJ2148" s="118"/>
      <c r="EK2148" s="118"/>
      <c r="EL2148" s="118"/>
      <c r="EM2148" s="118"/>
      <c r="EN2148" s="118"/>
      <c r="EO2148" s="118"/>
      <c r="EP2148" s="118"/>
      <c r="EQ2148" s="118"/>
      <c r="ER2148" s="118"/>
      <c r="ES2148" s="118"/>
      <c r="ET2148" s="118"/>
      <c r="EU2148" s="118"/>
      <c r="EV2148" s="118"/>
      <c r="EW2148" s="118"/>
      <c r="EX2148" s="118"/>
      <c r="EY2148" s="118"/>
      <c r="EZ2148" s="118"/>
      <c r="FA2148" s="118"/>
      <c r="FB2148" s="118"/>
      <c r="FC2148" s="118"/>
      <c r="FD2148" s="118"/>
      <c r="FE2148" s="118"/>
      <c r="FF2148" s="118"/>
      <c r="FG2148" s="118"/>
      <c r="FH2148" s="118"/>
      <c r="FI2148" s="118"/>
      <c r="FJ2148" s="118"/>
      <c r="FK2148" s="118"/>
      <c r="FL2148" s="118"/>
      <c r="FM2148" s="118"/>
      <c r="FN2148" s="118"/>
      <c r="FO2148" s="118"/>
      <c r="FP2148" s="118"/>
      <c r="FQ2148" s="118"/>
      <c r="FR2148" s="118"/>
      <c r="FS2148" s="118"/>
      <c r="FT2148" s="118"/>
      <c r="FU2148" s="118"/>
      <c r="FV2148" s="118"/>
      <c r="FW2148" s="118"/>
      <c r="FX2148" s="118"/>
      <c r="FY2148" s="118"/>
      <c r="FZ2148" s="118"/>
      <c r="GA2148" s="118"/>
      <c r="GB2148" s="118"/>
      <c r="GC2148" s="118"/>
      <c r="GD2148" s="118"/>
      <c r="GE2148" s="118"/>
      <c r="GF2148" s="118"/>
      <c r="GG2148" s="118"/>
      <c r="GH2148" s="118"/>
      <c r="GI2148" s="118"/>
      <c r="GJ2148" s="118"/>
      <c r="GK2148" s="118"/>
      <c r="GL2148" s="118"/>
      <c r="GM2148" s="118"/>
      <c r="GN2148" s="118"/>
      <c r="GO2148" s="118"/>
      <c r="GP2148" s="118"/>
      <c r="GQ2148" s="118"/>
      <c r="GR2148" s="118"/>
      <c r="GS2148" s="118"/>
      <c r="GT2148" s="118"/>
      <c r="GU2148" s="118"/>
      <c r="GV2148" s="118"/>
      <c r="GW2148" s="118"/>
      <c r="GX2148" s="118"/>
      <c r="GY2148" s="118"/>
      <c r="GZ2148" s="118"/>
      <c r="HA2148" s="118"/>
      <c r="HB2148" s="118"/>
      <c r="HC2148" s="118"/>
      <c r="HD2148" s="118"/>
      <c r="HE2148" s="118"/>
      <c r="HF2148" s="118"/>
      <c r="HG2148" s="118"/>
      <c r="HH2148" s="118"/>
      <c r="HI2148" s="118"/>
      <c r="HJ2148" s="118"/>
      <c r="HK2148" s="118"/>
      <c r="HL2148" s="118"/>
      <c r="HM2148" s="118"/>
      <c r="HN2148" s="118"/>
      <c r="HO2148" s="118"/>
      <c r="HP2148" s="118"/>
      <c r="HQ2148" s="118"/>
      <c r="HR2148" s="118"/>
      <c r="HS2148" s="118"/>
      <c r="HT2148" s="118"/>
      <c r="HU2148" s="118"/>
      <c r="HV2148" s="118"/>
      <c r="HW2148" s="118"/>
      <c r="HX2148" s="118"/>
      <c r="HY2148" s="118"/>
      <c r="HZ2148" s="118"/>
      <c r="IA2148" s="118"/>
      <c r="IB2148" s="118"/>
      <c r="IC2148" s="118"/>
      <c r="ID2148" s="118"/>
      <c r="IE2148" s="118"/>
      <c r="IF2148" s="118"/>
      <c r="IG2148" s="118"/>
      <c r="IH2148" s="118"/>
      <c r="II2148" s="118"/>
      <c r="IJ2148" s="118"/>
    </row>
    <row r="2149" spans="1:244" s="127" customFormat="1" ht="12.75" customHeight="1">
      <c r="A2149" s="118">
        <v>2148</v>
      </c>
      <c r="B2149" s="128">
        <v>23</v>
      </c>
      <c r="C2149" s="156">
        <v>37956</v>
      </c>
      <c r="D2149" s="157" t="s">
        <v>55</v>
      </c>
      <c r="E2149" s="8">
        <v>2003</v>
      </c>
      <c r="F2149" s="158"/>
      <c r="G2149" s="11"/>
      <c r="H2149" s="11"/>
      <c r="I2149" s="194"/>
      <c r="J2149" s="194"/>
      <c r="K2149" s="15"/>
      <c r="L2149" s="15"/>
      <c r="M2149" s="174"/>
      <c r="N2149" s="528"/>
      <c r="O2149" s="15"/>
      <c r="P2149" s="8"/>
      <c r="Q2149" s="11"/>
      <c r="R2149" s="11"/>
      <c r="S2149" s="155"/>
      <c r="T2149" s="15"/>
      <c r="U2149" s="161"/>
      <c r="V2149" s="15"/>
      <c r="W2149" s="15"/>
      <c r="X2149" s="118"/>
      <c r="Y2149" s="118"/>
      <c r="Z2149" s="118"/>
      <c r="AA2149" s="118"/>
      <c r="AB2149" s="118"/>
      <c r="AC2149" s="118"/>
      <c r="AD2149" s="118"/>
      <c r="AE2149" s="118"/>
      <c r="AF2149" s="118"/>
      <c r="AG2149" s="118"/>
      <c r="AH2149" s="118"/>
      <c r="AI2149" s="118"/>
      <c r="AJ2149" s="118"/>
      <c r="AK2149" s="118"/>
      <c r="AL2149" s="118"/>
      <c r="AM2149" s="118"/>
      <c r="AN2149" s="118"/>
      <c r="AO2149" s="118"/>
      <c r="AP2149" s="118"/>
      <c r="AQ2149" s="118"/>
      <c r="AR2149" s="118"/>
      <c r="AS2149" s="118"/>
      <c r="AT2149" s="118"/>
      <c r="AU2149" s="118"/>
      <c r="AV2149" s="118"/>
      <c r="AW2149" s="118"/>
      <c r="AX2149" s="118"/>
      <c r="AY2149" s="118"/>
      <c r="AZ2149" s="118"/>
      <c r="BA2149" s="118"/>
      <c r="BB2149" s="118"/>
      <c r="BC2149" s="118"/>
      <c r="BD2149" s="118"/>
      <c r="BE2149" s="118"/>
      <c r="BF2149" s="118"/>
      <c r="BG2149" s="118"/>
      <c r="BH2149" s="118"/>
      <c r="BI2149" s="118"/>
      <c r="BJ2149" s="118"/>
      <c r="BK2149" s="118"/>
      <c r="BL2149" s="118"/>
      <c r="BM2149" s="118"/>
      <c r="BN2149" s="118"/>
      <c r="BO2149" s="118"/>
      <c r="BP2149" s="118"/>
      <c r="BQ2149" s="118"/>
      <c r="BR2149" s="118"/>
      <c r="BS2149" s="118"/>
      <c r="BT2149" s="118"/>
      <c r="BU2149" s="118"/>
      <c r="BV2149" s="118"/>
      <c r="BW2149" s="118"/>
      <c r="BX2149" s="118"/>
      <c r="BY2149" s="118"/>
      <c r="BZ2149" s="118"/>
      <c r="CA2149" s="118"/>
      <c r="CB2149" s="118"/>
      <c r="CC2149" s="118"/>
      <c r="CD2149" s="118"/>
      <c r="CE2149" s="118"/>
      <c r="CF2149" s="118"/>
      <c r="CG2149" s="118"/>
      <c r="CH2149" s="118"/>
      <c r="CI2149" s="118"/>
      <c r="CJ2149" s="118"/>
      <c r="CK2149" s="118"/>
      <c r="CL2149" s="118"/>
      <c r="CM2149" s="118"/>
      <c r="CN2149" s="118"/>
      <c r="CO2149" s="118"/>
      <c r="CP2149" s="118"/>
      <c r="CQ2149" s="118"/>
      <c r="CR2149" s="118"/>
      <c r="CS2149" s="118"/>
      <c r="CT2149" s="118"/>
      <c r="CU2149" s="118"/>
      <c r="CV2149" s="118"/>
      <c r="CW2149" s="118"/>
      <c r="CX2149" s="118"/>
      <c r="CY2149" s="118"/>
      <c r="CZ2149" s="118"/>
      <c r="DA2149" s="118"/>
      <c r="DB2149" s="118"/>
      <c r="DC2149" s="118"/>
      <c r="DD2149" s="118"/>
      <c r="DE2149" s="118"/>
      <c r="DF2149" s="118"/>
      <c r="DG2149" s="118"/>
      <c r="DH2149" s="118"/>
      <c r="DI2149" s="118"/>
      <c r="DJ2149" s="118"/>
      <c r="DK2149" s="118"/>
      <c r="DL2149" s="118"/>
      <c r="DM2149" s="118"/>
      <c r="DN2149" s="118"/>
      <c r="DO2149" s="118"/>
      <c r="DP2149" s="118"/>
      <c r="DQ2149" s="118"/>
      <c r="DR2149" s="118"/>
      <c r="DS2149" s="118"/>
      <c r="DT2149" s="118"/>
      <c r="DU2149" s="118"/>
      <c r="DV2149" s="118"/>
      <c r="DW2149" s="118"/>
      <c r="DX2149" s="118"/>
      <c r="DY2149" s="118"/>
      <c r="DZ2149" s="118"/>
      <c r="EA2149" s="118"/>
      <c r="EB2149" s="118"/>
      <c r="EC2149" s="118"/>
      <c r="ED2149" s="118"/>
      <c r="EE2149" s="118"/>
      <c r="EF2149" s="118"/>
      <c r="EG2149" s="118"/>
      <c r="EH2149" s="118"/>
      <c r="EI2149" s="118"/>
      <c r="EJ2149" s="118"/>
      <c r="EK2149" s="118"/>
      <c r="EL2149" s="118"/>
      <c r="EM2149" s="118"/>
      <c r="EN2149" s="118"/>
      <c r="EO2149" s="118"/>
      <c r="EP2149" s="118"/>
      <c r="EQ2149" s="118"/>
      <c r="ER2149" s="118"/>
      <c r="ES2149" s="118"/>
      <c r="ET2149" s="118"/>
      <c r="EU2149" s="118"/>
      <c r="EV2149" s="118"/>
      <c r="EW2149" s="118"/>
      <c r="EX2149" s="118"/>
      <c r="EY2149" s="118"/>
      <c r="EZ2149" s="118"/>
      <c r="FA2149" s="118"/>
      <c r="FB2149" s="118"/>
      <c r="FC2149" s="118"/>
      <c r="FD2149" s="118"/>
      <c r="FE2149" s="118"/>
      <c r="FF2149" s="118"/>
      <c r="FG2149" s="118"/>
      <c r="FH2149" s="118"/>
      <c r="FI2149" s="118"/>
      <c r="FJ2149" s="118"/>
      <c r="FK2149" s="118"/>
      <c r="FL2149" s="118"/>
      <c r="FM2149" s="118"/>
      <c r="FN2149" s="118"/>
      <c r="FO2149" s="118"/>
      <c r="FP2149" s="118"/>
      <c r="FQ2149" s="118"/>
      <c r="FR2149" s="118"/>
      <c r="FS2149" s="118"/>
      <c r="FT2149" s="118"/>
      <c r="FU2149" s="118"/>
      <c r="FV2149" s="118"/>
      <c r="FW2149" s="118"/>
      <c r="FX2149" s="118"/>
      <c r="FY2149" s="118"/>
      <c r="FZ2149" s="118"/>
      <c r="GA2149" s="118"/>
      <c r="GB2149" s="118"/>
      <c r="GC2149" s="118"/>
      <c r="GD2149" s="118"/>
      <c r="GE2149" s="118"/>
      <c r="GF2149" s="118"/>
      <c r="GG2149" s="118"/>
      <c r="GH2149" s="118"/>
      <c r="GI2149" s="118"/>
      <c r="GJ2149" s="118"/>
      <c r="GK2149" s="118"/>
      <c r="GL2149" s="118"/>
      <c r="GM2149" s="118"/>
      <c r="GN2149" s="118"/>
      <c r="GO2149" s="118"/>
      <c r="GP2149" s="118"/>
      <c r="GQ2149" s="118"/>
      <c r="GR2149" s="118"/>
      <c r="GS2149" s="118"/>
      <c r="GT2149" s="118"/>
      <c r="GU2149" s="118"/>
      <c r="GV2149" s="118"/>
      <c r="GW2149" s="118"/>
      <c r="GX2149" s="118"/>
      <c r="GY2149" s="118"/>
      <c r="GZ2149" s="118"/>
      <c r="HA2149" s="118"/>
      <c r="HB2149" s="118"/>
      <c r="HC2149" s="118"/>
      <c r="HD2149" s="118"/>
      <c r="HE2149" s="118"/>
      <c r="HF2149" s="118"/>
      <c r="HG2149" s="118"/>
      <c r="HH2149" s="118"/>
      <c r="HI2149" s="118"/>
      <c r="HJ2149" s="118"/>
      <c r="HK2149" s="118"/>
      <c r="HL2149" s="118"/>
      <c r="HM2149" s="118"/>
      <c r="HN2149" s="118"/>
      <c r="HO2149" s="118"/>
      <c r="HP2149" s="118"/>
      <c r="HQ2149" s="118"/>
      <c r="HR2149" s="118"/>
      <c r="HS2149" s="118"/>
      <c r="HT2149" s="118"/>
      <c r="HU2149" s="118"/>
      <c r="HV2149" s="118"/>
      <c r="HW2149" s="118"/>
      <c r="HX2149" s="118"/>
      <c r="HY2149" s="118"/>
      <c r="HZ2149" s="118"/>
      <c r="IA2149" s="118"/>
      <c r="IB2149" s="118"/>
      <c r="IC2149" s="118"/>
      <c r="ID2149" s="118"/>
      <c r="IE2149" s="118"/>
      <c r="IF2149" s="118"/>
      <c r="IG2149" s="118"/>
      <c r="IH2149" s="118"/>
      <c r="II2149" s="118"/>
      <c r="IJ2149" s="118"/>
    </row>
    <row r="2150" spans="1:244" s="127" customFormat="1" ht="12.75" customHeight="1">
      <c r="A2150" s="118">
        <v>2149</v>
      </c>
      <c r="B2150" s="128">
        <v>23</v>
      </c>
      <c r="C2150" s="156">
        <v>37987</v>
      </c>
      <c r="D2150" s="157" t="s">
        <v>44</v>
      </c>
      <c r="E2150" s="8">
        <v>2004</v>
      </c>
      <c r="F2150" s="158"/>
      <c r="G2150" s="11"/>
      <c r="H2150" s="11"/>
      <c r="I2150" s="194"/>
      <c r="J2150" s="194"/>
      <c r="K2150" s="15"/>
      <c r="L2150" s="15"/>
      <c r="M2150" s="174"/>
      <c r="N2150" s="528"/>
      <c r="O2150" s="15"/>
      <c r="P2150" s="8"/>
      <c r="Q2150" s="11"/>
      <c r="R2150" s="11"/>
      <c r="S2150" s="155"/>
      <c r="T2150" s="15"/>
      <c r="U2150" s="161"/>
      <c r="V2150" s="15"/>
      <c r="W2150" s="15"/>
      <c r="X2150" s="118"/>
      <c r="Y2150" s="118"/>
      <c r="Z2150" s="118"/>
      <c r="AA2150" s="118"/>
      <c r="AB2150" s="118"/>
      <c r="AC2150" s="118"/>
      <c r="AD2150" s="118"/>
      <c r="AE2150" s="118"/>
      <c r="AF2150" s="118"/>
      <c r="AG2150" s="118"/>
      <c r="AH2150" s="118"/>
      <c r="AI2150" s="118"/>
      <c r="AJ2150" s="118"/>
      <c r="AK2150" s="118"/>
      <c r="AL2150" s="118"/>
      <c r="AM2150" s="118"/>
      <c r="AN2150" s="118"/>
      <c r="AO2150" s="118"/>
      <c r="AP2150" s="118"/>
      <c r="AQ2150" s="118"/>
      <c r="AR2150" s="118"/>
      <c r="AS2150" s="118"/>
      <c r="AT2150" s="118"/>
      <c r="AU2150" s="118"/>
      <c r="AV2150" s="118"/>
      <c r="AW2150" s="118"/>
      <c r="AX2150" s="118"/>
      <c r="AY2150" s="118"/>
      <c r="AZ2150" s="118"/>
      <c r="BA2150" s="118"/>
      <c r="BB2150" s="118"/>
      <c r="BC2150" s="118"/>
      <c r="BD2150" s="118"/>
      <c r="BE2150" s="118"/>
      <c r="BF2150" s="118"/>
      <c r="BG2150" s="118"/>
      <c r="BH2150" s="118"/>
      <c r="BI2150" s="118"/>
      <c r="BJ2150" s="118"/>
      <c r="BK2150" s="118"/>
      <c r="BL2150" s="118"/>
      <c r="BM2150" s="118"/>
      <c r="BN2150" s="118"/>
      <c r="BO2150" s="118"/>
      <c r="BP2150" s="118"/>
      <c r="BQ2150" s="118"/>
      <c r="BR2150" s="118"/>
      <c r="BS2150" s="118"/>
      <c r="BT2150" s="118"/>
      <c r="BU2150" s="118"/>
      <c r="BV2150" s="118"/>
      <c r="BW2150" s="118"/>
      <c r="BX2150" s="118"/>
      <c r="BY2150" s="118"/>
      <c r="BZ2150" s="118"/>
      <c r="CA2150" s="118"/>
      <c r="CB2150" s="118"/>
      <c r="CC2150" s="118"/>
      <c r="CD2150" s="118"/>
      <c r="CE2150" s="118"/>
      <c r="CF2150" s="118"/>
      <c r="CG2150" s="118"/>
      <c r="CH2150" s="118"/>
      <c r="CI2150" s="118"/>
      <c r="CJ2150" s="118"/>
      <c r="CK2150" s="118"/>
      <c r="CL2150" s="118"/>
      <c r="CM2150" s="118"/>
      <c r="CN2150" s="118"/>
      <c r="CO2150" s="118"/>
      <c r="CP2150" s="118"/>
      <c r="CQ2150" s="118"/>
      <c r="CR2150" s="118"/>
      <c r="CS2150" s="118"/>
      <c r="CT2150" s="118"/>
      <c r="CU2150" s="118"/>
      <c r="CV2150" s="118"/>
      <c r="CW2150" s="118"/>
      <c r="CX2150" s="118"/>
      <c r="CY2150" s="118"/>
      <c r="CZ2150" s="118"/>
      <c r="DA2150" s="118"/>
      <c r="DB2150" s="118"/>
      <c r="DC2150" s="118"/>
      <c r="DD2150" s="118"/>
      <c r="DE2150" s="118"/>
      <c r="DF2150" s="118"/>
      <c r="DG2150" s="118"/>
      <c r="DH2150" s="118"/>
      <c r="DI2150" s="118"/>
      <c r="DJ2150" s="118"/>
      <c r="DK2150" s="118"/>
      <c r="DL2150" s="118"/>
      <c r="DM2150" s="118"/>
      <c r="DN2150" s="118"/>
      <c r="DO2150" s="118"/>
      <c r="DP2150" s="118"/>
      <c r="DQ2150" s="118"/>
      <c r="DR2150" s="118"/>
      <c r="DS2150" s="118"/>
      <c r="DT2150" s="118"/>
      <c r="DU2150" s="118"/>
      <c r="DV2150" s="118"/>
      <c r="DW2150" s="118"/>
      <c r="DX2150" s="118"/>
      <c r="DY2150" s="118"/>
      <c r="DZ2150" s="118"/>
      <c r="EA2150" s="118"/>
      <c r="EB2150" s="118"/>
      <c r="EC2150" s="118"/>
      <c r="ED2150" s="118"/>
      <c r="EE2150" s="118"/>
      <c r="EF2150" s="118"/>
      <c r="EG2150" s="118"/>
      <c r="EH2150" s="118"/>
      <c r="EI2150" s="118"/>
      <c r="EJ2150" s="118"/>
      <c r="EK2150" s="118"/>
      <c r="EL2150" s="118"/>
      <c r="EM2150" s="118"/>
      <c r="EN2150" s="118"/>
      <c r="EO2150" s="118"/>
      <c r="EP2150" s="118"/>
      <c r="EQ2150" s="118"/>
      <c r="ER2150" s="118"/>
      <c r="ES2150" s="118"/>
      <c r="ET2150" s="118"/>
      <c r="EU2150" s="118"/>
      <c r="EV2150" s="118"/>
      <c r="EW2150" s="118"/>
      <c r="EX2150" s="118"/>
      <c r="EY2150" s="118"/>
      <c r="EZ2150" s="118"/>
      <c r="FA2150" s="118"/>
      <c r="FB2150" s="118"/>
      <c r="FC2150" s="118"/>
      <c r="FD2150" s="118"/>
      <c r="FE2150" s="118"/>
      <c r="FF2150" s="118"/>
      <c r="FG2150" s="118"/>
      <c r="FH2150" s="118"/>
      <c r="FI2150" s="118"/>
      <c r="FJ2150" s="118"/>
      <c r="FK2150" s="118"/>
      <c r="FL2150" s="118"/>
      <c r="FM2150" s="118"/>
      <c r="FN2150" s="118"/>
      <c r="FO2150" s="118"/>
      <c r="FP2150" s="118"/>
      <c r="FQ2150" s="118"/>
      <c r="FR2150" s="118"/>
      <c r="FS2150" s="118"/>
      <c r="FT2150" s="118"/>
      <c r="FU2150" s="118"/>
      <c r="FV2150" s="118"/>
      <c r="FW2150" s="118"/>
      <c r="FX2150" s="118"/>
      <c r="FY2150" s="118"/>
      <c r="FZ2150" s="118"/>
      <c r="GA2150" s="118"/>
      <c r="GB2150" s="118"/>
      <c r="GC2150" s="118"/>
      <c r="GD2150" s="118"/>
      <c r="GE2150" s="118"/>
      <c r="GF2150" s="118"/>
      <c r="GG2150" s="118"/>
      <c r="GH2150" s="118"/>
      <c r="GI2150" s="118"/>
      <c r="GJ2150" s="118"/>
      <c r="GK2150" s="118"/>
      <c r="GL2150" s="118"/>
      <c r="GM2150" s="118"/>
      <c r="GN2150" s="118"/>
      <c r="GO2150" s="118"/>
      <c r="GP2150" s="118"/>
      <c r="GQ2150" s="118"/>
      <c r="GR2150" s="118"/>
      <c r="GS2150" s="118"/>
      <c r="GT2150" s="118"/>
      <c r="GU2150" s="118"/>
      <c r="GV2150" s="118"/>
      <c r="GW2150" s="118"/>
      <c r="GX2150" s="118"/>
      <c r="GY2150" s="118"/>
      <c r="GZ2150" s="118"/>
      <c r="HA2150" s="118"/>
      <c r="HB2150" s="118"/>
      <c r="HC2150" s="118"/>
      <c r="HD2150" s="118"/>
      <c r="HE2150" s="118"/>
      <c r="HF2150" s="118"/>
      <c r="HG2150" s="118"/>
      <c r="HH2150" s="118"/>
      <c r="HI2150" s="118"/>
      <c r="HJ2150" s="118"/>
      <c r="HK2150" s="118"/>
      <c r="HL2150" s="118"/>
      <c r="HM2150" s="118"/>
      <c r="HN2150" s="118"/>
      <c r="HO2150" s="118"/>
      <c r="HP2150" s="118"/>
      <c r="HQ2150" s="118"/>
      <c r="HR2150" s="118"/>
      <c r="HS2150" s="118"/>
      <c r="HT2150" s="118"/>
      <c r="HU2150" s="118"/>
      <c r="HV2150" s="118"/>
      <c r="HW2150" s="118"/>
      <c r="HX2150" s="118"/>
      <c r="HY2150" s="118"/>
      <c r="HZ2150" s="118"/>
      <c r="IA2150" s="118"/>
      <c r="IB2150" s="118"/>
      <c r="IC2150" s="118"/>
      <c r="ID2150" s="118"/>
      <c r="IE2150" s="118"/>
      <c r="IF2150" s="118"/>
      <c r="IG2150" s="118"/>
      <c r="IH2150" s="118"/>
      <c r="II2150" s="118"/>
      <c r="IJ2150" s="118"/>
    </row>
    <row r="2151" spans="1:244" s="127" customFormat="1" ht="12.75" customHeight="1">
      <c r="A2151" s="118">
        <v>2150</v>
      </c>
      <c r="B2151" s="128">
        <v>23</v>
      </c>
      <c r="C2151" s="156">
        <v>38018</v>
      </c>
      <c r="D2151" s="157" t="s">
        <v>45</v>
      </c>
      <c r="E2151" s="8">
        <v>2004</v>
      </c>
      <c r="F2151" s="158"/>
      <c r="G2151" s="11"/>
      <c r="H2151" s="11"/>
      <c r="I2151" s="194"/>
      <c r="J2151" s="194"/>
      <c r="K2151" s="15"/>
      <c r="L2151" s="15"/>
      <c r="M2151" s="174"/>
      <c r="N2151" s="528"/>
      <c r="O2151" s="15"/>
      <c r="P2151" s="8"/>
      <c r="Q2151" s="11"/>
      <c r="R2151" s="11"/>
      <c r="S2151" s="155"/>
      <c r="T2151" s="15"/>
      <c r="U2151" s="161"/>
      <c r="V2151" s="15"/>
      <c r="W2151" s="15"/>
      <c r="X2151" s="118"/>
      <c r="Y2151" s="118"/>
      <c r="Z2151" s="118"/>
      <c r="AA2151" s="118"/>
      <c r="AB2151" s="118"/>
      <c r="AC2151" s="118"/>
      <c r="AD2151" s="118"/>
      <c r="AE2151" s="118"/>
      <c r="AF2151" s="118"/>
      <c r="AG2151" s="118"/>
      <c r="AH2151" s="118"/>
      <c r="AI2151" s="118"/>
      <c r="AJ2151" s="118"/>
      <c r="AK2151" s="118"/>
      <c r="AL2151" s="118"/>
      <c r="AM2151" s="118"/>
      <c r="AN2151" s="118"/>
      <c r="AO2151" s="118"/>
      <c r="AP2151" s="118"/>
      <c r="AQ2151" s="118"/>
      <c r="AR2151" s="118"/>
      <c r="AS2151" s="118"/>
      <c r="AT2151" s="118"/>
      <c r="AU2151" s="118"/>
      <c r="AV2151" s="118"/>
      <c r="AW2151" s="118"/>
      <c r="AX2151" s="118"/>
      <c r="AY2151" s="118"/>
      <c r="AZ2151" s="118"/>
      <c r="BA2151" s="118"/>
      <c r="BB2151" s="118"/>
      <c r="BC2151" s="118"/>
      <c r="BD2151" s="118"/>
      <c r="BE2151" s="118"/>
      <c r="BF2151" s="118"/>
      <c r="BG2151" s="118"/>
      <c r="BH2151" s="118"/>
      <c r="BI2151" s="118"/>
      <c r="BJ2151" s="118"/>
      <c r="BK2151" s="118"/>
      <c r="BL2151" s="118"/>
      <c r="BM2151" s="118"/>
      <c r="BN2151" s="118"/>
      <c r="BO2151" s="118"/>
      <c r="BP2151" s="118"/>
      <c r="BQ2151" s="118"/>
      <c r="BR2151" s="118"/>
      <c r="BS2151" s="118"/>
      <c r="BT2151" s="118"/>
      <c r="BU2151" s="118"/>
      <c r="BV2151" s="118"/>
      <c r="BW2151" s="118"/>
      <c r="BX2151" s="118"/>
      <c r="BY2151" s="118"/>
      <c r="BZ2151" s="118"/>
      <c r="CA2151" s="118"/>
      <c r="CB2151" s="118"/>
      <c r="CC2151" s="118"/>
      <c r="CD2151" s="118"/>
      <c r="CE2151" s="118"/>
      <c r="CF2151" s="118"/>
      <c r="CG2151" s="118"/>
      <c r="CH2151" s="118"/>
      <c r="CI2151" s="118"/>
      <c r="CJ2151" s="118"/>
      <c r="CK2151" s="118"/>
      <c r="CL2151" s="118"/>
      <c r="CM2151" s="118"/>
      <c r="CN2151" s="118"/>
      <c r="CO2151" s="118"/>
      <c r="CP2151" s="118"/>
      <c r="CQ2151" s="118"/>
      <c r="CR2151" s="118"/>
      <c r="CS2151" s="118"/>
      <c r="CT2151" s="118"/>
      <c r="CU2151" s="118"/>
      <c r="CV2151" s="118"/>
      <c r="CW2151" s="118"/>
      <c r="CX2151" s="118"/>
      <c r="CY2151" s="118"/>
      <c r="CZ2151" s="118"/>
      <c r="DA2151" s="118"/>
      <c r="DB2151" s="118"/>
      <c r="DC2151" s="118"/>
      <c r="DD2151" s="118"/>
      <c r="DE2151" s="118"/>
      <c r="DF2151" s="118"/>
      <c r="DG2151" s="118"/>
      <c r="DH2151" s="118"/>
      <c r="DI2151" s="118"/>
      <c r="DJ2151" s="118"/>
      <c r="DK2151" s="118"/>
      <c r="DL2151" s="118"/>
      <c r="DM2151" s="118"/>
      <c r="DN2151" s="118"/>
      <c r="DO2151" s="118"/>
      <c r="DP2151" s="118"/>
      <c r="DQ2151" s="118"/>
      <c r="DR2151" s="118"/>
      <c r="DS2151" s="118"/>
      <c r="DT2151" s="118"/>
      <c r="DU2151" s="118"/>
      <c r="DV2151" s="118"/>
      <c r="DW2151" s="118"/>
      <c r="DX2151" s="118"/>
      <c r="DY2151" s="118"/>
      <c r="DZ2151" s="118"/>
      <c r="EA2151" s="118"/>
      <c r="EB2151" s="118"/>
      <c r="EC2151" s="118"/>
      <c r="ED2151" s="118"/>
      <c r="EE2151" s="118"/>
      <c r="EF2151" s="118"/>
      <c r="EG2151" s="118"/>
      <c r="EH2151" s="118"/>
      <c r="EI2151" s="118"/>
      <c r="EJ2151" s="118"/>
      <c r="EK2151" s="118"/>
      <c r="EL2151" s="118"/>
      <c r="EM2151" s="118"/>
      <c r="EN2151" s="118"/>
      <c r="EO2151" s="118"/>
      <c r="EP2151" s="118"/>
      <c r="EQ2151" s="118"/>
      <c r="ER2151" s="118"/>
      <c r="ES2151" s="118"/>
      <c r="ET2151" s="118"/>
      <c r="EU2151" s="118"/>
      <c r="EV2151" s="118"/>
      <c r="EW2151" s="118"/>
      <c r="EX2151" s="118"/>
      <c r="EY2151" s="118"/>
      <c r="EZ2151" s="118"/>
      <c r="FA2151" s="118"/>
      <c r="FB2151" s="118"/>
      <c r="FC2151" s="118"/>
      <c r="FD2151" s="118"/>
      <c r="FE2151" s="118"/>
      <c r="FF2151" s="118"/>
      <c r="FG2151" s="118"/>
      <c r="FH2151" s="118"/>
      <c r="FI2151" s="118"/>
      <c r="FJ2151" s="118"/>
      <c r="FK2151" s="118"/>
      <c r="FL2151" s="118"/>
      <c r="FM2151" s="118"/>
      <c r="FN2151" s="118"/>
      <c r="FO2151" s="118"/>
      <c r="FP2151" s="118"/>
      <c r="FQ2151" s="118"/>
      <c r="FR2151" s="118"/>
      <c r="FS2151" s="118"/>
      <c r="FT2151" s="118"/>
      <c r="FU2151" s="118"/>
      <c r="FV2151" s="118"/>
      <c r="FW2151" s="118"/>
      <c r="FX2151" s="118"/>
      <c r="FY2151" s="118"/>
      <c r="FZ2151" s="118"/>
      <c r="GA2151" s="118"/>
      <c r="GB2151" s="118"/>
      <c r="GC2151" s="118"/>
      <c r="GD2151" s="118"/>
      <c r="GE2151" s="118"/>
      <c r="GF2151" s="118"/>
      <c r="GG2151" s="118"/>
      <c r="GH2151" s="118"/>
      <c r="GI2151" s="118"/>
      <c r="GJ2151" s="118"/>
      <c r="GK2151" s="118"/>
      <c r="GL2151" s="118"/>
      <c r="GM2151" s="118"/>
      <c r="GN2151" s="118"/>
      <c r="GO2151" s="118"/>
      <c r="GP2151" s="118"/>
      <c r="GQ2151" s="118"/>
      <c r="GR2151" s="118"/>
      <c r="GS2151" s="118"/>
      <c r="GT2151" s="118"/>
      <c r="GU2151" s="118"/>
      <c r="GV2151" s="118"/>
      <c r="GW2151" s="118"/>
      <c r="GX2151" s="118"/>
      <c r="GY2151" s="118"/>
      <c r="GZ2151" s="118"/>
      <c r="HA2151" s="118"/>
      <c r="HB2151" s="118"/>
      <c r="HC2151" s="118"/>
      <c r="HD2151" s="118"/>
      <c r="HE2151" s="118"/>
      <c r="HF2151" s="118"/>
      <c r="HG2151" s="118"/>
      <c r="HH2151" s="118"/>
      <c r="HI2151" s="118"/>
      <c r="HJ2151" s="118"/>
      <c r="HK2151" s="118"/>
      <c r="HL2151" s="118"/>
      <c r="HM2151" s="118"/>
      <c r="HN2151" s="118"/>
      <c r="HO2151" s="118"/>
      <c r="HP2151" s="118"/>
      <c r="HQ2151" s="118"/>
      <c r="HR2151" s="118"/>
      <c r="HS2151" s="118"/>
      <c r="HT2151" s="118"/>
      <c r="HU2151" s="118"/>
      <c r="HV2151" s="118"/>
      <c r="HW2151" s="118"/>
      <c r="HX2151" s="118"/>
      <c r="HY2151" s="118"/>
      <c r="HZ2151" s="118"/>
      <c r="IA2151" s="118"/>
      <c r="IB2151" s="118"/>
      <c r="IC2151" s="118"/>
      <c r="ID2151" s="118"/>
      <c r="IE2151" s="118"/>
      <c r="IF2151" s="118"/>
      <c r="IG2151" s="118"/>
      <c r="IH2151" s="118"/>
      <c r="II2151" s="118"/>
      <c r="IJ2151" s="118"/>
    </row>
    <row r="2152" spans="1:244" s="127" customFormat="1" ht="12.75" customHeight="1">
      <c r="A2152" s="118">
        <v>2151</v>
      </c>
      <c r="B2152" s="128">
        <v>23</v>
      </c>
      <c r="C2152" s="156">
        <v>38047</v>
      </c>
      <c r="D2152" s="157" t="s">
        <v>46</v>
      </c>
      <c r="E2152" s="8">
        <v>2004</v>
      </c>
      <c r="F2152" s="158"/>
      <c r="G2152" s="11"/>
      <c r="H2152" s="11"/>
      <c r="I2152" s="194"/>
      <c r="J2152" s="15"/>
      <c r="K2152" s="15"/>
      <c r="L2152" s="15"/>
      <c r="M2152" s="174"/>
      <c r="N2152" s="528"/>
      <c r="O2152" s="15"/>
      <c r="P2152" s="8"/>
      <c r="Q2152" s="11"/>
      <c r="R2152" s="11"/>
      <c r="S2152" s="155"/>
      <c r="T2152" s="15"/>
      <c r="U2152" s="161"/>
      <c r="V2152" s="15"/>
      <c r="W2152" s="15"/>
      <c r="X2152" s="118"/>
      <c r="Y2152" s="118"/>
      <c r="Z2152" s="118"/>
      <c r="AA2152" s="118"/>
      <c r="AB2152" s="118"/>
      <c r="AC2152" s="118"/>
      <c r="AD2152" s="118"/>
      <c r="AE2152" s="118"/>
      <c r="AF2152" s="118"/>
      <c r="AG2152" s="118"/>
      <c r="AH2152" s="118"/>
      <c r="AI2152" s="118"/>
      <c r="AJ2152" s="118"/>
      <c r="AK2152" s="118"/>
      <c r="AL2152" s="118"/>
      <c r="AM2152" s="118"/>
      <c r="AN2152" s="118"/>
      <c r="AO2152" s="118"/>
      <c r="AP2152" s="118"/>
      <c r="AQ2152" s="118"/>
      <c r="AR2152" s="118"/>
      <c r="AS2152" s="118"/>
      <c r="AT2152" s="118"/>
      <c r="AU2152" s="118"/>
      <c r="AV2152" s="118"/>
      <c r="AW2152" s="118"/>
      <c r="AX2152" s="118"/>
      <c r="AY2152" s="118"/>
      <c r="AZ2152" s="118"/>
      <c r="BA2152" s="118"/>
      <c r="BB2152" s="118"/>
      <c r="BC2152" s="118"/>
      <c r="BD2152" s="118"/>
      <c r="BE2152" s="118"/>
      <c r="BF2152" s="118"/>
      <c r="BG2152" s="118"/>
      <c r="BH2152" s="118"/>
      <c r="BI2152" s="118"/>
      <c r="BJ2152" s="118"/>
      <c r="BK2152" s="118"/>
      <c r="BL2152" s="118"/>
      <c r="BM2152" s="118"/>
      <c r="BN2152" s="118"/>
      <c r="BO2152" s="118"/>
      <c r="BP2152" s="118"/>
      <c r="BQ2152" s="118"/>
      <c r="BR2152" s="118"/>
      <c r="BS2152" s="118"/>
      <c r="BT2152" s="118"/>
      <c r="BU2152" s="118"/>
      <c r="BV2152" s="118"/>
      <c r="BW2152" s="118"/>
      <c r="BX2152" s="118"/>
      <c r="BY2152" s="118"/>
      <c r="BZ2152" s="118"/>
      <c r="CA2152" s="118"/>
      <c r="CB2152" s="118"/>
      <c r="CC2152" s="118"/>
      <c r="CD2152" s="118"/>
      <c r="CE2152" s="118"/>
      <c r="CF2152" s="118"/>
      <c r="CG2152" s="118"/>
      <c r="CH2152" s="118"/>
      <c r="CI2152" s="118"/>
      <c r="CJ2152" s="118"/>
      <c r="CK2152" s="118"/>
      <c r="CL2152" s="118"/>
      <c r="CM2152" s="118"/>
      <c r="CN2152" s="118"/>
      <c r="CO2152" s="118"/>
      <c r="CP2152" s="118"/>
      <c r="CQ2152" s="118"/>
      <c r="CR2152" s="118"/>
      <c r="CS2152" s="118"/>
      <c r="CT2152" s="118"/>
      <c r="CU2152" s="118"/>
      <c r="CV2152" s="118"/>
      <c r="CW2152" s="118"/>
      <c r="CX2152" s="118"/>
      <c r="CY2152" s="118"/>
      <c r="CZ2152" s="118"/>
      <c r="DA2152" s="118"/>
      <c r="DB2152" s="118"/>
      <c r="DC2152" s="118"/>
      <c r="DD2152" s="118"/>
      <c r="DE2152" s="118"/>
      <c r="DF2152" s="118"/>
      <c r="DG2152" s="118"/>
      <c r="DH2152" s="118"/>
      <c r="DI2152" s="118"/>
      <c r="DJ2152" s="118"/>
      <c r="DK2152" s="118"/>
      <c r="DL2152" s="118"/>
      <c r="DM2152" s="118"/>
      <c r="DN2152" s="118"/>
      <c r="DO2152" s="118"/>
      <c r="DP2152" s="118"/>
      <c r="DQ2152" s="118"/>
      <c r="DR2152" s="118"/>
      <c r="DS2152" s="118"/>
      <c r="DT2152" s="118"/>
      <c r="DU2152" s="118"/>
      <c r="DV2152" s="118"/>
      <c r="DW2152" s="118"/>
      <c r="DX2152" s="118"/>
      <c r="DY2152" s="118"/>
      <c r="DZ2152" s="118"/>
      <c r="EA2152" s="118"/>
      <c r="EB2152" s="118"/>
      <c r="EC2152" s="118"/>
      <c r="ED2152" s="118"/>
      <c r="EE2152" s="118"/>
      <c r="EF2152" s="118"/>
      <c r="EG2152" s="118"/>
      <c r="EH2152" s="118"/>
      <c r="EI2152" s="118"/>
      <c r="EJ2152" s="118"/>
      <c r="EK2152" s="118"/>
      <c r="EL2152" s="118"/>
      <c r="EM2152" s="118"/>
      <c r="EN2152" s="118"/>
      <c r="EO2152" s="118"/>
      <c r="EP2152" s="118"/>
      <c r="EQ2152" s="118"/>
      <c r="ER2152" s="118"/>
      <c r="ES2152" s="118"/>
      <c r="ET2152" s="118"/>
      <c r="EU2152" s="118"/>
      <c r="EV2152" s="118"/>
      <c r="EW2152" s="118"/>
      <c r="EX2152" s="118"/>
      <c r="EY2152" s="118"/>
      <c r="EZ2152" s="118"/>
      <c r="FA2152" s="118"/>
      <c r="FB2152" s="118"/>
      <c r="FC2152" s="118"/>
      <c r="FD2152" s="118"/>
      <c r="FE2152" s="118"/>
      <c r="FF2152" s="118"/>
      <c r="FG2152" s="118"/>
      <c r="FH2152" s="118"/>
      <c r="FI2152" s="118"/>
      <c r="FJ2152" s="118"/>
      <c r="FK2152" s="118"/>
      <c r="FL2152" s="118"/>
      <c r="FM2152" s="118"/>
      <c r="FN2152" s="118"/>
      <c r="FO2152" s="118"/>
      <c r="FP2152" s="118"/>
      <c r="FQ2152" s="118"/>
      <c r="FR2152" s="118"/>
      <c r="FS2152" s="118"/>
      <c r="FT2152" s="118"/>
      <c r="FU2152" s="118"/>
      <c r="FV2152" s="118"/>
      <c r="FW2152" s="118"/>
      <c r="FX2152" s="118"/>
      <c r="FY2152" s="118"/>
      <c r="FZ2152" s="118"/>
      <c r="GA2152" s="118"/>
      <c r="GB2152" s="118"/>
      <c r="GC2152" s="118"/>
      <c r="GD2152" s="118"/>
      <c r="GE2152" s="118"/>
      <c r="GF2152" s="118"/>
      <c r="GG2152" s="118"/>
      <c r="GH2152" s="118"/>
      <c r="GI2152" s="118"/>
      <c r="GJ2152" s="118"/>
      <c r="GK2152" s="118"/>
      <c r="GL2152" s="118"/>
      <c r="GM2152" s="118"/>
      <c r="GN2152" s="118"/>
      <c r="GO2152" s="118"/>
      <c r="GP2152" s="118"/>
      <c r="GQ2152" s="118"/>
      <c r="GR2152" s="118"/>
      <c r="GS2152" s="118"/>
      <c r="GT2152" s="118"/>
      <c r="GU2152" s="118"/>
      <c r="GV2152" s="118"/>
      <c r="GW2152" s="118"/>
      <c r="GX2152" s="118"/>
      <c r="GY2152" s="118"/>
      <c r="GZ2152" s="118"/>
      <c r="HA2152" s="118"/>
      <c r="HB2152" s="118"/>
      <c r="HC2152" s="118"/>
      <c r="HD2152" s="118"/>
      <c r="HE2152" s="118"/>
      <c r="HF2152" s="118"/>
      <c r="HG2152" s="118"/>
      <c r="HH2152" s="118"/>
      <c r="HI2152" s="118"/>
      <c r="HJ2152" s="118"/>
      <c r="HK2152" s="118"/>
      <c r="HL2152" s="118"/>
      <c r="HM2152" s="118"/>
      <c r="HN2152" s="118"/>
      <c r="HO2152" s="118"/>
      <c r="HP2152" s="118"/>
      <c r="HQ2152" s="118"/>
      <c r="HR2152" s="118"/>
      <c r="HS2152" s="118"/>
      <c r="HT2152" s="118"/>
      <c r="HU2152" s="118"/>
      <c r="HV2152" s="118"/>
      <c r="HW2152" s="118"/>
      <c r="HX2152" s="118"/>
      <c r="HY2152" s="118"/>
      <c r="HZ2152" s="118"/>
      <c r="IA2152" s="118"/>
      <c r="IB2152" s="118"/>
      <c r="IC2152" s="118"/>
      <c r="ID2152" s="118"/>
      <c r="IE2152" s="118"/>
      <c r="IF2152" s="118"/>
      <c r="IG2152" s="118"/>
      <c r="IH2152" s="118"/>
      <c r="II2152" s="118"/>
      <c r="IJ2152" s="118"/>
    </row>
    <row r="2153" spans="1:244" s="127" customFormat="1" ht="12.75" customHeight="1">
      <c r="A2153" s="118">
        <v>2152</v>
      </c>
      <c r="B2153" s="128">
        <v>23</v>
      </c>
      <c r="C2153" s="156">
        <v>38078</v>
      </c>
      <c r="D2153" s="157" t="s">
        <v>47</v>
      </c>
      <c r="E2153" s="8">
        <v>2004</v>
      </c>
      <c r="F2153" s="158">
        <f t="shared" ref="F2153:F2174" si="541">C2153-H2153</f>
        <v>0</v>
      </c>
      <c r="G2153" s="158">
        <f t="shared" ref="G2153:G2174" si="542">IF(F2153&lt;365,1,2)</f>
        <v>1</v>
      </c>
      <c r="H2153" s="162">
        <v>38078</v>
      </c>
      <c r="I2153" s="194">
        <v>682614</v>
      </c>
      <c r="J2153" s="15"/>
      <c r="K2153" s="15"/>
      <c r="L2153" s="165">
        <v>0</v>
      </c>
      <c r="M2153" s="174"/>
      <c r="N2153" s="528" t="s">
        <v>794</v>
      </c>
      <c r="O2153" s="165">
        <v>0</v>
      </c>
      <c r="P2153" s="8"/>
      <c r="Q2153" s="11"/>
      <c r="R2153" s="11"/>
      <c r="S2153" s="155" t="s">
        <v>12</v>
      </c>
      <c r="T2153" s="15"/>
      <c r="U2153" s="161">
        <f t="shared" ref="U2153:U2174" si="543">$I2153*L2153</f>
        <v>0</v>
      </c>
      <c r="V2153" s="161">
        <f t="shared" ref="V2153:V2174" si="544">$I2153*O2153</f>
        <v>0</v>
      </c>
      <c r="W2153" s="161">
        <f t="shared" ref="W2153:W2174" si="545">V2153*0.4</f>
        <v>0</v>
      </c>
    </row>
    <row r="2154" spans="1:244" s="127" customFormat="1" ht="12.75" customHeight="1">
      <c r="A2154" s="118">
        <v>2153</v>
      </c>
      <c r="B2154" s="128">
        <v>23</v>
      </c>
      <c r="C2154" s="156">
        <v>38108</v>
      </c>
      <c r="D2154" s="157" t="s">
        <v>48</v>
      </c>
      <c r="E2154" s="8">
        <v>2004</v>
      </c>
      <c r="F2154" s="158">
        <f t="shared" si="541"/>
        <v>30</v>
      </c>
      <c r="G2154" s="158">
        <f t="shared" si="542"/>
        <v>1</v>
      </c>
      <c r="H2154" s="162">
        <v>38078</v>
      </c>
      <c r="I2154" s="194">
        <v>675000</v>
      </c>
      <c r="J2154" s="15">
        <v>0.8</v>
      </c>
      <c r="K2154" s="15">
        <v>1.3</v>
      </c>
      <c r="L2154" s="15">
        <v>0.05</v>
      </c>
      <c r="M2154" s="174"/>
      <c r="N2154" s="528"/>
      <c r="O2154" s="15">
        <v>0.1</v>
      </c>
      <c r="P2154" s="8"/>
      <c r="Q2154" s="11">
        <v>9.35</v>
      </c>
      <c r="R2154" s="11">
        <v>29</v>
      </c>
      <c r="S2154" s="155" t="s">
        <v>12</v>
      </c>
      <c r="T2154" s="161">
        <f t="shared" ref="T2154:T2174" si="546">$I2154*K2154</f>
        <v>877500</v>
      </c>
      <c r="U2154" s="161">
        <f t="shared" si="543"/>
        <v>33750</v>
      </c>
      <c r="V2154" s="161">
        <f t="shared" si="544"/>
        <v>67500</v>
      </c>
      <c r="W2154" s="161">
        <f t="shared" si="545"/>
        <v>27000</v>
      </c>
    </row>
    <row r="2155" spans="1:244" s="127" customFormat="1" ht="12.75" customHeight="1">
      <c r="A2155" s="118">
        <v>2154</v>
      </c>
      <c r="B2155" s="128">
        <v>23</v>
      </c>
      <c r="C2155" s="156">
        <v>38139</v>
      </c>
      <c r="D2155" s="157" t="s">
        <v>49</v>
      </c>
      <c r="E2155" s="8">
        <v>2004</v>
      </c>
      <c r="F2155" s="158">
        <f t="shared" si="541"/>
        <v>61</v>
      </c>
      <c r="G2155" s="158">
        <f t="shared" si="542"/>
        <v>1</v>
      </c>
      <c r="H2155" s="162">
        <v>38078</v>
      </c>
      <c r="I2155" s="194">
        <v>671000</v>
      </c>
      <c r="J2155" s="15">
        <v>0.6</v>
      </c>
      <c r="K2155" s="15">
        <v>4.0999999999999996</v>
      </c>
      <c r="L2155" s="15">
        <v>1.7</v>
      </c>
      <c r="M2155" s="174">
        <v>2</v>
      </c>
      <c r="N2155" s="528"/>
      <c r="O2155" s="15">
        <v>0</v>
      </c>
      <c r="P2155" s="8">
        <v>1</v>
      </c>
      <c r="Q2155" s="11">
        <v>11.6</v>
      </c>
      <c r="R2155" s="11">
        <v>20</v>
      </c>
      <c r="S2155" s="155"/>
      <c r="T2155" s="161">
        <f t="shared" si="546"/>
        <v>2751099.9999999995</v>
      </c>
      <c r="U2155" s="161">
        <f t="shared" si="543"/>
        <v>1140700</v>
      </c>
      <c r="V2155" s="161">
        <f t="shared" si="544"/>
        <v>0</v>
      </c>
      <c r="W2155" s="161">
        <f t="shared" si="545"/>
        <v>0</v>
      </c>
    </row>
    <row r="2156" spans="1:244" s="127" customFormat="1" ht="12.75" customHeight="1">
      <c r="A2156" s="118">
        <v>2155</v>
      </c>
      <c r="B2156" s="128">
        <v>23</v>
      </c>
      <c r="C2156" s="156">
        <v>38169</v>
      </c>
      <c r="D2156" s="157" t="s">
        <v>50</v>
      </c>
      <c r="E2156" s="8">
        <v>2004</v>
      </c>
      <c r="F2156" s="158">
        <f t="shared" si="541"/>
        <v>91</v>
      </c>
      <c r="G2156" s="158">
        <f t="shared" si="542"/>
        <v>1</v>
      </c>
      <c r="H2156" s="162">
        <v>38078</v>
      </c>
      <c r="I2156" s="218">
        <v>667000</v>
      </c>
      <c r="J2156" s="15">
        <v>0</v>
      </c>
      <c r="K2156" s="15">
        <v>0</v>
      </c>
      <c r="L2156" s="15">
        <v>0</v>
      </c>
      <c r="M2156" s="174">
        <v>0</v>
      </c>
      <c r="N2156" s="528"/>
      <c r="O2156" s="15">
        <v>0</v>
      </c>
      <c r="P2156" s="8"/>
      <c r="Q2156" s="11">
        <v>9.9</v>
      </c>
      <c r="R2156" s="11">
        <v>21</v>
      </c>
      <c r="S2156" s="155"/>
      <c r="T2156" s="161">
        <f t="shared" si="546"/>
        <v>0</v>
      </c>
      <c r="U2156" s="161">
        <f t="shared" si="543"/>
        <v>0</v>
      </c>
      <c r="V2156" s="161">
        <f t="shared" si="544"/>
        <v>0</v>
      </c>
      <c r="W2156" s="161">
        <f t="shared" si="545"/>
        <v>0</v>
      </c>
    </row>
    <row r="2157" spans="1:244" s="127" customFormat="1" ht="12.75" customHeight="1">
      <c r="A2157" s="118">
        <v>2156</v>
      </c>
      <c r="B2157" s="128">
        <v>23</v>
      </c>
      <c r="C2157" s="156">
        <v>38200</v>
      </c>
      <c r="D2157" s="157" t="s">
        <v>51</v>
      </c>
      <c r="E2157" s="8">
        <v>2004</v>
      </c>
      <c r="F2157" s="158">
        <f t="shared" si="541"/>
        <v>122</v>
      </c>
      <c r="G2157" s="158">
        <f t="shared" si="542"/>
        <v>1</v>
      </c>
      <c r="H2157" s="162">
        <v>38078</v>
      </c>
      <c r="I2157" s="218">
        <v>658000</v>
      </c>
      <c r="J2157" s="15">
        <v>0</v>
      </c>
      <c r="K2157" s="15">
        <v>0.03</v>
      </c>
      <c r="L2157" s="15">
        <v>0</v>
      </c>
      <c r="M2157" s="174">
        <v>0</v>
      </c>
      <c r="N2157" s="528"/>
      <c r="O2157" s="15">
        <v>0</v>
      </c>
      <c r="P2157" s="8"/>
      <c r="Q2157" s="11">
        <v>10.6</v>
      </c>
      <c r="R2157" s="11">
        <v>17.3</v>
      </c>
      <c r="S2157" s="155"/>
      <c r="T2157" s="161">
        <f t="shared" si="546"/>
        <v>19740</v>
      </c>
      <c r="U2157" s="161">
        <f t="shared" si="543"/>
        <v>0</v>
      </c>
      <c r="V2157" s="161">
        <f t="shared" si="544"/>
        <v>0</v>
      </c>
      <c r="W2157" s="161">
        <f t="shared" si="545"/>
        <v>0</v>
      </c>
    </row>
    <row r="2158" spans="1:244" s="127" customFormat="1" ht="12.75" customHeight="1">
      <c r="A2158" s="118">
        <v>2157</v>
      </c>
      <c r="B2158" s="128">
        <v>23</v>
      </c>
      <c r="C2158" s="156">
        <v>38231</v>
      </c>
      <c r="D2158" s="157" t="s">
        <v>52</v>
      </c>
      <c r="E2158" s="8">
        <v>2004</v>
      </c>
      <c r="F2158" s="158">
        <f t="shared" si="541"/>
        <v>153</v>
      </c>
      <c r="G2158" s="158">
        <f t="shared" si="542"/>
        <v>1</v>
      </c>
      <c r="H2158" s="162">
        <v>38078</v>
      </c>
      <c r="I2158" s="218">
        <v>656000</v>
      </c>
      <c r="J2158" s="15">
        <v>0</v>
      </c>
      <c r="K2158" s="15">
        <v>0</v>
      </c>
      <c r="L2158" s="15">
        <v>0</v>
      </c>
      <c r="M2158" s="174">
        <v>0</v>
      </c>
      <c r="N2158" s="528"/>
      <c r="O2158" s="15">
        <v>0</v>
      </c>
      <c r="P2158" s="8"/>
      <c r="Q2158" s="11">
        <v>9.8000000000000007</v>
      </c>
      <c r="R2158" s="11">
        <v>21</v>
      </c>
      <c r="S2158" s="155"/>
      <c r="T2158" s="161">
        <f t="shared" si="546"/>
        <v>0</v>
      </c>
      <c r="U2158" s="161">
        <f t="shared" si="543"/>
        <v>0</v>
      </c>
      <c r="V2158" s="161">
        <f t="shared" si="544"/>
        <v>0</v>
      </c>
      <c r="W2158" s="161">
        <f t="shared" si="545"/>
        <v>0</v>
      </c>
    </row>
    <row r="2159" spans="1:244" s="127" customFormat="1" ht="12.75" customHeight="1">
      <c r="A2159" s="118">
        <v>2158</v>
      </c>
      <c r="B2159" s="128">
        <v>23</v>
      </c>
      <c r="C2159" s="156">
        <v>38261</v>
      </c>
      <c r="D2159" s="157" t="s">
        <v>53</v>
      </c>
      <c r="E2159" s="8">
        <v>2004</v>
      </c>
      <c r="F2159" s="158">
        <f t="shared" si="541"/>
        <v>183</v>
      </c>
      <c r="G2159" s="158">
        <f t="shared" si="542"/>
        <v>1</v>
      </c>
      <c r="H2159" s="162">
        <v>38078</v>
      </c>
      <c r="I2159" s="218">
        <v>655622</v>
      </c>
      <c r="J2159" s="15">
        <v>0</v>
      </c>
      <c r="K2159" s="15">
        <v>0.03</v>
      </c>
      <c r="L2159" s="15">
        <v>0</v>
      </c>
      <c r="M2159" s="174">
        <v>0</v>
      </c>
      <c r="N2159" s="528"/>
      <c r="O2159" s="15">
        <v>0</v>
      </c>
      <c r="P2159" s="8"/>
      <c r="Q2159" s="11">
        <v>9</v>
      </c>
      <c r="R2159" s="11">
        <v>26.2</v>
      </c>
      <c r="S2159" s="155"/>
      <c r="T2159" s="161">
        <f t="shared" si="546"/>
        <v>19668.66</v>
      </c>
      <c r="U2159" s="161">
        <f t="shared" si="543"/>
        <v>0</v>
      </c>
      <c r="V2159" s="161">
        <f t="shared" si="544"/>
        <v>0</v>
      </c>
      <c r="W2159" s="161">
        <f t="shared" si="545"/>
        <v>0</v>
      </c>
    </row>
    <row r="2160" spans="1:244" s="127" customFormat="1" ht="12.75" customHeight="1">
      <c r="A2160" s="118">
        <v>2159</v>
      </c>
      <c r="B2160" s="128">
        <v>23</v>
      </c>
      <c r="C2160" s="156">
        <v>38292</v>
      </c>
      <c r="D2160" s="157" t="s">
        <v>54</v>
      </c>
      <c r="E2160" s="8">
        <v>2004</v>
      </c>
      <c r="F2160" s="158">
        <f t="shared" si="541"/>
        <v>214</v>
      </c>
      <c r="G2160" s="158">
        <f t="shared" si="542"/>
        <v>1</v>
      </c>
      <c r="H2160" s="162">
        <v>38078</v>
      </c>
      <c r="I2160" s="218">
        <v>654800</v>
      </c>
      <c r="J2160" s="15">
        <v>0.63</v>
      </c>
      <c r="K2160" s="15">
        <v>0.3</v>
      </c>
      <c r="L2160" s="15">
        <v>7.0000000000000007E-2</v>
      </c>
      <c r="M2160" s="174">
        <v>0</v>
      </c>
      <c r="N2160" s="528"/>
      <c r="O2160" s="15">
        <v>0.23</v>
      </c>
      <c r="P2160" s="8"/>
      <c r="Q2160" s="11">
        <v>8.1</v>
      </c>
      <c r="R2160" s="11">
        <v>27.8</v>
      </c>
      <c r="S2160" s="155"/>
      <c r="T2160" s="161">
        <f t="shared" si="546"/>
        <v>196440</v>
      </c>
      <c r="U2160" s="161">
        <f t="shared" si="543"/>
        <v>45836.000000000007</v>
      </c>
      <c r="V2160" s="161">
        <f t="shared" si="544"/>
        <v>150604</v>
      </c>
      <c r="W2160" s="161">
        <f t="shared" si="545"/>
        <v>60241.600000000006</v>
      </c>
    </row>
    <row r="2161" spans="1:244" s="127" customFormat="1" ht="12.75" customHeight="1">
      <c r="A2161" s="118">
        <v>2160</v>
      </c>
      <c r="B2161" s="128">
        <v>23</v>
      </c>
      <c r="C2161" s="156">
        <v>38322</v>
      </c>
      <c r="D2161" s="157" t="s">
        <v>55</v>
      </c>
      <c r="E2161" s="8">
        <v>2004</v>
      </c>
      <c r="F2161" s="158">
        <f t="shared" si="541"/>
        <v>244</v>
      </c>
      <c r="G2161" s="158">
        <f t="shared" si="542"/>
        <v>1</v>
      </c>
      <c r="H2161" s="162">
        <v>38078</v>
      </c>
      <c r="I2161" s="218">
        <v>654271</v>
      </c>
      <c r="J2161" s="15">
        <v>2.88</v>
      </c>
      <c r="K2161" s="15">
        <v>0.6</v>
      </c>
      <c r="L2161" s="15">
        <v>0.08</v>
      </c>
      <c r="M2161" s="174">
        <v>0</v>
      </c>
      <c r="N2161" s="528"/>
      <c r="O2161" s="15">
        <v>0.22</v>
      </c>
      <c r="P2161" s="8"/>
      <c r="Q2161" s="11">
        <v>8</v>
      </c>
      <c r="R2161" s="11">
        <v>28</v>
      </c>
      <c r="S2161" s="155"/>
      <c r="T2161" s="161">
        <f t="shared" si="546"/>
        <v>392562.6</v>
      </c>
      <c r="U2161" s="161">
        <f t="shared" si="543"/>
        <v>52341.68</v>
      </c>
      <c r="V2161" s="161">
        <f t="shared" si="544"/>
        <v>143939.62</v>
      </c>
      <c r="W2161" s="161">
        <f t="shared" si="545"/>
        <v>57575.847999999998</v>
      </c>
    </row>
    <row r="2162" spans="1:244" s="127" customFormat="1" ht="12.75" customHeight="1">
      <c r="A2162" s="118">
        <v>2161</v>
      </c>
      <c r="B2162" s="128">
        <v>23</v>
      </c>
      <c r="C2162" s="156">
        <v>38353</v>
      </c>
      <c r="D2162" s="157" t="s">
        <v>44</v>
      </c>
      <c r="E2162" s="8">
        <v>2005</v>
      </c>
      <c r="F2162" s="158">
        <f t="shared" si="541"/>
        <v>275</v>
      </c>
      <c r="G2162" s="158">
        <f t="shared" si="542"/>
        <v>1</v>
      </c>
      <c r="H2162" s="162">
        <v>38078</v>
      </c>
      <c r="I2162" s="218">
        <v>551415</v>
      </c>
      <c r="J2162" s="15">
        <v>2.97</v>
      </c>
      <c r="K2162" s="15">
        <v>1.4</v>
      </c>
      <c r="L2162" s="15">
        <v>0.56999999999999995</v>
      </c>
      <c r="M2162" s="174">
        <v>0</v>
      </c>
      <c r="N2162" s="528"/>
      <c r="O2162" s="15">
        <v>0.47</v>
      </c>
      <c r="P2162" s="8"/>
      <c r="Q2162" s="11">
        <v>7</v>
      </c>
      <c r="R2162" s="11">
        <v>28</v>
      </c>
      <c r="S2162" s="155"/>
      <c r="T2162" s="161">
        <f t="shared" si="546"/>
        <v>771981</v>
      </c>
      <c r="U2162" s="161">
        <f t="shared" si="543"/>
        <v>314306.55</v>
      </c>
      <c r="V2162" s="161">
        <f t="shared" si="544"/>
        <v>259165.05</v>
      </c>
      <c r="W2162" s="161">
        <f t="shared" si="545"/>
        <v>103666.02</v>
      </c>
    </row>
    <row r="2163" spans="1:244" s="127" customFormat="1" ht="12.75" customHeight="1">
      <c r="A2163" s="118">
        <v>2162</v>
      </c>
      <c r="B2163" s="128">
        <v>23</v>
      </c>
      <c r="C2163" s="156">
        <v>38384</v>
      </c>
      <c r="D2163" s="157" t="s">
        <v>45</v>
      </c>
      <c r="E2163" s="8">
        <v>2005</v>
      </c>
      <c r="F2163" s="158">
        <f t="shared" si="541"/>
        <v>306</v>
      </c>
      <c r="G2163" s="158">
        <f t="shared" si="542"/>
        <v>1</v>
      </c>
      <c r="H2163" s="162">
        <v>38078</v>
      </c>
      <c r="I2163" s="218">
        <v>551000</v>
      </c>
      <c r="J2163" s="15">
        <v>1.33</v>
      </c>
      <c r="K2163" s="15">
        <v>2.1</v>
      </c>
      <c r="L2163" s="15">
        <v>0.67</v>
      </c>
      <c r="M2163" s="174"/>
      <c r="N2163" s="528"/>
      <c r="O2163" s="15">
        <v>0.45</v>
      </c>
      <c r="P2163" s="8">
        <v>1</v>
      </c>
      <c r="Q2163" s="11">
        <v>7</v>
      </c>
      <c r="R2163" s="11">
        <v>28</v>
      </c>
      <c r="S2163" s="155"/>
      <c r="T2163" s="161">
        <f t="shared" si="546"/>
        <v>1157100</v>
      </c>
      <c r="U2163" s="161">
        <f t="shared" si="543"/>
        <v>369170</v>
      </c>
      <c r="V2163" s="161">
        <f t="shared" si="544"/>
        <v>247950</v>
      </c>
      <c r="W2163" s="161">
        <f t="shared" si="545"/>
        <v>99180</v>
      </c>
      <c r="X2163" s="118"/>
      <c r="Y2163" s="118"/>
      <c r="Z2163" s="118"/>
      <c r="AA2163" s="118"/>
      <c r="AB2163" s="118"/>
      <c r="AC2163" s="118"/>
      <c r="AD2163" s="118"/>
      <c r="AE2163" s="118"/>
      <c r="AF2163" s="118"/>
      <c r="AG2163" s="118"/>
      <c r="AH2163" s="118"/>
      <c r="AI2163" s="118"/>
      <c r="AJ2163" s="118"/>
      <c r="AK2163" s="118"/>
      <c r="AL2163" s="118"/>
      <c r="AM2163" s="118"/>
      <c r="AN2163" s="118"/>
      <c r="AO2163" s="118"/>
      <c r="AP2163" s="118"/>
      <c r="AQ2163" s="118"/>
      <c r="AR2163" s="118"/>
      <c r="AS2163" s="118"/>
      <c r="AT2163" s="118"/>
      <c r="AU2163" s="118"/>
      <c r="AV2163" s="118"/>
      <c r="AW2163" s="118"/>
      <c r="AX2163" s="118"/>
      <c r="AY2163" s="118"/>
      <c r="AZ2163" s="118"/>
      <c r="BA2163" s="118"/>
      <c r="BB2163" s="118"/>
      <c r="BC2163" s="118"/>
      <c r="BD2163" s="118"/>
      <c r="BE2163" s="118"/>
      <c r="BF2163" s="118"/>
      <c r="BG2163" s="118"/>
      <c r="BH2163" s="118"/>
      <c r="BI2163" s="118"/>
      <c r="BJ2163" s="118"/>
      <c r="BK2163" s="118"/>
      <c r="BL2163" s="118"/>
      <c r="BM2163" s="118"/>
      <c r="BN2163" s="118"/>
      <c r="BO2163" s="118"/>
      <c r="BP2163" s="118"/>
      <c r="BQ2163" s="118"/>
      <c r="BR2163" s="118"/>
      <c r="BS2163" s="118"/>
      <c r="BT2163" s="118"/>
      <c r="BU2163" s="118"/>
      <c r="BV2163" s="118"/>
      <c r="BW2163" s="118"/>
      <c r="BX2163" s="118"/>
      <c r="BY2163" s="118"/>
      <c r="BZ2163" s="118"/>
      <c r="CA2163" s="118"/>
      <c r="CB2163" s="118"/>
      <c r="CC2163" s="118"/>
      <c r="CD2163" s="118"/>
      <c r="CE2163" s="118"/>
      <c r="CF2163" s="118"/>
      <c r="CG2163" s="118"/>
      <c r="CH2163" s="118"/>
      <c r="CI2163" s="118"/>
      <c r="CJ2163" s="118"/>
      <c r="CK2163" s="118"/>
      <c r="CL2163" s="118"/>
      <c r="CM2163" s="118"/>
      <c r="CN2163" s="118"/>
      <c r="CO2163" s="118"/>
      <c r="CP2163" s="118"/>
      <c r="CQ2163" s="118"/>
      <c r="CR2163" s="118"/>
      <c r="CS2163" s="118"/>
      <c r="CT2163" s="118"/>
      <c r="CU2163" s="118"/>
      <c r="CV2163" s="118"/>
      <c r="CW2163" s="118"/>
      <c r="CX2163" s="118"/>
      <c r="CY2163" s="118"/>
      <c r="CZ2163" s="118"/>
      <c r="DA2163" s="118"/>
      <c r="DB2163" s="118"/>
      <c r="DC2163" s="118"/>
      <c r="DD2163" s="118"/>
      <c r="DE2163" s="118"/>
      <c r="DF2163" s="118"/>
      <c r="DG2163" s="118"/>
      <c r="DH2163" s="118"/>
      <c r="DI2163" s="118"/>
      <c r="DJ2163" s="118"/>
      <c r="DK2163" s="118"/>
      <c r="DL2163" s="118"/>
      <c r="DM2163" s="118"/>
      <c r="DN2163" s="118"/>
      <c r="DO2163" s="118"/>
      <c r="DP2163" s="118"/>
      <c r="DQ2163" s="118"/>
      <c r="DR2163" s="118"/>
      <c r="DS2163" s="118"/>
      <c r="DT2163" s="118"/>
      <c r="DU2163" s="118"/>
      <c r="DV2163" s="118"/>
      <c r="DW2163" s="118"/>
      <c r="DX2163" s="118"/>
      <c r="DY2163" s="118"/>
      <c r="DZ2163" s="118"/>
      <c r="EA2163" s="118"/>
      <c r="EB2163" s="118"/>
      <c r="EC2163" s="118"/>
      <c r="ED2163" s="118"/>
      <c r="EE2163" s="118"/>
      <c r="EF2163" s="118"/>
      <c r="EG2163" s="118"/>
      <c r="EH2163" s="118"/>
      <c r="EI2163" s="118"/>
      <c r="EJ2163" s="118"/>
      <c r="EK2163" s="118"/>
      <c r="EL2163" s="118"/>
      <c r="EM2163" s="118"/>
      <c r="EN2163" s="118"/>
      <c r="EO2163" s="118"/>
      <c r="EP2163" s="118"/>
      <c r="EQ2163" s="118"/>
      <c r="ER2163" s="118"/>
      <c r="ES2163" s="118"/>
      <c r="ET2163" s="118"/>
      <c r="EU2163" s="118"/>
      <c r="EV2163" s="118"/>
      <c r="EW2163" s="118"/>
      <c r="EX2163" s="118"/>
      <c r="EY2163" s="118"/>
      <c r="EZ2163" s="118"/>
      <c r="FA2163" s="118"/>
      <c r="FB2163" s="118"/>
      <c r="FC2163" s="118"/>
      <c r="FD2163" s="118"/>
      <c r="FE2163" s="118"/>
      <c r="FF2163" s="118"/>
      <c r="FG2163" s="118"/>
      <c r="FH2163" s="118"/>
      <c r="FI2163" s="118"/>
      <c r="FJ2163" s="118"/>
      <c r="FK2163" s="118"/>
      <c r="FL2163" s="118"/>
      <c r="FM2163" s="118"/>
      <c r="FN2163" s="118"/>
      <c r="FO2163" s="118"/>
      <c r="FP2163" s="118"/>
      <c r="FQ2163" s="118"/>
      <c r="FR2163" s="118"/>
      <c r="FS2163" s="118"/>
      <c r="FT2163" s="118"/>
      <c r="FU2163" s="118"/>
      <c r="FV2163" s="118"/>
      <c r="FW2163" s="118"/>
      <c r="FX2163" s="118"/>
      <c r="FY2163" s="118"/>
      <c r="FZ2163" s="118"/>
      <c r="GA2163" s="118"/>
      <c r="GB2163" s="118"/>
      <c r="GC2163" s="118"/>
      <c r="GD2163" s="118"/>
      <c r="GE2163" s="118"/>
      <c r="GF2163" s="118"/>
      <c r="GG2163" s="118"/>
      <c r="GH2163" s="118"/>
      <c r="GI2163" s="118"/>
      <c r="GJ2163" s="118"/>
      <c r="GK2163" s="118"/>
      <c r="GL2163" s="118"/>
      <c r="GM2163" s="118"/>
      <c r="GN2163" s="118"/>
      <c r="GO2163" s="118"/>
      <c r="GP2163" s="118"/>
      <c r="GQ2163" s="118"/>
      <c r="GR2163" s="118"/>
      <c r="GS2163" s="118"/>
      <c r="GT2163" s="118"/>
      <c r="GU2163" s="118"/>
      <c r="GV2163" s="118"/>
      <c r="GW2163" s="118"/>
      <c r="GX2163" s="118"/>
      <c r="GY2163" s="118"/>
      <c r="GZ2163" s="118"/>
      <c r="HA2163" s="118"/>
      <c r="HB2163" s="118"/>
      <c r="HC2163" s="118"/>
      <c r="HD2163" s="118"/>
      <c r="HE2163" s="118"/>
      <c r="HF2163" s="118"/>
      <c r="HG2163" s="118"/>
      <c r="HH2163" s="118"/>
      <c r="HI2163" s="118"/>
      <c r="HJ2163" s="118"/>
      <c r="HK2163" s="118"/>
      <c r="HL2163" s="118"/>
      <c r="HM2163" s="118"/>
      <c r="HN2163" s="118"/>
      <c r="HO2163" s="118"/>
      <c r="HP2163" s="118"/>
      <c r="HQ2163" s="118"/>
      <c r="HR2163" s="118"/>
      <c r="HS2163" s="118"/>
      <c r="HT2163" s="118"/>
      <c r="HU2163" s="118"/>
      <c r="HV2163" s="118"/>
      <c r="HW2163" s="118"/>
      <c r="HX2163" s="118"/>
      <c r="HY2163" s="118"/>
      <c r="HZ2163" s="118"/>
      <c r="IA2163" s="118"/>
      <c r="IB2163" s="118"/>
      <c r="IC2163" s="118"/>
      <c r="ID2163" s="118"/>
      <c r="IE2163" s="118"/>
      <c r="IF2163" s="118"/>
      <c r="IG2163" s="118"/>
      <c r="IH2163" s="118"/>
      <c r="II2163" s="118"/>
      <c r="IJ2163" s="118"/>
    </row>
    <row r="2164" spans="1:244" s="127" customFormat="1" ht="12.75" customHeight="1">
      <c r="A2164" s="118">
        <v>2163</v>
      </c>
      <c r="B2164" s="128">
        <v>23</v>
      </c>
      <c r="C2164" s="156">
        <v>38412</v>
      </c>
      <c r="D2164" s="157" t="s">
        <v>46</v>
      </c>
      <c r="E2164" s="8">
        <v>2005</v>
      </c>
      <c r="F2164" s="158">
        <f t="shared" si="541"/>
        <v>334</v>
      </c>
      <c r="G2164" s="158">
        <f t="shared" si="542"/>
        <v>1</v>
      </c>
      <c r="H2164" s="162">
        <v>38078</v>
      </c>
      <c r="I2164" s="218">
        <v>549000</v>
      </c>
      <c r="J2164" s="173"/>
      <c r="K2164" s="165">
        <f>(K2163+K2165)/2</f>
        <v>1.075</v>
      </c>
      <c r="L2164" s="165">
        <f>(L2163+L2165)/2</f>
        <v>0.33500000000000002</v>
      </c>
      <c r="M2164" s="174"/>
      <c r="N2164" s="528">
        <v>1</v>
      </c>
      <c r="O2164" s="165">
        <f>(O2163+O2165)/2</f>
        <v>0.24</v>
      </c>
      <c r="P2164" s="8"/>
      <c r="Q2164" s="11"/>
      <c r="R2164" s="11"/>
      <c r="S2164" s="155"/>
      <c r="T2164" s="161">
        <f t="shared" si="546"/>
        <v>590175</v>
      </c>
      <c r="U2164" s="161">
        <f t="shared" si="543"/>
        <v>183915</v>
      </c>
      <c r="V2164" s="161">
        <f t="shared" si="544"/>
        <v>131760</v>
      </c>
      <c r="W2164" s="161">
        <f t="shared" si="545"/>
        <v>52704</v>
      </c>
      <c r="X2164" s="118"/>
      <c r="Y2164" s="118"/>
      <c r="Z2164" s="118"/>
      <c r="AA2164" s="118"/>
      <c r="AB2164" s="118"/>
      <c r="AC2164" s="118"/>
      <c r="AD2164" s="118"/>
      <c r="AE2164" s="118"/>
      <c r="AF2164" s="118"/>
      <c r="AG2164" s="118"/>
      <c r="AH2164" s="118"/>
      <c r="AI2164" s="118"/>
      <c r="AJ2164" s="118"/>
      <c r="AK2164" s="118"/>
      <c r="AL2164" s="118"/>
      <c r="AM2164" s="118"/>
      <c r="AN2164" s="118"/>
      <c r="AO2164" s="118"/>
      <c r="AP2164" s="118"/>
      <c r="AQ2164" s="118"/>
      <c r="AR2164" s="118"/>
      <c r="AS2164" s="118"/>
      <c r="AT2164" s="118"/>
      <c r="AU2164" s="118"/>
      <c r="AV2164" s="118"/>
      <c r="AW2164" s="118"/>
      <c r="AX2164" s="118"/>
      <c r="AY2164" s="118"/>
      <c r="AZ2164" s="118"/>
      <c r="BA2164" s="118"/>
      <c r="BB2164" s="118"/>
      <c r="BC2164" s="118"/>
      <c r="BD2164" s="118"/>
      <c r="BE2164" s="118"/>
      <c r="BF2164" s="118"/>
      <c r="BG2164" s="118"/>
      <c r="BH2164" s="118"/>
      <c r="BI2164" s="118"/>
      <c r="BJ2164" s="118"/>
      <c r="BK2164" s="118"/>
      <c r="BL2164" s="118"/>
      <c r="BM2164" s="118"/>
      <c r="BN2164" s="118"/>
      <c r="BO2164" s="118"/>
      <c r="BP2164" s="118"/>
      <c r="BQ2164" s="118"/>
      <c r="BR2164" s="118"/>
      <c r="BS2164" s="118"/>
      <c r="BT2164" s="118"/>
      <c r="BU2164" s="118"/>
      <c r="BV2164" s="118"/>
      <c r="BW2164" s="118"/>
      <c r="BX2164" s="118"/>
      <c r="BY2164" s="118"/>
      <c r="BZ2164" s="118"/>
      <c r="CA2164" s="118"/>
      <c r="CB2164" s="118"/>
      <c r="CC2164" s="118"/>
      <c r="CD2164" s="118"/>
      <c r="CE2164" s="118"/>
      <c r="CF2164" s="118"/>
      <c r="CG2164" s="118"/>
      <c r="CH2164" s="118"/>
      <c r="CI2164" s="118"/>
      <c r="CJ2164" s="118"/>
      <c r="CK2164" s="118"/>
      <c r="CL2164" s="118"/>
      <c r="CM2164" s="118"/>
      <c r="CN2164" s="118"/>
      <c r="CO2164" s="118"/>
      <c r="CP2164" s="118"/>
      <c r="CQ2164" s="118"/>
      <c r="CR2164" s="118"/>
      <c r="CS2164" s="118"/>
      <c r="CT2164" s="118"/>
      <c r="CU2164" s="118"/>
      <c r="CV2164" s="118"/>
      <c r="CW2164" s="118"/>
      <c r="CX2164" s="118"/>
      <c r="CY2164" s="118"/>
      <c r="CZ2164" s="118"/>
      <c r="DA2164" s="118"/>
      <c r="DB2164" s="118"/>
      <c r="DC2164" s="118"/>
      <c r="DD2164" s="118"/>
      <c r="DE2164" s="118"/>
      <c r="DF2164" s="118"/>
      <c r="DG2164" s="118"/>
      <c r="DH2164" s="118"/>
      <c r="DI2164" s="118"/>
      <c r="DJ2164" s="118"/>
      <c r="DK2164" s="118"/>
      <c r="DL2164" s="118"/>
      <c r="DM2164" s="118"/>
      <c r="DN2164" s="118"/>
      <c r="DO2164" s="118"/>
      <c r="DP2164" s="118"/>
      <c r="DQ2164" s="118"/>
      <c r="DR2164" s="118"/>
      <c r="DS2164" s="118"/>
      <c r="DT2164" s="118"/>
      <c r="DU2164" s="118"/>
      <c r="DV2164" s="118"/>
      <c r="DW2164" s="118"/>
      <c r="DX2164" s="118"/>
      <c r="DY2164" s="118"/>
      <c r="DZ2164" s="118"/>
      <c r="EA2164" s="118"/>
      <c r="EB2164" s="118"/>
      <c r="EC2164" s="118"/>
      <c r="ED2164" s="118"/>
      <c r="EE2164" s="118"/>
      <c r="EF2164" s="118"/>
      <c r="EG2164" s="118"/>
      <c r="EH2164" s="118"/>
      <c r="EI2164" s="118"/>
      <c r="EJ2164" s="118"/>
      <c r="EK2164" s="118"/>
      <c r="EL2164" s="118"/>
      <c r="EM2164" s="118"/>
      <c r="EN2164" s="118"/>
      <c r="EO2164" s="118"/>
      <c r="EP2164" s="118"/>
      <c r="EQ2164" s="118"/>
      <c r="ER2164" s="118"/>
      <c r="ES2164" s="118"/>
      <c r="ET2164" s="118"/>
      <c r="EU2164" s="118"/>
      <c r="EV2164" s="118"/>
      <c r="EW2164" s="118"/>
      <c r="EX2164" s="118"/>
      <c r="EY2164" s="118"/>
      <c r="EZ2164" s="118"/>
      <c r="FA2164" s="118"/>
      <c r="FB2164" s="118"/>
      <c r="FC2164" s="118"/>
      <c r="FD2164" s="118"/>
      <c r="FE2164" s="118"/>
      <c r="FF2164" s="118"/>
      <c r="FG2164" s="118"/>
      <c r="FH2164" s="118"/>
      <c r="FI2164" s="118"/>
      <c r="FJ2164" s="118"/>
      <c r="FK2164" s="118"/>
      <c r="FL2164" s="118"/>
      <c r="FM2164" s="118"/>
      <c r="FN2164" s="118"/>
      <c r="FO2164" s="118"/>
      <c r="FP2164" s="118"/>
      <c r="FQ2164" s="118"/>
      <c r="FR2164" s="118"/>
      <c r="FS2164" s="118"/>
      <c r="FT2164" s="118"/>
      <c r="FU2164" s="118"/>
      <c r="FV2164" s="118"/>
      <c r="FW2164" s="118"/>
      <c r="FX2164" s="118"/>
      <c r="FY2164" s="118"/>
      <c r="FZ2164" s="118"/>
      <c r="GA2164" s="118"/>
      <c r="GB2164" s="118"/>
      <c r="GC2164" s="118"/>
      <c r="GD2164" s="118"/>
      <c r="GE2164" s="118"/>
      <c r="GF2164" s="118"/>
      <c r="GG2164" s="118"/>
      <c r="GH2164" s="118"/>
      <c r="GI2164" s="118"/>
      <c r="GJ2164" s="118"/>
      <c r="GK2164" s="118"/>
      <c r="GL2164" s="118"/>
      <c r="GM2164" s="118"/>
      <c r="GN2164" s="118"/>
      <c r="GO2164" s="118"/>
      <c r="GP2164" s="118"/>
      <c r="GQ2164" s="118"/>
      <c r="GR2164" s="118"/>
      <c r="GS2164" s="118"/>
      <c r="GT2164" s="118"/>
      <c r="GU2164" s="118"/>
      <c r="GV2164" s="118"/>
      <c r="GW2164" s="118"/>
      <c r="GX2164" s="118"/>
      <c r="GY2164" s="118"/>
      <c r="GZ2164" s="118"/>
      <c r="HA2164" s="118"/>
      <c r="HB2164" s="118"/>
      <c r="HC2164" s="118"/>
      <c r="HD2164" s="118"/>
      <c r="HE2164" s="118"/>
      <c r="HF2164" s="118"/>
      <c r="HG2164" s="118"/>
      <c r="HH2164" s="118"/>
      <c r="HI2164" s="118"/>
      <c r="HJ2164" s="118"/>
      <c r="HK2164" s="118"/>
      <c r="HL2164" s="118"/>
      <c r="HM2164" s="118"/>
      <c r="HN2164" s="118"/>
      <c r="HO2164" s="118"/>
      <c r="HP2164" s="118"/>
      <c r="HQ2164" s="118"/>
      <c r="HR2164" s="118"/>
      <c r="HS2164" s="118"/>
      <c r="HT2164" s="118"/>
      <c r="HU2164" s="118"/>
      <c r="HV2164" s="118"/>
      <c r="HW2164" s="118"/>
      <c r="HX2164" s="118"/>
      <c r="HY2164" s="118"/>
      <c r="HZ2164" s="118"/>
      <c r="IA2164" s="118"/>
      <c r="IB2164" s="118"/>
      <c r="IC2164" s="118"/>
      <c r="ID2164" s="118"/>
      <c r="IE2164" s="118"/>
      <c r="IF2164" s="118"/>
      <c r="IG2164" s="118"/>
      <c r="IH2164" s="118"/>
      <c r="II2164" s="118"/>
      <c r="IJ2164" s="118"/>
    </row>
    <row r="2165" spans="1:244" s="127" customFormat="1" ht="12.75" customHeight="1">
      <c r="A2165" s="118">
        <v>2164</v>
      </c>
      <c r="B2165" s="128">
        <v>23</v>
      </c>
      <c r="C2165" s="156">
        <v>38443</v>
      </c>
      <c r="D2165" s="157" t="s">
        <v>47</v>
      </c>
      <c r="E2165" s="8">
        <v>2005</v>
      </c>
      <c r="F2165" s="158">
        <f t="shared" si="541"/>
        <v>365</v>
      </c>
      <c r="G2165" s="158">
        <f t="shared" si="542"/>
        <v>2</v>
      </c>
      <c r="H2165" s="162">
        <v>38078</v>
      </c>
      <c r="I2165" s="218">
        <v>547000</v>
      </c>
      <c r="J2165" s="15">
        <v>0.02</v>
      </c>
      <c r="K2165" s="15">
        <v>0.05</v>
      </c>
      <c r="L2165" s="15">
        <v>0</v>
      </c>
      <c r="M2165" s="174"/>
      <c r="N2165" s="528"/>
      <c r="O2165" s="15">
        <v>0.03</v>
      </c>
      <c r="P2165" s="8"/>
      <c r="Q2165" s="11">
        <v>8</v>
      </c>
      <c r="R2165" s="11">
        <v>29</v>
      </c>
      <c r="S2165" s="155"/>
      <c r="T2165" s="161">
        <f t="shared" si="546"/>
        <v>27350</v>
      </c>
      <c r="U2165" s="161">
        <f t="shared" si="543"/>
        <v>0</v>
      </c>
      <c r="V2165" s="161">
        <f t="shared" si="544"/>
        <v>16410</v>
      </c>
      <c r="W2165" s="161">
        <f t="shared" si="545"/>
        <v>6564</v>
      </c>
      <c r="X2165" s="118"/>
      <c r="Y2165" s="118"/>
      <c r="Z2165" s="118"/>
      <c r="AA2165" s="118"/>
      <c r="AB2165" s="118"/>
      <c r="AC2165" s="118"/>
      <c r="AD2165" s="118"/>
      <c r="AE2165" s="118"/>
      <c r="AF2165" s="118"/>
      <c r="AG2165" s="118"/>
      <c r="AH2165" s="118"/>
      <c r="AI2165" s="118"/>
      <c r="AJ2165" s="118"/>
      <c r="AK2165" s="118"/>
      <c r="AL2165" s="118"/>
      <c r="AM2165" s="118"/>
      <c r="AN2165" s="118"/>
      <c r="AO2165" s="118"/>
      <c r="AP2165" s="118"/>
      <c r="AQ2165" s="118"/>
      <c r="AR2165" s="118"/>
      <c r="AS2165" s="118"/>
      <c r="AT2165" s="118"/>
      <c r="AU2165" s="118"/>
      <c r="AV2165" s="118"/>
      <c r="AW2165" s="118"/>
      <c r="AX2165" s="118"/>
      <c r="AY2165" s="118"/>
      <c r="AZ2165" s="118"/>
      <c r="BA2165" s="118"/>
      <c r="BB2165" s="118"/>
      <c r="BC2165" s="118"/>
      <c r="BD2165" s="118"/>
      <c r="BE2165" s="118"/>
      <c r="BF2165" s="118"/>
      <c r="BG2165" s="118"/>
      <c r="BH2165" s="118"/>
      <c r="BI2165" s="118"/>
      <c r="BJ2165" s="118"/>
      <c r="BK2165" s="118"/>
      <c r="BL2165" s="118"/>
      <c r="BM2165" s="118"/>
      <c r="BN2165" s="118"/>
      <c r="BO2165" s="118"/>
      <c r="BP2165" s="118"/>
      <c r="BQ2165" s="118"/>
      <c r="BR2165" s="118"/>
      <c r="BS2165" s="118"/>
      <c r="BT2165" s="118"/>
      <c r="BU2165" s="118"/>
      <c r="BV2165" s="118"/>
      <c r="BW2165" s="118"/>
      <c r="BX2165" s="118"/>
      <c r="BY2165" s="118"/>
      <c r="BZ2165" s="118"/>
      <c r="CA2165" s="118"/>
      <c r="CB2165" s="118"/>
      <c r="CC2165" s="118"/>
      <c r="CD2165" s="118"/>
      <c r="CE2165" s="118"/>
      <c r="CF2165" s="118"/>
      <c r="CG2165" s="118"/>
      <c r="CH2165" s="118"/>
      <c r="CI2165" s="118"/>
      <c r="CJ2165" s="118"/>
      <c r="CK2165" s="118"/>
      <c r="CL2165" s="118"/>
      <c r="CM2165" s="118"/>
      <c r="CN2165" s="118"/>
      <c r="CO2165" s="118"/>
      <c r="CP2165" s="118"/>
      <c r="CQ2165" s="118"/>
      <c r="CR2165" s="118"/>
      <c r="CS2165" s="118"/>
      <c r="CT2165" s="118"/>
      <c r="CU2165" s="118"/>
      <c r="CV2165" s="118"/>
      <c r="CW2165" s="118"/>
      <c r="CX2165" s="118"/>
      <c r="CY2165" s="118"/>
      <c r="CZ2165" s="118"/>
      <c r="DA2165" s="118"/>
      <c r="DB2165" s="118"/>
      <c r="DC2165" s="118"/>
      <c r="DD2165" s="118"/>
      <c r="DE2165" s="118"/>
      <c r="DF2165" s="118"/>
      <c r="DG2165" s="118"/>
      <c r="DH2165" s="118"/>
      <c r="DI2165" s="118"/>
      <c r="DJ2165" s="118"/>
      <c r="DK2165" s="118"/>
      <c r="DL2165" s="118"/>
      <c r="DM2165" s="118"/>
      <c r="DN2165" s="118"/>
      <c r="DO2165" s="118"/>
      <c r="DP2165" s="118"/>
      <c r="DQ2165" s="118"/>
      <c r="DR2165" s="118"/>
      <c r="DS2165" s="118"/>
      <c r="DT2165" s="118"/>
      <c r="DU2165" s="118"/>
      <c r="DV2165" s="118"/>
      <c r="DW2165" s="118"/>
      <c r="DX2165" s="118"/>
      <c r="DY2165" s="118"/>
      <c r="DZ2165" s="118"/>
      <c r="EA2165" s="118"/>
      <c r="EB2165" s="118"/>
      <c r="EC2165" s="118"/>
      <c r="ED2165" s="118"/>
      <c r="EE2165" s="118"/>
      <c r="EF2165" s="118"/>
      <c r="EG2165" s="118"/>
      <c r="EH2165" s="118"/>
      <c r="EI2165" s="118"/>
      <c r="EJ2165" s="118"/>
      <c r="EK2165" s="118"/>
      <c r="EL2165" s="118"/>
      <c r="EM2165" s="118"/>
      <c r="EN2165" s="118"/>
      <c r="EO2165" s="118"/>
      <c r="EP2165" s="118"/>
      <c r="EQ2165" s="118"/>
      <c r="ER2165" s="118"/>
      <c r="ES2165" s="118"/>
      <c r="ET2165" s="118"/>
      <c r="EU2165" s="118"/>
      <c r="EV2165" s="118"/>
      <c r="EW2165" s="118"/>
      <c r="EX2165" s="118"/>
      <c r="EY2165" s="118"/>
      <c r="EZ2165" s="118"/>
      <c r="FA2165" s="118"/>
      <c r="FB2165" s="118"/>
      <c r="FC2165" s="118"/>
      <c r="FD2165" s="118"/>
      <c r="FE2165" s="118"/>
      <c r="FF2165" s="118"/>
      <c r="FG2165" s="118"/>
      <c r="FH2165" s="118"/>
      <c r="FI2165" s="118"/>
      <c r="FJ2165" s="118"/>
      <c r="FK2165" s="118"/>
      <c r="FL2165" s="118"/>
      <c r="FM2165" s="118"/>
      <c r="FN2165" s="118"/>
      <c r="FO2165" s="118"/>
      <c r="FP2165" s="118"/>
      <c r="FQ2165" s="118"/>
      <c r="FR2165" s="118"/>
      <c r="FS2165" s="118"/>
      <c r="FT2165" s="118"/>
      <c r="FU2165" s="118"/>
      <c r="FV2165" s="118"/>
      <c r="FW2165" s="118"/>
      <c r="FX2165" s="118"/>
      <c r="FY2165" s="118"/>
      <c r="FZ2165" s="118"/>
      <c r="GA2165" s="118"/>
      <c r="GB2165" s="118"/>
      <c r="GC2165" s="118"/>
      <c r="GD2165" s="118"/>
      <c r="GE2165" s="118"/>
      <c r="GF2165" s="118"/>
      <c r="GG2165" s="118"/>
      <c r="GH2165" s="118"/>
      <c r="GI2165" s="118"/>
      <c r="GJ2165" s="118"/>
      <c r="GK2165" s="118"/>
      <c r="GL2165" s="118"/>
      <c r="GM2165" s="118"/>
      <c r="GN2165" s="118"/>
      <c r="GO2165" s="118"/>
      <c r="GP2165" s="118"/>
      <c r="GQ2165" s="118"/>
      <c r="GR2165" s="118"/>
      <c r="GS2165" s="118"/>
      <c r="GT2165" s="118"/>
      <c r="GU2165" s="118"/>
      <c r="GV2165" s="118"/>
      <c r="GW2165" s="118"/>
      <c r="GX2165" s="118"/>
      <c r="GY2165" s="118"/>
      <c r="GZ2165" s="118"/>
      <c r="HA2165" s="118"/>
      <c r="HB2165" s="118"/>
      <c r="HC2165" s="118"/>
      <c r="HD2165" s="118"/>
      <c r="HE2165" s="118"/>
      <c r="HF2165" s="118"/>
      <c r="HG2165" s="118"/>
      <c r="HH2165" s="118"/>
      <c r="HI2165" s="118"/>
      <c r="HJ2165" s="118"/>
      <c r="HK2165" s="118"/>
      <c r="HL2165" s="118"/>
      <c r="HM2165" s="118"/>
      <c r="HN2165" s="118"/>
      <c r="HO2165" s="118"/>
      <c r="HP2165" s="118"/>
      <c r="HQ2165" s="118"/>
      <c r="HR2165" s="118"/>
      <c r="HS2165" s="118"/>
      <c r="HT2165" s="118"/>
      <c r="HU2165" s="118"/>
      <c r="HV2165" s="118"/>
      <c r="HW2165" s="118"/>
      <c r="HX2165" s="118"/>
      <c r="HY2165" s="118"/>
      <c r="HZ2165" s="118"/>
      <c r="IA2165" s="118"/>
      <c r="IB2165" s="118"/>
      <c r="IC2165" s="118"/>
      <c r="ID2165" s="118"/>
      <c r="IE2165" s="118"/>
      <c r="IF2165" s="118"/>
      <c r="IG2165" s="118"/>
      <c r="IH2165" s="118"/>
      <c r="II2165" s="118"/>
      <c r="IJ2165" s="118"/>
    </row>
    <row r="2166" spans="1:244" s="127" customFormat="1" ht="12.75" customHeight="1">
      <c r="A2166" s="118">
        <v>2165</v>
      </c>
      <c r="B2166" s="128">
        <v>23</v>
      </c>
      <c r="C2166" s="156">
        <v>38473</v>
      </c>
      <c r="D2166" s="157" t="s">
        <v>48</v>
      </c>
      <c r="E2166" s="8">
        <v>2005</v>
      </c>
      <c r="F2166" s="158">
        <f t="shared" si="541"/>
        <v>395</v>
      </c>
      <c r="G2166" s="158">
        <f t="shared" si="542"/>
        <v>2</v>
      </c>
      <c r="H2166" s="162">
        <v>38078</v>
      </c>
      <c r="I2166" s="218">
        <v>546274</v>
      </c>
      <c r="J2166" s="15">
        <v>0.88</v>
      </c>
      <c r="K2166" s="15">
        <v>0.37</v>
      </c>
      <c r="L2166" s="15">
        <v>0.08</v>
      </c>
      <c r="M2166" s="174">
        <v>0</v>
      </c>
      <c r="N2166" s="528"/>
      <c r="O2166" s="15">
        <v>0.23</v>
      </c>
      <c r="P2166" s="8"/>
      <c r="Q2166" s="11">
        <v>10</v>
      </c>
      <c r="R2166" s="11">
        <v>26</v>
      </c>
      <c r="S2166" s="155"/>
      <c r="T2166" s="161">
        <f t="shared" si="546"/>
        <v>202121.38</v>
      </c>
      <c r="U2166" s="161">
        <f t="shared" si="543"/>
        <v>43701.919999999998</v>
      </c>
      <c r="V2166" s="161">
        <f t="shared" si="544"/>
        <v>125643.02</v>
      </c>
      <c r="W2166" s="161">
        <f t="shared" si="545"/>
        <v>50257.208000000006</v>
      </c>
    </row>
    <row r="2167" spans="1:244" s="127" customFormat="1" ht="12.75" customHeight="1">
      <c r="A2167" s="118">
        <v>2166</v>
      </c>
      <c r="B2167" s="128">
        <v>23</v>
      </c>
      <c r="C2167" s="156">
        <v>38504</v>
      </c>
      <c r="D2167" s="157" t="s">
        <v>49</v>
      </c>
      <c r="E2167" s="8">
        <v>2005</v>
      </c>
      <c r="F2167" s="158">
        <f t="shared" si="541"/>
        <v>426</v>
      </c>
      <c r="G2167" s="158">
        <f t="shared" si="542"/>
        <v>2</v>
      </c>
      <c r="H2167" s="162">
        <v>38078</v>
      </c>
      <c r="I2167" s="218">
        <v>546000</v>
      </c>
      <c r="J2167" s="15">
        <v>0.48</v>
      </c>
      <c r="K2167" s="15">
        <v>0.25</v>
      </c>
      <c r="L2167" s="15">
        <v>0.1</v>
      </c>
      <c r="M2167" s="174">
        <v>0</v>
      </c>
      <c r="N2167" s="528"/>
      <c r="O2167" s="15">
        <v>7.0000000000000007E-2</v>
      </c>
      <c r="P2167" s="8"/>
      <c r="Q2167" s="11">
        <v>11</v>
      </c>
      <c r="R2167" s="11">
        <v>24</v>
      </c>
      <c r="S2167" s="155"/>
      <c r="T2167" s="161">
        <f t="shared" si="546"/>
        <v>136500</v>
      </c>
      <c r="U2167" s="161">
        <f t="shared" si="543"/>
        <v>54600</v>
      </c>
      <c r="V2167" s="161">
        <f t="shared" si="544"/>
        <v>38220</v>
      </c>
      <c r="W2167" s="161">
        <f t="shared" si="545"/>
        <v>15288</v>
      </c>
    </row>
    <row r="2168" spans="1:244" s="127" customFormat="1" ht="12.75" customHeight="1">
      <c r="A2168" s="118">
        <v>2167</v>
      </c>
      <c r="B2168" s="128">
        <v>23</v>
      </c>
      <c r="C2168" s="156">
        <v>38534</v>
      </c>
      <c r="D2168" s="157" t="s">
        <v>50</v>
      </c>
      <c r="E2168" s="8">
        <v>2005</v>
      </c>
      <c r="F2168" s="158">
        <f t="shared" si="541"/>
        <v>456</v>
      </c>
      <c r="G2168" s="158">
        <f t="shared" si="542"/>
        <v>2</v>
      </c>
      <c r="H2168" s="162">
        <v>38078</v>
      </c>
      <c r="I2168" s="218">
        <v>539000</v>
      </c>
      <c r="J2168" s="15">
        <v>7.0000000000000007E-2</v>
      </c>
      <c r="K2168" s="15">
        <v>0.25</v>
      </c>
      <c r="L2168" s="15">
        <v>0.13</v>
      </c>
      <c r="M2168" s="174">
        <v>0</v>
      </c>
      <c r="N2168" s="528"/>
      <c r="O2168" s="15">
        <v>7.0000000000000007E-2</v>
      </c>
      <c r="P2168" s="8"/>
      <c r="Q2168" s="11">
        <v>11</v>
      </c>
      <c r="R2168" s="11">
        <v>16</v>
      </c>
      <c r="S2168" s="155"/>
      <c r="T2168" s="161">
        <f t="shared" si="546"/>
        <v>134750</v>
      </c>
      <c r="U2168" s="161">
        <f t="shared" si="543"/>
        <v>70070</v>
      </c>
      <c r="V2168" s="161">
        <f t="shared" si="544"/>
        <v>37730</v>
      </c>
      <c r="W2168" s="161">
        <f t="shared" si="545"/>
        <v>15092</v>
      </c>
    </row>
    <row r="2169" spans="1:244" s="127" customFormat="1" ht="12.75" customHeight="1">
      <c r="A2169" s="118">
        <v>2168</v>
      </c>
      <c r="B2169" s="128">
        <v>23</v>
      </c>
      <c r="C2169" s="156">
        <v>38565</v>
      </c>
      <c r="D2169" s="157" t="s">
        <v>51</v>
      </c>
      <c r="E2169" s="8">
        <v>2005</v>
      </c>
      <c r="F2169" s="158">
        <f t="shared" si="541"/>
        <v>487</v>
      </c>
      <c r="G2169" s="158">
        <f t="shared" si="542"/>
        <v>2</v>
      </c>
      <c r="H2169" s="162">
        <v>38078</v>
      </c>
      <c r="I2169" s="218">
        <v>524000</v>
      </c>
      <c r="J2169" s="15">
        <v>0.25</v>
      </c>
      <c r="K2169" s="15">
        <v>0.6</v>
      </c>
      <c r="L2169" s="15">
        <v>0.43</v>
      </c>
      <c r="M2169" s="174">
        <v>1</v>
      </c>
      <c r="N2169" s="528"/>
      <c r="O2169" s="15">
        <v>0</v>
      </c>
      <c r="P2169" s="8"/>
      <c r="Q2169" s="11">
        <v>12</v>
      </c>
      <c r="R2169" s="11">
        <v>16</v>
      </c>
      <c r="S2169" s="155"/>
      <c r="T2169" s="161">
        <f t="shared" si="546"/>
        <v>314400</v>
      </c>
      <c r="U2169" s="161">
        <f t="shared" si="543"/>
        <v>225320</v>
      </c>
      <c r="V2169" s="161">
        <f t="shared" si="544"/>
        <v>0</v>
      </c>
      <c r="W2169" s="161">
        <f t="shared" si="545"/>
        <v>0</v>
      </c>
    </row>
    <row r="2170" spans="1:244" s="127" customFormat="1" ht="12.75" customHeight="1">
      <c r="A2170" s="118">
        <v>2169</v>
      </c>
      <c r="B2170" s="128">
        <v>23</v>
      </c>
      <c r="C2170" s="156">
        <v>38596</v>
      </c>
      <c r="D2170" s="157" t="s">
        <v>52</v>
      </c>
      <c r="E2170" s="8">
        <v>2005</v>
      </c>
      <c r="F2170" s="158">
        <f t="shared" si="541"/>
        <v>518</v>
      </c>
      <c r="G2170" s="158">
        <f t="shared" si="542"/>
        <v>2</v>
      </c>
      <c r="H2170" s="162">
        <v>38078</v>
      </c>
      <c r="I2170" s="218">
        <v>524000</v>
      </c>
      <c r="J2170" s="15">
        <v>0.02</v>
      </c>
      <c r="K2170" s="15">
        <v>0.2</v>
      </c>
      <c r="L2170" s="15">
        <v>0.08</v>
      </c>
      <c r="M2170" s="174">
        <v>1</v>
      </c>
      <c r="N2170" s="528"/>
      <c r="O2170" s="15">
        <v>0</v>
      </c>
      <c r="P2170" s="8"/>
      <c r="Q2170" s="11">
        <v>10</v>
      </c>
      <c r="R2170" s="11"/>
      <c r="S2170" s="155" t="s">
        <v>7</v>
      </c>
      <c r="T2170" s="161">
        <f t="shared" si="546"/>
        <v>104800</v>
      </c>
      <c r="U2170" s="161">
        <f t="shared" si="543"/>
        <v>41920</v>
      </c>
      <c r="V2170" s="161">
        <f t="shared" si="544"/>
        <v>0</v>
      </c>
      <c r="W2170" s="161">
        <f t="shared" si="545"/>
        <v>0</v>
      </c>
    </row>
    <row r="2171" spans="1:244" s="127" customFormat="1" ht="12.75" customHeight="1">
      <c r="A2171" s="118">
        <v>2170</v>
      </c>
      <c r="B2171" s="128">
        <v>23</v>
      </c>
      <c r="C2171" s="156">
        <v>38626</v>
      </c>
      <c r="D2171" s="157" t="s">
        <v>53</v>
      </c>
      <c r="E2171" s="8">
        <v>2005</v>
      </c>
      <c r="F2171" s="158">
        <f t="shared" si="541"/>
        <v>548</v>
      </c>
      <c r="G2171" s="158">
        <f t="shared" si="542"/>
        <v>2</v>
      </c>
      <c r="H2171" s="162">
        <v>38078</v>
      </c>
      <c r="I2171" s="194">
        <v>384993</v>
      </c>
      <c r="J2171" s="15">
        <v>0.67</v>
      </c>
      <c r="K2171" s="15">
        <v>2.15</v>
      </c>
      <c r="L2171" s="15">
        <v>0.8</v>
      </c>
      <c r="M2171" s="174">
        <v>0</v>
      </c>
      <c r="N2171" s="528"/>
      <c r="O2171" s="15">
        <v>0.48</v>
      </c>
      <c r="P2171" s="8"/>
      <c r="Q2171" s="11">
        <v>9</v>
      </c>
      <c r="R2171" s="11">
        <v>21</v>
      </c>
      <c r="S2171" s="155"/>
      <c r="T2171" s="161">
        <f t="shared" si="546"/>
        <v>827734.95</v>
      </c>
      <c r="U2171" s="161">
        <f t="shared" si="543"/>
        <v>307994.40000000002</v>
      </c>
      <c r="V2171" s="161">
        <f t="shared" si="544"/>
        <v>184796.63999999998</v>
      </c>
      <c r="W2171" s="161">
        <f t="shared" si="545"/>
        <v>73918.656000000003</v>
      </c>
    </row>
    <row r="2172" spans="1:244" s="127" customFormat="1" ht="12.75" customHeight="1">
      <c r="A2172" s="118">
        <v>2171</v>
      </c>
      <c r="B2172" s="128">
        <v>23</v>
      </c>
      <c r="C2172" s="181">
        <v>38657</v>
      </c>
      <c r="D2172" s="157" t="s">
        <v>54</v>
      </c>
      <c r="E2172" s="8">
        <v>2005</v>
      </c>
      <c r="F2172" s="158">
        <f t="shared" si="541"/>
        <v>579</v>
      </c>
      <c r="G2172" s="158">
        <f t="shared" si="542"/>
        <v>2</v>
      </c>
      <c r="H2172" s="172">
        <v>38078</v>
      </c>
      <c r="I2172" s="194">
        <v>263954</v>
      </c>
      <c r="J2172" s="173">
        <v>0.43</v>
      </c>
      <c r="K2172" s="173">
        <v>3.95</v>
      </c>
      <c r="L2172" s="173">
        <v>1.97</v>
      </c>
      <c r="M2172" s="174"/>
      <c r="N2172" s="528"/>
      <c r="O2172" s="173">
        <v>0.38</v>
      </c>
      <c r="P2172" s="170"/>
      <c r="Q2172" s="128">
        <v>8</v>
      </c>
      <c r="R2172" s="128">
        <v>28</v>
      </c>
      <c r="S2172" s="180"/>
      <c r="T2172" s="161">
        <f t="shared" si="546"/>
        <v>1042618.3</v>
      </c>
      <c r="U2172" s="161">
        <f t="shared" si="543"/>
        <v>519989.38</v>
      </c>
      <c r="V2172" s="161">
        <f t="shared" si="544"/>
        <v>100302.52</v>
      </c>
      <c r="W2172" s="161">
        <f t="shared" si="545"/>
        <v>40121.008000000002</v>
      </c>
    </row>
    <row r="2173" spans="1:244" s="127" customFormat="1" ht="12.75" customHeight="1">
      <c r="A2173" s="118">
        <v>2172</v>
      </c>
      <c r="B2173" s="128">
        <v>23</v>
      </c>
      <c r="C2173" s="181">
        <v>38687</v>
      </c>
      <c r="D2173" s="157" t="s">
        <v>55</v>
      </c>
      <c r="E2173" s="8">
        <v>2005</v>
      </c>
      <c r="F2173" s="158">
        <f t="shared" si="541"/>
        <v>609</v>
      </c>
      <c r="G2173" s="158">
        <f t="shared" si="542"/>
        <v>2</v>
      </c>
      <c r="H2173" s="172">
        <v>38078</v>
      </c>
      <c r="I2173" s="194">
        <v>5022</v>
      </c>
      <c r="J2173" s="173"/>
      <c r="K2173" s="165">
        <f>(K2172+K2174)/2</f>
        <v>2.875</v>
      </c>
      <c r="L2173" s="165">
        <f>(L2172+L2174)/2</f>
        <v>1.46</v>
      </c>
      <c r="M2173" s="174"/>
      <c r="N2173" s="528" t="s">
        <v>795</v>
      </c>
      <c r="O2173" s="165">
        <f>(O2172+O2174)/2</f>
        <v>0.19</v>
      </c>
      <c r="P2173" s="170"/>
      <c r="Q2173" s="128"/>
      <c r="R2173" s="128"/>
      <c r="S2173" s="180"/>
      <c r="T2173" s="161">
        <f t="shared" si="546"/>
        <v>14438.25</v>
      </c>
      <c r="U2173" s="161">
        <f t="shared" si="543"/>
        <v>7332.12</v>
      </c>
      <c r="V2173" s="161">
        <f t="shared" si="544"/>
        <v>954.18000000000006</v>
      </c>
      <c r="W2173" s="161">
        <f t="shared" si="545"/>
        <v>381.67200000000003</v>
      </c>
    </row>
    <row r="2174" spans="1:244" s="127" customFormat="1" ht="12.75" customHeight="1">
      <c r="A2174" s="118">
        <v>2173</v>
      </c>
      <c r="B2174" s="128">
        <v>23</v>
      </c>
      <c r="C2174" s="181">
        <v>38718</v>
      </c>
      <c r="D2174" s="157" t="s">
        <v>44</v>
      </c>
      <c r="E2174" s="8">
        <v>2006</v>
      </c>
      <c r="F2174" s="158">
        <f t="shared" si="541"/>
        <v>640</v>
      </c>
      <c r="G2174" s="158">
        <f t="shared" si="542"/>
        <v>2</v>
      </c>
      <c r="H2174" s="172">
        <v>38078</v>
      </c>
      <c r="I2174" s="194">
        <v>4994</v>
      </c>
      <c r="J2174" s="173">
        <v>0</v>
      </c>
      <c r="K2174" s="173">
        <v>1.8</v>
      </c>
      <c r="L2174" s="173">
        <v>0.95</v>
      </c>
      <c r="M2174" s="174"/>
      <c r="N2174" s="528"/>
      <c r="O2174" s="173">
        <v>0</v>
      </c>
      <c r="P2174" s="170"/>
      <c r="Q2174" s="128">
        <v>7</v>
      </c>
      <c r="R2174" s="128">
        <v>30</v>
      </c>
      <c r="S2174" s="180"/>
      <c r="T2174" s="161">
        <f t="shared" si="546"/>
        <v>8989.2000000000007</v>
      </c>
      <c r="U2174" s="161">
        <f t="shared" si="543"/>
        <v>4744.3</v>
      </c>
      <c r="V2174" s="161">
        <f t="shared" si="544"/>
        <v>0</v>
      </c>
      <c r="W2174" s="161">
        <f t="shared" si="545"/>
        <v>0</v>
      </c>
    </row>
    <row r="2175" spans="1:244" s="128" customFormat="1" ht="12.75" customHeight="1">
      <c r="A2175" s="118">
        <v>2174</v>
      </c>
      <c r="B2175" s="128">
        <v>23</v>
      </c>
      <c r="C2175" s="181">
        <v>38749</v>
      </c>
      <c r="D2175" s="157" t="s">
        <v>45</v>
      </c>
      <c r="E2175" s="8">
        <v>2006</v>
      </c>
      <c r="F2175" s="158"/>
      <c r="H2175" s="172"/>
      <c r="I2175" s="194"/>
      <c r="J2175" s="173"/>
      <c r="K2175" s="173"/>
      <c r="L2175" s="173"/>
      <c r="M2175" s="174"/>
      <c r="N2175" s="528"/>
      <c r="O2175" s="173"/>
      <c r="P2175" s="170"/>
      <c r="S2175" s="180"/>
      <c r="T2175" s="173"/>
      <c r="U2175" s="171"/>
      <c r="V2175" s="173"/>
      <c r="W2175" s="173"/>
      <c r="X2175" s="127"/>
      <c r="Y2175" s="127"/>
      <c r="Z2175" s="127"/>
      <c r="AA2175" s="127"/>
      <c r="AB2175" s="127"/>
      <c r="AC2175" s="127"/>
      <c r="AD2175" s="127"/>
      <c r="AE2175" s="127"/>
      <c r="AF2175" s="127"/>
      <c r="AG2175" s="127"/>
      <c r="AH2175" s="127"/>
      <c r="AI2175" s="127"/>
      <c r="AJ2175" s="127"/>
      <c r="AK2175" s="127"/>
      <c r="AL2175" s="127"/>
      <c r="AM2175" s="127"/>
      <c r="AN2175" s="127"/>
      <c r="AO2175" s="127"/>
      <c r="AP2175" s="127"/>
      <c r="AQ2175" s="127"/>
      <c r="AR2175" s="127"/>
      <c r="AS2175" s="127"/>
      <c r="AT2175" s="127"/>
      <c r="AU2175" s="127"/>
      <c r="AV2175" s="127"/>
      <c r="AW2175" s="127"/>
      <c r="AX2175" s="127"/>
      <c r="AY2175" s="127"/>
      <c r="AZ2175" s="127"/>
      <c r="BA2175" s="127"/>
      <c r="BB2175" s="127"/>
      <c r="BC2175" s="127"/>
      <c r="BD2175" s="127"/>
      <c r="BE2175" s="127"/>
      <c r="BF2175" s="127"/>
      <c r="BG2175" s="127"/>
      <c r="BH2175" s="127"/>
      <c r="BI2175" s="127"/>
      <c r="BJ2175" s="127"/>
      <c r="BK2175" s="127"/>
      <c r="BL2175" s="127"/>
      <c r="BM2175" s="127"/>
      <c r="BN2175" s="127"/>
      <c r="BO2175" s="127"/>
      <c r="BP2175" s="127"/>
      <c r="BQ2175" s="127"/>
      <c r="BR2175" s="127"/>
      <c r="BS2175" s="127"/>
      <c r="BT2175" s="127"/>
      <c r="BU2175" s="127"/>
      <c r="BV2175" s="127"/>
      <c r="BW2175" s="127"/>
      <c r="BX2175" s="127"/>
      <c r="BY2175" s="127"/>
      <c r="BZ2175" s="127"/>
      <c r="CA2175" s="127"/>
      <c r="CB2175" s="127"/>
      <c r="CC2175" s="127"/>
      <c r="CD2175" s="127"/>
      <c r="CE2175" s="127"/>
      <c r="CF2175" s="127"/>
      <c r="CG2175" s="127"/>
      <c r="CH2175" s="127"/>
      <c r="CI2175" s="127"/>
      <c r="CJ2175" s="127"/>
      <c r="CK2175" s="127"/>
      <c r="CL2175" s="127"/>
      <c r="CM2175" s="127"/>
      <c r="CN2175" s="127"/>
      <c r="CO2175" s="127"/>
      <c r="CP2175" s="127"/>
      <c r="CQ2175" s="127"/>
      <c r="CR2175" s="127"/>
      <c r="CS2175" s="127"/>
      <c r="CT2175" s="127"/>
      <c r="CU2175" s="127"/>
      <c r="CV2175" s="127"/>
      <c r="CW2175" s="127"/>
      <c r="CX2175" s="127"/>
      <c r="CY2175" s="127"/>
      <c r="CZ2175" s="127"/>
      <c r="DA2175" s="127"/>
      <c r="DB2175" s="127"/>
      <c r="DC2175" s="127"/>
      <c r="DD2175" s="127"/>
      <c r="DE2175" s="127"/>
      <c r="DF2175" s="127"/>
      <c r="DG2175" s="127"/>
      <c r="DH2175" s="127"/>
      <c r="DI2175" s="127"/>
      <c r="DJ2175" s="127"/>
      <c r="DK2175" s="127"/>
      <c r="DL2175" s="127"/>
      <c r="DM2175" s="127"/>
      <c r="DN2175" s="127"/>
      <c r="DO2175" s="127"/>
      <c r="DP2175" s="127"/>
      <c r="DQ2175" s="127"/>
      <c r="DR2175" s="127"/>
      <c r="DS2175" s="127"/>
      <c r="DT2175" s="127"/>
      <c r="DU2175" s="127"/>
      <c r="DV2175" s="127"/>
      <c r="DW2175" s="127"/>
      <c r="DX2175" s="127"/>
      <c r="DY2175" s="127"/>
      <c r="DZ2175" s="127"/>
      <c r="EA2175" s="127"/>
      <c r="EB2175" s="127"/>
      <c r="EC2175" s="127"/>
      <c r="ED2175" s="127"/>
      <c r="EE2175" s="127"/>
      <c r="EF2175" s="127"/>
      <c r="EG2175" s="127"/>
      <c r="EH2175" s="127"/>
      <c r="EI2175" s="127"/>
      <c r="EJ2175" s="127"/>
      <c r="EK2175" s="127"/>
      <c r="EL2175" s="127"/>
      <c r="EM2175" s="127"/>
      <c r="EN2175" s="127"/>
      <c r="EO2175" s="127"/>
      <c r="EP2175" s="127"/>
      <c r="EQ2175" s="127"/>
      <c r="ER2175" s="127"/>
      <c r="ES2175" s="127"/>
      <c r="ET2175" s="127"/>
      <c r="EU2175" s="127"/>
      <c r="EV2175" s="127"/>
      <c r="EW2175" s="127"/>
      <c r="EX2175" s="127"/>
      <c r="EY2175" s="127"/>
      <c r="EZ2175" s="127"/>
      <c r="FA2175" s="127"/>
      <c r="FB2175" s="127"/>
      <c r="FC2175" s="127"/>
      <c r="FD2175" s="127"/>
      <c r="FE2175" s="127"/>
      <c r="FF2175" s="127"/>
      <c r="FG2175" s="127"/>
      <c r="FH2175" s="127"/>
      <c r="FI2175" s="127"/>
      <c r="FJ2175" s="127"/>
      <c r="FK2175" s="127"/>
      <c r="FL2175" s="127"/>
      <c r="FM2175" s="127"/>
      <c r="FN2175" s="127"/>
      <c r="FO2175" s="127"/>
      <c r="FP2175" s="127"/>
      <c r="FQ2175" s="127"/>
      <c r="FR2175" s="127"/>
      <c r="FS2175" s="127"/>
      <c r="FT2175" s="127"/>
      <c r="FU2175" s="127"/>
      <c r="FV2175" s="127"/>
      <c r="FW2175" s="127"/>
      <c r="FX2175" s="127"/>
      <c r="FY2175" s="127"/>
      <c r="FZ2175" s="127"/>
      <c r="GA2175" s="127"/>
      <c r="GB2175" s="127"/>
      <c r="GC2175" s="127"/>
      <c r="GD2175" s="127"/>
      <c r="GE2175" s="127"/>
      <c r="GF2175" s="127"/>
      <c r="GG2175" s="127"/>
      <c r="GH2175" s="127"/>
      <c r="GI2175" s="127"/>
      <c r="GJ2175" s="127"/>
      <c r="GK2175" s="127"/>
      <c r="GL2175" s="127"/>
      <c r="GM2175" s="127"/>
      <c r="GN2175" s="127"/>
      <c r="GO2175" s="127"/>
      <c r="GP2175" s="127"/>
      <c r="GQ2175" s="127"/>
      <c r="GR2175" s="127"/>
      <c r="GS2175" s="127"/>
      <c r="GT2175" s="127"/>
      <c r="GU2175" s="127"/>
      <c r="GV2175" s="127"/>
      <c r="GW2175" s="127"/>
      <c r="GX2175" s="127"/>
      <c r="GY2175" s="127"/>
      <c r="GZ2175" s="127"/>
      <c r="HA2175" s="127"/>
      <c r="HB2175" s="127"/>
      <c r="HC2175" s="127"/>
      <c r="HD2175" s="127"/>
      <c r="HE2175" s="127"/>
      <c r="HF2175" s="127"/>
      <c r="HG2175" s="127"/>
      <c r="HH2175" s="127"/>
      <c r="HI2175" s="127"/>
      <c r="HJ2175" s="127"/>
      <c r="HK2175" s="127"/>
      <c r="HL2175" s="127"/>
      <c r="HM2175" s="127"/>
      <c r="HN2175" s="127"/>
      <c r="HO2175" s="127"/>
      <c r="HP2175" s="127"/>
      <c r="HQ2175" s="127"/>
      <c r="HR2175" s="127"/>
      <c r="HS2175" s="127"/>
      <c r="HT2175" s="127"/>
      <c r="HU2175" s="127"/>
      <c r="HV2175" s="127"/>
      <c r="HW2175" s="127"/>
      <c r="HX2175" s="127"/>
      <c r="HY2175" s="127"/>
      <c r="HZ2175" s="127"/>
      <c r="IA2175" s="127"/>
      <c r="IB2175" s="127"/>
      <c r="IC2175" s="127"/>
      <c r="ID2175" s="127"/>
      <c r="IE2175" s="127"/>
      <c r="IF2175" s="127"/>
      <c r="IG2175" s="127"/>
      <c r="IH2175" s="127"/>
      <c r="II2175" s="127"/>
      <c r="IJ2175" s="127"/>
    </row>
    <row r="2176" spans="1:244" s="127" customFormat="1" ht="12.75" customHeight="1">
      <c r="A2176" s="118">
        <v>2175</v>
      </c>
      <c r="B2176" s="128">
        <v>23</v>
      </c>
      <c r="C2176" s="181">
        <v>38777</v>
      </c>
      <c r="D2176" s="157" t="s">
        <v>46</v>
      </c>
      <c r="E2176" s="8">
        <v>2006</v>
      </c>
      <c r="F2176" s="158"/>
      <c r="G2176" s="128"/>
      <c r="H2176" s="172"/>
      <c r="I2176" s="194"/>
      <c r="J2176" s="173"/>
      <c r="K2176" s="173"/>
      <c r="L2176" s="173"/>
      <c r="M2176" s="174"/>
      <c r="N2176" s="528"/>
      <c r="O2176" s="173"/>
      <c r="P2176" s="170"/>
      <c r="Q2176" s="128"/>
      <c r="R2176" s="128"/>
      <c r="S2176" s="180"/>
      <c r="T2176" s="173"/>
      <c r="U2176" s="171"/>
      <c r="V2176" s="173"/>
      <c r="W2176" s="173"/>
    </row>
    <row r="2177" spans="1:244" s="127" customFormat="1" ht="12.75" customHeight="1">
      <c r="A2177" s="118">
        <v>2176</v>
      </c>
      <c r="B2177" s="128">
        <v>23</v>
      </c>
      <c r="C2177" s="181">
        <v>38808</v>
      </c>
      <c r="D2177" s="157" t="s">
        <v>47</v>
      </c>
      <c r="E2177" s="8">
        <v>2006</v>
      </c>
      <c r="F2177" s="158"/>
      <c r="G2177" s="128"/>
      <c r="H2177" s="172"/>
      <c r="I2177" s="194"/>
      <c r="J2177" s="173"/>
      <c r="K2177" s="173"/>
      <c r="L2177" s="173"/>
      <c r="M2177" s="174"/>
      <c r="N2177" s="528"/>
      <c r="O2177" s="173"/>
      <c r="P2177" s="170"/>
      <c r="Q2177" s="128"/>
      <c r="R2177" s="128"/>
      <c r="S2177" s="180"/>
      <c r="T2177" s="173"/>
      <c r="U2177" s="171"/>
      <c r="V2177" s="173"/>
      <c r="W2177" s="173"/>
    </row>
    <row r="2178" spans="1:244" s="127" customFormat="1" ht="12.75" customHeight="1">
      <c r="A2178" s="118">
        <v>2177</v>
      </c>
      <c r="B2178" s="128">
        <v>23</v>
      </c>
      <c r="C2178" s="181">
        <v>38838</v>
      </c>
      <c r="D2178" s="157" t="s">
        <v>48</v>
      </c>
      <c r="E2178" s="8">
        <v>2006</v>
      </c>
      <c r="F2178" s="158"/>
      <c r="G2178" s="128"/>
      <c r="H2178" s="172"/>
      <c r="I2178" s="194"/>
      <c r="J2178" s="173"/>
      <c r="K2178" s="173"/>
      <c r="L2178" s="173"/>
      <c r="M2178" s="174"/>
      <c r="N2178" s="528"/>
      <c r="O2178" s="173"/>
      <c r="P2178" s="170"/>
      <c r="Q2178" s="128"/>
      <c r="R2178" s="128"/>
      <c r="S2178" s="180"/>
      <c r="T2178" s="173"/>
      <c r="U2178" s="171"/>
      <c r="V2178" s="173"/>
      <c r="W2178" s="173"/>
      <c r="X2178" s="118"/>
      <c r="Y2178" s="118"/>
      <c r="Z2178" s="118"/>
      <c r="AA2178" s="118"/>
      <c r="AB2178" s="118"/>
      <c r="AC2178" s="118"/>
      <c r="AD2178" s="118"/>
      <c r="AE2178" s="118"/>
      <c r="AF2178" s="118"/>
      <c r="AG2178" s="118"/>
      <c r="AH2178" s="118"/>
      <c r="AI2178" s="118"/>
      <c r="AJ2178" s="118"/>
      <c r="AK2178" s="118"/>
      <c r="AL2178" s="118"/>
      <c r="AM2178" s="118"/>
      <c r="AN2178" s="118"/>
      <c r="AO2178" s="118"/>
      <c r="AP2178" s="118"/>
      <c r="AQ2178" s="118"/>
      <c r="AR2178" s="118"/>
      <c r="AS2178" s="118"/>
      <c r="AT2178" s="118"/>
      <c r="AU2178" s="118"/>
      <c r="AV2178" s="118"/>
      <c r="AW2178" s="118"/>
      <c r="AX2178" s="118"/>
      <c r="AY2178" s="118"/>
      <c r="AZ2178" s="118"/>
      <c r="BA2178" s="118"/>
      <c r="BB2178" s="118"/>
      <c r="BC2178" s="118"/>
      <c r="BD2178" s="118"/>
      <c r="BE2178" s="118"/>
      <c r="BF2178" s="118"/>
      <c r="BG2178" s="118"/>
      <c r="BH2178" s="118"/>
      <c r="BI2178" s="118"/>
      <c r="BJ2178" s="118"/>
      <c r="BK2178" s="118"/>
      <c r="BL2178" s="118"/>
      <c r="BM2178" s="118"/>
      <c r="BN2178" s="118"/>
      <c r="BO2178" s="118"/>
      <c r="BP2178" s="118"/>
      <c r="BQ2178" s="118"/>
      <c r="BR2178" s="118"/>
      <c r="BS2178" s="118"/>
      <c r="BT2178" s="118"/>
      <c r="BU2178" s="118"/>
      <c r="BV2178" s="118"/>
      <c r="BW2178" s="118"/>
      <c r="BX2178" s="118"/>
      <c r="BY2178" s="118"/>
      <c r="BZ2178" s="118"/>
      <c r="CA2178" s="118"/>
      <c r="CB2178" s="118"/>
      <c r="CC2178" s="118"/>
      <c r="CD2178" s="118"/>
      <c r="CE2178" s="118"/>
      <c r="CF2178" s="118"/>
      <c r="CG2178" s="118"/>
      <c r="CH2178" s="118"/>
      <c r="CI2178" s="118"/>
      <c r="CJ2178" s="118"/>
      <c r="CK2178" s="118"/>
      <c r="CL2178" s="118"/>
      <c r="CM2178" s="118"/>
      <c r="CN2178" s="118"/>
      <c r="CO2178" s="118"/>
      <c r="CP2178" s="118"/>
      <c r="CQ2178" s="118"/>
      <c r="CR2178" s="118"/>
      <c r="CS2178" s="118"/>
      <c r="CT2178" s="118"/>
      <c r="CU2178" s="118"/>
      <c r="CV2178" s="118"/>
      <c r="CW2178" s="118"/>
      <c r="CX2178" s="118"/>
      <c r="CY2178" s="118"/>
      <c r="CZ2178" s="118"/>
      <c r="DA2178" s="118"/>
      <c r="DB2178" s="118"/>
      <c r="DC2178" s="118"/>
      <c r="DD2178" s="118"/>
      <c r="DE2178" s="118"/>
      <c r="DF2178" s="118"/>
      <c r="DG2178" s="118"/>
      <c r="DH2178" s="118"/>
      <c r="DI2178" s="118"/>
      <c r="DJ2178" s="118"/>
      <c r="DK2178" s="118"/>
      <c r="DL2178" s="118"/>
      <c r="DM2178" s="118"/>
      <c r="DN2178" s="118"/>
      <c r="DO2178" s="118"/>
      <c r="DP2178" s="118"/>
      <c r="DQ2178" s="118"/>
      <c r="DR2178" s="118"/>
      <c r="DS2178" s="118"/>
      <c r="DT2178" s="118"/>
      <c r="DU2178" s="118"/>
      <c r="DV2178" s="118"/>
      <c r="DW2178" s="118"/>
      <c r="DX2178" s="118"/>
      <c r="DY2178" s="118"/>
      <c r="DZ2178" s="118"/>
      <c r="EA2178" s="118"/>
      <c r="EB2178" s="118"/>
      <c r="EC2178" s="118"/>
      <c r="ED2178" s="118"/>
      <c r="EE2178" s="118"/>
      <c r="EF2178" s="118"/>
      <c r="EG2178" s="118"/>
      <c r="EH2178" s="118"/>
      <c r="EI2178" s="118"/>
      <c r="EJ2178" s="118"/>
      <c r="EK2178" s="118"/>
      <c r="EL2178" s="118"/>
      <c r="EM2178" s="118"/>
      <c r="EN2178" s="118"/>
      <c r="EO2178" s="118"/>
      <c r="EP2178" s="118"/>
      <c r="EQ2178" s="118"/>
      <c r="ER2178" s="118"/>
      <c r="ES2178" s="118"/>
      <c r="ET2178" s="118"/>
      <c r="EU2178" s="118"/>
      <c r="EV2178" s="118"/>
      <c r="EW2178" s="118"/>
      <c r="EX2178" s="118"/>
      <c r="EY2178" s="118"/>
      <c r="EZ2178" s="118"/>
      <c r="FA2178" s="118"/>
      <c r="FB2178" s="118"/>
      <c r="FC2178" s="118"/>
      <c r="FD2178" s="118"/>
      <c r="FE2178" s="118"/>
      <c r="FF2178" s="118"/>
      <c r="FG2178" s="118"/>
      <c r="FH2178" s="118"/>
      <c r="FI2178" s="118"/>
      <c r="FJ2178" s="118"/>
      <c r="FK2178" s="118"/>
      <c r="FL2178" s="118"/>
      <c r="FM2178" s="118"/>
      <c r="FN2178" s="118"/>
      <c r="FO2178" s="118"/>
      <c r="FP2178" s="118"/>
      <c r="FQ2178" s="118"/>
      <c r="FR2178" s="118"/>
      <c r="FS2178" s="118"/>
      <c r="FT2178" s="118"/>
      <c r="FU2178" s="118"/>
      <c r="FV2178" s="118"/>
      <c r="FW2178" s="118"/>
      <c r="FX2178" s="118"/>
      <c r="FY2178" s="118"/>
      <c r="FZ2178" s="118"/>
      <c r="GA2178" s="118"/>
      <c r="GB2178" s="118"/>
      <c r="GC2178" s="118"/>
      <c r="GD2178" s="118"/>
      <c r="GE2178" s="118"/>
      <c r="GF2178" s="118"/>
      <c r="GG2178" s="118"/>
      <c r="GH2178" s="118"/>
      <c r="GI2178" s="118"/>
      <c r="GJ2178" s="118"/>
      <c r="GK2178" s="118"/>
      <c r="GL2178" s="118"/>
      <c r="GM2178" s="118"/>
      <c r="GN2178" s="118"/>
      <c r="GO2178" s="118"/>
      <c r="GP2178" s="118"/>
      <c r="GQ2178" s="118"/>
      <c r="GR2178" s="118"/>
      <c r="GS2178" s="118"/>
      <c r="GT2178" s="118"/>
      <c r="GU2178" s="118"/>
      <c r="GV2178" s="118"/>
      <c r="GW2178" s="118"/>
      <c r="GX2178" s="118"/>
      <c r="GY2178" s="118"/>
      <c r="GZ2178" s="118"/>
      <c r="HA2178" s="118"/>
      <c r="HB2178" s="118"/>
      <c r="HC2178" s="118"/>
      <c r="HD2178" s="118"/>
      <c r="HE2178" s="118"/>
      <c r="HF2178" s="118"/>
      <c r="HG2178" s="118"/>
      <c r="HH2178" s="118"/>
      <c r="HI2178" s="118"/>
      <c r="HJ2178" s="118"/>
      <c r="HK2178" s="118"/>
      <c r="HL2178" s="118"/>
      <c r="HM2178" s="118"/>
      <c r="HN2178" s="118"/>
      <c r="HO2178" s="118"/>
      <c r="HP2178" s="118"/>
      <c r="HQ2178" s="118"/>
      <c r="HR2178" s="118"/>
      <c r="HS2178" s="118"/>
      <c r="HT2178" s="118"/>
      <c r="HU2178" s="118"/>
      <c r="HV2178" s="118"/>
      <c r="HW2178" s="118"/>
      <c r="HX2178" s="118"/>
      <c r="HY2178" s="118"/>
      <c r="HZ2178" s="118"/>
      <c r="IA2178" s="118"/>
      <c r="IB2178" s="118"/>
      <c r="IC2178" s="118"/>
      <c r="ID2178" s="118"/>
      <c r="IE2178" s="118"/>
      <c r="IF2178" s="118"/>
      <c r="IG2178" s="118"/>
      <c r="IH2178" s="118"/>
      <c r="II2178" s="118"/>
      <c r="IJ2178" s="118"/>
    </row>
    <row r="2179" spans="1:244" s="127" customFormat="1" ht="12.75" customHeight="1">
      <c r="A2179" s="118">
        <v>2178</v>
      </c>
      <c r="B2179" s="128">
        <v>23</v>
      </c>
      <c r="C2179" s="181">
        <v>38869</v>
      </c>
      <c r="D2179" s="157" t="s">
        <v>49</v>
      </c>
      <c r="E2179" s="8">
        <v>2006</v>
      </c>
      <c r="F2179" s="158"/>
      <c r="G2179" s="128"/>
      <c r="H2179" s="172"/>
      <c r="I2179" s="194"/>
      <c r="J2179" s="173"/>
      <c r="K2179" s="173"/>
      <c r="L2179" s="173"/>
      <c r="M2179" s="174"/>
      <c r="N2179" s="528"/>
      <c r="O2179" s="173"/>
      <c r="P2179" s="170"/>
      <c r="Q2179" s="128"/>
      <c r="R2179" s="128"/>
      <c r="S2179" s="180"/>
      <c r="T2179" s="173"/>
      <c r="U2179" s="171"/>
      <c r="V2179" s="173"/>
      <c r="W2179" s="173"/>
      <c r="X2179" s="118"/>
      <c r="Y2179" s="118"/>
      <c r="Z2179" s="118"/>
      <c r="AA2179" s="118"/>
      <c r="AB2179" s="118"/>
      <c r="AC2179" s="118"/>
      <c r="AD2179" s="118"/>
      <c r="AE2179" s="118"/>
      <c r="AF2179" s="118"/>
      <c r="AG2179" s="118"/>
      <c r="AH2179" s="118"/>
      <c r="AI2179" s="118"/>
      <c r="AJ2179" s="118"/>
      <c r="AK2179" s="118"/>
      <c r="AL2179" s="118"/>
      <c r="AM2179" s="118"/>
      <c r="AN2179" s="118"/>
      <c r="AO2179" s="118"/>
      <c r="AP2179" s="118"/>
      <c r="AQ2179" s="118"/>
      <c r="AR2179" s="118"/>
      <c r="AS2179" s="118"/>
      <c r="AT2179" s="118"/>
      <c r="AU2179" s="118"/>
      <c r="AV2179" s="118"/>
      <c r="AW2179" s="118"/>
      <c r="AX2179" s="118"/>
      <c r="AY2179" s="118"/>
      <c r="AZ2179" s="118"/>
      <c r="BA2179" s="118"/>
      <c r="BB2179" s="118"/>
      <c r="BC2179" s="118"/>
      <c r="BD2179" s="118"/>
      <c r="BE2179" s="118"/>
      <c r="BF2179" s="118"/>
      <c r="BG2179" s="118"/>
      <c r="BH2179" s="118"/>
      <c r="BI2179" s="118"/>
      <c r="BJ2179" s="118"/>
      <c r="BK2179" s="118"/>
      <c r="BL2179" s="118"/>
      <c r="BM2179" s="118"/>
      <c r="BN2179" s="118"/>
      <c r="BO2179" s="118"/>
      <c r="BP2179" s="118"/>
      <c r="BQ2179" s="118"/>
      <c r="BR2179" s="118"/>
      <c r="BS2179" s="118"/>
      <c r="BT2179" s="118"/>
      <c r="BU2179" s="118"/>
      <c r="BV2179" s="118"/>
      <c r="BW2179" s="118"/>
      <c r="BX2179" s="118"/>
      <c r="BY2179" s="118"/>
      <c r="BZ2179" s="118"/>
      <c r="CA2179" s="118"/>
      <c r="CB2179" s="118"/>
      <c r="CC2179" s="118"/>
      <c r="CD2179" s="118"/>
      <c r="CE2179" s="118"/>
      <c r="CF2179" s="118"/>
      <c r="CG2179" s="118"/>
      <c r="CH2179" s="118"/>
      <c r="CI2179" s="118"/>
      <c r="CJ2179" s="118"/>
      <c r="CK2179" s="118"/>
      <c r="CL2179" s="118"/>
      <c r="CM2179" s="118"/>
      <c r="CN2179" s="118"/>
      <c r="CO2179" s="118"/>
      <c r="CP2179" s="118"/>
      <c r="CQ2179" s="118"/>
      <c r="CR2179" s="118"/>
      <c r="CS2179" s="118"/>
      <c r="CT2179" s="118"/>
      <c r="CU2179" s="118"/>
      <c r="CV2179" s="118"/>
      <c r="CW2179" s="118"/>
      <c r="CX2179" s="118"/>
      <c r="CY2179" s="118"/>
      <c r="CZ2179" s="118"/>
      <c r="DA2179" s="118"/>
      <c r="DB2179" s="118"/>
      <c r="DC2179" s="118"/>
      <c r="DD2179" s="118"/>
      <c r="DE2179" s="118"/>
      <c r="DF2179" s="118"/>
      <c r="DG2179" s="118"/>
      <c r="DH2179" s="118"/>
      <c r="DI2179" s="118"/>
      <c r="DJ2179" s="118"/>
      <c r="DK2179" s="118"/>
      <c r="DL2179" s="118"/>
      <c r="DM2179" s="118"/>
      <c r="DN2179" s="118"/>
      <c r="DO2179" s="118"/>
      <c r="DP2179" s="118"/>
      <c r="DQ2179" s="118"/>
      <c r="DR2179" s="118"/>
      <c r="DS2179" s="118"/>
      <c r="DT2179" s="118"/>
      <c r="DU2179" s="118"/>
      <c r="DV2179" s="118"/>
      <c r="DW2179" s="118"/>
      <c r="DX2179" s="118"/>
      <c r="DY2179" s="118"/>
      <c r="DZ2179" s="118"/>
      <c r="EA2179" s="118"/>
      <c r="EB2179" s="118"/>
      <c r="EC2179" s="118"/>
      <c r="ED2179" s="118"/>
      <c r="EE2179" s="118"/>
      <c r="EF2179" s="118"/>
      <c r="EG2179" s="118"/>
      <c r="EH2179" s="118"/>
      <c r="EI2179" s="118"/>
      <c r="EJ2179" s="118"/>
      <c r="EK2179" s="118"/>
      <c r="EL2179" s="118"/>
      <c r="EM2179" s="118"/>
      <c r="EN2179" s="118"/>
      <c r="EO2179" s="118"/>
      <c r="EP2179" s="118"/>
      <c r="EQ2179" s="118"/>
      <c r="ER2179" s="118"/>
      <c r="ES2179" s="118"/>
      <c r="ET2179" s="118"/>
      <c r="EU2179" s="118"/>
      <c r="EV2179" s="118"/>
      <c r="EW2179" s="118"/>
      <c r="EX2179" s="118"/>
      <c r="EY2179" s="118"/>
      <c r="EZ2179" s="118"/>
      <c r="FA2179" s="118"/>
      <c r="FB2179" s="118"/>
      <c r="FC2179" s="118"/>
      <c r="FD2179" s="118"/>
      <c r="FE2179" s="118"/>
      <c r="FF2179" s="118"/>
      <c r="FG2179" s="118"/>
      <c r="FH2179" s="118"/>
      <c r="FI2179" s="118"/>
      <c r="FJ2179" s="118"/>
      <c r="FK2179" s="118"/>
      <c r="FL2179" s="118"/>
      <c r="FM2179" s="118"/>
      <c r="FN2179" s="118"/>
      <c r="FO2179" s="118"/>
      <c r="FP2179" s="118"/>
      <c r="FQ2179" s="118"/>
      <c r="FR2179" s="118"/>
      <c r="FS2179" s="118"/>
      <c r="FT2179" s="118"/>
      <c r="FU2179" s="118"/>
      <c r="FV2179" s="118"/>
      <c r="FW2179" s="118"/>
      <c r="FX2179" s="118"/>
      <c r="FY2179" s="118"/>
      <c r="FZ2179" s="118"/>
      <c r="GA2179" s="118"/>
      <c r="GB2179" s="118"/>
      <c r="GC2179" s="118"/>
      <c r="GD2179" s="118"/>
      <c r="GE2179" s="118"/>
      <c r="GF2179" s="118"/>
      <c r="GG2179" s="118"/>
      <c r="GH2179" s="118"/>
      <c r="GI2179" s="118"/>
      <c r="GJ2179" s="118"/>
      <c r="GK2179" s="118"/>
      <c r="GL2179" s="118"/>
      <c r="GM2179" s="118"/>
      <c r="GN2179" s="118"/>
      <c r="GO2179" s="118"/>
      <c r="GP2179" s="118"/>
      <c r="GQ2179" s="118"/>
      <c r="GR2179" s="118"/>
      <c r="GS2179" s="118"/>
      <c r="GT2179" s="118"/>
      <c r="GU2179" s="118"/>
      <c r="GV2179" s="118"/>
      <c r="GW2179" s="118"/>
      <c r="GX2179" s="118"/>
      <c r="GY2179" s="118"/>
      <c r="GZ2179" s="118"/>
      <c r="HA2179" s="118"/>
      <c r="HB2179" s="118"/>
      <c r="HC2179" s="118"/>
      <c r="HD2179" s="118"/>
      <c r="HE2179" s="118"/>
      <c r="HF2179" s="118"/>
      <c r="HG2179" s="118"/>
      <c r="HH2179" s="118"/>
      <c r="HI2179" s="118"/>
      <c r="HJ2179" s="118"/>
      <c r="HK2179" s="118"/>
      <c r="HL2179" s="118"/>
      <c r="HM2179" s="118"/>
      <c r="HN2179" s="118"/>
      <c r="HO2179" s="118"/>
      <c r="HP2179" s="118"/>
      <c r="HQ2179" s="118"/>
      <c r="HR2179" s="118"/>
      <c r="HS2179" s="118"/>
      <c r="HT2179" s="118"/>
      <c r="HU2179" s="118"/>
      <c r="HV2179" s="118"/>
      <c r="HW2179" s="118"/>
      <c r="HX2179" s="118"/>
      <c r="HY2179" s="118"/>
      <c r="HZ2179" s="118"/>
      <c r="IA2179" s="118"/>
      <c r="IB2179" s="118"/>
      <c r="IC2179" s="118"/>
      <c r="ID2179" s="118"/>
      <c r="IE2179" s="118"/>
      <c r="IF2179" s="118"/>
      <c r="IG2179" s="118"/>
      <c r="IH2179" s="118"/>
      <c r="II2179" s="118"/>
      <c r="IJ2179" s="118"/>
    </row>
    <row r="2180" spans="1:244">
      <c r="A2180" s="118">
        <v>2179</v>
      </c>
      <c r="B2180" s="128">
        <v>23</v>
      </c>
      <c r="C2180" s="181">
        <v>38899</v>
      </c>
      <c r="D2180" s="157" t="s">
        <v>50</v>
      </c>
      <c r="E2180" s="8">
        <v>2006</v>
      </c>
      <c r="F2180" s="158"/>
      <c r="G2180" s="128"/>
      <c r="H2180" s="172"/>
      <c r="I2180" s="194"/>
      <c r="J2180" s="173"/>
      <c r="K2180" s="173"/>
      <c r="L2180" s="173"/>
      <c r="O2180" s="173"/>
      <c r="P2180" s="170"/>
      <c r="Q2180" s="128"/>
      <c r="R2180" s="128"/>
      <c r="S2180" s="180"/>
      <c r="T2180" s="173"/>
      <c r="U2180" s="171"/>
      <c r="V2180" s="173"/>
      <c r="W2180" s="173"/>
    </row>
    <row r="2181" spans="1:244">
      <c r="A2181" s="118">
        <v>2180</v>
      </c>
      <c r="B2181" s="128">
        <v>23</v>
      </c>
      <c r="C2181" s="181">
        <v>38930</v>
      </c>
      <c r="D2181" s="157" t="s">
        <v>51</v>
      </c>
      <c r="E2181" s="8">
        <v>2006</v>
      </c>
      <c r="F2181" s="158">
        <f t="shared" ref="F2181:F2197" si="547">C2181-H2181</f>
        <v>212</v>
      </c>
      <c r="G2181" s="158">
        <f t="shared" ref="G2181:G2197" si="548">IF(F2181&lt;365,1,2)</f>
        <v>1</v>
      </c>
      <c r="H2181" s="172">
        <v>38718</v>
      </c>
      <c r="I2181" s="194">
        <v>581168</v>
      </c>
      <c r="J2181" s="173"/>
      <c r="K2181" s="173"/>
      <c r="L2181" s="165">
        <v>0.03</v>
      </c>
      <c r="N2181" s="528" t="s">
        <v>446</v>
      </c>
      <c r="O2181" s="165">
        <v>0.03</v>
      </c>
      <c r="P2181" s="170"/>
      <c r="Q2181" s="128"/>
      <c r="R2181" s="128"/>
      <c r="S2181" s="180" t="s">
        <v>345</v>
      </c>
      <c r="T2181" s="173"/>
      <c r="U2181" s="161">
        <f t="shared" ref="U2181:U2197" si="549">$I2181*L2181</f>
        <v>17435.04</v>
      </c>
      <c r="V2181" s="161">
        <f t="shared" ref="V2181:V2197" si="550">$I2181*O2181</f>
        <v>17435.04</v>
      </c>
      <c r="W2181" s="161">
        <f t="shared" ref="W2181:W2197" si="551">V2181*0.4</f>
        <v>6974.0160000000005</v>
      </c>
    </row>
    <row r="2182" spans="1:244">
      <c r="A2182" s="118">
        <v>2181</v>
      </c>
      <c r="B2182" s="128">
        <v>23</v>
      </c>
      <c r="C2182" s="181">
        <v>38961</v>
      </c>
      <c r="D2182" s="157" t="s">
        <v>52</v>
      </c>
      <c r="E2182" s="8">
        <v>2006</v>
      </c>
      <c r="F2182" s="158">
        <f t="shared" si="547"/>
        <v>243</v>
      </c>
      <c r="G2182" s="158">
        <f t="shared" si="548"/>
        <v>1</v>
      </c>
      <c r="H2182" s="172">
        <v>38718</v>
      </c>
      <c r="I2182" s="194">
        <v>581091</v>
      </c>
      <c r="J2182" s="173">
        <v>0</v>
      </c>
      <c r="K2182" s="173">
        <v>0.22</v>
      </c>
      <c r="L2182" s="173">
        <v>0.03</v>
      </c>
      <c r="O2182" s="173">
        <v>0</v>
      </c>
      <c r="P2182" s="170"/>
      <c r="Q2182" s="128">
        <v>9</v>
      </c>
      <c r="R2182" s="128">
        <v>28</v>
      </c>
      <c r="S2182" s="180"/>
      <c r="T2182" s="161">
        <f t="shared" ref="T2182:T2197" si="552">$I2182*K2182</f>
        <v>127840.02</v>
      </c>
      <c r="U2182" s="161">
        <f t="shared" si="549"/>
        <v>17432.73</v>
      </c>
      <c r="V2182" s="161">
        <f t="shared" si="550"/>
        <v>0</v>
      </c>
      <c r="W2182" s="161">
        <f t="shared" si="551"/>
        <v>0</v>
      </c>
    </row>
    <row r="2183" spans="1:244">
      <c r="A2183" s="118">
        <v>2182</v>
      </c>
      <c r="B2183" s="128">
        <v>23</v>
      </c>
      <c r="C2183" s="181">
        <v>38991</v>
      </c>
      <c r="D2183" s="157" t="s">
        <v>53</v>
      </c>
      <c r="E2183" s="8">
        <v>2006</v>
      </c>
      <c r="F2183" s="158">
        <f t="shared" si="547"/>
        <v>273</v>
      </c>
      <c r="G2183" s="158">
        <f t="shared" si="548"/>
        <v>1</v>
      </c>
      <c r="H2183" s="172">
        <v>38718</v>
      </c>
      <c r="I2183" s="194">
        <v>580605</v>
      </c>
      <c r="J2183" s="173">
        <v>0.08</v>
      </c>
      <c r="K2183" s="173">
        <v>0.62</v>
      </c>
      <c r="L2183" s="173">
        <v>0.23</v>
      </c>
      <c r="M2183" s="174">
        <v>0</v>
      </c>
      <c r="O2183" s="173">
        <v>0.08</v>
      </c>
      <c r="P2183" s="170"/>
      <c r="Q2183" s="128">
        <v>9</v>
      </c>
      <c r="R2183" s="128">
        <v>28</v>
      </c>
      <c r="S2183" s="180"/>
      <c r="T2183" s="161">
        <f t="shared" si="552"/>
        <v>359975.1</v>
      </c>
      <c r="U2183" s="161">
        <f t="shared" si="549"/>
        <v>133539.15</v>
      </c>
      <c r="V2183" s="161">
        <f t="shared" si="550"/>
        <v>46448.4</v>
      </c>
      <c r="W2183" s="161">
        <f t="shared" si="551"/>
        <v>18579.36</v>
      </c>
    </row>
    <row r="2184" spans="1:244">
      <c r="A2184" s="118">
        <v>2183</v>
      </c>
      <c r="B2184" s="128">
        <v>23</v>
      </c>
      <c r="C2184" s="181">
        <v>39022</v>
      </c>
      <c r="D2184" s="157" t="s">
        <v>54</v>
      </c>
      <c r="E2184" s="8">
        <v>2006</v>
      </c>
      <c r="F2184" s="158">
        <f t="shared" si="547"/>
        <v>304</v>
      </c>
      <c r="G2184" s="158">
        <f t="shared" si="548"/>
        <v>1</v>
      </c>
      <c r="H2184" s="172">
        <v>38718</v>
      </c>
      <c r="I2184" s="194">
        <v>580065</v>
      </c>
      <c r="J2184" s="173">
        <v>0.65</v>
      </c>
      <c r="K2184" s="173">
        <v>1.25</v>
      </c>
      <c r="L2184" s="173">
        <v>0.23333329999999999</v>
      </c>
      <c r="M2184" s="174">
        <v>0</v>
      </c>
      <c r="O2184" s="173">
        <v>0.1833333</v>
      </c>
      <c r="P2184" s="170"/>
      <c r="Q2184" s="128">
        <v>8</v>
      </c>
      <c r="R2184" s="128">
        <v>28</v>
      </c>
      <c r="S2184" s="180"/>
      <c r="T2184" s="161">
        <f t="shared" si="552"/>
        <v>725081.25</v>
      </c>
      <c r="U2184" s="161">
        <f t="shared" si="549"/>
        <v>135348.48066450001</v>
      </c>
      <c r="V2184" s="161">
        <f t="shared" si="550"/>
        <v>106345.23066450001</v>
      </c>
      <c r="W2184" s="161">
        <f t="shared" si="551"/>
        <v>42538.092265800005</v>
      </c>
    </row>
    <row r="2185" spans="1:244">
      <c r="A2185" s="118">
        <v>2184</v>
      </c>
      <c r="B2185" s="128">
        <v>23</v>
      </c>
      <c r="C2185" s="181">
        <v>39052</v>
      </c>
      <c r="D2185" s="157" t="s">
        <v>55</v>
      </c>
      <c r="E2185" s="8">
        <v>2006</v>
      </c>
      <c r="F2185" s="158">
        <f t="shared" si="547"/>
        <v>334</v>
      </c>
      <c r="G2185" s="158">
        <f t="shared" si="548"/>
        <v>1</v>
      </c>
      <c r="H2185" s="172">
        <v>38718</v>
      </c>
      <c r="I2185" s="194">
        <v>579442</v>
      </c>
      <c r="J2185" s="173">
        <v>4.18</v>
      </c>
      <c r="K2185" s="173">
        <v>2.38</v>
      </c>
      <c r="L2185" s="173">
        <v>1.07</v>
      </c>
      <c r="M2185" s="174">
        <v>2</v>
      </c>
      <c r="O2185" s="173">
        <v>0.23</v>
      </c>
      <c r="P2185" s="170"/>
      <c r="Q2185" s="128">
        <v>7</v>
      </c>
      <c r="R2185" s="128">
        <v>30</v>
      </c>
      <c r="S2185" s="180"/>
      <c r="T2185" s="161">
        <f t="shared" si="552"/>
        <v>1379071.96</v>
      </c>
      <c r="U2185" s="161">
        <f t="shared" si="549"/>
        <v>620002.94000000006</v>
      </c>
      <c r="V2185" s="161">
        <f t="shared" si="550"/>
        <v>133271.66</v>
      </c>
      <c r="W2185" s="161">
        <f t="shared" si="551"/>
        <v>53308.664000000004</v>
      </c>
    </row>
    <row r="2186" spans="1:244" ht="12.75" customHeight="1">
      <c r="A2186" s="118">
        <v>2185</v>
      </c>
      <c r="B2186" s="128">
        <v>23</v>
      </c>
      <c r="C2186" s="156">
        <v>39083</v>
      </c>
      <c r="D2186" s="157" t="s">
        <v>44</v>
      </c>
      <c r="E2186" s="8">
        <v>2007</v>
      </c>
      <c r="F2186" s="158">
        <f t="shared" si="547"/>
        <v>365</v>
      </c>
      <c r="G2186" s="158">
        <f t="shared" si="548"/>
        <v>2</v>
      </c>
      <c r="H2186" s="175">
        <v>38718</v>
      </c>
      <c r="I2186" s="160">
        <v>578871</v>
      </c>
      <c r="J2186" s="191">
        <v>2.15</v>
      </c>
      <c r="K2186" s="191">
        <v>1.45</v>
      </c>
      <c r="L2186" s="191">
        <v>0.68333330000000003</v>
      </c>
      <c r="M2186" s="193">
        <v>0</v>
      </c>
      <c r="N2186" s="529"/>
      <c r="O2186" s="191">
        <v>0.1833333</v>
      </c>
      <c r="P2186" s="192">
        <v>1</v>
      </c>
      <c r="Q2186" s="127">
        <v>7</v>
      </c>
      <c r="R2186" s="127">
        <v>30</v>
      </c>
      <c r="S2186" s="140"/>
      <c r="T2186" s="161">
        <f t="shared" si="552"/>
        <v>839362.95</v>
      </c>
      <c r="U2186" s="161">
        <f t="shared" si="549"/>
        <v>395561.83070430002</v>
      </c>
      <c r="V2186" s="161">
        <f t="shared" si="550"/>
        <v>106126.33070430001</v>
      </c>
      <c r="W2186" s="161">
        <f t="shared" si="551"/>
        <v>42450.532281720007</v>
      </c>
    </row>
    <row r="2187" spans="1:244" ht="12.75" customHeight="1">
      <c r="A2187" s="118">
        <v>2186</v>
      </c>
      <c r="B2187" s="128">
        <v>23</v>
      </c>
      <c r="C2187" s="156">
        <v>39114</v>
      </c>
      <c r="D2187" s="157" t="s">
        <v>45</v>
      </c>
      <c r="E2187" s="8">
        <v>2007</v>
      </c>
      <c r="F2187" s="158">
        <f t="shared" si="547"/>
        <v>396</v>
      </c>
      <c r="G2187" s="158">
        <f t="shared" si="548"/>
        <v>2</v>
      </c>
      <c r="H2187" s="175">
        <v>38718</v>
      </c>
      <c r="I2187" s="160">
        <v>577990</v>
      </c>
      <c r="J2187" s="191">
        <v>1.1299999999999999</v>
      </c>
      <c r="K2187" s="191">
        <v>1.32</v>
      </c>
      <c r="L2187" s="191">
        <v>0.6</v>
      </c>
      <c r="M2187" s="193">
        <v>0</v>
      </c>
      <c r="N2187" s="529"/>
      <c r="O2187" s="191">
        <v>0.28000000000000003</v>
      </c>
      <c r="P2187" s="192"/>
      <c r="Q2187" s="127">
        <v>7</v>
      </c>
      <c r="R2187" s="127">
        <v>30</v>
      </c>
      <c r="S2187" s="140"/>
      <c r="T2187" s="161">
        <f t="shared" si="552"/>
        <v>762946.8</v>
      </c>
      <c r="U2187" s="161">
        <f t="shared" si="549"/>
        <v>346794</v>
      </c>
      <c r="V2187" s="161">
        <f t="shared" si="550"/>
        <v>161837.20000000001</v>
      </c>
      <c r="W2187" s="161">
        <f t="shared" si="551"/>
        <v>64734.880000000005</v>
      </c>
    </row>
    <row r="2188" spans="1:244" s="127" customFormat="1" ht="12.75" customHeight="1">
      <c r="A2188" s="118">
        <v>2187</v>
      </c>
      <c r="B2188" s="128">
        <v>23</v>
      </c>
      <c r="C2188" s="156">
        <v>39142</v>
      </c>
      <c r="D2188" s="157" t="s">
        <v>46</v>
      </c>
      <c r="E2188" s="8">
        <v>2007</v>
      </c>
      <c r="F2188" s="158">
        <f t="shared" si="547"/>
        <v>424</v>
      </c>
      <c r="G2188" s="158">
        <f t="shared" si="548"/>
        <v>2</v>
      </c>
      <c r="H2188" s="175">
        <v>38718</v>
      </c>
      <c r="I2188" s="160">
        <v>576531</v>
      </c>
      <c r="J2188" s="191">
        <v>0</v>
      </c>
      <c r="K2188" s="191">
        <v>0.38</v>
      </c>
      <c r="L2188" s="191">
        <v>0.18</v>
      </c>
      <c r="M2188" s="193">
        <v>0</v>
      </c>
      <c r="N2188" s="529"/>
      <c r="O2188" s="191">
        <v>0.02</v>
      </c>
      <c r="P2188" s="192"/>
      <c r="Q2188" s="127">
        <v>7</v>
      </c>
      <c r="R2188" s="127">
        <v>30</v>
      </c>
      <c r="S2188" s="140"/>
      <c r="T2188" s="161">
        <f t="shared" si="552"/>
        <v>219081.78</v>
      </c>
      <c r="U2188" s="161">
        <f t="shared" si="549"/>
        <v>103775.58</v>
      </c>
      <c r="V2188" s="161">
        <f t="shared" si="550"/>
        <v>11530.62</v>
      </c>
      <c r="W2188" s="161">
        <f t="shared" si="551"/>
        <v>4612.2480000000005</v>
      </c>
      <c r="X2188" s="118"/>
      <c r="Y2188" s="118"/>
      <c r="Z2188" s="118"/>
      <c r="AA2188" s="118"/>
      <c r="AB2188" s="118"/>
      <c r="AC2188" s="118"/>
      <c r="AD2188" s="118"/>
      <c r="AE2188" s="118"/>
      <c r="AF2188" s="118"/>
      <c r="AG2188" s="118"/>
      <c r="AH2188" s="118"/>
      <c r="AI2188" s="118"/>
      <c r="AJ2188" s="118"/>
      <c r="AK2188" s="118"/>
      <c r="AL2188" s="118"/>
      <c r="AM2188" s="118"/>
      <c r="AN2188" s="118"/>
      <c r="AO2188" s="118"/>
      <c r="AP2188" s="118"/>
      <c r="AQ2188" s="118"/>
      <c r="AR2188" s="118"/>
      <c r="AS2188" s="118"/>
      <c r="AT2188" s="118"/>
      <c r="AU2188" s="118"/>
      <c r="AV2188" s="118"/>
      <c r="AW2188" s="118"/>
      <c r="AX2188" s="118"/>
      <c r="AY2188" s="118"/>
      <c r="AZ2188" s="118"/>
      <c r="BA2188" s="118"/>
      <c r="BB2188" s="118"/>
      <c r="BC2188" s="118"/>
      <c r="BD2188" s="118"/>
      <c r="BE2188" s="118"/>
      <c r="BF2188" s="118"/>
      <c r="BG2188" s="118"/>
      <c r="BH2188" s="118"/>
      <c r="BI2188" s="118"/>
      <c r="BJ2188" s="118"/>
      <c r="BK2188" s="118"/>
      <c r="BL2188" s="118"/>
      <c r="BM2188" s="118"/>
      <c r="BN2188" s="118"/>
      <c r="BO2188" s="118"/>
      <c r="BP2188" s="118"/>
      <c r="BQ2188" s="118"/>
      <c r="BR2188" s="118"/>
      <c r="BS2188" s="118"/>
      <c r="BT2188" s="118"/>
      <c r="BU2188" s="118"/>
      <c r="BV2188" s="118"/>
      <c r="BW2188" s="118"/>
      <c r="BX2188" s="118"/>
      <c r="BY2188" s="118"/>
      <c r="BZ2188" s="118"/>
      <c r="CA2188" s="118"/>
      <c r="CB2188" s="118"/>
      <c r="CC2188" s="118"/>
      <c r="CD2188" s="118"/>
      <c r="CE2188" s="118"/>
      <c r="CF2188" s="118"/>
      <c r="CG2188" s="118"/>
      <c r="CH2188" s="118"/>
      <c r="CI2188" s="118"/>
      <c r="CJ2188" s="118"/>
      <c r="CK2188" s="118"/>
      <c r="CL2188" s="118"/>
      <c r="CM2188" s="118"/>
      <c r="CN2188" s="118"/>
      <c r="CO2188" s="118"/>
      <c r="CP2188" s="118"/>
      <c r="CQ2188" s="118"/>
      <c r="CR2188" s="118"/>
      <c r="CS2188" s="118"/>
      <c r="CT2188" s="118"/>
      <c r="CU2188" s="118"/>
      <c r="CV2188" s="118"/>
      <c r="CW2188" s="118"/>
      <c r="CX2188" s="118"/>
      <c r="CY2188" s="118"/>
      <c r="CZ2188" s="118"/>
      <c r="DA2188" s="118"/>
      <c r="DB2188" s="118"/>
      <c r="DC2188" s="118"/>
      <c r="DD2188" s="118"/>
      <c r="DE2188" s="118"/>
      <c r="DF2188" s="118"/>
      <c r="DG2188" s="118"/>
      <c r="DH2188" s="118"/>
      <c r="DI2188" s="118"/>
      <c r="DJ2188" s="118"/>
      <c r="DK2188" s="118"/>
      <c r="DL2188" s="118"/>
      <c r="DM2188" s="118"/>
      <c r="DN2188" s="118"/>
      <c r="DO2188" s="118"/>
      <c r="DP2188" s="118"/>
      <c r="DQ2188" s="118"/>
      <c r="DR2188" s="118"/>
      <c r="DS2188" s="118"/>
      <c r="DT2188" s="118"/>
      <c r="DU2188" s="118"/>
      <c r="DV2188" s="118"/>
      <c r="DW2188" s="118"/>
      <c r="DX2188" s="118"/>
      <c r="DY2188" s="118"/>
      <c r="DZ2188" s="118"/>
      <c r="EA2188" s="118"/>
      <c r="EB2188" s="118"/>
      <c r="EC2188" s="118"/>
      <c r="ED2188" s="118"/>
      <c r="EE2188" s="118"/>
      <c r="EF2188" s="118"/>
      <c r="EG2188" s="118"/>
      <c r="EH2188" s="118"/>
      <c r="EI2188" s="118"/>
      <c r="EJ2188" s="118"/>
      <c r="EK2188" s="118"/>
      <c r="EL2188" s="118"/>
      <c r="EM2188" s="118"/>
      <c r="EN2188" s="118"/>
      <c r="EO2188" s="118"/>
      <c r="EP2188" s="118"/>
      <c r="EQ2188" s="118"/>
      <c r="ER2188" s="118"/>
      <c r="ES2188" s="118"/>
      <c r="ET2188" s="118"/>
      <c r="EU2188" s="118"/>
      <c r="EV2188" s="118"/>
      <c r="EW2188" s="118"/>
      <c r="EX2188" s="118"/>
      <c r="EY2188" s="118"/>
      <c r="EZ2188" s="118"/>
      <c r="FA2188" s="118"/>
      <c r="FB2188" s="118"/>
      <c r="FC2188" s="118"/>
      <c r="FD2188" s="118"/>
      <c r="FE2188" s="118"/>
      <c r="FF2188" s="118"/>
      <c r="FG2188" s="118"/>
      <c r="FH2188" s="118"/>
      <c r="FI2188" s="118"/>
      <c r="FJ2188" s="118"/>
      <c r="FK2188" s="118"/>
      <c r="FL2188" s="118"/>
      <c r="FM2188" s="118"/>
      <c r="FN2188" s="118"/>
      <c r="FO2188" s="118"/>
      <c r="FP2188" s="118"/>
      <c r="FQ2188" s="118"/>
      <c r="FR2188" s="118"/>
      <c r="FS2188" s="118"/>
      <c r="FT2188" s="118"/>
      <c r="FU2188" s="118"/>
      <c r="FV2188" s="118"/>
      <c r="FW2188" s="118"/>
      <c r="FX2188" s="118"/>
      <c r="FY2188" s="118"/>
      <c r="FZ2188" s="118"/>
      <c r="GA2188" s="118"/>
      <c r="GB2188" s="118"/>
      <c r="GC2188" s="118"/>
      <c r="GD2188" s="118"/>
      <c r="GE2188" s="118"/>
      <c r="GF2188" s="118"/>
      <c r="GG2188" s="118"/>
      <c r="GH2188" s="118"/>
      <c r="GI2188" s="118"/>
      <c r="GJ2188" s="118"/>
      <c r="GK2188" s="118"/>
      <c r="GL2188" s="118"/>
      <c r="GM2188" s="118"/>
      <c r="GN2188" s="118"/>
      <c r="GO2188" s="118"/>
      <c r="GP2188" s="118"/>
      <c r="GQ2188" s="118"/>
      <c r="GR2188" s="118"/>
      <c r="GS2188" s="118"/>
      <c r="GT2188" s="118"/>
      <c r="GU2188" s="118"/>
      <c r="GV2188" s="118"/>
      <c r="GW2188" s="118"/>
      <c r="GX2188" s="118"/>
      <c r="GY2188" s="118"/>
      <c r="GZ2188" s="118"/>
      <c r="HA2188" s="118"/>
      <c r="HB2188" s="118"/>
      <c r="HC2188" s="118"/>
      <c r="HD2188" s="118"/>
      <c r="HE2188" s="118"/>
      <c r="HF2188" s="118"/>
      <c r="HG2188" s="118"/>
      <c r="HH2188" s="118"/>
      <c r="HI2188" s="118"/>
      <c r="HJ2188" s="118"/>
      <c r="HK2188" s="118"/>
      <c r="HL2188" s="118"/>
      <c r="HM2188" s="118"/>
      <c r="HN2188" s="118"/>
      <c r="HO2188" s="118"/>
      <c r="HP2188" s="118"/>
      <c r="HQ2188" s="118"/>
      <c r="HR2188" s="118"/>
      <c r="HS2188" s="118"/>
      <c r="HT2188" s="118"/>
      <c r="HU2188" s="118"/>
      <c r="HV2188" s="118"/>
      <c r="HW2188" s="118"/>
      <c r="HX2188" s="118"/>
      <c r="HY2188" s="118"/>
      <c r="HZ2188" s="118"/>
      <c r="IA2188" s="118"/>
      <c r="IB2188" s="118"/>
      <c r="IC2188" s="118"/>
      <c r="ID2188" s="118"/>
      <c r="IE2188" s="118"/>
      <c r="IF2188" s="118"/>
      <c r="IG2188" s="118"/>
      <c r="IH2188" s="118"/>
      <c r="II2188" s="118"/>
      <c r="IJ2188" s="118"/>
    </row>
    <row r="2189" spans="1:244" s="127" customFormat="1" ht="12.75" customHeight="1">
      <c r="A2189" s="118">
        <v>2188</v>
      </c>
      <c r="B2189" s="128">
        <v>23</v>
      </c>
      <c r="C2189" s="156">
        <v>39173</v>
      </c>
      <c r="D2189" s="157" t="s">
        <v>47</v>
      </c>
      <c r="E2189" s="8">
        <v>2007</v>
      </c>
      <c r="F2189" s="158">
        <f t="shared" si="547"/>
        <v>455</v>
      </c>
      <c r="G2189" s="158">
        <f t="shared" si="548"/>
        <v>2</v>
      </c>
      <c r="H2189" s="175">
        <v>38718</v>
      </c>
      <c r="I2189" s="160">
        <v>575075</v>
      </c>
      <c r="J2189" s="191">
        <v>0.3</v>
      </c>
      <c r="K2189" s="191">
        <v>0</v>
      </c>
      <c r="L2189" s="191">
        <v>0</v>
      </c>
      <c r="M2189" s="193">
        <v>0</v>
      </c>
      <c r="N2189" s="529"/>
      <c r="O2189" s="191">
        <v>0.1</v>
      </c>
      <c r="P2189" s="192"/>
      <c r="Q2189" s="127">
        <v>8</v>
      </c>
      <c r="R2189" s="127">
        <v>30</v>
      </c>
      <c r="S2189" s="140"/>
      <c r="T2189" s="161">
        <f t="shared" si="552"/>
        <v>0</v>
      </c>
      <c r="U2189" s="161">
        <f t="shared" si="549"/>
        <v>0</v>
      </c>
      <c r="V2189" s="161">
        <f t="shared" si="550"/>
        <v>57507.5</v>
      </c>
      <c r="W2189" s="161">
        <f t="shared" si="551"/>
        <v>23003</v>
      </c>
      <c r="X2189" s="118"/>
      <c r="Y2189" s="118"/>
      <c r="Z2189" s="118"/>
      <c r="AA2189" s="118"/>
      <c r="AB2189" s="118"/>
      <c r="AC2189" s="118"/>
      <c r="AD2189" s="118"/>
      <c r="AE2189" s="118"/>
      <c r="AF2189" s="118"/>
      <c r="AG2189" s="118"/>
      <c r="AH2189" s="118"/>
      <c r="AI2189" s="118"/>
      <c r="AJ2189" s="118"/>
      <c r="AK2189" s="118"/>
      <c r="AL2189" s="118"/>
      <c r="AM2189" s="118"/>
      <c r="AN2189" s="118"/>
      <c r="AO2189" s="118"/>
      <c r="AP2189" s="118"/>
      <c r="AQ2189" s="118"/>
      <c r="AR2189" s="118"/>
      <c r="AS2189" s="118"/>
      <c r="AT2189" s="118"/>
      <c r="AU2189" s="118"/>
      <c r="AV2189" s="118"/>
      <c r="AW2189" s="118"/>
      <c r="AX2189" s="118"/>
      <c r="AY2189" s="118"/>
      <c r="AZ2189" s="118"/>
      <c r="BA2189" s="118"/>
      <c r="BB2189" s="118"/>
      <c r="BC2189" s="118"/>
      <c r="BD2189" s="118"/>
      <c r="BE2189" s="118"/>
      <c r="BF2189" s="118"/>
      <c r="BG2189" s="118"/>
      <c r="BH2189" s="118"/>
      <c r="BI2189" s="118"/>
      <c r="BJ2189" s="118"/>
      <c r="BK2189" s="118"/>
      <c r="BL2189" s="118"/>
      <c r="BM2189" s="118"/>
      <c r="BN2189" s="118"/>
      <c r="BO2189" s="118"/>
      <c r="BP2189" s="118"/>
      <c r="BQ2189" s="118"/>
      <c r="BR2189" s="118"/>
      <c r="BS2189" s="118"/>
      <c r="BT2189" s="118"/>
      <c r="BU2189" s="118"/>
      <c r="BV2189" s="118"/>
      <c r="BW2189" s="118"/>
      <c r="BX2189" s="118"/>
      <c r="BY2189" s="118"/>
      <c r="BZ2189" s="118"/>
      <c r="CA2189" s="118"/>
      <c r="CB2189" s="118"/>
      <c r="CC2189" s="118"/>
      <c r="CD2189" s="118"/>
      <c r="CE2189" s="118"/>
      <c r="CF2189" s="118"/>
      <c r="CG2189" s="118"/>
      <c r="CH2189" s="118"/>
      <c r="CI2189" s="118"/>
      <c r="CJ2189" s="118"/>
      <c r="CK2189" s="118"/>
      <c r="CL2189" s="118"/>
      <c r="CM2189" s="118"/>
      <c r="CN2189" s="118"/>
      <c r="CO2189" s="118"/>
      <c r="CP2189" s="118"/>
      <c r="CQ2189" s="118"/>
      <c r="CR2189" s="118"/>
      <c r="CS2189" s="118"/>
      <c r="CT2189" s="118"/>
      <c r="CU2189" s="118"/>
      <c r="CV2189" s="118"/>
      <c r="CW2189" s="118"/>
      <c r="CX2189" s="118"/>
      <c r="CY2189" s="118"/>
      <c r="CZ2189" s="118"/>
      <c r="DA2189" s="118"/>
      <c r="DB2189" s="118"/>
      <c r="DC2189" s="118"/>
      <c r="DD2189" s="118"/>
      <c r="DE2189" s="118"/>
      <c r="DF2189" s="118"/>
      <c r="DG2189" s="118"/>
      <c r="DH2189" s="118"/>
      <c r="DI2189" s="118"/>
      <c r="DJ2189" s="118"/>
      <c r="DK2189" s="118"/>
      <c r="DL2189" s="118"/>
      <c r="DM2189" s="118"/>
      <c r="DN2189" s="118"/>
      <c r="DO2189" s="118"/>
      <c r="DP2189" s="118"/>
      <c r="DQ2189" s="118"/>
      <c r="DR2189" s="118"/>
      <c r="DS2189" s="118"/>
      <c r="DT2189" s="118"/>
      <c r="DU2189" s="118"/>
      <c r="DV2189" s="118"/>
      <c r="DW2189" s="118"/>
      <c r="DX2189" s="118"/>
      <c r="DY2189" s="118"/>
      <c r="DZ2189" s="118"/>
      <c r="EA2189" s="118"/>
      <c r="EB2189" s="118"/>
      <c r="EC2189" s="118"/>
      <c r="ED2189" s="118"/>
      <c r="EE2189" s="118"/>
      <c r="EF2189" s="118"/>
      <c r="EG2189" s="118"/>
      <c r="EH2189" s="118"/>
      <c r="EI2189" s="118"/>
      <c r="EJ2189" s="118"/>
      <c r="EK2189" s="118"/>
      <c r="EL2189" s="118"/>
      <c r="EM2189" s="118"/>
      <c r="EN2189" s="118"/>
      <c r="EO2189" s="118"/>
      <c r="EP2189" s="118"/>
      <c r="EQ2189" s="118"/>
      <c r="ER2189" s="118"/>
      <c r="ES2189" s="118"/>
      <c r="ET2189" s="118"/>
      <c r="EU2189" s="118"/>
      <c r="EV2189" s="118"/>
      <c r="EW2189" s="118"/>
      <c r="EX2189" s="118"/>
      <c r="EY2189" s="118"/>
      <c r="EZ2189" s="118"/>
      <c r="FA2189" s="118"/>
      <c r="FB2189" s="118"/>
      <c r="FC2189" s="118"/>
      <c r="FD2189" s="118"/>
      <c r="FE2189" s="118"/>
      <c r="FF2189" s="118"/>
      <c r="FG2189" s="118"/>
      <c r="FH2189" s="118"/>
      <c r="FI2189" s="118"/>
      <c r="FJ2189" s="118"/>
      <c r="FK2189" s="118"/>
      <c r="FL2189" s="118"/>
      <c r="FM2189" s="118"/>
      <c r="FN2189" s="118"/>
      <c r="FO2189" s="118"/>
      <c r="FP2189" s="118"/>
      <c r="FQ2189" s="118"/>
      <c r="FR2189" s="118"/>
      <c r="FS2189" s="118"/>
      <c r="FT2189" s="118"/>
      <c r="FU2189" s="118"/>
      <c r="FV2189" s="118"/>
      <c r="FW2189" s="118"/>
      <c r="FX2189" s="118"/>
      <c r="FY2189" s="118"/>
      <c r="FZ2189" s="118"/>
      <c r="GA2189" s="118"/>
      <c r="GB2189" s="118"/>
      <c r="GC2189" s="118"/>
      <c r="GD2189" s="118"/>
      <c r="GE2189" s="118"/>
      <c r="GF2189" s="118"/>
      <c r="GG2189" s="118"/>
      <c r="GH2189" s="118"/>
      <c r="GI2189" s="118"/>
      <c r="GJ2189" s="118"/>
      <c r="GK2189" s="118"/>
      <c r="GL2189" s="118"/>
      <c r="GM2189" s="118"/>
      <c r="GN2189" s="118"/>
      <c r="GO2189" s="118"/>
      <c r="GP2189" s="118"/>
      <c r="GQ2189" s="118"/>
      <c r="GR2189" s="118"/>
      <c r="GS2189" s="118"/>
      <c r="GT2189" s="118"/>
      <c r="GU2189" s="118"/>
      <c r="GV2189" s="118"/>
      <c r="GW2189" s="118"/>
      <c r="GX2189" s="118"/>
      <c r="GY2189" s="118"/>
      <c r="GZ2189" s="118"/>
      <c r="HA2189" s="118"/>
      <c r="HB2189" s="118"/>
      <c r="HC2189" s="118"/>
      <c r="HD2189" s="118"/>
      <c r="HE2189" s="118"/>
      <c r="HF2189" s="118"/>
      <c r="HG2189" s="118"/>
      <c r="HH2189" s="118"/>
      <c r="HI2189" s="118"/>
      <c r="HJ2189" s="118"/>
      <c r="HK2189" s="118"/>
      <c r="HL2189" s="118"/>
      <c r="HM2189" s="118"/>
      <c r="HN2189" s="118"/>
      <c r="HO2189" s="118"/>
      <c r="HP2189" s="118"/>
      <c r="HQ2189" s="118"/>
      <c r="HR2189" s="118"/>
      <c r="HS2189" s="118"/>
      <c r="HT2189" s="118"/>
      <c r="HU2189" s="118"/>
      <c r="HV2189" s="118"/>
      <c r="HW2189" s="118"/>
      <c r="HX2189" s="118"/>
      <c r="HY2189" s="118"/>
      <c r="HZ2189" s="118"/>
      <c r="IA2189" s="118"/>
      <c r="IB2189" s="118"/>
      <c r="IC2189" s="118"/>
      <c r="ID2189" s="118"/>
      <c r="IE2189" s="118"/>
      <c r="IF2189" s="118"/>
      <c r="IG2189" s="118"/>
      <c r="IH2189" s="118"/>
      <c r="II2189" s="118"/>
      <c r="IJ2189" s="118"/>
    </row>
    <row r="2190" spans="1:244" s="127" customFormat="1" ht="12.75" customHeight="1">
      <c r="A2190" s="118">
        <v>2189</v>
      </c>
      <c r="B2190" s="128">
        <v>23</v>
      </c>
      <c r="C2190" s="156">
        <v>39203</v>
      </c>
      <c r="D2190" s="157" t="s">
        <v>48</v>
      </c>
      <c r="E2190" s="8">
        <v>2007</v>
      </c>
      <c r="F2190" s="158">
        <f t="shared" si="547"/>
        <v>485</v>
      </c>
      <c r="G2190" s="158">
        <f t="shared" si="548"/>
        <v>2</v>
      </c>
      <c r="H2190" s="175">
        <v>38718</v>
      </c>
      <c r="I2190" s="160">
        <v>575465</v>
      </c>
      <c r="J2190" s="191">
        <v>0.03</v>
      </c>
      <c r="K2190" s="191">
        <v>0.02</v>
      </c>
      <c r="L2190" s="191">
        <v>0</v>
      </c>
      <c r="M2190" s="193">
        <v>0</v>
      </c>
      <c r="N2190" s="529"/>
      <c r="O2190" s="191">
        <v>0.02</v>
      </c>
      <c r="P2190" s="192"/>
      <c r="Q2190" s="127">
        <v>9</v>
      </c>
      <c r="R2190" s="127">
        <v>29</v>
      </c>
      <c r="S2190" s="140"/>
      <c r="T2190" s="161">
        <f t="shared" si="552"/>
        <v>11509.300000000001</v>
      </c>
      <c r="U2190" s="161">
        <f t="shared" si="549"/>
        <v>0</v>
      </c>
      <c r="V2190" s="161">
        <f t="shared" si="550"/>
        <v>11509.300000000001</v>
      </c>
      <c r="W2190" s="161">
        <f t="shared" si="551"/>
        <v>4603.72</v>
      </c>
      <c r="X2190" s="118"/>
      <c r="Y2190" s="118"/>
      <c r="Z2190" s="118"/>
      <c r="AA2190" s="118"/>
      <c r="AB2190" s="118"/>
      <c r="AC2190" s="118"/>
      <c r="AD2190" s="118"/>
      <c r="AE2190" s="118"/>
      <c r="AF2190" s="118"/>
      <c r="AG2190" s="118"/>
      <c r="AH2190" s="118"/>
      <c r="AI2190" s="118"/>
      <c r="AJ2190" s="118"/>
      <c r="AK2190" s="118"/>
      <c r="AL2190" s="118"/>
      <c r="AM2190" s="118"/>
      <c r="AN2190" s="118"/>
      <c r="AO2190" s="118"/>
      <c r="AP2190" s="118"/>
      <c r="AQ2190" s="118"/>
      <c r="AR2190" s="118"/>
      <c r="AS2190" s="118"/>
      <c r="AT2190" s="118"/>
      <c r="AU2190" s="118"/>
      <c r="AV2190" s="118"/>
      <c r="AW2190" s="118"/>
      <c r="AX2190" s="118"/>
      <c r="AY2190" s="118"/>
      <c r="AZ2190" s="118"/>
      <c r="BA2190" s="118"/>
      <c r="BB2190" s="118"/>
      <c r="BC2190" s="118"/>
      <c r="BD2190" s="118"/>
      <c r="BE2190" s="118"/>
      <c r="BF2190" s="118"/>
      <c r="BG2190" s="118"/>
      <c r="BH2190" s="118"/>
      <c r="BI2190" s="118"/>
      <c r="BJ2190" s="118"/>
      <c r="BK2190" s="118"/>
      <c r="BL2190" s="118"/>
      <c r="BM2190" s="118"/>
      <c r="BN2190" s="118"/>
      <c r="BO2190" s="118"/>
      <c r="BP2190" s="118"/>
      <c r="BQ2190" s="118"/>
      <c r="BR2190" s="118"/>
      <c r="BS2190" s="118"/>
      <c r="BT2190" s="118"/>
      <c r="BU2190" s="118"/>
      <c r="BV2190" s="118"/>
      <c r="BW2190" s="118"/>
      <c r="BX2190" s="118"/>
      <c r="BY2190" s="118"/>
      <c r="BZ2190" s="118"/>
      <c r="CA2190" s="118"/>
      <c r="CB2190" s="118"/>
      <c r="CC2190" s="118"/>
      <c r="CD2190" s="118"/>
      <c r="CE2190" s="118"/>
      <c r="CF2190" s="118"/>
      <c r="CG2190" s="118"/>
      <c r="CH2190" s="118"/>
      <c r="CI2190" s="118"/>
      <c r="CJ2190" s="118"/>
      <c r="CK2190" s="118"/>
      <c r="CL2190" s="118"/>
      <c r="CM2190" s="118"/>
      <c r="CN2190" s="118"/>
      <c r="CO2190" s="118"/>
      <c r="CP2190" s="118"/>
      <c r="CQ2190" s="118"/>
      <c r="CR2190" s="118"/>
      <c r="CS2190" s="118"/>
      <c r="CT2190" s="118"/>
      <c r="CU2190" s="118"/>
      <c r="CV2190" s="118"/>
      <c r="CW2190" s="118"/>
      <c r="CX2190" s="118"/>
      <c r="CY2190" s="118"/>
      <c r="CZ2190" s="118"/>
      <c r="DA2190" s="118"/>
      <c r="DB2190" s="118"/>
      <c r="DC2190" s="118"/>
      <c r="DD2190" s="118"/>
      <c r="DE2190" s="118"/>
      <c r="DF2190" s="118"/>
      <c r="DG2190" s="118"/>
      <c r="DH2190" s="118"/>
      <c r="DI2190" s="118"/>
      <c r="DJ2190" s="118"/>
      <c r="DK2190" s="118"/>
      <c r="DL2190" s="118"/>
      <c r="DM2190" s="118"/>
      <c r="DN2190" s="118"/>
      <c r="DO2190" s="118"/>
      <c r="DP2190" s="118"/>
      <c r="DQ2190" s="118"/>
      <c r="DR2190" s="118"/>
      <c r="DS2190" s="118"/>
      <c r="DT2190" s="118"/>
      <c r="DU2190" s="118"/>
      <c r="DV2190" s="118"/>
      <c r="DW2190" s="118"/>
      <c r="DX2190" s="118"/>
      <c r="DY2190" s="118"/>
      <c r="DZ2190" s="118"/>
      <c r="EA2190" s="118"/>
      <c r="EB2190" s="118"/>
      <c r="EC2190" s="118"/>
      <c r="ED2190" s="118"/>
      <c r="EE2190" s="118"/>
      <c r="EF2190" s="118"/>
      <c r="EG2190" s="118"/>
      <c r="EH2190" s="118"/>
      <c r="EI2190" s="118"/>
      <c r="EJ2190" s="118"/>
      <c r="EK2190" s="118"/>
      <c r="EL2190" s="118"/>
      <c r="EM2190" s="118"/>
      <c r="EN2190" s="118"/>
      <c r="EO2190" s="118"/>
      <c r="EP2190" s="118"/>
      <c r="EQ2190" s="118"/>
      <c r="ER2190" s="118"/>
      <c r="ES2190" s="118"/>
      <c r="ET2190" s="118"/>
      <c r="EU2190" s="118"/>
      <c r="EV2190" s="118"/>
      <c r="EW2190" s="118"/>
      <c r="EX2190" s="118"/>
      <c r="EY2190" s="118"/>
      <c r="EZ2190" s="118"/>
      <c r="FA2190" s="118"/>
      <c r="FB2190" s="118"/>
      <c r="FC2190" s="118"/>
      <c r="FD2190" s="118"/>
      <c r="FE2190" s="118"/>
      <c r="FF2190" s="118"/>
      <c r="FG2190" s="118"/>
      <c r="FH2190" s="118"/>
      <c r="FI2190" s="118"/>
      <c r="FJ2190" s="118"/>
      <c r="FK2190" s="118"/>
      <c r="FL2190" s="118"/>
      <c r="FM2190" s="118"/>
      <c r="FN2190" s="118"/>
      <c r="FO2190" s="118"/>
      <c r="FP2190" s="118"/>
      <c r="FQ2190" s="118"/>
      <c r="FR2190" s="118"/>
      <c r="FS2190" s="118"/>
      <c r="FT2190" s="118"/>
      <c r="FU2190" s="118"/>
      <c r="FV2190" s="118"/>
      <c r="FW2190" s="118"/>
      <c r="FX2190" s="118"/>
      <c r="FY2190" s="118"/>
      <c r="FZ2190" s="118"/>
      <c r="GA2190" s="118"/>
      <c r="GB2190" s="118"/>
      <c r="GC2190" s="118"/>
      <c r="GD2190" s="118"/>
      <c r="GE2190" s="118"/>
      <c r="GF2190" s="118"/>
      <c r="GG2190" s="118"/>
      <c r="GH2190" s="118"/>
      <c r="GI2190" s="118"/>
      <c r="GJ2190" s="118"/>
      <c r="GK2190" s="118"/>
      <c r="GL2190" s="118"/>
      <c r="GM2190" s="118"/>
      <c r="GN2190" s="118"/>
      <c r="GO2190" s="118"/>
      <c r="GP2190" s="118"/>
      <c r="GQ2190" s="118"/>
      <c r="GR2190" s="118"/>
      <c r="GS2190" s="118"/>
      <c r="GT2190" s="118"/>
      <c r="GU2190" s="118"/>
      <c r="GV2190" s="118"/>
      <c r="GW2190" s="118"/>
      <c r="GX2190" s="118"/>
      <c r="GY2190" s="118"/>
      <c r="GZ2190" s="118"/>
      <c r="HA2190" s="118"/>
      <c r="HB2190" s="118"/>
      <c r="HC2190" s="118"/>
      <c r="HD2190" s="118"/>
      <c r="HE2190" s="118"/>
      <c r="HF2190" s="118"/>
      <c r="HG2190" s="118"/>
      <c r="HH2190" s="118"/>
      <c r="HI2190" s="118"/>
      <c r="HJ2190" s="118"/>
      <c r="HK2190" s="118"/>
      <c r="HL2190" s="118"/>
      <c r="HM2190" s="118"/>
      <c r="HN2190" s="118"/>
      <c r="HO2190" s="118"/>
      <c r="HP2190" s="118"/>
      <c r="HQ2190" s="118"/>
      <c r="HR2190" s="118"/>
      <c r="HS2190" s="118"/>
      <c r="HT2190" s="118"/>
      <c r="HU2190" s="118"/>
      <c r="HV2190" s="118"/>
      <c r="HW2190" s="118"/>
      <c r="HX2190" s="118"/>
      <c r="HY2190" s="118"/>
      <c r="HZ2190" s="118"/>
      <c r="IA2190" s="118"/>
      <c r="IB2190" s="118"/>
      <c r="IC2190" s="118"/>
      <c r="ID2190" s="118"/>
      <c r="IE2190" s="118"/>
      <c r="IF2190" s="118"/>
      <c r="IG2190" s="118"/>
      <c r="IH2190" s="118"/>
      <c r="II2190" s="118"/>
      <c r="IJ2190" s="118"/>
    </row>
    <row r="2191" spans="1:244" s="127" customFormat="1" ht="12.75" customHeight="1">
      <c r="A2191" s="118">
        <v>2190</v>
      </c>
      <c r="B2191" s="128">
        <v>23</v>
      </c>
      <c r="C2191" s="156">
        <v>39234</v>
      </c>
      <c r="D2191" s="157" t="s">
        <v>49</v>
      </c>
      <c r="E2191" s="8">
        <v>2007</v>
      </c>
      <c r="F2191" s="158">
        <f t="shared" si="547"/>
        <v>516</v>
      </c>
      <c r="G2191" s="158">
        <f t="shared" si="548"/>
        <v>2</v>
      </c>
      <c r="H2191" s="175">
        <v>38718</v>
      </c>
      <c r="I2191" s="160">
        <v>574819</v>
      </c>
      <c r="J2191" s="191">
        <v>0.02</v>
      </c>
      <c r="K2191" s="191">
        <v>0.05</v>
      </c>
      <c r="L2191" s="191">
        <v>0.02</v>
      </c>
      <c r="M2191" s="193">
        <v>0</v>
      </c>
      <c r="N2191" s="529"/>
      <c r="O2191" s="191">
        <v>0.03</v>
      </c>
      <c r="P2191" s="192"/>
      <c r="Q2191" s="127">
        <v>9</v>
      </c>
      <c r="R2191" s="127">
        <v>26</v>
      </c>
      <c r="S2191" s="140"/>
      <c r="T2191" s="161">
        <f t="shared" si="552"/>
        <v>28740.95</v>
      </c>
      <c r="U2191" s="161">
        <f t="shared" si="549"/>
        <v>11496.380000000001</v>
      </c>
      <c r="V2191" s="161">
        <f t="shared" si="550"/>
        <v>17244.57</v>
      </c>
      <c r="W2191" s="161">
        <f t="shared" si="551"/>
        <v>6897.8280000000004</v>
      </c>
      <c r="X2191" s="118"/>
      <c r="Y2191" s="118"/>
      <c r="Z2191" s="118"/>
      <c r="AA2191" s="118"/>
      <c r="AB2191" s="118"/>
      <c r="AC2191" s="118"/>
      <c r="AD2191" s="118"/>
      <c r="AE2191" s="118"/>
      <c r="AF2191" s="118"/>
      <c r="AG2191" s="118"/>
      <c r="AH2191" s="118"/>
      <c r="AI2191" s="118"/>
      <c r="AJ2191" s="118"/>
      <c r="AK2191" s="118"/>
      <c r="AL2191" s="118"/>
      <c r="AM2191" s="118"/>
      <c r="AN2191" s="118"/>
      <c r="AO2191" s="118"/>
      <c r="AP2191" s="118"/>
      <c r="AQ2191" s="118"/>
      <c r="AR2191" s="118"/>
      <c r="AS2191" s="118"/>
      <c r="AT2191" s="118"/>
      <c r="AU2191" s="118"/>
      <c r="AV2191" s="118"/>
      <c r="AW2191" s="118"/>
      <c r="AX2191" s="118"/>
      <c r="AY2191" s="118"/>
      <c r="AZ2191" s="118"/>
      <c r="BA2191" s="118"/>
      <c r="BB2191" s="118"/>
      <c r="BC2191" s="118"/>
      <c r="BD2191" s="118"/>
      <c r="BE2191" s="118"/>
      <c r="BF2191" s="118"/>
      <c r="BG2191" s="118"/>
      <c r="BH2191" s="118"/>
      <c r="BI2191" s="118"/>
      <c r="BJ2191" s="118"/>
      <c r="BK2191" s="118"/>
      <c r="BL2191" s="118"/>
      <c r="BM2191" s="118"/>
      <c r="BN2191" s="118"/>
      <c r="BO2191" s="118"/>
      <c r="BP2191" s="118"/>
      <c r="BQ2191" s="118"/>
      <c r="BR2191" s="118"/>
      <c r="BS2191" s="118"/>
      <c r="BT2191" s="118"/>
      <c r="BU2191" s="118"/>
      <c r="BV2191" s="118"/>
      <c r="BW2191" s="118"/>
      <c r="BX2191" s="118"/>
      <c r="BY2191" s="118"/>
      <c r="BZ2191" s="118"/>
      <c r="CA2191" s="118"/>
      <c r="CB2191" s="118"/>
      <c r="CC2191" s="118"/>
      <c r="CD2191" s="118"/>
      <c r="CE2191" s="118"/>
      <c r="CF2191" s="118"/>
      <c r="CG2191" s="118"/>
      <c r="CH2191" s="118"/>
      <c r="CI2191" s="118"/>
      <c r="CJ2191" s="118"/>
      <c r="CK2191" s="118"/>
      <c r="CL2191" s="118"/>
      <c r="CM2191" s="118"/>
      <c r="CN2191" s="118"/>
      <c r="CO2191" s="118"/>
      <c r="CP2191" s="118"/>
      <c r="CQ2191" s="118"/>
      <c r="CR2191" s="118"/>
      <c r="CS2191" s="118"/>
      <c r="CT2191" s="118"/>
      <c r="CU2191" s="118"/>
      <c r="CV2191" s="118"/>
      <c r="CW2191" s="118"/>
      <c r="CX2191" s="118"/>
      <c r="CY2191" s="118"/>
      <c r="CZ2191" s="118"/>
      <c r="DA2191" s="118"/>
      <c r="DB2191" s="118"/>
      <c r="DC2191" s="118"/>
      <c r="DD2191" s="118"/>
      <c r="DE2191" s="118"/>
      <c r="DF2191" s="118"/>
      <c r="DG2191" s="118"/>
      <c r="DH2191" s="118"/>
      <c r="DI2191" s="118"/>
      <c r="DJ2191" s="118"/>
      <c r="DK2191" s="118"/>
      <c r="DL2191" s="118"/>
      <c r="DM2191" s="118"/>
      <c r="DN2191" s="118"/>
      <c r="DO2191" s="118"/>
      <c r="DP2191" s="118"/>
      <c r="DQ2191" s="118"/>
      <c r="DR2191" s="118"/>
      <c r="DS2191" s="118"/>
      <c r="DT2191" s="118"/>
      <c r="DU2191" s="118"/>
      <c r="DV2191" s="118"/>
      <c r="DW2191" s="118"/>
      <c r="DX2191" s="118"/>
      <c r="DY2191" s="118"/>
      <c r="DZ2191" s="118"/>
      <c r="EA2191" s="118"/>
      <c r="EB2191" s="118"/>
      <c r="EC2191" s="118"/>
      <c r="ED2191" s="118"/>
      <c r="EE2191" s="118"/>
      <c r="EF2191" s="118"/>
      <c r="EG2191" s="118"/>
      <c r="EH2191" s="118"/>
      <c r="EI2191" s="118"/>
      <c r="EJ2191" s="118"/>
      <c r="EK2191" s="118"/>
      <c r="EL2191" s="118"/>
      <c r="EM2191" s="118"/>
      <c r="EN2191" s="118"/>
      <c r="EO2191" s="118"/>
      <c r="EP2191" s="118"/>
      <c r="EQ2191" s="118"/>
      <c r="ER2191" s="118"/>
      <c r="ES2191" s="118"/>
      <c r="ET2191" s="118"/>
      <c r="EU2191" s="118"/>
      <c r="EV2191" s="118"/>
      <c r="EW2191" s="118"/>
      <c r="EX2191" s="118"/>
      <c r="EY2191" s="118"/>
      <c r="EZ2191" s="118"/>
      <c r="FA2191" s="118"/>
      <c r="FB2191" s="118"/>
      <c r="FC2191" s="118"/>
      <c r="FD2191" s="118"/>
      <c r="FE2191" s="118"/>
      <c r="FF2191" s="118"/>
      <c r="FG2191" s="118"/>
      <c r="FH2191" s="118"/>
      <c r="FI2191" s="118"/>
      <c r="FJ2191" s="118"/>
      <c r="FK2191" s="118"/>
      <c r="FL2191" s="118"/>
      <c r="FM2191" s="118"/>
      <c r="FN2191" s="118"/>
      <c r="FO2191" s="118"/>
      <c r="FP2191" s="118"/>
      <c r="FQ2191" s="118"/>
      <c r="FR2191" s="118"/>
      <c r="FS2191" s="118"/>
      <c r="FT2191" s="118"/>
      <c r="FU2191" s="118"/>
      <c r="FV2191" s="118"/>
      <c r="FW2191" s="118"/>
      <c r="FX2191" s="118"/>
      <c r="FY2191" s="118"/>
      <c r="FZ2191" s="118"/>
      <c r="GA2191" s="118"/>
      <c r="GB2191" s="118"/>
      <c r="GC2191" s="118"/>
      <c r="GD2191" s="118"/>
      <c r="GE2191" s="118"/>
      <c r="GF2191" s="118"/>
      <c r="GG2191" s="118"/>
      <c r="GH2191" s="118"/>
      <c r="GI2191" s="118"/>
      <c r="GJ2191" s="118"/>
      <c r="GK2191" s="118"/>
      <c r="GL2191" s="118"/>
      <c r="GM2191" s="118"/>
      <c r="GN2191" s="118"/>
      <c r="GO2191" s="118"/>
      <c r="GP2191" s="118"/>
      <c r="GQ2191" s="118"/>
      <c r="GR2191" s="118"/>
      <c r="GS2191" s="118"/>
      <c r="GT2191" s="118"/>
      <c r="GU2191" s="118"/>
      <c r="GV2191" s="118"/>
      <c r="GW2191" s="118"/>
      <c r="GX2191" s="118"/>
      <c r="GY2191" s="118"/>
      <c r="GZ2191" s="118"/>
      <c r="HA2191" s="118"/>
      <c r="HB2191" s="118"/>
      <c r="HC2191" s="118"/>
      <c r="HD2191" s="118"/>
      <c r="HE2191" s="118"/>
      <c r="HF2191" s="118"/>
      <c r="HG2191" s="118"/>
      <c r="HH2191" s="118"/>
      <c r="HI2191" s="118"/>
      <c r="HJ2191" s="118"/>
      <c r="HK2191" s="118"/>
      <c r="HL2191" s="118"/>
      <c r="HM2191" s="118"/>
      <c r="HN2191" s="118"/>
      <c r="HO2191" s="118"/>
      <c r="HP2191" s="118"/>
      <c r="HQ2191" s="118"/>
      <c r="HR2191" s="118"/>
      <c r="HS2191" s="118"/>
      <c r="HT2191" s="118"/>
      <c r="HU2191" s="118"/>
      <c r="HV2191" s="118"/>
      <c r="HW2191" s="118"/>
      <c r="HX2191" s="118"/>
      <c r="HY2191" s="118"/>
      <c r="HZ2191" s="118"/>
      <c r="IA2191" s="118"/>
      <c r="IB2191" s="118"/>
      <c r="IC2191" s="118"/>
      <c r="ID2191" s="118"/>
      <c r="IE2191" s="118"/>
      <c r="IF2191" s="118"/>
      <c r="IG2191" s="118"/>
      <c r="IH2191" s="118"/>
      <c r="II2191" s="118"/>
      <c r="IJ2191" s="118"/>
    </row>
    <row r="2192" spans="1:244" ht="12.75" customHeight="1">
      <c r="A2192" s="118">
        <v>2191</v>
      </c>
      <c r="B2192" s="128">
        <v>23</v>
      </c>
      <c r="C2192" s="156">
        <v>39264</v>
      </c>
      <c r="D2192" s="157" t="s">
        <v>50</v>
      </c>
      <c r="E2192" s="8">
        <v>2007</v>
      </c>
      <c r="F2192" s="158">
        <f t="shared" si="547"/>
        <v>546</v>
      </c>
      <c r="G2192" s="158">
        <f t="shared" si="548"/>
        <v>2</v>
      </c>
      <c r="H2192" s="175">
        <v>38718</v>
      </c>
      <c r="I2192" s="160">
        <v>573542</v>
      </c>
      <c r="J2192" s="191">
        <v>0</v>
      </c>
      <c r="K2192" s="191">
        <v>0.22</v>
      </c>
      <c r="L2192" s="191">
        <v>0.1</v>
      </c>
      <c r="M2192" s="193">
        <v>0</v>
      </c>
      <c r="N2192" s="529"/>
      <c r="O2192" s="191">
        <v>0</v>
      </c>
      <c r="P2192" s="192"/>
      <c r="Q2192" s="127">
        <v>10</v>
      </c>
      <c r="R2192" s="127">
        <v>24</v>
      </c>
      <c r="S2192" s="140"/>
      <c r="T2192" s="161">
        <f t="shared" si="552"/>
        <v>126179.24</v>
      </c>
      <c r="U2192" s="161">
        <f t="shared" si="549"/>
        <v>57354.200000000004</v>
      </c>
      <c r="V2192" s="161">
        <f t="shared" si="550"/>
        <v>0</v>
      </c>
      <c r="W2192" s="161">
        <f t="shared" si="551"/>
        <v>0</v>
      </c>
    </row>
    <row r="2193" spans="1:244" ht="12.75" customHeight="1">
      <c r="A2193" s="118">
        <v>2192</v>
      </c>
      <c r="B2193" s="128">
        <v>23</v>
      </c>
      <c r="C2193" s="156">
        <v>39295</v>
      </c>
      <c r="D2193" s="157" t="s">
        <v>51</v>
      </c>
      <c r="E2193" s="8">
        <v>2007</v>
      </c>
      <c r="F2193" s="158">
        <f t="shared" si="547"/>
        <v>577</v>
      </c>
      <c r="G2193" s="158">
        <f t="shared" si="548"/>
        <v>2</v>
      </c>
      <c r="H2193" s="175">
        <v>38718</v>
      </c>
      <c r="I2193" s="160">
        <v>563487</v>
      </c>
      <c r="J2193" s="191">
        <v>0.02</v>
      </c>
      <c r="K2193" s="191">
        <v>0.12</v>
      </c>
      <c r="L2193" s="191">
        <v>0.05</v>
      </c>
      <c r="M2193" s="193">
        <v>0</v>
      </c>
      <c r="N2193" s="529"/>
      <c r="O2193" s="191">
        <v>0.05</v>
      </c>
      <c r="P2193" s="192"/>
      <c r="Q2193" s="127">
        <v>10</v>
      </c>
      <c r="R2193" s="127">
        <v>30</v>
      </c>
      <c r="S2193" s="140"/>
      <c r="T2193" s="161">
        <f t="shared" si="552"/>
        <v>67618.44</v>
      </c>
      <c r="U2193" s="161">
        <f t="shared" si="549"/>
        <v>28174.350000000002</v>
      </c>
      <c r="V2193" s="161">
        <f t="shared" si="550"/>
        <v>28174.350000000002</v>
      </c>
      <c r="W2193" s="161">
        <f t="shared" si="551"/>
        <v>11269.740000000002</v>
      </c>
    </row>
    <row r="2194" spans="1:244" ht="12.75" customHeight="1">
      <c r="A2194" s="118">
        <v>2193</v>
      </c>
      <c r="B2194" s="128">
        <v>23</v>
      </c>
      <c r="C2194" s="156">
        <v>39326</v>
      </c>
      <c r="D2194" s="157" t="s">
        <v>52</v>
      </c>
      <c r="E2194" s="8">
        <v>2007</v>
      </c>
      <c r="F2194" s="158">
        <f t="shared" si="547"/>
        <v>608</v>
      </c>
      <c r="G2194" s="158">
        <f t="shared" si="548"/>
        <v>2</v>
      </c>
      <c r="H2194" s="175">
        <v>38718</v>
      </c>
      <c r="I2194" s="160">
        <v>563243</v>
      </c>
      <c r="J2194" s="191">
        <v>0.03</v>
      </c>
      <c r="K2194" s="191">
        <v>7.0000000000000007E-2</v>
      </c>
      <c r="L2194" s="191">
        <v>0.03</v>
      </c>
      <c r="M2194" s="193">
        <v>0</v>
      </c>
      <c r="N2194" s="529"/>
      <c r="O2194" s="191">
        <v>0</v>
      </c>
      <c r="P2194" s="192"/>
      <c r="Q2194" s="127">
        <v>9</v>
      </c>
      <c r="R2194" s="127">
        <v>29</v>
      </c>
      <c r="S2194" s="140"/>
      <c r="T2194" s="161">
        <f t="shared" si="552"/>
        <v>39427.01</v>
      </c>
      <c r="U2194" s="161">
        <f t="shared" si="549"/>
        <v>16897.29</v>
      </c>
      <c r="V2194" s="161">
        <f t="shared" si="550"/>
        <v>0</v>
      </c>
      <c r="W2194" s="161">
        <f t="shared" si="551"/>
        <v>0</v>
      </c>
    </row>
    <row r="2195" spans="1:244" ht="12.75" customHeight="1">
      <c r="A2195" s="118">
        <v>2194</v>
      </c>
      <c r="B2195" s="128">
        <v>23</v>
      </c>
      <c r="C2195" s="156">
        <v>39356</v>
      </c>
      <c r="D2195" s="157" t="s">
        <v>53</v>
      </c>
      <c r="E2195" s="8">
        <v>2007</v>
      </c>
      <c r="F2195" s="158">
        <f t="shared" si="547"/>
        <v>638</v>
      </c>
      <c r="G2195" s="158">
        <f t="shared" si="548"/>
        <v>2</v>
      </c>
      <c r="H2195" s="175">
        <v>38718</v>
      </c>
      <c r="I2195" s="160">
        <v>562132</v>
      </c>
      <c r="J2195" s="191">
        <v>0.1</v>
      </c>
      <c r="K2195" s="191">
        <v>0.48</v>
      </c>
      <c r="L2195" s="191">
        <v>0.12</v>
      </c>
      <c r="M2195" s="193">
        <v>0</v>
      </c>
      <c r="N2195" s="529"/>
      <c r="O2195" s="191">
        <v>0</v>
      </c>
      <c r="P2195" s="192"/>
      <c r="Q2195" s="127">
        <v>9</v>
      </c>
      <c r="R2195" s="127"/>
      <c r="S2195" s="140"/>
      <c r="T2195" s="161">
        <f t="shared" si="552"/>
        <v>269823.35999999999</v>
      </c>
      <c r="U2195" s="161">
        <f t="shared" si="549"/>
        <v>67455.839999999997</v>
      </c>
      <c r="V2195" s="161">
        <f t="shared" si="550"/>
        <v>0</v>
      </c>
      <c r="W2195" s="161">
        <f t="shared" si="551"/>
        <v>0</v>
      </c>
    </row>
    <row r="2196" spans="1:244" ht="12.75" customHeight="1">
      <c r="A2196" s="118">
        <v>2195</v>
      </c>
      <c r="B2196" s="128">
        <v>23</v>
      </c>
      <c r="C2196" s="156">
        <v>39387</v>
      </c>
      <c r="D2196" s="157" t="s">
        <v>54</v>
      </c>
      <c r="E2196" s="8">
        <v>2007</v>
      </c>
      <c r="F2196" s="158">
        <f t="shared" si="547"/>
        <v>669</v>
      </c>
      <c r="G2196" s="158">
        <f t="shared" si="548"/>
        <v>2</v>
      </c>
      <c r="H2196" s="175">
        <v>38718</v>
      </c>
      <c r="I2196" s="160">
        <v>560575</v>
      </c>
      <c r="J2196" s="191">
        <v>0.15</v>
      </c>
      <c r="K2196" s="191">
        <v>0.15</v>
      </c>
      <c r="L2196" s="191">
        <v>0.03</v>
      </c>
      <c r="M2196" s="193">
        <v>0</v>
      </c>
      <c r="N2196" s="529"/>
      <c r="O2196" s="191">
        <v>0.03</v>
      </c>
      <c r="P2196" s="192"/>
      <c r="Q2196" s="127">
        <v>8</v>
      </c>
      <c r="R2196" s="127"/>
      <c r="S2196" s="140"/>
      <c r="T2196" s="161">
        <f t="shared" si="552"/>
        <v>84086.25</v>
      </c>
      <c r="U2196" s="161">
        <f t="shared" si="549"/>
        <v>16817.25</v>
      </c>
      <c r="V2196" s="161">
        <f t="shared" si="550"/>
        <v>16817.25</v>
      </c>
      <c r="W2196" s="161">
        <f t="shared" si="551"/>
        <v>6726.9000000000005</v>
      </c>
      <c r="X2196" s="127"/>
      <c r="Y2196" s="127"/>
      <c r="Z2196" s="127"/>
      <c r="AA2196" s="127"/>
      <c r="AB2196" s="127"/>
      <c r="AC2196" s="127"/>
      <c r="AD2196" s="127"/>
      <c r="AE2196" s="127"/>
      <c r="AF2196" s="127"/>
      <c r="AG2196" s="127"/>
      <c r="AH2196" s="127"/>
      <c r="AI2196" s="127"/>
      <c r="AJ2196" s="127"/>
      <c r="AK2196" s="127"/>
      <c r="AL2196" s="127"/>
      <c r="AM2196" s="127"/>
      <c r="AN2196" s="127"/>
      <c r="AO2196" s="127"/>
      <c r="AP2196" s="127"/>
      <c r="AQ2196" s="127"/>
      <c r="AR2196" s="127"/>
      <c r="AS2196" s="127"/>
      <c r="AT2196" s="127"/>
      <c r="AU2196" s="127"/>
      <c r="AV2196" s="127"/>
      <c r="AW2196" s="127"/>
      <c r="AX2196" s="127"/>
      <c r="AY2196" s="127"/>
      <c r="AZ2196" s="127"/>
      <c r="BA2196" s="127"/>
      <c r="BB2196" s="127"/>
      <c r="BC2196" s="127"/>
      <c r="BD2196" s="127"/>
      <c r="BE2196" s="127"/>
      <c r="BF2196" s="127"/>
      <c r="BG2196" s="127"/>
      <c r="BH2196" s="127"/>
      <c r="BI2196" s="127"/>
      <c r="BJ2196" s="127"/>
      <c r="BK2196" s="127"/>
      <c r="BL2196" s="127"/>
      <c r="BM2196" s="127"/>
      <c r="BN2196" s="127"/>
      <c r="BO2196" s="127"/>
      <c r="BP2196" s="127"/>
      <c r="BQ2196" s="127"/>
      <c r="BR2196" s="127"/>
      <c r="BS2196" s="127"/>
      <c r="BT2196" s="127"/>
      <c r="BU2196" s="127"/>
      <c r="BV2196" s="127"/>
      <c r="BW2196" s="127"/>
      <c r="BX2196" s="127"/>
      <c r="BY2196" s="127"/>
      <c r="BZ2196" s="127"/>
      <c r="CA2196" s="127"/>
      <c r="CB2196" s="127"/>
      <c r="CC2196" s="127"/>
      <c r="CD2196" s="127"/>
      <c r="CE2196" s="127"/>
      <c r="CF2196" s="127"/>
      <c r="CG2196" s="127"/>
      <c r="CH2196" s="127"/>
      <c r="CI2196" s="127"/>
      <c r="CJ2196" s="127"/>
      <c r="CK2196" s="127"/>
      <c r="CL2196" s="127"/>
      <c r="CM2196" s="127"/>
      <c r="CN2196" s="127"/>
      <c r="CO2196" s="127"/>
      <c r="CP2196" s="127"/>
      <c r="CQ2196" s="127"/>
      <c r="CR2196" s="127"/>
      <c r="CS2196" s="127"/>
      <c r="CT2196" s="127"/>
      <c r="CU2196" s="127"/>
      <c r="CV2196" s="127"/>
      <c r="CW2196" s="127"/>
      <c r="CX2196" s="127"/>
      <c r="CY2196" s="127"/>
      <c r="CZ2196" s="127"/>
      <c r="DA2196" s="127"/>
      <c r="DB2196" s="127"/>
      <c r="DC2196" s="127"/>
      <c r="DD2196" s="127"/>
      <c r="DE2196" s="127"/>
      <c r="DF2196" s="127"/>
      <c r="DG2196" s="127"/>
      <c r="DH2196" s="127"/>
      <c r="DI2196" s="127"/>
      <c r="DJ2196" s="127"/>
      <c r="DK2196" s="127"/>
      <c r="DL2196" s="127"/>
      <c r="DM2196" s="127"/>
      <c r="DN2196" s="127"/>
      <c r="DO2196" s="127"/>
      <c r="DP2196" s="127"/>
      <c r="DQ2196" s="127"/>
      <c r="DR2196" s="127"/>
      <c r="DS2196" s="127"/>
      <c r="DT2196" s="127"/>
      <c r="DU2196" s="127"/>
      <c r="DV2196" s="127"/>
      <c r="DW2196" s="127"/>
      <c r="DX2196" s="127"/>
      <c r="DY2196" s="127"/>
      <c r="DZ2196" s="127"/>
      <c r="EA2196" s="127"/>
      <c r="EB2196" s="127"/>
      <c r="EC2196" s="127"/>
      <c r="ED2196" s="127"/>
      <c r="EE2196" s="127"/>
      <c r="EF2196" s="127"/>
      <c r="EG2196" s="127"/>
      <c r="EH2196" s="127"/>
      <c r="EI2196" s="127"/>
      <c r="EJ2196" s="127"/>
      <c r="EK2196" s="127"/>
      <c r="EL2196" s="127"/>
      <c r="EM2196" s="127"/>
      <c r="EN2196" s="127"/>
      <c r="EO2196" s="127"/>
      <c r="EP2196" s="127"/>
      <c r="EQ2196" s="127"/>
      <c r="ER2196" s="127"/>
      <c r="ES2196" s="127"/>
      <c r="ET2196" s="127"/>
      <c r="EU2196" s="127"/>
      <c r="EV2196" s="127"/>
      <c r="EW2196" s="127"/>
      <c r="EX2196" s="127"/>
      <c r="EY2196" s="127"/>
      <c r="EZ2196" s="127"/>
      <c r="FA2196" s="127"/>
      <c r="FB2196" s="127"/>
      <c r="FC2196" s="127"/>
      <c r="FD2196" s="127"/>
      <c r="FE2196" s="127"/>
      <c r="FF2196" s="127"/>
      <c r="FG2196" s="127"/>
      <c r="FH2196" s="127"/>
      <c r="FI2196" s="127"/>
      <c r="FJ2196" s="127"/>
      <c r="FK2196" s="127"/>
      <c r="FL2196" s="127"/>
      <c r="FM2196" s="127"/>
      <c r="FN2196" s="127"/>
      <c r="FO2196" s="127"/>
      <c r="FP2196" s="127"/>
      <c r="FQ2196" s="127"/>
      <c r="FR2196" s="127"/>
      <c r="FS2196" s="127"/>
      <c r="FT2196" s="127"/>
      <c r="FU2196" s="127"/>
      <c r="FV2196" s="127"/>
      <c r="FW2196" s="127"/>
      <c r="FX2196" s="127"/>
      <c r="FY2196" s="127"/>
      <c r="FZ2196" s="127"/>
      <c r="GA2196" s="127"/>
      <c r="GB2196" s="127"/>
      <c r="GC2196" s="127"/>
      <c r="GD2196" s="127"/>
      <c r="GE2196" s="127"/>
      <c r="GF2196" s="127"/>
      <c r="GG2196" s="127"/>
      <c r="GH2196" s="127"/>
      <c r="GI2196" s="127"/>
      <c r="GJ2196" s="127"/>
      <c r="GK2196" s="127"/>
      <c r="GL2196" s="127"/>
      <c r="GM2196" s="127"/>
      <c r="GN2196" s="127"/>
      <c r="GO2196" s="127"/>
      <c r="GP2196" s="127"/>
      <c r="GQ2196" s="127"/>
      <c r="GR2196" s="127"/>
      <c r="GS2196" s="127"/>
      <c r="GT2196" s="127"/>
      <c r="GU2196" s="127"/>
      <c r="GV2196" s="127"/>
      <c r="GW2196" s="127"/>
      <c r="GX2196" s="127"/>
      <c r="GY2196" s="127"/>
      <c r="GZ2196" s="127"/>
      <c r="HA2196" s="127"/>
      <c r="HB2196" s="127"/>
      <c r="HC2196" s="127"/>
      <c r="HD2196" s="127"/>
      <c r="HE2196" s="127"/>
      <c r="HF2196" s="127"/>
      <c r="HG2196" s="127"/>
      <c r="HH2196" s="127"/>
      <c r="HI2196" s="127"/>
      <c r="HJ2196" s="127"/>
      <c r="HK2196" s="127"/>
      <c r="HL2196" s="127"/>
      <c r="HM2196" s="127"/>
      <c r="HN2196" s="127"/>
      <c r="HO2196" s="127"/>
      <c r="HP2196" s="127"/>
      <c r="HQ2196" s="127"/>
      <c r="HR2196" s="127"/>
      <c r="HS2196" s="127"/>
      <c r="HT2196" s="127"/>
      <c r="HU2196" s="127"/>
      <c r="HV2196" s="127"/>
      <c r="HW2196" s="127"/>
      <c r="HX2196" s="127"/>
      <c r="HY2196" s="127"/>
      <c r="HZ2196" s="127"/>
      <c r="IA2196" s="127"/>
      <c r="IB2196" s="127"/>
      <c r="IC2196" s="127"/>
      <c r="ID2196" s="127"/>
      <c r="IE2196" s="127"/>
      <c r="IF2196" s="127"/>
      <c r="IG2196" s="127"/>
      <c r="IH2196" s="127"/>
      <c r="II2196" s="127"/>
      <c r="IJ2196" s="127"/>
    </row>
    <row r="2197" spans="1:244" ht="12.75" customHeight="1">
      <c r="A2197" s="118">
        <v>2196</v>
      </c>
      <c r="B2197" s="128">
        <v>23</v>
      </c>
      <c r="C2197" s="156">
        <v>39417</v>
      </c>
      <c r="D2197" s="157" t="s">
        <v>55</v>
      </c>
      <c r="E2197" s="8">
        <v>2007</v>
      </c>
      <c r="F2197" s="158">
        <f t="shared" si="547"/>
        <v>699</v>
      </c>
      <c r="G2197" s="158">
        <f t="shared" si="548"/>
        <v>2</v>
      </c>
      <c r="H2197" s="175">
        <v>38718</v>
      </c>
      <c r="I2197" s="160">
        <v>559748</v>
      </c>
      <c r="J2197" s="191">
        <v>0.3</v>
      </c>
      <c r="K2197" s="191">
        <v>0.77</v>
      </c>
      <c r="L2197" s="191">
        <v>0.27</v>
      </c>
      <c r="M2197" s="193"/>
      <c r="N2197" s="529"/>
      <c r="O2197" s="191">
        <v>0.32</v>
      </c>
      <c r="P2197" s="192"/>
      <c r="Q2197" s="127">
        <v>7</v>
      </c>
      <c r="R2197" s="127"/>
      <c r="S2197" s="140"/>
      <c r="T2197" s="161">
        <f t="shared" si="552"/>
        <v>431005.96</v>
      </c>
      <c r="U2197" s="161">
        <f t="shared" si="549"/>
        <v>151131.96000000002</v>
      </c>
      <c r="V2197" s="161">
        <f t="shared" si="550"/>
        <v>179119.36000000002</v>
      </c>
      <c r="W2197" s="161">
        <f t="shared" si="551"/>
        <v>71647.744000000006</v>
      </c>
      <c r="X2197" s="127"/>
      <c r="Y2197" s="127"/>
      <c r="Z2197" s="127"/>
      <c r="AA2197" s="127"/>
      <c r="AB2197" s="127"/>
      <c r="AC2197" s="127"/>
      <c r="AD2197" s="127"/>
      <c r="AE2197" s="127"/>
      <c r="AF2197" s="127"/>
      <c r="AG2197" s="127"/>
      <c r="AH2197" s="127"/>
      <c r="AI2197" s="127"/>
      <c r="AJ2197" s="127"/>
      <c r="AK2197" s="127"/>
      <c r="AL2197" s="127"/>
      <c r="AM2197" s="127"/>
      <c r="AN2197" s="127"/>
      <c r="AO2197" s="127"/>
      <c r="AP2197" s="127"/>
      <c r="AQ2197" s="127"/>
      <c r="AR2197" s="127"/>
      <c r="AS2197" s="127"/>
      <c r="AT2197" s="127"/>
      <c r="AU2197" s="127"/>
      <c r="AV2197" s="127"/>
      <c r="AW2197" s="127"/>
      <c r="AX2197" s="127"/>
      <c r="AY2197" s="127"/>
      <c r="AZ2197" s="127"/>
      <c r="BA2197" s="127"/>
      <c r="BB2197" s="127"/>
      <c r="BC2197" s="127"/>
      <c r="BD2197" s="127"/>
      <c r="BE2197" s="127"/>
      <c r="BF2197" s="127"/>
      <c r="BG2197" s="127"/>
      <c r="BH2197" s="127"/>
      <c r="BI2197" s="127"/>
      <c r="BJ2197" s="127"/>
      <c r="BK2197" s="127"/>
      <c r="BL2197" s="127"/>
      <c r="BM2197" s="127"/>
      <c r="BN2197" s="127"/>
      <c r="BO2197" s="127"/>
      <c r="BP2197" s="127"/>
      <c r="BQ2197" s="127"/>
      <c r="BR2197" s="127"/>
      <c r="BS2197" s="127"/>
      <c r="BT2197" s="127"/>
      <c r="BU2197" s="127"/>
      <c r="BV2197" s="127"/>
      <c r="BW2197" s="127"/>
      <c r="BX2197" s="127"/>
      <c r="BY2197" s="127"/>
      <c r="BZ2197" s="127"/>
      <c r="CA2197" s="127"/>
      <c r="CB2197" s="127"/>
      <c r="CC2197" s="127"/>
      <c r="CD2197" s="127"/>
      <c r="CE2197" s="127"/>
      <c r="CF2197" s="127"/>
      <c r="CG2197" s="127"/>
      <c r="CH2197" s="127"/>
      <c r="CI2197" s="127"/>
      <c r="CJ2197" s="127"/>
      <c r="CK2197" s="127"/>
      <c r="CL2197" s="127"/>
      <c r="CM2197" s="127"/>
      <c r="CN2197" s="127"/>
      <c r="CO2197" s="127"/>
      <c r="CP2197" s="127"/>
      <c r="CQ2197" s="127"/>
      <c r="CR2197" s="127"/>
      <c r="CS2197" s="127"/>
      <c r="CT2197" s="127"/>
      <c r="CU2197" s="127"/>
      <c r="CV2197" s="127"/>
      <c r="CW2197" s="127"/>
      <c r="CX2197" s="127"/>
      <c r="CY2197" s="127"/>
      <c r="CZ2197" s="127"/>
      <c r="DA2197" s="127"/>
      <c r="DB2197" s="127"/>
      <c r="DC2197" s="127"/>
      <c r="DD2197" s="127"/>
      <c r="DE2197" s="127"/>
      <c r="DF2197" s="127"/>
      <c r="DG2197" s="127"/>
      <c r="DH2197" s="127"/>
      <c r="DI2197" s="127"/>
      <c r="DJ2197" s="127"/>
      <c r="DK2197" s="127"/>
      <c r="DL2197" s="127"/>
      <c r="DM2197" s="127"/>
      <c r="DN2197" s="127"/>
      <c r="DO2197" s="127"/>
      <c r="DP2197" s="127"/>
      <c r="DQ2197" s="127"/>
      <c r="DR2197" s="127"/>
      <c r="DS2197" s="127"/>
      <c r="DT2197" s="127"/>
      <c r="DU2197" s="127"/>
      <c r="DV2197" s="127"/>
      <c r="DW2197" s="127"/>
      <c r="DX2197" s="127"/>
      <c r="DY2197" s="127"/>
      <c r="DZ2197" s="127"/>
      <c r="EA2197" s="127"/>
      <c r="EB2197" s="127"/>
      <c r="EC2197" s="127"/>
      <c r="ED2197" s="127"/>
      <c r="EE2197" s="127"/>
      <c r="EF2197" s="127"/>
      <c r="EG2197" s="127"/>
      <c r="EH2197" s="127"/>
      <c r="EI2197" s="127"/>
      <c r="EJ2197" s="127"/>
      <c r="EK2197" s="127"/>
      <c r="EL2197" s="127"/>
      <c r="EM2197" s="127"/>
      <c r="EN2197" s="127"/>
      <c r="EO2197" s="127"/>
      <c r="EP2197" s="127"/>
      <c r="EQ2197" s="127"/>
      <c r="ER2197" s="127"/>
      <c r="ES2197" s="127"/>
      <c r="ET2197" s="127"/>
      <c r="EU2197" s="127"/>
      <c r="EV2197" s="127"/>
      <c r="EW2197" s="127"/>
      <c r="EX2197" s="127"/>
      <c r="EY2197" s="127"/>
      <c r="EZ2197" s="127"/>
      <c r="FA2197" s="127"/>
      <c r="FB2197" s="127"/>
      <c r="FC2197" s="127"/>
      <c r="FD2197" s="127"/>
      <c r="FE2197" s="127"/>
      <c r="FF2197" s="127"/>
      <c r="FG2197" s="127"/>
      <c r="FH2197" s="127"/>
      <c r="FI2197" s="127"/>
      <c r="FJ2197" s="127"/>
      <c r="FK2197" s="127"/>
      <c r="FL2197" s="127"/>
      <c r="FM2197" s="127"/>
      <c r="FN2197" s="127"/>
      <c r="FO2197" s="127"/>
      <c r="FP2197" s="127"/>
      <c r="FQ2197" s="127"/>
      <c r="FR2197" s="127"/>
      <c r="FS2197" s="127"/>
      <c r="FT2197" s="127"/>
      <c r="FU2197" s="127"/>
      <c r="FV2197" s="127"/>
      <c r="FW2197" s="127"/>
      <c r="FX2197" s="127"/>
      <c r="FY2197" s="127"/>
      <c r="FZ2197" s="127"/>
      <c r="GA2197" s="127"/>
      <c r="GB2197" s="127"/>
      <c r="GC2197" s="127"/>
      <c r="GD2197" s="127"/>
      <c r="GE2197" s="127"/>
      <c r="GF2197" s="127"/>
      <c r="GG2197" s="127"/>
      <c r="GH2197" s="127"/>
      <c r="GI2197" s="127"/>
      <c r="GJ2197" s="127"/>
      <c r="GK2197" s="127"/>
      <c r="GL2197" s="127"/>
      <c r="GM2197" s="127"/>
      <c r="GN2197" s="127"/>
      <c r="GO2197" s="127"/>
      <c r="GP2197" s="127"/>
      <c r="GQ2197" s="127"/>
      <c r="GR2197" s="127"/>
      <c r="GS2197" s="127"/>
      <c r="GT2197" s="127"/>
      <c r="GU2197" s="127"/>
      <c r="GV2197" s="127"/>
      <c r="GW2197" s="127"/>
      <c r="GX2197" s="127"/>
      <c r="GY2197" s="127"/>
      <c r="GZ2197" s="127"/>
      <c r="HA2197" s="127"/>
      <c r="HB2197" s="127"/>
      <c r="HC2197" s="127"/>
      <c r="HD2197" s="127"/>
      <c r="HE2197" s="127"/>
      <c r="HF2197" s="127"/>
      <c r="HG2197" s="127"/>
      <c r="HH2197" s="127"/>
      <c r="HI2197" s="127"/>
      <c r="HJ2197" s="127"/>
      <c r="HK2197" s="127"/>
      <c r="HL2197" s="127"/>
      <c r="HM2197" s="127"/>
      <c r="HN2197" s="127"/>
      <c r="HO2197" s="127"/>
      <c r="HP2197" s="127"/>
      <c r="HQ2197" s="127"/>
      <c r="HR2197" s="127"/>
      <c r="HS2197" s="127"/>
      <c r="HT2197" s="127"/>
      <c r="HU2197" s="127"/>
      <c r="HV2197" s="127"/>
      <c r="HW2197" s="127"/>
      <c r="HX2197" s="127"/>
      <c r="HY2197" s="127"/>
      <c r="HZ2197" s="127"/>
      <c r="IA2197" s="127"/>
      <c r="IB2197" s="127"/>
      <c r="IC2197" s="127"/>
      <c r="ID2197" s="127"/>
      <c r="IE2197" s="127"/>
      <c r="IF2197" s="127"/>
      <c r="IG2197" s="127"/>
      <c r="IH2197" s="127"/>
      <c r="II2197" s="127"/>
      <c r="IJ2197" s="127"/>
    </row>
    <row r="2198" spans="1:244" ht="12.75" customHeight="1">
      <c r="A2198" s="118">
        <v>2197</v>
      </c>
      <c r="B2198" s="128">
        <v>23</v>
      </c>
      <c r="C2198" s="156">
        <v>39448</v>
      </c>
      <c r="D2198" s="157" t="s">
        <v>44</v>
      </c>
      <c r="E2198" s="127">
        <v>2008</v>
      </c>
      <c r="F2198" s="127"/>
      <c r="G2198" s="127"/>
      <c r="H2198" s="175"/>
      <c r="I2198" s="160"/>
      <c r="J2198" s="191"/>
      <c r="K2198" s="191"/>
      <c r="L2198" s="191"/>
      <c r="M2198" s="193"/>
      <c r="N2198" s="529"/>
      <c r="O2198" s="191"/>
      <c r="P2198" s="192"/>
      <c r="Q2198" s="193"/>
      <c r="R2198" s="193"/>
      <c r="S2198" s="140"/>
      <c r="T2198" s="128"/>
      <c r="U2198" s="118"/>
      <c r="V2198" s="118"/>
      <c r="W2198" s="118"/>
      <c r="X2198" s="127"/>
      <c r="Y2198" s="127"/>
      <c r="Z2198" s="127"/>
      <c r="AA2198" s="127"/>
      <c r="AB2198" s="127"/>
      <c r="AC2198" s="127"/>
      <c r="AD2198" s="127"/>
      <c r="AE2198" s="127"/>
      <c r="AF2198" s="127"/>
      <c r="AG2198" s="127"/>
      <c r="AH2198" s="127"/>
      <c r="AI2198" s="127"/>
      <c r="AJ2198" s="127"/>
      <c r="AK2198" s="127"/>
      <c r="AL2198" s="127"/>
      <c r="AM2198" s="127"/>
      <c r="AN2198" s="127"/>
      <c r="AO2198" s="127"/>
      <c r="AP2198" s="127"/>
      <c r="AQ2198" s="127"/>
      <c r="AR2198" s="127"/>
      <c r="AS2198" s="127"/>
      <c r="AT2198" s="127"/>
      <c r="AU2198" s="127"/>
      <c r="AV2198" s="127"/>
      <c r="AW2198" s="127"/>
      <c r="AX2198" s="127"/>
      <c r="AY2198" s="127"/>
      <c r="AZ2198" s="127"/>
      <c r="BA2198" s="127"/>
      <c r="BB2198" s="127"/>
      <c r="BC2198" s="127"/>
      <c r="BD2198" s="127"/>
      <c r="BE2198" s="127"/>
      <c r="BF2198" s="127"/>
      <c r="BG2198" s="127"/>
      <c r="BH2198" s="127"/>
      <c r="BI2198" s="127"/>
      <c r="BJ2198" s="127"/>
      <c r="BK2198" s="127"/>
      <c r="BL2198" s="127"/>
      <c r="BM2198" s="127"/>
      <c r="BN2198" s="127"/>
      <c r="BO2198" s="127"/>
      <c r="BP2198" s="127"/>
      <c r="BQ2198" s="127"/>
      <c r="BR2198" s="127"/>
      <c r="BS2198" s="127"/>
      <c r="BT2198" s="127"/>
      <c r="BU2198" s="127"/>
      <c r="BV2198" s="127"/>
      <c r="BW2198" s="127"/>
      <c r="BX2198" s="127"/>
      <c r="BY2198" s="127"/>
      <c r="BZ2198" s="127"/>
      <c r="CA2198" s="127"/>
      <c r="CB2198" s="127"/>
      <c r="CC2198" s="127"/>
      <c r="CD2198" s="127"/>
      <c r="CE2198" s="127"/>
      <c r="CF2198" s="127"/>
      <c r="CG2198" s="127"/>
      <c r="CH2198" s="127"/>
      <c r="CI2198" s="127"/>
      <c r="CJ2198" s="127"/>
      <c r="CK2198" s="127"/>
      <c r="CL2198" s="127"/>
      <c r="CM2198" s="127"/>
      <c r="CN2198" s="127"/>
      <c r="CO2198" s="127"/>
      <c r="CP2198" s="127"/>
      <c r="CQ2198" s="127"/>
      <c r="CR2198" s="127"/>
      <c r="CS2198" s="127"/>
      <c r="CT2198" s="127"/>
      <c r="CU2198" s="127"/>
      <c r="CV2198" s="127"/>
      <c r="CW2198" s="127"/>
      <c r="CX2198" s="127"/>
      <c r="CY2198" s="127"/>
      <c r="CZ2198" s="127"/>
      <c r="DA2198" s="127"/>
      <c r="DB2198" s="127"/>
      <c r="DC2198" s="127"/>
      <c r="DD2198" s="127"/>
      <c r="DE2198" s="127"/>
      <c r="DF2198" s="127"/>
      <c r="DG2198" s="127"/>
      <c r="DH2198" s="127"/>
      <c r="DI2198" s="127"/>
      <c r="DJ2198" s="127"/>
      <c r="DK2198" s="127"/>
      <c r="DL2198" s="127"/>
      <c r="DM2198" s="127"/>
      <c r="DN2198" s="127"/>
      <c r="DO2198" s="127"/>
      <c r="DP2198" s="127"/>
      <c r="DQ2198" s="127"/>
      <c r="DR2198" s="127"/>
      <c r="DS2198" s="127"/>
      <c r="DT2198" s="127"/>
      <c r="DU2198" s="127"/>
      <c r="DV2198" s="127"/>
      <c r="DW2198" s="127"/>
      <c r="DX2198" s="127"/>
      <c r="DY2198" s="127"/>
      <c r="DZ2198" s="127"/>
      <c r="EA2198" s="127"/>
      <c r="EB2198" s="127"/>
      <c r="EC2198" s="127"/>
      <c r="ED2198" s="127"/>
      <c r="EE2198" s="127"/>
      <c r="EF2198" s="127"/>
      <c r="EG2198" s="127"/>
      <c r="EH2198" s="127"/>
      <c r="EI2198" s="127"/>
      <c r="EJ2198" s="127"/>
      <c r="EK2198" s="127"/>
      <c r="EL2198" s="127"/>
      <c r="EM2198" s="127"/>
      <c r="EN2198" s="127"/>
      <c r="EO2198" s="127"/>
      <c r="EP2198" s="127"/>
      <c r="EQ2198" s="127"/>
      <c r="ER2198" s="127"/>
      <c r="ES2198" s="127"/>
      <c r="ET2198" s="127"/>
      <c r="EU2198" s="127"/>
      <c r="EV2198" s="127"/>
      <c r="EW2198" s="127"/>
      <c r="EX2198" s="127"/>
      <c r="EY2198" s="127"/>
      <c r="EZ2198" s="127"/>
      <c r="FA2198" s="127"/>
      <c r="FB2198" s="127"/>
      <c r="FC2198" s="127"/>
      <c r="FD2198" s="127"/>
      <c r="FE2198" s="127"/>
      <c r="FF2198" s="127"/>
      <c r="FG2198" s="127"/>
      <c r="FH2198" s="127"/>
      <c r="FI2198" s="127"/>
      <c r="FJ2198" s="127"/>
      <c r="FK2198" s="127"/>
      <c r="FL2198" s="127"/>
      <c r="FM2198" s="127"/>
      <c r="FN2198" s="127"/>
      <c r="FO2198" s="127"/>
      <c r="FP2198" s="127"/>
      <c r="FQ2198" s="127"/>
      <c r="FR2198" s="127"/>
      <c r="FS2198" s="127"/>
      <c r="FT2198" s="127"/>
      <c r="FU2198" s="127"/>
      <c r="FV2198" s="127"/>
      <c r="FW2198" s="127"/>
      <c r="FX2198" s="127"/>
      <c r="FY2198" s="127"/>
      <c r="FZ2198" s="127"/>
      <c r="GA2198" s="127"/>
      <c r="GB2198" s="127"/>
      <c r="GC2198" s="127"/>
      <c r="GD2198" s="127"/>
      <c r="GE2198" s="127"/>
      <c r="GF2198" s="127"/>
      <c r="GG2198" s="127"/>
      <c r="GH2198" s="127"/>
      <c r="GI2198" s="127"/>
      <c r="GJ2198" s="127"/>
      <c r="GK2198" s="127"/>
      <c r="GL2198" s="127"/>
      <c r="GM2198" s="127"/>
      <c r="GN2198" s="127"/>
      <c r="GO2198" s="127"/>
      <c r="GP2198" s="127"/>
      <c r="GQ2198" s="127"/>
      <c r="GR2198" s="127"/>
      <c r="GS2198" s="127"/>
      <c r="GT2198" s="127"/>
      <c r="GU2198" s="127"/>
      <c r="GV2198" s="127"/>
      <c r="GW2198" s="127"/>
      <c r="GX2198" s="127"/>
      <c r="GY2198" s="127"/>
      <c r="GZ2198" s="127"/>
      <c r="HA2198" s="127"/>
      <c r="HB2198" s="127"/>
      <c r="HC2198" s="127"/>
      <c r="HD2198" s="127"/>
      <c r="HE2198" s="127"/>
      <c r="HF2198" s="127"/>
      <c r="HG2198" s="127"/>
      <c r="HH2198" s="127"/>
      <c r="HI2198" s="127"/>
      <c r="HJ2198" s="127"/>
      <c r="HK2198" s="127"/>
      <c r="HL2198" s="127"/>
      <c r="HM2198" s="127"/>
      <c r="HN2198" s="127"/>
      <c r="HO2198" s="127"/>
      <c r="HP2198" s="127"/>
      <c r="HQ2198" s="127"/>
      <c r="HR2198" s="127"/>
      <c r="HS2198" s="127"/>
      <c r="HT2198" s="127"/>
      <c r="HU2198" s="127"/>
      <c r="HV2198" s="127"/>
      <c r="HW2198" s="127"/>
      <c r="HX2198" s="127"/>
      <c r="HY2198" s="127"/>
      <c r="HZ2198" s="127"/>
      <c r="IA2198" s="127"/>
      <c r="IB2198" s="127"/>
      <c r="IC2198" s="127"/>
      <c r="ID2198" s="127"/>
      <c r="IE2198" s="127"/>
      <c r="IF2198" s="127"/>
      <c r="IG2198" s="127"/>
      <c r="IH2198" s="127"/>
      <c r="II2198" s="127"/>
      <c r="IJ2198" s="127"/>
    </row>
    <row r="2199" spans="1:244" ht="12.75" customHeight="1">
      <c r="A2199" s="118">
        <v>2198</v>
      </c>
      <c r="B2199" s="128">
        <v>23</v>
      </c>
      <c r="C2199" s="156">
        <v>39479</v>
      </c>
      <c r="D2199" s="157" t="s">
        <v>45</v>
      </c>
      <c r="E2199" s="127">
        <v>2008</v>
      </c>
      <c r="F2199" s="127"/>
      <c r="G2199" s="127"/>
      <c r="H2199" s="175"/>
      <c r="I2199" s="160"/>
      <c r="J2199" s="191"/>
      <c r="K2199" s="191"/>
      <c r="L2199" s="191"/>
      <c r="M2199" s="193"/>
      <c r="N2199" s="529"/>
      <c r="O2199" s="191"/>
      <c r="P2199" s="192"/>
      <c r="Q2199" s="193"/>
      <c r="R2199" s="193"/>
      <c r="S2199" s="140"/>
      <c r="T2199" s="128"/>
      <c r="U2199" s="118"/>
      <c r="V2199" s="118"/>
      <c r="W2199" s="118"/>
      <c r="X2199" s="127"/>
      <c r="Y2199" s="127"/>
      <c r="Z2199" s="127"/>
      <c r="AA2199" s="127"/>
      <c r="AB2199" s="127"/>
      <c r="AC2199" s="127"/>
      <c r="AD2199" s="127"/>
      <c r="AE2199" s="127"/>
      <c r="AF2199" s="127"/>
      <c r="AG2199" s="127"/>
      <c r="AH2199" s="127"/>
      <c r="AI2199" s="127"/>
      <c r="AJ2199" s="127"/>
      <c r="AK2199" s="127"/>
      <c r="AL2199" s="127"/>
      <c r="AM2199" s="127"/>
      <c r="AN2199" s="127"/>
      <c r="AO2199" s="127"/>
      <c r="AP2199" s="127"/>
      <c r="AQ2199" s="127"/>
      <c r="AR2199" s="127"/>
      <c r="AS2199" s="127"/>
      <c r="AT2199" s="127"/>
      <c r="AU2199" s="127"/>
      <c r="AV2199" s="127"/>
      <c r="AW2199" s="127"/>
      <c r="AX2199" s="127"/>
      <c r="AY2199" s="127"/>
      <c r="AZ2199" s="127"/>
      <c r="BA2199" s="127"/>
      <c r="BB2199" s="127"/>
      <c r="BC2199" s="127"/>
      <c r="BD2199" s="127"/>
      <c r="BE2199" s="127"/>
      <c r="BF2199" s="127"/>
      <c r="BG2199" s="127"/>
      <c r="BH2199" s="127"/>
      <c r="BI2199" s="127"/>
      <c r="BJ2199" s="127"/>
      <c r="BK2199" s="127"/>
      <c r="BL2199" s="127"/>
      <c r="BM2199" s="127"/>
      <c r="BN2199" s="127"/>
      <c r="BO2199" s="127"/>
      <c r="BP2199" s="127"/>
      <c r="BQ2199" s="127"/>
      <c r="BR2199" s="127"/>
      <c r="BS2199" s="127"/>
      <c r="BT2199" s="127"/>
      <c r="BU2199" s="127"/>
      <c r="BV2199" s="127"/>
      <c r="BW2199" s="127"/>
      <c r="BX2199" s="127"/>
      <c r="BY2199" s="127"/>
      <c r="BZ2199" s="127"/>
      <c r="CA2199" s="127"/>
      <c r="CB2199" s="127"/>
      <c r="CC2199" s="127"/>
      <c r="CD2199" s="127"/>
      <c r="CE2199" s="127"/>
      <c r="CF2199" s="127"/>
      <c r="CG2199" s="127"/>
      <c r="CH2199" s="127"/>
      <c r="CI2199" s="127"/>
      <c r="CJ2199" s="127"/>
      <c r="CK2199" s="127"/>
      <c r="CL2199" s="127"/>
      <c r="CM2199" s="127"/>
      <c r="CN2199" s="127"/>
      <c r="CO2199" s="127"/>
      <c r="CP2199" s="127"/>
      <c r="CQ2199" s="127"/>
      <c r="CR2199" s="127"/>
      <c r="CS2199" s="127"/>
      <c r="CT2199" s="127"/>
      <c r="CU2199" s="127"/>
      <c r="CV2199" s="127"/>
      <c r="CW2199" s="127"/>
      <c r="CX2199" s="127"/>
      <c r="CY2199" s="127"/>
      <c r="CZ2199" s="127"/>
      <c r="DA2199" s="127"/>
      <c r="DB2199" s="127"/>
      <c r="DC2199" s="127"/>
      <c r="DD2199" s="127"/>
      <c r="DE2199" s="127"/>
      <c r="DF2199" s="127"/>
      <c r="DG2199" s="127"/>
      <c r="DH2199" s="127"/>
      <c r="DI2199" s="127"/>
      <c r="DJ2199" s="127"/>
      <c r="DK2199" s="127"/>
      <c r="DL2199" s="127"/>
      <c r="DM2199" s="127"/>
      <c r="DN2199" s="127"/>
      <c r="DO2199" s="127"/>
      <c r="DP2199" s="127"/>
      <c r="DQ2199" s="127"/>
      <c r="DR2199" s="127"/>
      <c r="DS2199" s="127"/>
      <c r="DT2199" s="127"/>
      <c r="DU2199" s="127"/>
      <c r="DV2199" s="127"/>
      <c r="DW2199" s="127"/>
      <c r="DX2199" s="127"/>
      <c r="DY2199" s="127"/>
      <c r="DZ2199" s="127"/>
      <c r="EA2199" s="127"/>
      <c r="EB2199" s="127"/>
      <c r="EC2199" s="127"/>
      <c r="ED2199" s="127"/>
      <c r="EE2199" s="127"/>
      <c r="EF2199" s="127"/>
      <c r="EG2199" s="127"/>
      <c r="EH2199" s="127"/>
      <c r="EI2199" s="127"/>
      <c r="EJ2199" s="127"/>
      <c r="EK2199" s="127"/>
      <c r="EL2199" s="127"/>
      <c r="EM2199" s="127"/>
      <c r="EN2199" s="127"/>
      <c r="EO2199" s="127"/>
      <c r="EP2199" s="127"/>
      <c r="EQ2199" s="127"/>
      <c r="ER2199" s="127"/>
      <c r="ES2199" s="127"/>
      <c r="ET2199" s="127"/>
      <c r="EU2199" s="127"/>
      <c r="EV2199" s="127"/>
      <c r="EW2199" s="127"/>
      <c r="EX2199" s="127"/>
      <c r="EY2199" s="127"/>
      <c r="EZ2199" s="127"/>
      <c r="FA2199" s="127"/>
      <c r="FB2199" s="127"/>
      <c r="FC2199" s="127"/>
      <c r="FD2199" s="127"/>
      <c r="FE2199" s="127"/>
      <c r="FF2199" s="127"/>
      <c r="FG2199" s="127"/>
      <c r="FH2199" s="127"/>
      <c r="FI2199" s="127"/>
      <c r="FJ2199" s="127"/>
      <c r="FK2199" s="127"/>
      <c r="FL2199" s="127"/>
      <c r="FM2199" s="127"/>
      <c r="FN2199" s="127"/>
      <c r="FO2199" s="127"/>
      <c r="FP2199" s="127"/>
      <c r="FQ2199" s="127"/>
      <c r="FR2199" s="127"/>
      <c r="FS2199" s="127"/>
      <c r="FT2199" s="127"/>
      <c r="FU2199" s="127"/>
      <c r="FV2199" s="127"/>
      <c r="FW2199" s="127"/>
      <c r="FX2199" s="127"/>
      <c r="FY2199" s="127"/>
      <c r="FZ2199" s="127"/>
      <c r="GA2199" s="127"/>
      <c r="GB2199" s="127"/>
      <c r="GC2199" s="127"/>
      <c r="GD2199" s="127"/>
      <c r="GE2199" s="127"/>
      <c r="GF2199" s="127"/>
      <c r="GG2199" s="127"/>
      <c r="GH2199" s="127"/>
      <c r="GI2199" s="127"/>
      <c r="GJ2199" s="127"/>
      <c r="GK2199" s="127"/>
      <c r="GL2199" s="127"/>
      <c r="GM2199" s="127"/>
      <c r="GN2199" s="127"/>
      <c r="GO2199" s="127"/>
      <c r="GP2199" s="127"/>
      <c r="GQ2199" s="127"/>
      <c r="GR2199" s="127"/>
      <c r="GS2199" s="127"/>
      <c r="GT2199" s="127"/>
      <c r="GU2199" s="127"/>
      <c r="GV2199" s="127"/>
      <c r="GW2199" s="127"/>
      <c r="GX2199" s="127"/>
      <c r="GY2199" s="127"/>
      <c r="GZ2199" s="127"/>
      <c r="HA2199" s="127"/>
      <c r="HB2199" s="127"/>
      <c r="HC2199" s="127"/>
      <c r="HD2199" s="127"/>
      <c r="HE2199" s="127"/>
      <c r="HF2199" s="127"/>
      <c r="HG2199" s="127"/>
      <c r="HH2199" s="127"/>
      <c r="HI2199" s="127"/>
      <c r="HJ2199" s="127"/>
      <c r="HK2199" s="127"/>
      <c r="HL2199" s="127"/>
      <c r="HM2199" s="127"/>
      <c r="HN2199" s="127"/>
      <c r="HO2199" s="127"/>
      <c r="HP2199" s="127"/>
      <c r="HQ2199" s="127"/>
      <c r="HR2199" s="127"/>
      <c r="HS2199" s="127"/>
      <c r="HT2199" s="127"/>
      <c r="HU2199" s="127"/>
      <c r="HV2199" s="127"/>
      <c r="HW2199" s="127"/>
      <c r="HX2199" s="127"/>
      <c r="HY2199" s="127"/>
      <c r="HZ2199" s="127"/>
      <c r="IA2199" s="127"/>
      <c r="IB2199" s="127"/>
      <c r="IC2199" s="127"/>
      <c r="ID2199" s="127"/>
      <c r="IE2199" s="127"/>
      <c r="IF2199" s="127"/>
      <c r="IG2199" s="127"/>
      <c r="IH2199" s="127"/>
      <c r="II2199" s="127"/>
      <c r="IJ2199" s="127"/>
    </row>
    <row r="2200" spans="1:244" ht="12.75" customHeight="1">
      <c r="A2200" s="118">
        <v>2199</v>
      </c>
      <c r="B2200" s="128">
        <v>23</v>
      </c>
      <c r="C2200" s="156">
        <v>39508</v>
      </c>
      <c r="D2200" s="157" t="s">
        <v>46</v>
      </c>
      <c r="E2200" s="127">
        <v>2008</v>
      </c>
      <c r="F2200" s="127"/>
      <c r="G2200" s="127"/>
      <c r="H2200" s="175"/>
      <c r="I2200" s="160"/>
      <c r="J2200" s="191"/>
      <c r="K2200" s="191"/>
      <c r="L2200" s="191"/>
      <c r="M2200" s="193"/>
      <c r="N2200" s="529"/>
      <c r="O2200" s="191"/>
      <c r="P2200" s="192"/>
      <c r="Q2200" s="193"/>
      <c r="R2200" s="193"/>
      <c r="S2200" s="140"/>
      <c r="T2200" s="128"/>
      <c r="U2200" s="118"/>
      <c r="V2200" s="118"/>
      <c r="W2200" s="118"/>
      <c r="X2200" s="127"/>
      <c r="Y2200" s="127"/>
      <c r="Z2200" s="127"/>
      <c r="AA2200" s="127"/>
      <c r="AB2200" s="127"/>
      <c r="AC2200" s="127"/>
      <c r="AD2200" s="127"/>
      <c r="AE2200" s="127"/>
      <c r="AF2200" s="127"/>
      <c r="AG2200" s="127"/>
      <c r="AH2200" s="127"/>
      <c r="AI2200" s="127"/>
      <c r="AJ2200" s="127"/>
      <c r="AK2200" s="127"/>
      <c r="AL2200" s="127"/>
      <c r="AM2200" s="127"/>
      <c r="AN2200" s="127"/>
      <c r="AO2200" s="127"/>
      <c r="AP2200" s="127"/>
      <c r="AQ2200" s="127"/>
      <c r="AR2200" s="127"/>
      <c r="AS2200" s="127"/>
      <c r="AT2200" s="127"/>
      <c r="AU2200" s="127"/>
      <c r="AV2200" s="127"/>
      <c r="AW2200" s="127"/>
      <c r="AX2200" s="127"/>
      <c r="AY2200" s="127"/>
      <c r="AZ2200" s="127"/>
      <c r="BA2200" s="127"/>
      <c r="BB2200" s="127"/>
      <c r="BC2200" s="127"/>
      <c r="BD2200" s="127"/>
      <c r="BE2200" s="127"/>
      <c r="BF2200" s="127"/>
      <c r="BG2200" s="127"/>
      <c r="BH2200" s="127"/>
      <c r="BI2200" s="127"/>
      <c r="BJ2200" s="127"/>
      <c r="BK2200" s="127"/>
      <c r="BL2200" s="127"/>
      <c r="BM2200" s="127"/>
      <c r="BN2200" s="127"/>
      <c r="BO2200" s="127"/>
      <c r="BP2200" s="127"/>
      <c r="BQ2200" s="127"/>
      <c r="BR2200" s="127"/>
      <c r="BS2200" s="127"/>
      <c r="BT2200" s="127"/>
      <c r="BU2200" s="127"/>
      <c r="BV2200" s="127"/>
      <c r="BW2200" s="127"/>
      <c r="BX2200" s="127"/>
      <c r="BY2200" s="127"/>
      <c r="BZ2200" s="127"/>
      <c r="CA2200" s="127"/>
      <c r="CB2200" s="127"/>
      <c r="CC2200" s="127"/>
      <c r="CD2200" s="127"/>
      <c r="CE2200" s="127"/>
      <c r="CF2200" s="127"/>
      <c r="CG2200" s="127"/>
      <c r="CH2200" s="127"/>
      <c r="CI2200" s="127"/>
      <c r="CJ2200" s="127"/>
      <c r="CK2200" s="127"/>
      <c r="CL2200" s="127"/>
      <c r="CM2200" s="127"/>
      <c r="CN2200" s="127"/>
      <c r="CO2200" s="127"/>
      <c r="CP2200" s="127"/>
      <c r="CQ2200" s="127"/>
      <c r="CR2200" s="127"/>
      <c r="CS2200" s="127"/>
      <c r="CT2200" s="127"/>
      <c r="CU2200" s="127"/>
      <c r="CV2200" s="127"/>
      <c r="CW2200" s="127"/>
      <c r="CX2200" s="127"/>
      <c r="CY2200" s="127"/>
      <c r="CZ2200" s="127"/>
      <c r="DA2200" s="127"/>
      <c r="DB2200" s="127"/>
      <c r="DC2200" s="127"/>
      <c r="DD2200" s="127"/>
      <c r="DE2200" s="127"/>
      <c r="DF2200" s="127"/>
      <c r="DG2200" s="127"/>
      <c r="DH2200" s="127"/>
      <c r="DI2200" s="127"/>
      <c r="DJ2200" s="127"/>
      <c r="DK2200" s="127"/>
      <c r="DL2200" s="127"/>
      <c r="DM2200" s="127"/>
      <c r="DN2200" s="127"/>
      <c r="DO2200" s="127"/>
      <c r="DP2200" s="127"/>
      <c r="DQ2200" s="127"/>
      <c r="DR2200" s="127"/>
      <c r="DS2200" s="127"/>
      <c r="DT2200" s="127"/>
      <c r="DU2200" s="127"/>
      <c r="DV2200" s="127"/>
      <c r="DW2200" s="127"/>
      <c r="DX2200" s="127"/>
      <c r="DY2200" s="127"/>
      <c r="DZ2200" s="127"/>
      <c r="EA2200" s="127"/>
      <c r="EB2200" s="127"/>
      <c r="EC2200" s="127"/>
      <c r="ED2200" s="127"/>
      <c r="EE2200" s="127"/>
      <c r="EF2200" s="127"/>
      <c r="EG2200" s="127"/>
      <c r="EH2200" s="127"/>
      <c r="EI2200" s="127"/>
      <c r="EJ2200" s="127"/>
      <c r="EK2200" s="127"/>
      <c r="EL2200" s="127"/>
      <c r="EM2200" s="127"/>
      <c r="EN2200" s="127"/>
      <c r="EO2200" s="127"/>
      <c r="EP2200" s="127"/>
      <c r="EQ2200" s="127"/>
      <c r="ER2200" s="127"/>
      <c r="ES2200" s="127"/>
      <c r="ET2200" s="127"/>
      <c r="EU2200" s="127"/>
      <c r="EV2200" s="127"/>
      <c r="EW2200" s="127"/>
      <c r="EX2200" s="127"/>
      <c r="EY2200" s="127"/>
      <c r="EZ2200" s="127"/>
      <c r="FA2200" s="127"/>
      <c r="FB2200" s="127"/>
      <c r="FC2200" s="127"/>
      <c r="FD2200" s="127"/>
      <c r="FE2200" s="127"/>
      <c r="FF2200" s="127"/>
      <c r="FG2200" s="127"/>
      <c r="FH2200" s="127"/>
      <c r="FI2200" s="127"/>
      <c r="FJ2200" s="127"/>
      <c r="FK2200" s="127"/>
      <c r="FL2200" s="127"/>
      <c r="FM2200" s="127"/>
      <c r="FN2200" s="127"/>
      <c r="FO2200" s="127"/>
      <c r="FP2200" s="127"/>
      <c r="FQ2200" s="127"/>
      <c r="FR2200" s="127"/>
      <c r="FS2200" s="127"/>
      <c r="FT2200" s="127"/>
      <c r="FU2200" s="127"/>
      <c r="FV2200" s="127"/>
      <c r="FW2200" s="127"/>
      <c r="FX2200" s="127"/>
      <c r="FY2200" s="127"/>
      <c r="FZ2200" s="127"/>
      <c r="GA2200" s="127"/>
      <c r="GB2200" s="127"/>
      <c r="GC2200" s="127"/>
      <c r="GD2200" s="127"/>
      <c r="GE2200" s="127"/>
      <c r="GF2200" s="127"/>
      <c r="GG2200" s="127"/>
      <c r="GH2200" s="127"/>
      <c r="GI2200" s="127"/>
      <c r="GJ2200" s="127"/>
      <c r="GK2200" s="127"/>
      <c r="GL2200" s="127"/>
      <c r="GM2200" s="127"/>
      <c r="GN2200" s="127"/>
      <c r="GO2200" s="127"/>
      <c r="GP2200" s="127"/>
      <c r="GQ2200" s="127"/>
      <c r="GR2200" s="127"/>
      <c r="GS2200" s="127"/>
      <c r="GT2200" s="127"/>
      <c r="GU2200" s="127"/>
      <c r="GV2200" s="127"/>
      <c r="GW2200" s="127"/>
      <c r="GX2200" s="127"/>
      <c r="GY2200" s="127"/>
      <c r="GZ2200" s="127"/>
      <c r="HA2200" s="127"/>
      <c r="HB2200" s="127"/>
      <c r="HC2200" s="127"/>
      <c r="HD2200" s="127"/>
      <c r="HE2200" s="127"/>
      <c r="HF2200" s="127"/>
      <c r="HG2200" s="127"/>
      <c r="HH2200" s="127"/>
      <c r="HI2200" s="127"/>
      <c r="HJ2200" s="127"/>
      <c r="HK2200" s="127"/>
      <c r="HL2200" s="127"/>
      <c r="HM2200" s="127"/>
      <c r="HN2200" s="127"/>
      <c r="HO2200" s="127"/>
      <c r="HP2200" s="127"/>
      <c r="HQ2200" s="127"/>
      <c r="HR2200" s="127"/>
      <c r="HS2200" s="127"/>
      <c r="HT2200" s="127"/>
      <c r="HU2200" s="127"/>
      <c r="HV2200" s="127"/>
      <c r="HW2200" s="127"/>
      <c r="HX2200" s="127"/>
      <c r="HY2200" s="127"/>
      <c r="HZ2200" s="127"/>
      <c r="IA2200" s="127"/>
      <c r="IB2200" s="127"/>
      <c r="IC2200" s="127"/>
      <c r="ID2200" s="127"/>
      <c r="IE2200" s="127"/>
      <c r="IF2200" s="127"/>
      <c r="IG2200" s="127"/>
      <c r="IH2200" s="127"/>
      <c r="II2200" s="127"/>
      <c r="IJ2200" s="127"/>
    </row>
    <row r="2201" spans="1:244" ht="12.75" customHeight="1">
      <c r="A2201" s="118">
        <v>2200</v>
      </c>
      <c r="B2201" s="128">
        <v>23</v>
      </c>
      <c r="C2201" s="156">
        <v>39539</v>
      </c>
      <c r="D2201" s="157" t="s">
        <v>47</v>
      </c>
      <c r="E2201" s="127">
        <v>2008</v>
      </c>
      <c r="F2201" s="127"/>
      <c r="G2201" s="127"/>
      <c r="H2201" s="175"/>
      <c r="I2201" s="160"/>
      <c r="J2201" s="191"/>
      <c r="K2201" s="191"/>
      <c r="L2201" s="191"/>
      <c r="M2201" s="193"/>
      <c r="N2201" s="529"/>
      <c r="O2201" s="191"/>
      <c r="P2201" s="192"/>
      <c r="Q2201" s="193"/>
      <c r="R2201" s="193"/>
      <c r="S2201" s="140"/>
      <c r="T2201" s="128"/>
      <c r="U2201" s="118"/>
      <c r="V2201" s="118"/>
      <c r="W2201" s="118"/>
      <c r="X2201" s="127"/>
      <c r="Y2201" s="127"/>
      <c r="Z2201" s="127"/>
      <c r="AA2201" s="127"/>
      <c r="AB2201" s="127"/>
      <c r="AC2201" s="127"/>
      <c r="AD2201" s="127"/>
      <c r="AE2201" s="127"/>
      <c r="AF2201" s="127"/>
      <c r="AG2201" s="127"/>
      <c r="AH2201" s="127"/>
      <c r="AI2201" s="127"/>
      <c r="AJ2201" s="127"/>
      <c r="AK2201" s="127"/>
      <c r="AL2201" s="127"/>
      <c r="AM2201" s="127"/>
      <c r="AN2201" s="127"/>
      <c r="AO2201" s="127"/>
      <c r="AP2201" s="127"/>
      <c r="AQ2201" s="127"/>
      <c r="AR2201" s="127"/>
      <c r="AS2201" s="127"/>
      <c r="AT2201" s="127"/>
      <c r="AU2201" s="127"/>
      <c r="AV2201" s="127"/>
      <c r="AW2201" s="127"/>
      <c r="AX2201" s="127"/>
      <c r="AY2201" s="127"/>
      <c r="AZ2201" s="127"/>
      <c r="BA2201" s="127"/>
      <c r="BB2201" s="127"/>
      <c r="BC2201" s="127"/>
      <c r="BD2201" s="127"/>
      <c r="BE2201" s="127"/>
      <c r="BF2201" s="127"/>
      <c r="BG2201" s="127"/>
      <c r="BH2201" s="127"/>
      <c r="BI2201" s="127"/>
      <c r="BJ2201" s="127"/>
      <c r="BK2201" s="127"/>
      <c r="BL2201" s="127"/>
      <c r="BM2201" s="127"/>
      <c r="BN2201" s="127"/>
      <c r="BO2201" s="127"/>
      <c r="BP2201" s="127"/>
      <c r="BQ2201" s="127"/>
      <c r="BR2201" s="127"/>
      <c r="BS2201" s="127"/>
      <c r="BT2201" s="127"/>
      <c r="BU2201" s="127"/>
      <c r="BV2201" s="127"/>
      <c r="BW2201" s="127"/>
      <c r="BX2201" s="127"/>
      <c r="BY2201" s="127"/>
      <c r="BZ2201" s="127"/>
      <c r="CA2201" s="127"/>
      <c r="CB2201" s="127"/>
      <c r="CC2201" s="127"/>
      <c r="CD2201" s="127"/>
      <c r="CE2201" s="127"/>
      <c r="CF2201" s="127"/>
      <c r="CG2201" s="127"/>
      <c r="CH2201" s="127"/>
      <c r="CI2201" s="127"/>
      <c r="CJ2201" s="127"/>
      <c r="CK2201" s="127"/>
      <c r="CL2201" s="127"/>
      <c r="CM2201" s="127"/>
      <c r="CN2201" s="127"/>
      <c r="CO2201" s="127"/>
      <c r="CP2201" s="127"/>
      <c r="CQ2201" s="127"/>
      <c r="CR2201" s="127"/>
      <c r="CS2201" s="127"/>
      <c r="CT2201" s="127"/>
      <c r="CU2201" s="127"/>
      <c r="CV2201" s="127"/>
      <c r="CW2201" s="127"/>
      <c r="CX2201" s="127"/>
      <c r="CY2201" s="127"/>
      <c r="CZ2201" s="127"/>
      <c r="DA2201" s="127"/>
      <c r="DB2201" s="127"/>
      <c r="DC2201" s="127"/>
      <c r="DD2201" s="127"/>
      <c r="DE2201" s="127"/>
      <c r="DF2201" s="127"/>
      <c r="DG2201" s="127"/>
      <c r="DH2201" s="127"/>
      <c r="DI2201" s="127"/>
      <c r="DJ2201" s="127"/>
      <c r="DK2201" s="127"/>
      <c r="DL2201" s="127"/>
      <c r="DM2201" s="127"/>
      <c r="DN2201" s="127"/>
      <c r="DO2201" s="127"/>
      <c r="DP2201" s="127"/>
      <c r="DQ2201" s="127"/>
      <c r="DR2201" s="127"/>
      <c r="DS2201" s="127"/>
      <c r="DT2201" s="127"/>
      <c r="DU2201" s="127"/>
      <c r="DV2201" s="127"/>
      <c r="DW2201" s="127"/>
      <c r="DX2201" s="127"/>
      <c r="DY2201" s="127"/>
      <c r="DZ2201" s="127"/>
      <c r="EA2201" s="127"/>
      <c r="EB2201" s="127"/>
      <c r="EC2201" s="127"/>
      <c r="ED2201" s="127"/>
      <c r="EE2201" s="127"/>
      <c r="EF2201" s="127"/>
      <c r="EG2201" s="127"/>
      <c r="EH2201" s="127"/>
      <c r="EI2201" s="127"/>
      <c r="EJ2201" s="127"/>
      <c r="EK2201" s="127"/>
      <c r="EL2201" s="127"/>
      <c r="EM2201" s="127"/>
      <c r="EN2201" s="127"/>
      <c r="EO2201" s="127"/>
      <c r="EP2201" s="127"/>
      <c r="EQ2201" s="127"/>
      <c r="ER2201" s="127"/>
      <c r="ES2201" s="127"/>
      <c r="ET2201" s="127"/>
      <c r="EU2201" s="127"/>
      <c r="EV2201" s="127"/>
      <c r="EW2201" s="127"/>
      <c r="EX2201" s="127"/>
      <c r="EY2201" s="127"/>
      <c r="EZ2201" s="127"/>
      <c r="FA2201" s="127"/>
      <c r="FB2201" s="127"/>
      <c r="FC2201" s="127"/>
      <c r="FD2201" s="127"/>
      <c r="FE2201" s="127"/>
      <c r="FF2201" s="127"/>
      <c r="FG2201" s="127"/>
      <c r="FH2201" s="127"/>
      <c r="FI2201" s="127"/>
      <c r="FJ2201" s="127"/>
      <c r="FK2201" s="127"/>
      <c r="FL2201" s="127"/>
      <c r="FM2201" s="127"/>
      <c r="FN2201" s="127"/>
      <c r="FO2201" s="127"/>
      <c r="FP2201" s="127"/>
      <c r="FQ2201" s="127"/>
      <c r="FR2201" s="127"/>
      <c r="FS2201" s="127"/>
      <c r="FT2201" s="127"/>
      <c r="FU2201" s="127"/>
      <c r="FV2201" s="127"/>
      <c r="FW2201" s="127"/>
      <c r="FX2201" s="127"/>
      <c r="FY2201" s="127"/>
      <c r="FZ2201" s="127"/>
      <c r="GA2201" s="127"/>
      <c r="GB2201" s="127"/>
      <c r="GC2201" s="127"/>
      <c r="GD2201" s="127"/>
      <c r="GE2201" s="127"/>
      <c r="GF2201" s="127"/>
      <c r="GG2201" s="127"/>
      <c r="GH2201" s="127"/>
      <c r="GI2201" s="127"/>
      <c r="GJ2201" s="127"/>
      <c r="GK2201" s="127"/>
      <c r="GL2201" s="127"/>
      <c r="GM2201" s="127"/>
      <c r="GN2201" s="127"/>
      <c r="GO2201" s="127"/>
      <c r="GP2201" s="127"/>
      <c r="GQ2201" s="127"/>
      <c r="GR2201" s="127"/>
      <c r="GS2201" s="127"/>
      <c r="GT2201" s="127"/>
      <c r="GU2201" s="127"/>
      <c r="GV2201" s="127"/>
      <c r="GW2201" s="127"/>
      <c r="GX2201" s="127"/>
      <c r="GY2201" s="127"/>
      <c r="GZ2201" s="127"/>
      <c r="HA2201" s="127"/>
      <c r="HB2201" s="127"/>
      <c r="HC2201" s="127"/>
      <c r="HD2201" s="127"/>
      <c r="HE2201" s="127"/>
      <c r="HF2201" s="127"/>
      <c r="HG2201" s="127"/>
      <c r="HH2201" s="127"/>
      <c r="HI2201" s="127"/>
      <c r="HJ2201" s="127"/>
      <c r="HK2201" s="127"/>
      <c r="HL2201" s="127"/>
      <c r="HM2201" s="127"/>
      <c r="HN2201" s="127"/>
      <c r="HO2201" s="127"/>
      <c r="HP2201" s="127"/>
      <c r="HQ2201" s="127"/>
      <c r="HR2201" s="127"/>
      <c r="HS2201" s="127"/>
      <c r="HT2201" s="127"/>
      <c r="HU2201" s="127"/>
      <c r="HV2201" s="127"/>
      <c r="HW2201" s="127"/>
      <c r="HX2201" s="127"/>
      <c r="HY2201" s="127"/>
      <c r="HZ2201" s="127"/>
      <c r="IA2201" s="127"/>
      <c r="IB2201" s="127"/>
      <c r="IC2201" s="127"/>
      <c r="ID2201" s="127"/>
      <c r="IE2201" s="127"/>
      <c r="IF2201" s="127"/>
      <c r="IG2201" s="127"/>
      <c r="IH2201" s="127"/>
      <c r="II2201" s="127"/>
      <c r="IJ2201" s="127"/>
    </row>
    <row r="2202" spans="1:244" ht="12.75" customHeight="1">
      <c r="A2202" s="118">
        <v>2201</v>
      </c>
      <c r="B2202" s="128">
        <v>23</v>
      </c>
      <c r="C2202" s="156">
        <v>39569</v>
      </c>
      <c r="D2202" s="157" t="s">
        <v>48</v>
      </c>
      <c r="E2202" s="127">
        <v>2008</v>
      </c>
      <c r="F2202" s="127"/>
      <c r="G2202" s="127"/>
      <c r="H2202" s="175"/>
      <c r="I2202" s="160"/>
      <c r="J2202" s="191"/>
      <c r="K2202" s="191"/>
      <c r="L2202" s="191"/>
      <c r="M2202" s="193"/>
      <c r="N2202" s="529"/>
      <c r="O2202" s="191"/>
      <c r="P2202" s="192"/>
      <c r="Q2202" s="193"/>
      <c r="R2202" s="193"/>
      <c r="S2202" s="140"/>
      <c r="T2202" s="128"/>
      <c r="U2202" s="118"/>
      <c r="V2202" s="118"/>
      <c r="W2202" s="118"/>
      <c r="X2202" s="127"/>
      <c r="Y2202" s="127"/>
      <c r="Z2202" s="127"/>
      <c r="AA2202" s="127"/>
      <c r="AB2202" s="127"/>
      <c r="AC2202" s="127"/>
      <c r="AD2202" s="127"/>
      <c r="AE2202" s="127"/>
      <c r="AF2202" s="127"/>
      <c r="AG2202" s="127"/>
      <c r="AH2202" s="127"/>
      <c r="AI2202" s="127"/>
      <c r="AJ2202" s="127"/>
      <c r="AK2202" s="127"/>
      <c r="AL2202" s="127"/>
      <c r="AM2202" s="127"/>
      <c r="AN2202" s="127"/>
      <c r="AO2202" s="127"/>
      <c r="AP2202" s="127"/>
      <c r="AQ2202" s="127"/>
      <c r="AR2202" s="127"/>
      <c r="AS2202" s="127"/>
      <c r="AT2202" s="127"/>
      <c r="AU2202" s="127"/>
      <c r="AV2202" s="127"/>
      <c r="AW2202" s="127"/>
      <c r="AX2202" s="127"/>
      <c r="AY2202" s="127"/>
      <c r="AZ2202" s="127"/>
      <c r="BA2202" s="127"/>
      <c r="BB2202" s="127"/>
      <c r="BC2202" s="127"/>
      <c r="BD2202" s="127"/>
      <c r="BE2202" s="127"/>
      <c r="BF2202" s="127"/>
      <c r="BG2202" s="127"/>
      <c r="BH2202" s="127"/>
      <c r="BI2202" s="127"/>
      <c r="BJ2202" s="127"/>
      <c r="BK2202" s="127"/>
      <c r="BL2202" s="127"/>
      <c r="BM2202" s="127"/>
      <c r="BN2202" s="127"/>
      <c r="BO2202" s="127"/>
      <c r="BP2202" s="127"/>
      <c r="BQ2202" s="127"/>
      <c r="BR2202" s="127"/>
      <c r="BS2202" s="127"/>
      <c r="BT2202" s="127"/>
      <c r="BU2202" s="127"/>
      <c r="BV2202" s="127"/>
      <c r="BW2202" s="127"/>
      <c r="BX2202" s="127"/>
      <c r="BY2202" s="127"/>
      <c r="BZ2202" s="127"/>
      <c r="CA2202" s="127"/>
      <c r="CB2202" s="127"/>
      <c r="CC2202" s="127"/>
      <c r="CD2202" s="127"/>
      <c r="CE2202" s="127"/>
      <c r="CF2202" s="127"/>
      <c r="CG2202" s="127"/>
      <c r="CH2202" s="127"/>
      <c r="CI2202" s="127"/>
      <c r="CJ2202" s="127"/>
      <c r="CK2202" s="127"/>
      <c r="CL2202" s="127"/>
      <c r="CM2202" s="127"/>
      <c r="CN2202" s="127"/>
      <c r="CO2202" s="127"/>
      <c r="CP2202" s="127"/>
      <c r="CQ2202" s="127"/>
      <c r="CR2202" s="127"/>
      <c r="CS2202" s="127"/>
      <c r="CT2202" s="127"/>
      <c r="CU2202" s="127"/>
      <c r="CV2202" s="127"/>
      <c r="CW2202" s="127"/>
      <c r="CX2202" s="127"/>
      <c r="CY2202" s="127"/>
      <c r="CZ2202" s="127"/>
      <c r="DA2202" s="127"/>
      <c r="DB2202" s="127"/>
      <c r="DC2202" s="127"/>
      <c r="DD2202" s="127"/>
      <c r="DE2202" s="127"/>
      <c r="DF2202" s="127"/>
      <c r="DG2202" s="127"/>
      <c r="DH2202" s="127"/>
      <c r="DI2202" s="127"/>
      <c r="DJ2202" s="127"/>
      <c r="DK2202" s="127"/>
      <c r="DL2202" s="127"/>
      <c r="DM2202" s="127"/>
      <c r="DN2202" s="127"/>
      <c r="DO2202" s="127"/>
      <c r="DP2202" s="127"/>
      <c r="DQ2202" s="127"/>
      <c r="DR2202" s="127"/>
      <c r="DS2202" s="127"/>
      <c r="DT2202" s="127"/>
      <c r="DU2202" s="127"/>
      <c r="DV2202" s="127"/>
      <c r="DW2202" s="127"/>
      <c r="DX2202" s="127"/>
      <c r="DY2202" s="127"/>
      <c r="DZ2202" s="127"/>
      <c r="EA2202" s="127"/>
      <c r="EB2202" s="127"/>
      <c r="EC2202" s="127"/>
      <c r="ED2202" s="127"/>
      <c r="EE2202" s="127"/>
      <c r="EF2202" s="127"/>
      <c r="EG2202" s="127"/>
      <c r="EH2202" s="127"/>
      <c r="EI2202" s="127"/>
      <c r="EJ2202" s="127"/>
      <c r="EK2202" s="127"/>
      <c r="EL2202" s="127"/>
      <c r="EM2202" s="127"/>
      <c r="EN2202" s="127"/>
      <c r="EO2202" s="127"/>
      <c r="EP2202" s="127"/>
      <c r="EQ2202" s="127"/>
      <c r="ER2202" s="127"/>
      <c r="ES2202" s="127"/>
      <c r="ET2202" s="127"/>
      <c r="EU2202" s="127"/>
      <c r="EV2202" s="127"/>
      <c r="EW2202" s="127"/>
      <c r="EX2202" s="127"/>
      <c r="EY2202" s="127"/>
      <c r="EZ2202" s="127"/>
      <c r="FA2202" s="127"/>
      <c r="FB2202" s="127"/>
      <c r="FC2202" s="127"/>
      <c r="FD2202" s="127"/>
      <c r="FE2202" s="127"/>
      <c r="FF2202" s="127"/>
      <c r="FG2202" s="127"/>
      <c r="FH2202" s="127"/>
      <c r="FI2202" s="127"/>
      <c r="FJ2202" s="127"/>
      <c r="FK2202" s="127"/>
      <c r="FL2202" s="127"/>
      <c r="FM2202" s="127"/>
      <c r="FN2202" s="127"/>
      <c r="FO2202" s="127"/>
      <c r="FP2202" s="127"/>
      <c r="FQ2202" s="127"/>
      <c r="FR2202" s="127"/>
      <c r="FS2202" s="127"/>
      <c r="FT2202" s="127"/>
      <c r="FU2202" s="127"/>
      <c r="FV2202" s="127"/>
      <c r="FW2202" s="127"/>
      <c r="FX2202" s="127"/>
      <c r="FY2202" s="127"/>
      <c r="FZ2202" s="127"/>
      <c r="GA2202" s="127"/>
      <c r="GB2202" s="127"/>
      <c r="GC2202" s="127"/>
      <c r="GD2202" s="127"/>
      <c r="GE2202" s="127"/>
      <c r="GF2202" s="127"/>
      <c r="GG2202" s="127"/>
      <c r="GH2202" s="127"/>
      <c r="GI2202" s="127"/>
      <c r="GJ2202" s="127"/>
      <c r="GK2202" s="127"/>
      <c r="GL2202" s="127"/>
      <c r="GM2202" s="127"/>
      <c r="GN2202" s="127"/>
      <c r="GO2202" s="127"/>
      <c r="GP2202" s="127"/>
      <c r="GQ2202" s="127"/>
      <c r="GR2202" s="127"/>
      <c r="GS2202" s="127"/>
      <c r="GT2202" s="127"/>
      <c r="GU2202" s="127"/>
      <c r="GV2202" s="127"/>
      <c r="GW2202" s="127"/>
      <c r="GX2202" s="127"/>
      <c r="GY2202" s="127"/>
      <c r="GZ2202" s="127"/>
      <c r="HA2202" s="127"/>
      <c r="HB2202" s="127"/>
      <c r="HC2202" s="127"/>
      <c r="HD2202" s="127"/>
      <c r="HE2202" s="127"/>
      <c r="HF2202" s="127"/>
      <c r="HG2202" s="127"/>
      <c r="HH2202" s="127"/>
      <c r="HI2202" s="127"/>
      <c r="HJ2202" s="127"/>
      <c r="HK2202" s="127"/>
      <c r="HL2202" s="127"/>
      <c r="HM2202" s="127"/>
      <c r="HN2202" s="127"/>
      <c r="HO2202" s="127"/>
      <c r="HP2202" s="127"/>
      <c r="HQ2202" s="127"/>
      <c r="HR2202" s="127"/>
      <c r="HS2202" s="127"/>
      <c r="HT2202" s="127"/>
      <c r="HU2202" s="127"/>
      <c r="HV2202" s="127"/>
      <c r="HW2202" s="127"/>
      <c r="HX2202" s="127"/>
      <c r="HY2202" s="127"/>
      <c r="HZ2202" s="127"/>
      <c r="IA2202" s="127"/>
      <c r="IB2202" s="127"/>
      <c r="IC2202" s="127"/>
      <c r="ID2202" s="127"/>
      <c r="IE2202" s="127"/>
      <c r="IF2202" s="127"/>
      <c r="IG2202" s="127"/>
      <c r="IH2202" s="127"/>
      <c r="II2202" s="127"/>
      <c r="IJ2202" s="127"/>
    </row>
    <row r="2203" spans="1:244" ht="12.75" customHeight="1">
      <c r="A2203" s="118">
        <v>2202</v>
      </c>
      <c r="B2203" s="128">
        <v>23</v>
      </c>
      <c r="C2203" s="156">
        <v>39600</v>
      </c>
      <c r="D2203" s="157" t="s">
        <v>49</v>
      </c>
      <c r="E2203" s="127">
        <v>2008</v>
      </c>
      <c r="F2203" s="127"/>
      <c r="G2203" s="127"/>
      <c r="H2203" s="175"/>
      <c r="I2203" s="160"/>
      <c r="J2203" s="191"/>
      <c r="K2203" s="191"/>
      <c r="L2203" s="191"/>
      <c r="M2203" s="193"/>
      <c r="N2203" s="529"/>
      <c r="O2203" s="191"/>
      <c r="P2203" s="192"/>
      <c r="Q2203" s="193"/>
      <c r="R2203" s="193"/>
      <c r="S2203" s="140"/>
      <c r="T2203" s="128"/>
      <c r="U2203" s="118"/>
      <c r="V2203" s="118"/>
      <c r="W2203" s="118"/>
      <c r="X2203" s="127"/>
      <c r="Y2203" s="127"/>
      <c r="Z2203" s="127"/>
      <c r="AA2203" s="127"/>
      <c r="AB2203" s="127"/>
      <c r="AC2203" s="127"/>
      <c r="AD2203" s="127"/>
      <c r="AE2203" s="127"/>
      <c r="AF2203" s="127"/>
      <c r="AG2203" s="127"/>
      <c r="AH2203" s="127"/>
      <c r="AI2203" s="127"/>
      <c r="AJ2203" s="127"/>
      <c r="AK2203" s="127"/>
      <c r="AL2203" s="127"/>
      <c r="AM2203" s="127"/>
      <c r="AN2203" s="127"/>
      <c r="AO2203" s="127"/>
      <c r="AP2203" s="127"/>
      <c r="AQ2203" s="127"/>
      <c r="AR2203" s="127"/>
      <c r="AS2203" s="127"/>
      <c r="AT2203" s="127"/>
      <c r="AU2203" s="127"/>
      <c r="AV2203" s="127"/>
      <c r="AW2203" s="127"/>
      <c r="AX2203" s="127"/>
      <c r="AY2203" s="127"/>
      <c r="AZ2203" s="127"/>
      <c r="BA2203" s="127"/>
      <c r="BB2203" s="127"/>
      <c r="BC2203" s="127"/>
      <c r="BD2203" s="127"/>
      <c r="BE2203" s="127"/>
      <c r="BF2203" s="127"/>
      <c r="BG2203" s="127"/>
      <c r="BH2203" s="127"/>
      <c r="BI2203" s="127"/>
      <c r="BJ2203" s="127"/>
      <c r="BK2203" s="127"/>
      <c r="BL2203" s="127"/>
      <c r="BM2203" s="127"/>
      <c r="BN2203" s="127"/>
      <c r="BO2203" s="127"/>
      <c r="BP2203" s="127"/>
      <c r="BQ2203" s="127"/>
      <c r="BR2203" s="127"/>
      <c r="BS2203" s="127"/>
      <c r="BT2203" s="127"/>
      <c r="BU2203" s="127"/>
      <c r="BV2203" s="127"/>
      <c r="BW2203" s="127"/>
      <c r="BX2203" s="127"/>
      <c r="BY2203" s="127"/>
      <c r="BZ2203" s="127"/>
      <c r="CA2203" s="127"/>
      <c r="CB2203" s="127"/>
      <c r="CC2203" s="127"/>
      <c r="CD2203" s="127"/>
      <c r="CE2203" s="127"/>
      <c r="CF2203" s="127"/>
      <c r="CG2203" s="127"/>
      <c r="CH2203" s="127"/>
      <c r="CI2203" s="127"/>
      <c r="CJ2203" s="127"/>
      <c r="CK2203" s="127"/>
      <c r="CL2203" s="127"/>
      <c r="CM2203" s="127"/>
      <c r="CN2203" s="127"/>
      <c r="CO2203" s="127"/>
      <c r="CP2203" s="127"/>
      <c r="CQ2203" s="127"/>
      <c r="CR2203" s="127"/>
      <c r="CS2203" s="127"/>
      <c r="CT2203" s="127"/>
      <c r="CU2203" s="127"/>
      <c r="CV2203" s="127"/>
      <c r="CW2203" s="127"/>
      <c r="CX2203" s="127"/>
      <c r="CY2203" s="127"/>
      <c r="CZ2203" s="127"/>
      <c r="DA2203" s="127"/>
      <c r="DB2203" s="127"/>
      <c r="DC2203" s="127"/>
      <c r="DD2203" s="127"/>
      <c r="DE2203" s="127"/>
      <c r="DF2203" s="127"/>
      <c r="DG2203" s="127"/>
      <c r="DH2203" s="127"/>
      <c r="DI2203" s="127"/>
      <c r="DJ2203" s="127"/>
      <c r="DK2203" s="127"/>
      <c r="DL2203" s="127"/>
      <c r="DM2203" s="127"/>
      <c r="DN2203" s="127"/>
      <c r="DO2203" s="127"/>
      <c r="DP2203" s="127"/>
      <c r="DQ2203" s="127"/>
      <c r="DR2203" s="127"/>
      <c r="DS2203" s="127"/>
      <c r="DT2203" s="127"/>
      <c r="DU2203" s="127"/>
      <c r="DV2203" s="127"/>
      <c r="DW2203" s="127"/>
      <c r="DX2203" s="127"/>
      <c r="DY2203" s="127"/>
      <c r="DZ2203" s="127"/>
      <c r="EA2203" s="127"/>
      <c r="EB2203" s="127"/>
      <c r="EC2203" s="127"/>
      <c r="ED2203" s="127"/>
      <c r="EE2203" s="127"/>
      <c r="EF2203" s="127"/>
      <c r="EG2203" s="127"/>
      <c r="EH2203" s="127"/>
      <c r="EI2203" s="127"/>
      <c r="EJ2203" s="127"/>
      <c r="EK2203" s="127"/>
      <c r="EL2203" s="127"/>
      <c r="EM2203" s="127"/>
      <c r="EN2203" s="127"/>
      <c r="EO2203" s="127"/>
      <c r="EP2203" s="127"/>
      <c r="EQ2203" s="127"/>
      <c r="ER2203" s="127"/>
      <c r="ES2203" s="127"/>
      <c r="ET2203" s="127"/>
      <c r="EU2203" s="127"/>
      <c r="EV2203" s="127"/>
      <c r="EW2203" s="127"/>
      <c r="EX2203" s="127"/>
      <c r="EY2203" s="127"/>
      <c r="EZ2203" s="127"/>
      <c r="FA2203" s="127"/>
      <c r="FB2203" s="127"/>
      <c r="FC2203" s="127"/>
      <c r="FD2203" s="127"/>
      <c r="FE2203" s="127"/>
      <c r="FF2203" s="127"/>
      <c r="FG2203" s="127"/>
      <c r="FH2203" s="127"/>
      <c r="FI2203" s="127"/>
      <c r="FJ2203" s="127"/>
      <c r="FK2203" s="127"/>
      <c r="FL2203" s="127"/>
      <c r="FM2203" s="127"/>
      <c r="FN2203" s="127"/>
      <c r="FO2203" s="127"/>
      <c r="FP2203" s="127"/>
      <c r="FQ2203" s="127"/>
      <c r="FR2203" s="127"/>
      <c r="FS2203" s="127"/>
      <c r="FT2203" s="127"/>
      <c r="FU2203" s="127"/>
      <c r="FV2203" s="127"/>
      <c r="FW2203" s="127"/>
      <c r="FX2203" s="127"/>
      <c r="FY2203" s="127"/>
      <c r="FZ2203" s="127"/>
      <c r="GA2203" s="127"/>
      <c r="GB2203" s="127"/>
      <c r="GC2203" s="127"/>
      <c r="GD2203" s="127"/>
      <c r="GE2203" s="127"/>
      <c r="GF2203" s="127"/>
      <c r="GG2203" s="127"/>
      <c r="GH2203" s="127"/>
      <c r="GI2203" s="127"/>
      <c r="GJ2203" s="127"/>
      <c r="GK2203" s="127"/>
      <c r="GL2203" s="127"/>
      <c r="GM2203" s="127"/>
      <c r="GN2203" s="127"/>
      <c r="GO2203" s="127"/>
      <c r="GP2203" s="127"/>
      <c r="GQ2203" s="127"/>
      <c r="GR2203" s="127"/>
      <c r="GS2203" s="127"/>
      <c r="GT2203" s="127"/>
      <c r="GU2203" s="127"/>
      <c r="GV2203" s="127"/>
      <c r="GW2203" s="127"/>
      <c r="GX2203" s="127"/>
      <c r="GY2203" s="127"/>
      <c r="GZ2203" s="127"/>
      <c r="HA2203" s="127"/>
      <c r="HB2203" s="127"/>
      <c r="HC2203" s="127"/>
      <c r="HD2203" s="127"/>
      <c r="HE2203" s="127"/>
      <c r="HF2203" s="127"/>
      <c r="HG2203" s="127"/>
      <c r="HH2203" s="127"/>
      <c r="HI2203" s="127"/>
      <c r="HJ2203" s="127"/>
      <c r="HK2203" s="127"/>
      <c r="HL2203" s="127"/>
      <c r="HM2203" s="127"/>
      <c r="HN2203" s="127"/>
      <c r="HO2203" s="127"/>
      <c r="HP2203" s="127"/>
      <c r="HQ2203" s="127"/>
      <c r="HR2203" s="127"/>
      <c r="HS2203" s="127"/>
      <c r="HT2203" s="127"/>
      <c r="HU2203" s="127"/>
      <c r="HV2203" s="127"/>
      <c r="HW2203" s="127"/>
      <c r="HX2203" s="127"/>
      <c r="HY2203" s="127"/>
      <c r="HZ2203" s="127"/>
      <c r="IA2203" s="127"/>
      <c r="IB2203" s="127"/>
      <c r="IC2203" s="127"/>
      <c r="ID2203" s="127"/>
      <c r="IE2203" s="127"/>
      <c r="IF2203" s="127"/>
      <c r="IG2203" s="127"/>
      <c r="IH2203" s="127"/>
      <c r="II2203" s="127"/>
      <c r="IJ2203" s="127"/>
    </row>
    <row r="2204" spans="1:244" s="127" customFormat="1" ht="12.75" customHeight="1">
      <c r="A2204" s="118">
        <v>2203</v>
      </c>
      <c r="B2204" s="128">
        <v>23</v>
      </c>
      <c r="C2204" s="156">
        <v>39630</v>
      </c>
      <c r="D2204" s="176" t="s">
        <v>50</v>
      </c>
      <c r="E2204" s="127">
        <v>2008</v>
      </c>
      <c r="H2204" s="175"/>
      <c r="I2204" s="160"/>
      <c r="J2204" s="191"/>
      <c r="K2204" s="191"/>
      <c r="L2204" s="191"/>
      <c r="M2204" s="193"/>
      <c r="N2204" s="529"/>
      <c r="O2204" s="191"/>
      <c r="P2204" s="8"/>
      <c r="R2204" s="193"/>
      <c r="S2204" s="240"/>
      <c r="T2204" s="128"/>
      <c r="U2204" s="128"/>
      <c r="V2204" s="118"/>
      <c r="W2204" s="118"/>
    </row>
    <row r="2205" spans="1:244" s="127" customFormat="1" ht="12.75" customHeight="1">
      <c r="A2205" s="118">
        <v>2204</v>
      </c>
      <c r="B2205" s="128">
        <v>23</v>
      </c>
      <c r="C2205" s="156">
        <v>39661</v>
      </c>
      <c r="D2205" s="176" t="s">
        <v>51</v>
      </c>
      <c r="E2205" s="127">
        <v>2008</v>
      </c>
      <c r="F2205" s="158">
        <f t="shared" ref="F2205:F2215" si="553">C2205-H2205</f>
        <v>244</v>
      </c>
      <c r="G2205" s="158">
        <f t="shared" ref="G2205:G2215" si="554">IF(F2205&lt;365,1,2)</f>
        <v>1</v>
      </c>
      <c r="H2205" s="172">
        <v>39417</v>
      </c>
      <c r="I2205" s="211">
        <v>577000</v>
      </c>
      <c r="J2205" s="191"/>
      <c r="K2205" s="177">
        <v>0.09</v>
      </c>
      <c r="L2205" s="177">
        <v>0</v>
      </c>
      <c r="M2205" s="193"/>
      <c r="N2205" s="529" t="s">
        <v>446</v>
      </c>
      <c r="O2205" s="177">
        <v>0</v>
      </c>
      <c r="P2205" s="8"/>
      <c r="R2205" s="193"/>
      <c r="S2205" s="240" t="s">
        <v>348</v>
      </c>
      <c r="T2205" s="161">
        <f t="shared" ref="T2205:T2215" si="555">$I2205*K2205</f>
        <v>51930</v>
      </c>
      <c r="U2205" s="161">
        <f t="shared" ref="U2205:U2215" si="556">$I2205*L2205</f>
        <v>0</v>
      </c>
      <c r="V2205" s="161">
        <f t="shared" ref="V2205:V2215" si="557">$I2205*O2205</f>
        <v>0</v>
      </c>
      <c r="W2205" s="161">
        <f t="shared" ref="W2205:W2221" si="558">V2205*0.4</f>
        <v>0</v>
      </c>
    </row>
    <row r="2206" spans="1:244" s="127" customFormat="1" ht="12.75" customHeight="1">
      <c r="A2206" s="118">
        <v>2205</v>
      </c>
      <c r="B2206" s="128">
        <v>23</v>
      </c>
      <c r="C2206" s="156">
        <v>39692</v>
      </c>
      <c r="D2206" s="176" t="s">
        <v>52</v>
      </c>
      <c r="E2206" s="127">
        <v>2008</v>
      </c>
      <c r="F2206" s="158">
        <f t="shared" si="553"/>
        <v>275</v>
      </c>
      <c r="G2206" s="158">
        <f t="shared" si="554"/>
        <v>1</v>
      </c>
      <c r="H2206" s="172">
        <v>39417</v>
      </c>
      <c r="I2206" s="160">
        <v>576000</v>
      </c>
      <c r="J2206" s="191">
        <v>0</v>
      </c>
      <c r="K2206" s="191">
        <v>0.09</v>
      </c>
      <c r="L2206" s="191">
        <v>0</v>
      </c>
      <c r="M2206" s="193"/>
      <c r="N2206" s="529"/>
      <c r="O2206" s="191">
        <v>0</v>
      </c>
      <c r="P2206" s="8"/>
      <c r="R2206" s="193"/>
      <c r="S2206" s="155"/>
      <c r="T2206" s="161">
        <f t="shared" si="555"/>
        <v>51840</v>
      </c>
      <c r="U2206" s="161">
        <f t="shared" si="556"/>
        <v>0</v>
      </c>
      <c r="V2206" s="161">
        <f t="shared" si="557"/>
        <v>0</v>
      </c>
      <c r="W2206" s="161">
        <f t="shared" si="558"/>
        <v>0</v>
      </c>
    </row>
    <row r="2207" spans="1:244" s="127" customFormat="1" ht="12.75" customHeight="1">
      <c r="A2207" s="118">
        <v>2206</v>
      </c>
      <c r="B2207" s="128">
        <v>23</v>
      </c>
      <c r="C2207" s="156">
        <v>39722</v>
      </c>
      <c r="D2207" s="176" t="s">
        <v>53</v>
      </c>
      <c r="E2207" s="127">
        <v>2008</v>
      </c>
      <c r="F2207" s="158">
        <f t="shared" si="553"/>
        <v>305</v>
      </c>
      <c r="G2207" s="158">
        <f t="shared" si="554"/>
        <v>1</v>
      </c>
      <c r="H2207" s="172">
        <v>39417</v>
      </c>
      <c r="I2207" s="160">
        <v>575000</v>
      </c>
      <c r="J2207" s="191">
        <v>0</v>
      </c>
      <c r="K2207" s="191">
        <v>0.52</v>
      </c>
      <c r="L2207" s="191">
        <v>0</v>
      </c>
      <c r="M2207" s="193">
        <v>0</v>
      </c>
      <c r="N2207" s="529"/>
      <c r="O2207" s="191">
        <v>0</v>
      </c>
      <c r="P2207" s="8"/>
      <c r="R2207" s="193"/>
      <c r="S2207" s="240"/>
      <c r="T2207" s="161">
        <f t="shared" si="555"/>
        <v>299000</v>
      </c>
      <c r="U2207" s="161">
        <f t="shared" si="556"/>
        <v>0</v>
      </c>
      <c r="V2207" s="161">
        <f t="shared" si="557"/>
        <v>0</v>
      </c>
      <c r="W2207" s="161">
        <f t="shared" si="558"/>
        <v>0</v>
      </c>
    </row>
    <row r="2208" spans="1:244" s="127" customFormat="1" ht="12.75" customHeight="1">
      <c r="A2208" s="118">
        <v>2207</v>
      </c>
      <c r="B2208" s="128">
        <v>23</v>
      </c>
      <c r="C2208" s="156">
        <v>39753</v>
      </c>
      <c r="D2208" s="176" t="s">
        <v>54</v>
      </c>
      <c r="E2208" s="127">
        <v>2008</v>
      </c>
      <c r="F2208" s="158">
        <f t="shared" si="553"/>
        <v>336</v>
      </c>
      <c r="G2208" s="158">
        <f t="shared" si="554"/>
        <v>1</v>
      </c>
      <c r="H2208" s="172">
        <v>39417</v>
      </c>
      <c r="I2208" s="160">
        <v>574000</v>
      </c>
      <c r="J2208" s="191">
        <v>2.2799999999999998</v>
      </c>
      <c r="K2208" s="191">
        <v>0.95</v>
      </c>
      <c r="L2208" s="191">
        <v>0.16</v>
      </c>
      <c r="M2208" s="193">
        <v>0</v>
      </c>
      <c r="N2208" s="529"/>
      <c r="O2208" s="191">
        <v>0.12</v>
      </c>
      <c r="P2208" s="8"/>
      <c r="R2208" s="193"/>
      <c r="S2208" s="240"/>
      <c r="T2208" s="161">
        <f t="shared" si="555"/>
        <v>545300</v>
      </c>
      <c r="U2208" s="161">
        <f t="shared" si="556"/>
        <v>91840</v>
      </c>
      <c r="V2208" s="161">
        <f t="shared" si="557"/>
        <v>68880</v>
      </c>
      <c r="W2208" s="161">
        <f t="shared" si="558"/>
        <v>27552</v>
      </c>
    </row>
    <row r="2209" spans="1:244" s="127" customFormat="1" ht="12.75" customHeight="1">
      <c r="A2209" s="118">
        <v>2208</v>
      </c>
      <c r="B2209" s="128">
        <v>23</v>
      </c>
      <c r="C2209" s="156">
        <v>39783</v>
      </c>
      <c r="D2209" s="176" t="s">
        <v>55</v>
      </c>
      <c r="E2209" s="127">
        <v>2008</v>
      </c>
      <c r="F2209" s="158">
        <f t="shared" si="553"/>
        <v>366</v>
      </c>
      <c r="G2209" s="158">
        <f t="shared" si="554"/>
        <v>2</v>
      </c>
      <c r="H2209" s="172">
        <v>39417</v>
      </c>
      <c r="I2209" s="160">
        <v>574000</v>
      </c>
      <c r="J2209" s="164">
        <v>6.5</v>
      </c>
      <c r="K2209" s="164">
        <v>0.53333333333333333</v>
      </c>
      <c r="L2209" s="164">
        <v>0.11666666666666668</v>
      </c>
      <c r="M2209" s="193">
        <v>0</v>
      </c>
      <c r="N2209" s="529"/>
      <c r="O2209" s="164">
        <v>0.83333333333333337</v>
      </c>
      <c r="P2209" s="8"/>
      <c r="Q2209" s="191"/>
      <c r="R2209" s="193"/>
      <c r="S2209" s="240"/>
      <c r="T2209" s="161">
        <f t="shared" si="555"/>
        <v>306133.33333333331</v>
      </c>
      <c r="U2209" s="161">
        <f t="shared" si="556"/>
        <v>66966.666666666672</v>
      </c>
      <c r="V2209" s="161">
        <f t="shared" si="557"/>
        <v>478333.33333333337</v>
      </c>
      <c r="W2209" s="161">
        <f t="shared" si="558"/>
        <v>191333.33333333337</v>
      </c>
    </row>
    <row r="2210" spans="1:244" s="127" customFormat="1" ht="12.75" customHeight="1">
      <c r="A2210" s="118">
        <v>2209</v>
      </c>
      <c r="B2210" s="128">
        <v>23</v>
      </c>
      <c r="C2210" s="156">
        <v>39814</v>
      </c>
      <c r="D2210" s="157" t="s">
        <v>44</v>
      </c>
      <c r="E2210" s="127">
        <v>2009</v>
      </c>
      <c r="F2210" s="158">
        <f t="shared" si="553"/>
        <v>397</v>
      </c>
      <c r="G2210" s="158">
        <f t="shared" si="554"/>
        <v>2</v>
      </c>
      <c r="H2210" s="178">
        <v>39417</v>
      </c>
      <c r="I2210" s="125">
        <v>573294</v>
      </c>
      <c r="J2210" s="164">
        <v>4.3</v>
      </c>
      <c r="K2210" s="164">
        <v>0.82</v>
      </c>
      <c r="L2210" s="164">
        <v>0.41</v>
      </c>
      <c r="M2210" s="193">
        <v>2</v>
      </c>
      <c r="N2210" s="529"/>
      <c r="O2210" s="164">
        <v>0.13</v>
      </c>
      <c r="P2210" s="118">
        <v>1</v>
      </c>
      <c r="Q2210" s="118"/>
      <c r="R2210" s="118"/>
      <c r="S2210" s="247"/>
      <c r="T2210" s="161">
        <f t="shared" si="555"/>
        <v>470101.07999999996</v>
      </c>
      <c r="U2210" s="161">
        <f t="shared" si="556"/>
        <v>235050.53999999998</v>
      </c>
      <c r="V2210" s="161">
        <f t="shared" si="557"/>
        <v>74528.22</v>
      </c>
      <c r="W2210" s="161">
        <f t="shared" si="558"/>
        <v>29811.288</v>
      </c>
    </row>
    <row r="2211" spans="1:244" s="127" customFormat="1" ht="12.75" customHeight="1">
      <c r="A2211" s="118">
        <v>2210</v>
      </c>
      <c r="B2211" s="128">
        <v>23</v>
      </c>
      <c r="C2211" s="156">
        <v>39845</v>
      </c>
      <c r="D2211" s="157" t="s">
        <v>45</v>
      </c>
      <c r="E2211" s="127">
        <v>2009</v>
      </c>
      <c r="F2211" s="158">
        <f t="shared" si="553"/>
        <v>428</v>
      </c>
      <c r="G2211" s="158">
        <f t="shared" si="554"/>
        <v>2</v>
      </c>
      <c r="H2211" s="178">
        <v>39417</v>
      </c>
      <c r="I2211" s="125">
        <v>572645</v>
      </c>
      <c r="J2211" s="164">
        <v>0.13</v>
      </c>
      <c r="K2211" s="164">
        <v>0.2</v>
      </c>
      <c r="L2211" s="164">
        <v>0.12</v>
      </c>
      <c r="M2211" s="193">
        <v>0</v>
      </c>
      <c r="N2211" s="529"/>
      <c r="O2211" s="164">
        <v>0.02</v>
      </c>
      <c r="P2211" s="118"/>
      <c r="Q2211" s="118"/>
      <c r="R2211" s="118"/>
      <c r="S2211" s="221"/>
      <c r="T2211" s="161">
        <f t="shared" si="555"/>
        <v>114529</v>
      </c>
      <c r="U2211" s="161">
        <f t="shared" si="556"/>
        <v>68717.399999999994</v>
      </c>
      <c r="V2211" s="161">
        <f t="shared" si="557"/>
        <v>11452.9</v>
      </c>
      <c r="W2211" s="161">
        <f t="shared" si="558"/>
        <v>4581.16</v>
      </c>
    </row>
    <row r="2212" spans="1:244" s="127" customFormat="1" ht="12.75" customHeight="1">
      <c r="A2212" s="118">
        <v>2211</v>
      </c>
      <c r="B2212" s="128">
        <v>23</v>
      </c>
      <c r="C2212" s="156">
        <v>39873</v>
      </c>
      <c r="D2212" s="157" t="s">
        <v>46</v>
      </c>
      <c r="E2212" s="127">
        <v>2009</v>
      </c>
      <c r="F2212" s="158">
        <f t="shared" si="553"/>
        <v>456</v>
      </c>
      <c r="G2212" s="158">
        <f t="shared" si="554"/>
        <v>2</v>
      </c>
      <c r="H2212" s="178">
        <v>39417</v>
      </c>
      <c r="I2212" s="125">
        <v>572123</v>
      </c>
      <c r="J2212" s="164">
        <v>0</v>
      </c>
      <c r="K2212" s="164">
        <v>0.08</v>
      </c>
      <c r="L2212" s="164">
        <v>0</v>
      </c>
      <c r="M2212" s="193">
        <v>0</v>
      </c>
      <c r="N2212" s="529"/>
      <c r="O2212" s="164">
        <v>0.03</v>
      </c>
      <c r="P2212" s="118"/>
      <c r="Q2212" s="118"/>
      <c r="R2212" s="118"/>
      <c r="S2212" s="221"/>
      <c r="T2212" s="161">
        <f t="shared" si="555"/>
        <v>45769.840000000004</v>
      </c>
      <c r="U2212" s="161">
        <f t="shared" si="556"/>
        <v>0</v>
      </c>
      <c r="V2212" s="161">
        <f t="shared" si="557"/>
        <v>17163.689999999999</v>
      </c>
      <c r="W2212" s="161">
        <f t="shared" si="558"/>
        <v>6865.4759999999997</v>
      </c>
    </row>
    <row r="2213" spans="1:244" s="127" customFormat="1" ht="12.75" customHeight="1">
      <c r="A2213" s="118">
        <v>2212</v>
      </c>
      <c r="B2213" s="128">
        <v>23</v>
      </c>
      <c r="C2213" s="156">
        <v>39904</v>
      </c>
      <c r="D2213" s="157" t="s">
        <v>47</v>
      </c>
      <c r="E2213" s="127">
        <v>2009</v>
      </c>
      <c r="F2213" s="158">
        <f t="shared" si="553"/>
        <v>487</v>
      </c>
      <c r="G2213" s="158">
        <f t="shared" si="554"/>
        <v>2</v>
      </c>
      <c r="H2213" s="178">
        <v>39417</v>
      </c>
      <c r="I2213" s="125">
        <v>571504</v>
      </c>
      <c r="J2213" s="164">
        <v>0.05</v>
      </c>
      <c r="K2213" s="164">
        <v>0.03</v>
      </c>
      <c r="L2213" s="164">
        <v>0</v>
      </c>
      <c r="M2213" s="193">
        <v>0</v>
      </c>
      <c r="N2213" s="529"/>
      <c r="O2213" s="164">
        <v>0</v>
      </c>
      <c r="P2213" s="118"/>
      <c r="Q2213" s="118"/>
      <c r="R2213" s="118"/>
      <c r="S2213" s="221"/>
      <c r="T2213" s="161">
        <f t="shared" si="555"/>
        <v>17145.12</v>
      </c>
      <c r="U2213" s="161">
        <f t="shared" si="556"/>
        <v>0</v>
      </c>
      <c r="V2213" s="161">
        <f t="shared" si="557"/>
        <v>0</v>
      </c>
      <c r="W2213" s="161">
        <f t="shared" si="558"/>
        <v>0</v>
      </c>
    </row>
    <row r="2214" spans="1:244" s="127" customFormat="1" ht="12.75" customHeight="1">
      <c r="A2214" s="118">
        <v>2213</v>
      </c>
      <c r="B2214" s="128">
        <v>23</v>
      </c>
      <c r="C2214" s="156">
        <v>39934</v>
      </c>
      <c r="D2214" s="157" t="s">
        <v>48</v>
      </c>
      <c r="E2214" s="127">
        <v>2009</v>
      </c>
      <c r="F2214" s="158">
        <f t="shared" si="553"/>
        <v>517</v>
      </c>
      <c r="G2214" s="158">
        <f t="shared" si="554"/>
        <v>2</v>
      </c>
      <c r="H2214" s="178">
        <v>39417</v>
      </c>
      <c r="I2214" s="125">
        <v>571233</v>
      </c>
      <c r="J2214" s="164">
        <v>0</v>
      </c>
      <c r="K2214" s="164">
        <v>0.1</v>
      </c>
      <c r="L2214" s="164">
        <v>0</v>
      </c>
      <c r="M2214" s="193">
        <v>0</v>
      </c>
      <c r="N2214" s="529"/>
      <c r="O2214" s="164">
        <v>0</v>
      </c>
      <c r="P2214" s="118"/>
      <c r="Q2214" s="118"/>
      <c r="R2214" s="118"/>
      <c r="S2214" s="221"/>
      <c r="T2214" s="161">
        <f t="shared" si="555"/>
        <v>57123.3</v>
      </c>
      <c r="U2214" s="161">
        <f t="shared" si="556"/>
        <v>0</v>
      </c>
      <c r="V2214" s="161">
        <f t="shared" si="557"/>
        <v>0</v>
      </c>
      <c r="W2214" s="161">
        <f t="shared" si="558"/>
        <v>0</v>
      </c>
    </row>
    <row r="2215" spans="1:244" s="127" customFormat="1" ht="12.75" customHeight="1">
      <c r="A2215" s="118">
        <v>2214</v>
      </c>
      <c r="B2215" s="128">
        <v>23</v>
      </c>
      <c r="C2215" s="156">
        <v>39965</v>
      </c>
      <c r="D2215" s="157" t="s">
        <v>49</v>
      </c>
      <c r="E2215" s="127">
        <v>2009</v>
      </c>
      <c r="F2215" s="158">
        <f t="shared" si="553"/>
        <v>548</v>
      </c>
      <c r="G2215" s="158">
        <f t="shared" si="554"/>
        <v>2</v>
      </c>
      <c r="H2215" s="178">
        <v>39417</v>
      </c>
      <c r="I2215" s="125">
        <v>570831</v>
      </c>
      <c r="J2215" s="164">
        <v>0.15</v>
      </c>
      <c r="K2215" s="164">
        <v>0.08</v>
      </c>
      <c r="L2215" s="164">
        <v>0.04</v>
      </c>
      <c r="M2215" s="193">
        <v>0</v>
      </c>
      <c r="N2215" s="529"/>
      <c r="O2215" s="164">
        <v>0.02</v>
      </c>
      <c r="P2215" s="118"/>
      <c r="Q2215" s="118"/>
      <c r="R2215" s="118"/>
      <c r="S2215" s="221"/>
      <c r="T2215" s="161">
        <f t="shared" si="555"/>
        <v>45666.48</v>
      </c>
      <c r="U2215" s="161">
        <f t="shared" si="556"/>
        <v>22833.24</v>
      </c>
      <c r="V2215" s="161">
        <f t="shared" si="557"/>
        <v>11416.62</v>
      </c>
      <c r="W2215" s="161">
        <f t="shared" si="558"/>
        <v>4566.6480000000001</v>
      </c>
    </row>
    <row r="2216" spans="1:244" s="127" customFormat="1" ht="12.75" customHeight="1">
      <c r="A2216" s="118">
        <v>2215</v>
      </c>
      <c r="B2216" s="128">
        <v>23</v>
      </c>
      <c r="C2216" s="156">
        <v>39995</v>
      </c>
      <c r="D2216" s="157" t="s">
        <v>50</v>
      </c>
      <c r="E2216" s="127">
        <v>2009</v>
      </c>
      <c r="F2216" s="158">
        <f t="shared" ref="F2216:F2220" si="559">C2216-H2216</f>
        <v>602</v>
      </c>
      <c r="G2216" s="158">
        <f t="shared" ref="G2216:G2220" si="560">IF(F2216&lt;365,1,2)</f>
        <v>2</v>
      </c>
      <c r="H2216" s="175">
        <v>39393</v>
      </c>
      <c r="I2216" s="125">
        <v>570620</v>
      </c>
      <c r="J2216" s="191">
        <v>0</v>
      </c>
      <c r="K2216" s="191">
        <v>0</v>
      </c>
      <c r="L2216" s="191">
        <v>0</v>
      </c>
      <c r="M2216" s="193">
        <v>0</v>
      </c>
      <c r="N2216" s="529"/>
      <c r="O2216" s="191">
        <v>0</v>
      </c>
      <c r="S2216" s="222"/>
      <c r="T2216" s="161">
        <f t="shared" ref="T2216:T2221" si="561">$I2216*K2216</f>
        <v>0</v>
      </c>
      <c r="U2216" s="161">
        <f t="shared" ref="U2216:U2221" si="562">$I2216*L2216</f>
        <v>0</v>
      </c>
      <c r="V2216" s="161">
        <f t="shared" ref="V2216:V2221" si="563">$I2216*O2216</f>
        <v>0</v>
      </c>
      <c r="W2216" s="161">
        <f t="shared" si="558"/>
        <v>0</v>
      </c>
      <c r="X2216" s="118"/>
      <c r="Y2216" s="118"/>
      <c r="Z2216" s="118"/>
      <c r="AA2216" s="118"/>
      <c r="AB2216" s="118"/>
      <c r="AC2216" s="118"/>
      <c r="AD2216" s="118"/>
      <c r="AE2216" s="118"/>
      <c r="AF2216" s="118"/>
      <c r="AG2216" s="118"/>
      <c r="AH2216" s="118"/>
      <c r="AI2216" s="118"/>
      <c r="AJ2216" s="118"/>
      <c r="AK2216" s="118"/>
      <c r="AL2216" s="118"/>
      <c r="AM2216" s="118"/>
      <c r="AN2216" s="118"/>
      <c r="AO2216" s="118"/>
      <c r="AP2216" s="118"/>
      <c r="AQ2216" s="118"/>
      <c r="AR2216" s="118"/>
      <c r="AS2216" s="118"/>
      <c r="AT2216" s="118"/>
      <c r="AU2216" s="118"/>
      <c r="AV2216" s="118"/>
      <c r="AW2216" s="118"/>
      <c r="AX2216" s="118"/>
      <c r="AY2216" s="118"/>
      <c r="AZ2216" s="118"/>
      <c r="BA2216" s="118"/>
      <c r="BB2216" s="118"/>
      <c r="BC2216" s="118"/>
      <c r="BD2216" s="118"/>
      <c r="BE2216" s="118"/>
      <c r="BF2216" s="118"/>
      <c r="BG2216" s="118"/>
      <c r="BH2216" s="118"/>
      <c r="BI2216" s="118"/>
      <c r="BJ2216" s="118"/>
      <c r="BK2216" s="118"/>
      <c r="BL2216" s="118"/>
      <c r="BM2216" s="118"/>
      <c r="BN2216" s="118"/>
      <c r="BO2216" s="118"/>
      <c r="BP2216" s="118"/>
      <c r="BQ2216" s="118"/>
      <c r="BR2216" s="118"/>
      <c r="BS2216" s="118"/>
      <c r="BT2216" s="118"/>
      <c r="BU2216" s="118"/>
      <c r="BV2216" s="118"/>
      <c r="BW2216" s="118"/>
      <c r="BX2216" s="118"/>
      <c r="BY2216" s="118"/>
      <c r="BZ2216" s="118"/>
      <c r="CA2216" s="118"/>
      <c r="CB2216" s="118"/>
      <c r="CC2216" s="118"/>
      <c r="CD2216" s="118"/>
      <c r="CE2216" s="118"/>
      <c r="CF2216" s="118"/>
      <c r="CG2216" s="118"/>
      <c r="CH2216" s="118"/>
      <c r="CI2216" s="118"/>
      <c r="CJ2216" s="118"/>
      <c r="CK2216" s="118"/>
      <c r="CL2216" s="118"/>
      <c r="CM2216" s="118"/>
      <c r="CN2216" s="118"/>
      <c r="CO2216" s="118"/>
      <c r="CP2216" s="118"/>
      <c r="CQ2216" s="118"/>
      <c r="CR2216" s="118"/>
      <c r="CS2216" s="118"/>
      <c r="CT2216" s="118"/>
      <c r="CU2216" s="118"/>
      <c r="CV2216" s="118"/>
      <c r="CW2216" s="118"/>
      <c r="CX2216" s="118"/>
      <c r="CY2216" s="118"/>
      <c r="CZ2216" s="118"/>
      <c r="DA2216" s="118"/>
      <c r="DB2216" s="118"/>
      <c r="DC2216" s="118"/>
      <c r="DD2216" s="118"/>
      <c r="DE2216" s="118"/>
      <c r="DF2216" s="118"/>
      <c r="DG2216" s="118"/>
      <c r="DH2216" s="118"/>
      <c r="DI2216" s="118"/>
      <c r="DJ2216" s="118"/>
      <c r="DK2216" s="118"/>
      <c r="DL2216" s="118"/>
      <c r="DM2216" s="118"/>
      <c r="DN2216" s="118"/>
      <c r="DO2216" s="118"/>
      <c r="DP2216" s="118"/>
      <c r="DQ2216" s="118"/>
      <c r="DR2216" s="118"/>
      <c r="DS2216" s="118"/>
      <c r="DT2216" s="118"/>
      <c r="DU2216" s="118"/>
      <c r="DV2216" s="118"/>
      <c r="DW2216" s="118"/>
      <c r="DX2216" s="118"/>
      <c r="DY2216" s="118"/>
      <c r="DZ2216" s="118"/>
      <c r="EA2216" s="118"/>
      <c r="EB2216" s="118"/>
      <c r="EC2216" s="118"/>
      <c r="ED2216" s="118"/>
      <c r="EE2216" s="118"/>
      <c r="EF2216" s="118"/>
      <c r="EG2216" s="118"/>
      <c r="EH2216" s="118"/>
      <c r="EI2216" s="118"/>
      <c r="EJ2216" s="118"/>
      <c r="EK2216" s="118"/>
      <c r="EL2216" s="118"/>
      <c r="EM2216" s="118"/>
      <c r="EN2216" s="118"/>
      <c r="EO2216" s="118"/>
      <c r="EP2216" s="118"/>
      <c r="EQ2216" s="118"/>
      <c r="ER2216" s="118"/>
      <c r="ES2216" s="118"/>
      <c r="ET2216" s="118"/>
      <c r="EU2216" s="118"/>
      <c r="EV2216" s="118"/>
      <c r="EW2216" s="118"/>
      <c r="EX2216" s="118"/>
      <c r="EY2216" s="118"/>
      <c r="EZ2216" s="118"/>
      <c r="FA2216" s="118"/>
      <c r="FB2216" s="118"/>
      <c r="FC2216" s="118"/>
      <c r="FD2216" s="118"/>
      <c r="FE2216" s="118"/>
      <c r="FF2216" s="118"/>
      <c r="FG2216" s="118"/>
      <c r="FH2216" s="118"/>
      <c r="FI2216" s="118"/>
      <c r="FJ2216" s="118"/>
      <c r="FK2216" s="118"/>
      <c r="FL2216" s="118"/>
      <c r="FM2216" s="118"/>
      <c r="FN2216" s="118"/>
      <c r="FO2216" s="118"/>
      <c r="FP2216" s="118"/>
      <c r="FQ2216" s="118"/>
      <c r="FR2216" s="118"/>
      <c r="FS2216" s="118"/>
      <c r="FT2216" s="118"/>
      <c r="FU2216" s="118"/>
      <c r="FV2216" s="118"/>
      <c r="FW2216" s="118"/>
      <c r="FX2216" s="118"/>
      <c r="FY2216" s="118"/>
      <c r="FZ2216" s="118"/>
      <c r="GA2216" s="118"/>
      <c r="GB2216" s="118"/>
      <c r="GC2216" s="118"/>
      <c r="GD2216" s="118"/>
      <c r="GE2216" s="118"/>
      <c r="GF2216" s="118"/>
      <c r="GG2216" s="118"/>
      <c r="GH2216" s="118"/>
      <c r="GI2216" s="118"/>
      <c r="GJ2216" s="118"/>
      <c r="GK2216" s="118"/>
      <c r="GL2216" s="118"/>
      <c r="GM2216" s="118"/>
      <c r="GN2216" s="118"/>
      <c r="GO2216" s="118"/>
      <c r="GP2216" s="118"/>
      <c r="GQ2216" s="118"/>
      <c r="GR2216" s="118"/>
      <c r="GS2216" s="118"/>
      <c r="GT2216" s="118"/>
      <c r="GU2216" s="118"/>
      <c r="GV2216" s="118"/>
      <c r="GW2216" s="118"/>
      <c r="GX2216" s="118"/>
      <c r="GY2216" s="118"/>
      <c r="GZ2216" s="118"/>
      <c r="HA2216" s="118"/>
      <c r="HB2216" s="118"/>
      <c r="HC2216" s="118"/>
      <c r="HD2216" s="118"/>
      <c r="HE2216" s="118"/>
      <c r="HF2216" s="118"/>
      <c r="HG2216" s="118"/>
      <c r="HH2216" s="118"/>
      <c r="HI2216" s="118"/>
      <c r="HJ2216" s="118"/>
      <c r="HK2216" s="118"/>
      <c r="HL2216" s="118"/>
      <c r="HM2216" s="118"/>
      <c r="HN2216" s="118"/>
      <c r="HO2216" s="118"/>
      <c r="HP2216" s="118"/>
      <c r="HQ2216" s="118"/>
      <c r="HR2216" s="118"/>
      <c r="HS2216" s="118"/>
      <c r="HT2216" s="118"/>
      <c r="HU2216" s="118"/>
      <c r="HV2216" s="118"/>
      <c r="HW2216" s="118"/>
      <c r="HX2216" s="118"/>
      <c r="HY2216" s="118"/>
      <c r="HZ2216" s="118"/>
      <c r="IA2216" s="118"/>
      <c r="IB2216" s="118"/>
      <c r="IC2216" s="118"/>
      <c r="ID2216" s="118"/>
      <c r="IE2216" s="118"/>
      <c r="IF2216" s="118"/>
      <c r="IG2216" s="118"/>
      <c r="IH2216" s="118"/>
      <c r="II2216" s="118"/>
      <c r="IJ2216" s="118"/>
    </row>
    <row r="2217" spans="1:244" s="127" customFormat="1" ht="12.75" customHeight="1">
      <c r="A2217" s="118">
        <v>2216</v>
      </c>
      <c r="B2217" s="128">
        <v>23</v>
      </c>
      <c r="C2217" s="156">
        <v>40026</v>
      </c>
      <c r="D2217" s="157" t="s">
        <v>51</v>
      </c>
      <c r="E2217" s="127">
        <v>2009</v>
      </c>
      <c r="F2217" s="158">
        <f t="shared" si="559"/>
        <v>633</v>
      </c>
      <c r="G2217" s="158">
        <f t="shared" si="560"/>
        <v>2</v>
      </c>
      <c r="H2217" s="175">
        <v>39393</v>
      </c>
      <c r="I2217" s="125">
        <v>504636</v>
      </c>
      <c r="J2217" s="191">
        <v>0</v>
      </c>
      <c r="K2217" s="191">
        <v>0</v>
      </c>
      <c r="L2217" s="191">
        <v>0</v>
      </c>
      <c r="M2217" s="193">
        <v>0</v>
      </c>
      <c r="N2217" s="529"/>
      <c r="O2217" s="191">
        <v>0</v>
      </c>
      <c r="S2217" s="140"/>
      <c r="T2217" s="161">
        <f t="shared" si="561"/>
        <v>0</v>
      </c>
      <c r="U2217" s="161">
        <f t="shared" si="562"/>
        <v>0</v>
      </c>
      <c r="V2217" s="161">
        <f t="shared" si="563"/>
        <v>0</v>
      </c>
      <c r="W2217" s="161">
        <f t="shared" si="558"/>
        <v>0</v>
      </c>
      <c r="X2217" s="118"/>
      <c r="Y2217" s="118"/>
      <c r="Z2217" s="118"/>
      <c r="AA2217" s="118"/>
      <c r="AB2217" s="118"/>
      <c r="AC2217" s="118"/>
      <c r="AD2217" s="118"/>
      <c r="AE2217" s="118"/>
      <c r="AF2217" s="118"/>
      <c r="AG2217" s="118"/>
      <c r="AH2217" s="118"/>
      <c r="AI2217" s="118"/>
      <c r="AJ2217" s="118"/>
      <c r="AK2217" s="118"/>
      <c r="AL2217" s="118"/>
      <c r="AM2217" s="118"/>
      <c r="AN2217" s="118"/>
      <c r="AO2217" s="118"/>
      <c r="AP2217" s="118"/>
      <c r="AQ2217" s="118"/>
      <c r="AR2217" s="118"/>
      <c r="AS2217" s="118"/>
      <c r="AT2217" s="118"/>
      <c r="AU2217" s="118"/>
      <c r="AV2217" s="118"/>
      <c r="AW2217" s="118"/>
      <c r="AX2217" s="118"/>
      <c r="AY2217" s="118"/>
      <c r="AZ2217" s="118"/>
      <c r="BA2217" s="118"/>
      <c r="BB2217" s="118"/>
      <c r="BC2217" s="118"/>
      <c r="BD2217" s="118"/>
      <c r="BE2217" s="118"/>
      <c r="BF2217" s="118"/>
      <c r="BG2217" s="118"/>
      <c r="BH2217" s="118"/>
      <c r="BI2217" s="118"/>
      <c r="BJ2217" s="118"/>
      <c r="BK2217" s="118"/>
      <c r="BL2217" s="118"/>
      <c r="BM2217" s="118"/>
      <c r="BN2217" s="118"/>
      <c r="BO2217" s="118"/>
      <c r="BP2217" s="118"/>
      <c r="BQ2217" s="118"/>
      <c r="BR2217" s="118"/>
      <c r="BS2217" s="118"/>
      <c r="BT2217" s="118"/>
      <c r="BU2217" s="118"/>
      <c r="BV2217" s="118"/>
      <c r="BW2217" s="118"/>
      <c r="BX2217" s="118"/>
      <c r="BY2217" s="118"/>
      <c r="BZ2217" s="118"/>
      <c r="CA2217" s="118"/>
      <c r="CB2217" s="118"/>
      <c r="CC2217" s="118"/>
      <c r="CD2217" s="118"/>
      <c r="CE2217" s="118"/>
      <c r="CF2217" s="118"/>
      <c r="CG2217" s="118"/>
      <c r="CH2217" s="118"/>
      <c r="CI2217" s="118"/>
      <c r="CJ2217" s="118"/>
      <c r="CK2217" s="118"/>
      <c r="CL2217" s="118"/>
      <c r="CM2217" s="118"/>
      <c r="CN2217" s="118"/>
      <c r="CO2217" s="118"/>
      <c r="CP2217" s="118"/>
      <c r="CQ2217" s="118"/>
      <c r="CR2217" s="118"/>
      <c r="CS2217" s="118"/>
      <c r="CT2217" s="118"/>
      <c r="CU2217" s="118"/>
      <c r="CV2217" s="118"/>
      <c r="CW2217" s="118"/>
      <c r="CX2217" s="118"/>
      <c r="CY2217" s="118"/>
      <c r="CZ2217" s="118"/>
      <c r="DA2217" s="118"/>
      <c r="DB2217" s="118"/>
      <c r="DC2217" s="118"/>
      <c r="DD2217" s="118"/>
      <c r="DE2217" s="118"/>
      <c r="DF2217" s="118"/>
      <c r="DG2217" s="118"/>
      <c r="DH2217" s="118"/>
      <c r="DI2217" s="118"/>
      <c r="DJ2217" s="118"/>
      <c r="DK2217" s="118"/>
      <c r="DL2217" s="118"/>
      <c r="DM2217" s="118"/>
      <c r="DN2217" s="118"/>
      <c r="DO2217" s="118"/>
      <c r="DP2217" s="118"/>
      <c r="DQ2217" s="118"/>
      <c r="DR2217" s="118"/>
      <c r="DS2217" s="118"/>
      <c r="DT2217" s="118"/>
      <c r="DU2217" s="118"/>
      <c r="DV2217" s="118"/>
      <c r="DW2217" s="118"/>
      <c r="DX2217" s="118"/>
      <c r="DY2217" s="118"/>
      <c r="DZ2217" s="118"/>
      <c r="EA2217" s="118"/>
      <c r="EB2217" s="118"/>
      <c r="EC2217" s="118"/>
      <c r="ED2217" s="118"/>
      <c r="EE2217" s="118"/>
      <c r="EF2217" s="118"/>
      <c r="EG2217" s="118"/>
      <c r="EH2217" s="118"/>
      <c r="EI2217" s="118"/>
      <c r="EJ2217" s="118"/>
      <c r="EK2217" s="118"/>
      <c r="EL2217" s="118"/>
      <c r="EM2217" s="118"/>
      <c r="EN2217" s="118"/>
      <c r="EO2217" s="118"/>
      <c r="EP2217" s="118"/>
      <c r="EQ2217" s="118"/>
      <c r="ER2217" s="118"/>
      <c r="ES2217" s="118"/>
      <c r="ET2217" s="118"/>
      <c r="EU2217" s="118"/>
      <c r="EV2217" s="118"/>
      <c r="EW2217" s="118"/>
      <c r="EX2217" s="118"/>
      <c r="EY2217" s="118"/>
      <c r="EZ2217" s="118"/>
      <c r="FA2217" s="118"/>
      <c r="FB2217" s="118"/>
      <c r="FC2217" s="118"/>
      <c r="FD2217" s="118"/>
      <c r="FE2217" s="118"/>
      <c r="FF2217" s="118"/>
      <c r="FG2217" s="118"/>
      <c r="FH2217" s="118"/>
      <c r="FI2217" s="118"/>
      <c r="FJ2217" s="118"/>
      <c r="FK2217" s="118"/>
      <c r="FL2217" s="118"/>
      <c r="FM2217" s="118"/>
      <c r="FN2217" s="118"/>
      <c r="FO2217" s="118"/>
      <c r="FP2217" s="118"/>
      <c r="FQ2217" s="118"/>
      <c r="FR2217" s="118"/>
      <c r="FS2217" s="118"/>
      <c r="FT2217" s="118"/>
      <c r="FU2217" s="118"/>
      <c r="FV2217" s="118"/>
      <c r="FW2217" s="118"/>
      <c r="FX2217" s="118"/>
      <c r="FY2217" s="118"/>
      <c r="FZ2217" s="118"/>
      <c r="GA2217" s="118"/>
      <c r="GB2217" s="118"/>
      <c r="GC2217" s="118"/>
      <c r="GD2217" s="118"/>
      <c r="GE2217" s="118"/>
      <c r="GF2217" s="118"/>
      <c r="GG2217" s="118"/>
      <c r="GH2217" s="118"/>
      <c r="GI2217" s="118"/>
      <c r="GJ2217" s="118"/>
      <c r="GK2217" s="118"/>
      <c r="GL2217" s="118"/>
      <c r="GM2217" s="118"/>
      <c r="GN2217" s="118"/>
      <c r="GO2217" s="118"/>
      <c r="GP2217" s="118"/>
      <c r="GQ2217" s="118"/>
      <c r="GR2217" s="118"/>
      <c r="GS2217" s="118"/>
      <c r="GT2217" s="118"/>
      <c r="GU2217" s="118"/>
      <c r="GV2217" s="118"/>
      <c r="GW2217" s="118"/>
      <c r="GX2217" s="118"/>
      <c r="GY2217" s="118"/>
      <c r="GZ2217" s="118"/>
      <c r="HA2217" s="118"/>
      <c r="HB2217" s="118"/>
      <c r="HC2217" s="118"/>
      <c r="HD2217" s="118"/>
      <c r="HE2217" s="118"/>
      <c r="HF2217" s="118"/>
      <c r="HG2217" s="118"/>
      <c r="HH2217" s="118"/>
      <c r="HI2217" s="118"/>
      <c r="HJ2217" s="118"/>
      <c r="HK2217" s="118"/>
      <c r="HL2217" s="118"/>
      <c r="HM2217" s="118"/>
      <c r="HN2217" s="118"/>
      <c r="HO2217" s="118"/>
      <c r="HP2217" s="118"/>
      <c r="HQ2217" s="118"/>
      <c r="HR2217" s="118"/>
      <c r="HS2217" s="118"/>
      <c r="HT2217" s="118"/>
      <c r="HU2217" s="118"/>
      <c r="HV2217" s="118"/>
      <c r="HW2217" s="118"/>
      <c r="HX2217" s="118"/>
      <c r="HY2217" s="118"/>
      <c r="HZ2217" s="118"/>
      <c r="IA2217" s="118"/>
      <c r="IB2217" s="118"/>
      <c r="IC2217" s="118"/>
      <c r="ID2217" s="118"/>
      <c r="IE2217" s="118"/>
      <c r="IF2217" s="118"/>
      <c r="IG2217" s="118"/>
      <c r="IH2217" s="118"/>
      <c r="II2217" s="118"/>
      <c r="IJ2217" s="118"/>
    </row>
    <row r="2218" spans="1:244" s="127" customFormat="1" ht="12.75" customHeight="1">
      <c r="A2218" s="118">
        <v>2217</v>
      </c>
      <c r="B2218" s="128">
        <v>23</v>
      </c>
      <c r="C2218" s="156">
        <v>40057</v>
      </c>
      <c r="D2218" s="157" t="s">
        <v>52</v>
      </c>
      <c r="E2218" s="127">
        <v>2009</v>
      </c>
      <c r="F2218" s="158">
        <f t="shared" si="559"/>
        <v>664</v>
      </c>
      <c r="G2218" s="158">
        <f t="shared" si="560"/>
        <v>2</v>
      </c>
      <c r="H2218" s="175">
        <v>39393</v>
      </c>
      <c r="I2218" s="125">
        <v>433580</v>
      </c>
      <c r="J2218" s="191">
        <v>0.1</v>
      </c>
      <c r="K2218" s="191">
        <v>0.05</v>
      </c>
      <c r="L2218" s="191">
        <v>0.02</v>
      </c>
      <c r="M2218" s="193">
        <v>0</v>
      </c>
      <c r="N2218" s="529"/>
      <c r="O2218" s="191">
        <v>0</v>
      </c>
      <c r="S2218" s="140"/>
      <c r="T2218" s="161">
        <f t="shared" si="561"/>
        <v>21679</v>
      </c>
      <c r="U2218" s="161">
        <f t="shared" si="562"/>
        <v>8671.6</v>
      </c>
      <c r="V2218" s="161">
        <f t="shared" si="563"/>
        <v>0</v>
      </c>
      <c r="W2218" s="161">
        <f t="shared" si="558"/>
        <v>0</v>
      </c>
      <c r="X2218" s="118"/>
      <c r="Y2218" s="118"/>
      <c r="Z2218" s="118"/>
      <c r="AA2218" s="118"/>
      <c r="AB2218" s="118"/>
      <c r="AC2218" s="118"/>
      <c r="AD2218" s="118"/>
      <c r="AE2218" s="118"/>
      <c r="AF2218" s="118"/>
      <c r="AG2218" s="118"/>
      <c r="AH2218" s="118"/>
      <c r="AI2218" s="118"/>
      <c r="AJ2218" s="118"/>
      <c r="AK2218" s="118"/>
      <c r="AL2218" s="118"/>
      <c r="AM2218" s="118"/>
      <c r="AN2218" s="118"/>
      <c r="AO2218" s="118"/>
      <c r="AP2218" s="118"/>
      <c r="AQ2218" s="118"/>
      <c r="AR2218" s="118"/>
      <c r="AS2218" s="118"/>
      <c r="AT2218" s="118"/>
      <c r="AU2218" s="118"/>
      <c r="AV2218" s="118"/>
      <c r="AW2218" s="118"/>
      <c r="AX2218" s="118"/>
      <c r="AY2218" s="118"/>
      <c r="AZ2218" s="118"/>
      <c r="BA2218" s="118"/>
      <c r="BB2218" s="118"/>
      <c r="BC2218" s="118"/>
      <c r="BD2218" s="118"/>
      <c r="BE2218" s="118"/>
      <c r="BF2218" s="118"/>
      <c r="BG2218" s="118"/>
      <c r="BH2218" s="118"/>
      <c r="BI2218" s="118"/>
      <c r="BJ2218" s="118"/>
      <c r="BK2218" s="118"/>
      <c r="BL2218" s="118"/>
      <c r="BM2218" s="118"/>
      <c r="BN2218" s="118"/>
      <c r="BO2218" s="118"/>
      <c r="BP2218" s="118"/>
      <c r="BQ2218" s="118"/>
      <c r="BR2218" s="118"/>
      <c r="BS2218" s="118"/>
      <c r="BT2218" s="118"/>
      <c r="BU2218" s="118"/>
      <c r="BV2218" s="118"/>
      <c r="BW2218" s="118"/>
      <c r="BX2218" s="118"/>
      <c r="BY2218" s="118"/>
      <c r="BZ2218" s="118"/>
      <c r="CA2218" s="118"/>
      <c r="CB2218" s="118"/>
      <c r="CC2218" s="118"/>
      <c r="CD2218" s="118"/>
      <c r="CE2218" s="118"/>
      <c r="CF2218" s="118"/>
      <c r="CG2218" s="118"/>
      <c r="CH2218" s="118"/>
      <c r="CI2218" s="118"/>
      <c r="CJ2218" s="118"/>
      <c r="CK2218" s="118"/>
      <c r="CL2218" s="118"/>
      <c r="CM2218" s="118"/>
      <c r="CN2218" s="118"/>
      <c r="CO2218" s="118"/>
      <c r="CP2218" s="118"/>
      <c r="CQ2218" s="118"/>
      <c r="CR2218" s="118"/>
      <c r="CS2218" s="118"/>
      <c r="CT2218" s="118"/>
      <c r="CU2218" s="118"/>
      <c r="CV2218" s="118"/>
      <c r="CW2218" s="118"/>
      <c r="CX2218" s="118"/>
      <c r="CY2218" s="118"/>
      <c r="CZ2218" s="118"/>
      <c r="DA2218" s="118"/>
      <c r="DB2218" s="118"/>
      <c r="DC2218" s="118"/>
      <c r="DD2218" s="118"/>
      <c r="DE2218" s="118"/>
      <c r="DF2218" s="118"/>
      <c r="DG2218" s="118"/>
      <c r="DH2218" s="118"/>
      <c r="DI2218" s="118"/>
      <c r="DJ2218" s="118"/>
      <c r="DK2218" s="118"/>
      <c r="DL2218" s="118"/>
      <c r="DM2218" s="118"/>
      <c r="DN2218" s="118"/>
      <c r="DO2218" s="118"/>
      <c r="DP2218" s="118"/>
      <c r="DQ2218" s="118"/>
      <c r="DR2218" s="118"/>
      <c r="DS2218" s="118"/>
      <c r="DT2218" s="118"/>
      <c r="DU2218" s="118"/>
      <c r="DV2218" s="118"/>
      <c r="DW2218" s="118"/>
      <c r="DX2218" s="118"/>
      <c r="DY2218" s="118"/>
      <c r="DZ2218" s="118"/>
      <c r="EA2218" s="118"/>
      <c r="EB2218" s="118"/>
      <c r="EC2218" s="118"/>
      <c r="ED2218" s="118"/>
      <c r="EE2218" s="118"/>
      <c r="EF2218" s="118"/>
      <c r="EG2218" s="118"/>
      <c r="EH2218" s="118"/>
      <c r="EI2218" s="118"/>
      <c r="EJ2218" s="118"/>
      <c r="EK2218" s="118"/>
      <c r="EL2218" s="118"/>
      <c r="EM2218" s="118"/>
      <c r="EN2218" s="118"/>
      <c r="EO2218" s="118"/>
      <c r="EP2218" s="118"/>
      <c r="EQ2218" s="118"/>
      <c r="ER2218" s="118"/>
      <c r="ES2218" s="118"/>
      <c r="ET2218" s="118"/>
      <c r="EU2218" s="118"/>
      <c r="EV2218" s="118"/>
      <c r="EW2218" s="118"/>
      <c r="EX2218" s="118"/>
      <c r="EY2218" s="118"/>
      <c r="EZ2218" s="118"/>
      <c r="FA2218" s="118"/>
      <c r="FB2218" s="118"/>
      <c r="FC2218" s="118"/>
      <c r="FD2218" s="118"/>
      <c r="FE2218" s="118"/>
      <c r="FF2218" s="118"/>
      <c r="FG2218" s="118"/>
      <c r="FH2218" s="118"/>
      <c r="FI2218" s="118"/>
      <c r="FJ2218" s="118"/>
      <c r="FK2218" s="118"/>
      <c r="FL2218" s="118"/>
      <c r="FM2218" s="118"/>
      <c r="FN2218" s="118"/>
      <c r="FO2218" s="118"/>
      <c r="FP2218" s="118"/>
      <c r="FQ2218" s="118"/>
      <c r="FR2218" s="118"/>
      <c r="FS2218" s="118"/>
      <c r="FT2218" s="118"/>
      <c r="FU2218" s="118"/>
      <c r="FV2218" s="118"/>
      <c r="FW2218" s="118"/>
      <c r="FX2218" s="118"/>
      <c r="FY2218" s="118"/>
      <c r="FZ2218" s="118"/>
      <c r="GA2218" s="118"/>
      <c r="GB2218" s="118"/>
      <c r="GC2218" s="118"/>
      <c r="GD2218" s="118"/>
      <c r="GE2218" s="118"/>
      <c r="GF2218" s="118"/>
      <c r="GG2218" s="118"/>
      <c r="GH2218" s="118"/>
      <c r="GI2218" s="118"/>
      <c r="GJ2218" s="118"/>
      <c r="GK2218" s="118"/>
      <c r="GL2218" s="118"/>
      <c r="GM2218" s="118"/>
      <c r="GN2218" s="118"/>
      <c r="GO2218" s="118"/>
      <c r="GP2218" s="118"/>
      <c r="GQ2218" s="118"/>
      <c r="GR2218" s="118"/>
      <c r="GS2218" s="118"/>
      <c r="GT2218" s="118"/>
      <c r="GU2218" s="118"/>
      <c r="GV2218" s="118"/>
      <c r="GW2218" s="118"/>
      <c r="GX2218" s="118"/>
      <c r="GY2218" s="118"/>
      <c r="GZ2218" s="118"/>
      <c r="HA2218" s="118"/>
      <c r="HB2218" s="118"/>
      <c r="HC2218" s="118"/>
      <c r="HD2218" s="118"/>
      <c r="HE2218" s="118"/>
      <c r="HF2218" s="118"/>
      <c r="HG2218" s="118"/>
      <c r="HH2218" s="118"/>
      <c r="HI2218" s="118"/>
      <c r="HJ2218" s="118"/>
      <c r="HK2218" s="118"/>
      <c r="HL2218" s="118"/>
      <c r="HM2218" s="118"/>
      <c r="HN2218" s="118"/>
      <c r="HO2218" s="118"/>
      <c r="HP2218" s="118"/>
      <c r="HQ2218" s="118"/>
      <c r="HR2218" s="118"/>
      <c r="HS2218" s="118"/>
      <c r="HT2218" s="118"/>
      <c r="HU2218" s="118"/>
      <c r="HV2218" s="118"/>
      <c r="HW2218" s="118"/>
      <c r="HX2218" s="118"/>
      <c r="HY2218" s="118"/>
      <c r="HZ2218" s="118"/>
      <c r="IA2218" s="118"/>
      <c r="IB2218" s="118"/>
      <c r="IC2218" s="118"/>
      <c r="ID2218" s="118"/>
      <c r="IE2218" s="118"/>
      <c r="IF2218" s="118"/>
      <c r="IG2218" s="118"/>
      <c r="IH2218" s="118"/>
      <c r="II2218" s="118"/>
      <c r="IJ2218" s="118"/>
    </row>
    <row r="2219" spans="1:244" s="127" customFormat="1" ht="12.75" customHeight="1">
      <c r="A2219" s="118">
        <v>2218</v>
      </c>
      <c r="B2219" s="128">
        <v>23</v>
      </c>
      <c r="C2219" s="156">
        <v>40087</v>
      </c>
      <c r="D2219" s="157" t="s">
        <v>53</v>
      </c>
      <c r="E2219" s="127">
        <v>2009</v>
      </c>
      <c r="F2219" s="158">
        <f t="shared" si="559"/>
        <v>694</v>
      </c>
      <c r="G2219" s="158">
        <f t="shared" si="560"/>
        <v>2</v>
      </c>
      <c r="H2219" s="175">
        <v>39393</v>
      </c>
      <c r="I2219" s="125">
        <v>432918</v>
      </c>
      <c r="J2219" s="191">
        <v>0.23</v>
      </c>
      <c r="K2219" s="191">
        <v>0.17</v>
      </c>
      <c r="L2219" s="191">
        <v>0.08</v>
      </c>
      <c r="M2219" s="193">
        <v>0</v>
      </c>
      <c r="N2219" s="529"/>
      <c r="O2219" s="191">
        <v>0</v>
      </c>
      <c r="S2219" s="140"/>
      <c r="T2219" s="161">
        <f t="shared" si="561"/>
        <v>73596.060000000012</v>
      </c>
      <c r="U2219" s="161">
        <f t="shared" si="562"/>
        <v>34633.440000000002</v>
      </c>
      <c r="V2219" s="161">
        <f t="shared" si="563"/>
        <v>0</v>
      </c>
      <c r="W2219" s="161">
        <f t="shared" si="558"/>
        <v>0</v>
      </c>
      <c r="X2219" s="118"/>
      <c r="Y2219" s="118"/>
      <c r="Z2219" s="118"/>
      <c r="AA2219" s="118"/>
      <c r="AB2219" s="118"/>
      <c r="AC2219" s="118"/>
      <c r="AD2219" s="118"/>
      <c r="AE2219" s="118"/>
      <c r="AF2219" s="118"/>
      <c r="AG2219" s="118"/>
      <c r="AH2219" s="118"/>
      <c r="AI2219" s="118"/>
      <c r="AJ2219" s="118"/>
      <c r="AK2219" s="118"/>
      <c r="AL2219" s="118"/>
      <c r="AM2219" s="118"/>
      <c r="AN2219" s="118"/>
      <c r="AO2219" s="118"/>
      <c r="AP2219" s="118"/>
      <c r="AQ2219" s="118"/>
      <c r="AR2219" s="118"/>
      <c r="AS2219" s="118"/>
      <c r="AT2219" s="118"/>
      <c r="AU2219" s="118"/>
      <c r="AV2219" s="118"/>
      <c r="AW2219" s="118"/>
      <c r="AX2219" s="118"/>
      <c r="AY2219" s="118"/>
      <c r="AZ2219" s="118"/>
      <c r="BA2219" s="118"/>
      <c r="BB2219" s="118"/>
      <c r="BC2219" s="118"/>
      <c r="BD2219" s="118"/>
      <c r="BE2219" s="118"/>
      <c r="BF2219" s="118"/>
      <c r="BG2219" s="118"/>
      <c r="BH2219" s="118"/>
      <c r="BI2219" s="118"/>
      <c r="BJ2219" s="118"/>
      <c r="BK2219" s="118"/>
      <c r="BL2219" s="118"/>
      <c r="BM2219" s="118"/>
      <c r="BN2219" s="118"/>
      <c r="BO2219" s="118"/>
      <c r="BP2219" s="118"/>
      <c r="BQ2219" s="118"/>
      <c r="BR2219" s="118"/>
      <c r="BS2219" s="118"/>
      <c r="BT2219" s="118"/>
      <c r="BU2219" s="118"/>
      <c r="BV2219" s="118"/>
      <c r="BW2219" s="118"/>
      <c r="BX2219" s="118"/>
      <c r="BY2219" s="118"/>
      <c r="BZ2219" s="118"/>
      <c r="CA2219" s="118"/>
      <c r="CB2219" s="118"/>
      <c r="CC2219" s="118"/>
      <c r="CD2219" s="118"/>
      <c r="CE2219" s="118"/>
      <c r="CF2219" s="118"/>
      <c r="CG2219" s="118"/>
      <c r="CH2219" s="118"/>
      <c r="CI2219" s="118"/>
      <c r="CJ2219" s="118"/>
      <c r="CK2219" s="118"/>
      <c r="CL2219" s="118"/>
      <c r="CM2219" s="118"/>
      <c r="CN2219" s="118"/>
      <c r="CO2219" s="118"/>
      <c r="CP2219" s="118"/>
      <c r="CQ2219" s="118"/>
      <c r="CR2219" s="118"/>
      <c r="CS2219" s="118"/>
      <c r="CT2219" s="118"/>
      <c r="CU2219" s="118"/>
      <c r="CV2219" s="118"/>
      <c r="CW2219" s="118"/>
      <c r="CX2219" s="118"/>
      <c r="CY2219" s="118"/>
      <c r="CZ2219" s="118"/>
      <c r="DA2219" s="118"/>
      <c r="DB2219" s="118"/>
      <c r="DC2219" s="118"/>
      <c r="DD2219" s="118"/>
      <c r="DE2219" s="118"/>
      <c r="DF2219" s="118"/>
      <c r="DG2219" s="118"/>
      <c r="DH2219" s="118"/>
      <c r="DI2219" s="118"/>
      <c r="DJ2219" s="118"/>
      <c r="DK2219" s="118"/>
      <c r="DL2219" s="118"/>
      <c r="DM2219" s="118"/>
      <c r="DN2219" s="118"/>
      <c r="DO2219" s="118"/>
      <c r="DP2219" s="118"/>
      <c r="DQ2219" s="118"/>
      <c r="DR2219" s="118"/>
      <c r="DS2219" s="118"/>
      <c r="DT2219" s="118"/>
      <c r="DU2219" s="118"/>
      <c r="DV2219" s="118"/>
      <c r="DW2219" s="118"/>
      <c r="DX2219" s="118"/>
      <c r="DY2219" s="118"/>
      <c r="DZ2219" s="118"/>
      <c r="EA2219" s="118"/>
      <c r="EB2219" s="118"/>
      <c r="EC2219" s="118"/>
      <c r="ED2219" s="118"/>
      <c r="EE2219" s="118"/>
      <c r="EF2219" s="118"/>
      <c r="EG2219" s="118"/>
      <c r="EH2219" s="118"/>
      <c r="EI2219" s="118"/>
      <c r="EJ2219" s="118"/>
      <c r="EK2219" s="118"/>
      <c r="EL2219" s="118"/>
      <c r="EM2219" s="118"/>
      <c r="EN2219" s="118"/>
      <c r="EO2219" s="118"/>
      <c r="EP2219" s="118"/>
      <c r="EQ2219" s="118"/>
      <c r="ER2219" s="118"/>
      <c r="ES2219" s="118"/>
      <c r="ET2219" s="118"/>
      <c r="EU2219" s="118"/>
      <c r="EV2219" s="118"/>
      <c r="EW2219" s="118"/>
      <c r="EX2219" s="118"/>
      <c r="EY2219" s="118"/>
      <c r="EZ2219" s="118"/>
      <c r="FA2219" s="118"/>
      <c r="FB2219" s="118"/>
      <c r="FC2219" s="118"/>
      <c r="FD2219" s="118"/>
      <c r="FE2219" s="118"/>
      <c r="FF2219" s="118"/>
      <c r="FG2219" s="118"/>
      <c r="FH2219" s="118"/>
      <c r="FI2219" s="118"/>
      <c r="FJ2219" s="118"/>
      <c r="FK2219" s="118"/>
      <c r="FL2219" s="118"/>
      <c r="FM2219" s="118"/>
      <c r="FN2219" s="118"/>
      <c r="FO2219" s="118"/>
      <c r="FP2219" s="118"/>
      <c r="FQ2219" s="118"/>
      <c r="FR2219" s="118"/>
      <c r="FS2219" s="118"/>
      <c r="FT2219" s="118"/>
      <c r="FU2219" s="118"/>
      <c r="FV2219" s="118"/>
      <c r="FW2219" s="118"/>
      <c r="FX2219" s="118"/>
      <c r="FY2219" s="118"/>
      <c r="FZ2219" s="118"/>
      <c r="GA2219" s="118"/>
      <c r="GB2219" s="118"/>
      <c r="GC2219" s="118"/>
      <c r="GD2219" s="118"/>
      <c r="GE2219" s="118"/>
      <c r="GF2219" s="118"/>
      <c r="GG2219" s="118"/>
      <c r="GH2219" s="118"/>
      <c r="GI2219" s="118"/>
      <c r="GJ2219" s="118"/>
      <c r="GK2219" s="118"/>
      <c r="GL2219" s="118"/>
      <c r="GM2219" s="118"/>
      <c r="GN2219" s="118"/>
      <c r="GO2219" s="118"/>
      <c r="GP2219" s="118"/>
      <c r="GQ2219" s="118"/>
      <c r="GR2219" s="118"/>
      <c r="GS2219" s="118"/>
      <c r="GT2219" s="118"/>
      <c r="GU2219" s="118"/>
      <c r="GV2219" s="118"/>
      <c r="GW2219" s="118"/>
      <c r="GX2219" s="118"/>
      <c r="GY2219" s="118"/>
      <c r="GZ2219" s="118"/>
      <c r="HA2219" s="118"/>
      <c r="HB2219" s="118"/>
      <c r="HC2219" s="118"/>
      <c r="HD2219" s="118"/>
      <c r="HE2219" s="118"/>
      <c r="HF2219" s="118"/>
      <c r="HG2219" s="118"/>
      <c r="HH2219" s="118"/>
      <c r="HI2219" s="118"/>
      <c r="HJ2219" s="118"/>
      <c r="HK2219" s="118"/>
      <c r="HL2219" s="118"/>
      <c r="HM2219" s="118"/>
      <c r="HN2219" s="118"/>
      <c r="HO2219" s="118"/>
      <c r="HP2219" s="118"/>
      <c r="HQ2219" s="118"/>
      <c r="HR2219" s="118"/>
      <c r="HS2219" s="118"/>
      <c r="HT2219" s="118"/>
      <c r="HU2219" s="118"/>
      <c r="HV2219" s="118"/>
      <c r="HW2219" s="118"/>
      <c r="HX2219" s="118"/>
      <c r="HY2219" s="118"/>
      <c r="HZ2219" s="118"/>
      <c r="IA2219" s="118"/>
      <c r="IB2219" s="118"/>
      <c r="IC2219" s="118"/>
      <c r="ID2219" s="118"/>
      <c r="IE2219" s="118"/>
      <c r="IF2219" s="118"/>
      <c r="IG2219" s="118"/>
      <c r="IH2219" s="118"/>
      <c r="II2219" s="118"/>
      <c r="IJ2219" s="118"/>
    </row>
    <row r="2220" spans="1:244" s="127" customFormat="1" ht="12.75" customHeight="1">
      <c r="A2220" s="118">
        <v>2219</v>
      </c>
      <c r="B2220" s="128">
        <v>23</v>
      </c>
      <c r="C2220" s="156">
        <v>40118</v>
      </c>
      <c r="D2220" s="157" t="s">
        <v>54</v>
      </c>
      <c r="E2220" s="127">
        <v>2009</v>
      </c>
      <c r="F2220" s="158">
        <f t="shared" si="559"/>
        <v>725</v>
      </c>
      <c r="G2220" s="158">
        <f t="shared" si="560"/>
        <v>2</v>
      </c>
      <c r="H2220" s="175">
        <v>39393</v>
      </c>
      <c r="I2220" s="125">
        <v>432389</v>
      </c>
      <c r="J2220" s="191">
        <v>0.95</v>
      </c>
      <c r="K2220" s="191">
        <v>1.5329999999999999</v>
      </c>
      <c r="L2220" s="191">
        <v>0.6</v>
      </c>
      <c r="M2220" s="193"/>
      <c r="N2220" s="529"/>
      <c r="O2220" s="191">
        <v>0</v>
      </c>
      <c r="S2220" s="140"/>
      <c r="T2220" s="161">
        <f t="shared" si="561"/>
        <v>662852.33699999994</v>
      </c>
      <c r="U2220" s="161">
        <f t="shared" si="562"/>
        <v>259433.4</v>
      </c>
      <c r="V2220" s="161">
        <f t="shared" si="563"/>
        <v>0</v>
      </c>
      <c r="W2220" s="161">
        <f t="shared" si="558"/>
        <v>0</v>
      </c>
      <c r="X2220" s="118"/>
      <c r="Y2220" s="118"/>
      <c r="Z2220" s="118"/>
      <c r="AA2220" s="118"/>
      <c r="AB2220" s="118"/>
      <c r="AC2220" s="118"/>
      <c r="AD2220" s="118"/>
      <c r="AE2220" s="118"/>
      <c r="AF2220" s="118"/>
      <c r="AG2220" s="118"/>
      <c r="AH2220" s="118"/>
      <c r="AI2220" s="118"/>
      <c r="AJ2220" s="118"/>
      <c r="AK2220" s="118"/>
      <c r="AL2220" s="118"/>
      <c r="AM2220" s="118"/>
      <c r="AN2220" s="118"/>
      <c r="AO2220" s="118"/>
      <c r="AP2220" s="118"/>
      <c r="AQ2220" s="118"/>
      <c r="AR2220" s="118"/>
      <c r="AS2220" s="118"/>
      <c r="AT2220" s="118"/>
      <c r="AU2220" s="118"/>
      <c r="AV2220" s="118"/>
      <c r="AW2220" s="118"/>
      <c r="AX2220" s="118"/>
      <c r="AY2220" s="118"/>
      <c r="AZ2220" s="118"/>
      <c r="BA2220" s="118"/>
      <c r="BB2220" s="118"/>
      <c r="BC2220" s="118"/>
      <c r="BD2220" s="118"/>
      <c r="BE2220" s="118"/>
      <c r="BF2220" s="118"/>
      <c r="BG2220" s="118"/>
      <c r="BH2220" s="118"/>
      <c r="BI2220" s="118"/>
      <c r="BJ2220" s="118"/>
      <c r="BK2220" s="118"/>
      <c r="BL2220" s="118"/>
      <c r="BM2220" s="118"/>
      <c r="BN2220" s="118"/>
      <c r="BO2220" s="118"/>
      <c r="BP2220" s="118"/>
      <c r="BQ2220" s="118"/>
      <c r="BR2220" s="118"/>
      <c r="BS2220" s="118"/>
      <c r="BT2220" s="118"/>
      <c r="BU2220" s="118"/>
      <c r="BV2220" s="118"/>
      <c r="BW2220" s="118"/>
      <c r="BX2220" s="118"/>
      <c r="BY2220" s="118"/>
      <c r="BZ2220" s="118"/>
      <c r="CA2220" s="118"/>
      <c r="CB2220" s="118"/>
      <c r="CC2220" s="118"/>
      <c r="CD2220" s="118"/>
      <c r="CE2220" s="118"/>
      <c r="CF2220" s="118"/>
      <c r="CG2220" s="118"/>
      <c r="CH2220" s="118"/>
      <c r="CI2220" s="118"/>
      <c r="CJ2220" s="118"/>
      <c r="CK2220" s="118"/>
      <c r="CL2220" s="118"/>
      <c r="CM2220" s="118"/>
      <c r="CN2220" s="118"/>
      <c r="CO2220" s="118"/>
      <c r="CP2220" s="118"/>
      <c r="CQ2220" s="118"/>
      <c r="CR2220" s="118"/>
      <c r="CS2220" s="118"/>
      <c r="CT2220" s="118"/>
      <c r="CU2220" s="118"/>
      <c r="CV2220" s="118"/>
      <c r="CW2220" s="118"/>
      <c r="CX2220" s="118"/>
      <c r="CY2220" s="118"/>
      <c r="CZ2220" s="118"/>
      <c r="DA2220" s="118"/>
      <c r="DB2220" s="118"/>
      <c r="DC2220" s="118"/>
      <c r="DD2220" s="118"/>
      <c r="DE2220" s="118"/>
      <c r="DF2220" s="118"/>
      <c r="DG2220" s="118"/>
      <c r="DH2220" s="118"/>
      <c r="DI2220" s="118"/>
      <c r="DJ2220" s="118"/>
      <c r="DK2220" s="118"/>
      <c r="DL2220" s="118"/>
      <c r="DM2220" s="118"/>
      <c r="DN2220" s="118"/>
      <c r="DO2220" s="118"/>
      <c r="DP2220" s="118"/>
      <c r="DQ2220" s="118"/>
      <c r="DR2220" s="118"/>
      <c r="DS2220" s="118"/>
      <c r="DT2220" s="118"/>
      <c r="DU2220" s="118"/>
      <c r="DV2220" s="118"/>
      <c r="DW2220" s="118"/>
      <c r="DX2220" s="118"/>
      <c r="DY2220" s="118"/>
      <c r="DZ2220" s="118"/>
      <c r="EA2220" s="118"/>
      <c r="EB2220" s="118"/>
      <c r="EC2220" s="118"/>
      <c r="ED2220" s="118"/>
      <c r="EE2220" s="118"/>
      <c r="EF2220" s="118"/>
      <c r="EG2220" s="118"/>
      <c r="EH2220" s="118"/>
      <c r="EI2220" s="118"/>
      <c r="EJ2220" s="118"/>
      <c r="EK2220" s="118"/>
      <c r="EL2220" s="118"/>
      <c r="EM2220" s="118"/>
      <c r="EN2220" s="118"/>
      <c r="EO2220" s="118"/>
      <c r="EP2220" s="118"/>
      <c r="EQ2220" s="118"/>
      <c r="ER2220" s="118"/>
      <c r="ES2220" s="118"/>
      <c r="ET2220" s="118"/>
      <c r="EU2220" s="118"/>
      <c r="EV2220" s="118"/>
      <c r="EW2220" s="118"/>
      <c r="EX2220" s="118"/>
      <c r="EY2220" s="118"/>
      <c r="EZ2220" s="118"/>
      <c r="FA2220" s="118"/>
      <c r="FB2220" s="118"/>
      <c r="FC2220" s="118"/>
      <c r="FD2220" s="118"/>
      <c r="FE2220" s="118"/>
      <c r="FF2220" s="118"/>
      <c r="FG2220" s="118"/>
      <c r="FH2220" s="118"/>
      <c r="FI2220" s="118"/>
      <c r="FJ2220" s="118"/>
      <c r="FK2220" s="118"/>
      <c r="FL2220" s="118"/>
      <c r="FM2220" s="118"/>
      <c r="FN2220" s="118"/>
      <c r="FO2220" s="118"/>
      <c r="FP2220" s="118"/>
      <c r="FQ2220" s="118"/>
      <c r="FR2220" s="118"/>
      <c r="FS2220" s="118"/>
      <c r="FT2220" s="118"/>
      <c r="FU2220" s="118"/>
      <c r="FV2220" s="118"/>
      <c r="FW2220" s="118"/>
      <c r="FX2220" s="118"/>
      <c r="FY2220" s="118"/>
      <c r="FZ2220" s="118"/>
      <c r="GA2220" s="118"/>
      <c r="GB2220" s="118"/>
      <c r="GC2220" s="118"/>
      <c r="GD2220" s="118"/>
      <c r="GE2220" s="118"/>
      <c r="GF2220" s="118"/>
      <c r="GG2220" s="118"/>
      <c r="GH2220" s="118"/>
      <c r="GI2220" s="118"/>
      <c r="GJ2220" s="118"/>
      <c r="GK2220" s="118"/>
      <c r="GL2220" s="118"/>
      <c r="GM2220" s="118"/>
      <c r="GN2220" s="118"/>
      <c r="GO2220" s="118"/>
      <c r="GP2220" s="118"/>
      <c r="GQ2220" s="118"/>
      <c r="GR2220" s="118"/>
      <c r="GS2220" s="118"/>
      <c r="GT2220" s="118"/>
      <c r="GU2220" s="118"/>
      <c r="GV2220" s="118"/>
      <c r="GW2220" s="118"/>
      <c r="GX2220" s="118"/>
      <c r="GY2220" s="118"/>
      <c r="GZ2220" s="118"/>
      <c r="HA2220" s="118"/>
      <c r="HB2220" s="118"/>
      <c r="HC2220" s="118"/>
      <c r="HD2220" s="118"/>
      <c r="HE2220" s="118"/>
      <c r="HF2220" s="118"/>
      <c r="HG2220" s="118"/>
      <c r="HH2220" s="118"/>
      <c r="HI2220" s="118"/>
      <c r="HJ2220" s="118"/>
      <c r="HK2220" s="118"/>
      <c r="HL2220" s="118"/>
      <c r="HM2220" s="118"/>
      <c r="HN2220" s="118"/>
      <c r="HO2220" s="118"/>
      <c r="HP2220" s="118"/>
      <c r="HQ2220" s="118"/>
      <c r="HR2220" s="118"/>
      <c r="HS2220" s="118"/>
      <c r="HT2220" s="118"/>
      <c r="HU2220" s="118"/>
      <c r="HV2220" s="118"/>
      <c r="HW2220" s="118"/>
      <c r="HX2220" s="118"/>
      <c r="HY2220" s="118"/>
      <c r="HZ2220" s="118"/>
      <c r="IA2220" s="118"/>
      <c r="IB2220" s="118"/>
      <c r="IC2220" s="118"/>
      <c r="ID2220" s="118"/>
      <c r="IE2220" s="118"/>
      <c r="IF2220" s="118"/>
      <c r="IG2220" s="118"/>
      <c r="IH2220" s="118"/>
      <c r="II2220" s="118"/>
      <c r="IJ2220" s="118"/>
    </row>
    <row r="2221" spans="1:244" s="127" customFormat="1" ht="12.75" customHeight="1">
      <c r="A2221" s="118">
        <v>2220</v>
      </c>
      <c r="B2221" s="128">
        <v>23</v>
      </c>
      <c r="C2221" s="156">
        <v>40148</v>
      </c>
      <c r="D2221" s="157" t="s">
        <v>55</v>
      </c>
      <c r="E2221" s="127">
        <v>2009</v>
      </c>
      <c r="F2221" s="158">
        <f t="shared" ref="F2221" si="564">C2221-H2221</f>
        <v>755</v>
      </c>
      <c r="G2221" s="158">
        <f t="shared" ref="G2221" si="565">IF(F2221&lt;365,1,2)</f>
        <v>2</v>
      </c>
      <c r="H2221" s="175">
        <v>39393</v>
      </c>
      <c r="I2221" s="212">
        <v>300000</v>
      </c>
      <c r="J2221" s="191"/>
      <c r="K2221" s="177">
        <v>2.8959999999999999</v>
      </c>
      <c r="L2221" s="177">
        <v>1.1200000000000001</v>
      </c>
      <c r="M2221" s="193"/>
      <c r="N2221" s="529" t="s">
        <v>795</v>
      </c>
      <c r="O2221" s="177">
        <v>0</v>
      </c>
      <c r="S2221" s="222" t="s">
        <v>283</v>
      </c>
      <c r="T2221" s="161">
        <f t="shared" si="561"/>
        <v>868800</v>
      </c>
      <c r="U2221" s="161">
        <f t="shared" si="562"/>
        <v>336000.00000000006</v>
      </c>
      <c r="V2221" s="161">
        <f t="shared" si="563"/>
        <v>0</v>
      </c>
      <c r="W2221" s="161">
        <f t="shared" si="558"/>
        <v>0</v>
      </c>
      <c r="X2221" s="118"/>
      <c r="Y2221" s="118"/>
      <c r="Z2221" s="118"/>
      <c r="AA2221" s="118"/>
      <c r="AB2221" s="118"/>
      <c r="AC2221" s="118"/>
      <c r="AD2221" s="118"/>
      <c r="AE2221" s="118"/>
      <c r="AF2221" s="118"/>
      <c r="AG2221" s="118"/>
      <c r="AH2221" s="118"/>
      <c r="AI2221" s="118"/>
      <c r="AJ2221" s="118"/>
      <c r="AK2221" s="118"/>
      <c r="AL2221" s="118"/>
      <c r="AM2221" s="118"/>
      <c r="AN2221" s="118"/>
      <c r="AO2221" s="118"/>
      <c r="AP2221" s="118"/>
      <c r="AQ2221" s="118"/>
      <c r="AR2221" s="118"/>
      <c r="AS2221" s="118"/>
      <c r="AT2221" s="118"/>
      <c r="AU2221" s="118"/>
      <c r="AV2221" s="118"/>
      <c r="AW2221" s="118"/>
      <c r="AX2221" s="118"/>
      <c r="AY2221" s="118"/>
      <c r="AZ2221" s="118"/>
      <c r="BA2221" s="118"/>
      <c r="BB2221" s="118"/>
      <c r="BC2221" s="118"/>
      <c r="BD2221" s="118"/>
      <c r="BE2221" s="118"/>
      <c r="BF2221" s="118"/>
      <c r="BG2221" s="118"/>
      <c r="BH2221" s="118"/>
      <c r="BI2221" s="118"/>
      <c r="BJ2221" s="118"/>
      <c r="BK2221" s="118"/>
      <c r="BL2221" s="118"/>
      <c r="BM2221" s="118"/>
      <c r="BN2221" s="118"/>
      <c r="BO2221" s="118"/>
      <c r="BP2221" s="118"/>
      <c r="BQ2221" s="118"/>
      <c r="BR2221" s="118"/>
      <c r="BS2221" s="118"/>
      <c r="BT2221" s="118"/>
      <c r="BU2221" s="118"/>
      <c r="BV2221" s="118"/>
      <c r="BW2221" s="118"/>
      <c r="BX2221" s="118"/>
      <c r="BY2221" s="118"/>
      <c r="BZ2221" s="118"/>
      <c r="CA2221" s="118"/>
      <c r="CB2221" s="118"/>
      <c r="CC2221" s="118"/>
      <c r="CD2221" s="118"/>
      <c r="CE2221" s="118"/>
      <c r="CF2221" s="118"/>
      <c r="CG2221" s="118"/>
      <c r="CH2221" s="118"/>
      <c r="CI2221" s="118"/>
      <c r="CJ2221" s="118"/>
      <c r="CK2221" s="118"/>
      <c r="CL2221" s="118"/>
      <c r="CM2221" s="118"/>
      <c r="CN2221" s="118"/>
      <c r="CO2221" s="118"/>
      <c r="CP2221" s="118"/>
      <c r="CQ2221" s="118"/>
      <c r="CR2221" s="118"/>
      <c r="CS2221" s="118"/>
      <c r="CT2221" s="118"/>
      <c r="CU2221" s="118"/>
      <c r="CV2221" s="118"/>
      <c r="CW2221" s="118"/>
      <c r="CX2221" s="118"/>
      <c r="CY2221" s="118"/>
      <c r="CZ2221" s="118"/>
      <c r="DA2221" s="118"/>
      <c r="DB2221" s="118"/>
      <c r="DC2221" s="118"/>
      <c r="DD2221" s="118"/>
      <c r="DE2221" s="118"/>
      <c r="DF2221" s="118"/>
      <c r="DG2221" s="118"/>
      <c r="DH2221" s="118"/>
      <c r="DI2221" s="118"/>
      <c r="DJ2221" s="118"/>
      <c r="DK2221" s="118"/>
      <c r="DL2221" s="118"/>
      <c r="DM2221" s="118"/>
      <c r="DN2221" s="118"/>
      <c r="DO2221" s="118"/>
      <c r="DP2221" s="118"/>
      <c r="DQ2221" s="118"/>
      <c r="DR2221" s="118"/>
      <c r="DS2221" s="118"/>
      <c r="DT2221" s="118"/>
      <c r="DU2221" s="118"/>
      <c r="DV2221" s="118"/>
      <c r="DW2221" s="118"/>
      <c r="DX2221" s="118"/>
      <c r="DY2221" s="118"/>
      <c r="DZ2221" s="118"/>
      <c r="EA2221" s="118"/>
      <c r="EB2221" s="118"/>
      <c r="EC2221" s="118"/>
      <c r="ED2221" s="118"/>
      <c r="EE2221" s="118"/>
      <c r="EF2221" s="118"/>
      <c r="EG2221" s="118"/>
      <c r="EH2221" s="118"/>
      <c r="EI2221" s="118"/>
      <c r="EJ2221" s="118"/>
      <c r="EK2221" s="118"/>
      <c r="EL2221" s="118"/>
      <c r="EM2221" s="118"/>
      <c r="EN2221" s="118"/>
      <c r="EO2221" s="118"/>
      <c r="EP2221" s="118"/>
      <c r="EQ2221" s="118"/>
      <c r="ER2221" s="118"/>
      <c r="ES2221" s="118"/>
      <c r="ET2221" s="118"/>
      <c r="EU2221" s="118"/>
      <c r="EV2221" s="118"/>
      <c r="EW2221" s="118"/>
      <c r="EX2221" s="118"/>
      <c r="EY2221" s="118"/>
      <c r="EZ2221" s="118"/>
      <c r="FA2221" s="118"/>
      <c r="FB2221" s="118"/>
      <c r="FC2221" s="118"/>
      <c r="FD2221" s="118"/>
      <c r="FE2221" s="118"/>
      <c r="FF2221" s="118"/>
      <c r="FG2221" s="118"/>
      <c r="FH2221" s="118"/>
      <c r="FI2221" s="118"/>
      <c r="FJ2221" s="118"/>
      <c r="FK2221" s="118"/>
      <c r="FL2221" s="118"/>
      <c r="FM2221" s="118"/>
      <c r="FN2221" s="118"/>
      <c r="FO2221" s="118"/>
      <c r="FP2221" s="118"/>
      <c r="FQ2221" s="118"/>
      <c r="FR2221" s="118"/>
      <c r="FS2221" s="118"/>
      <c r="FT2221" s="118"/>
      <c r="FU2221" s="118"/>
      <c r="FV2221" s="118"/>
      <c r="FW2221" s="118"/>
      <c r="FX2221" s="118"/>
      <c r="FY2221" s="118"/>
      <c r="FZ2221" s="118"/>
      <c r="GA2221" s="118"/>
      <c r="GB2221" s="118"/>
      <c r="GC2221" s="118"/>
      <c r="GD2221" s="118"/>
      <c r="GE2221" s="118"/>
      <c r="GF2221" s="118"/>
      <c r="GG2221" s="118"/>
      <c r="GH2221" s="118"/>
      <c r="GI2221" s="118"/>
      <c r="GJ2221" s="118"/>
      <c r="GK2221" s="118"/>
      <c r="GL2221" s="118"/>
      <c r="GM2221" s="118"/>
      <c r="GN2221" s="118"/>
      <c r="GO2221" s="118"/>
      <c r="GP2221" s="118"/>
      <c r="GQ2221" s="118"/>
      <c r="GR2221" s="118"/>
      <c r="GS2221" s="118"/>
      <c r="GT2221" s="118"/>
      <c r="GU2221" s="118"/>
      <c r="GV2221" s="118"/>
      <c r="GW2221" s="118"/>
      <c r="GX2221" s="118"/>
      <c r="GY2221" s="118"/>
      <c r="GZ2221" s="118"/>
      <c r="HA2221" s="118"/>
      <c r="HB2221" s="118"/>
      <c r="HC2221" s="118"/>
      <c r="HD2221" s="118"/>
      <c r="HE2221" s="118"/>
      <c r="HF2221" s="118"/>
      <c r="HG2221" s="118"/>
      <c r="HH2221" s="118"/>
      <c r="HI2221" s="118"/>
      <c r="HJ2221" s="118"/>
      <c r="HK2221" s="118"/>
      <c r="HL2221" s="118"/>
      <c r="HM2221" s="118"/>
      <c r="HN2221" s="118"/>
      <c r="HO2221" s="118"/>
      <c r="HP2221" s="118"/>
      <c r="HQ2221" s="118"/>
      <c r="HR2221" s="118"/>
      <c r="HS2221" s="118"/>
      <c r="HT2221" s="118"/>
      <c r="HU2221" s="118"/>
      <c r="HV2221" s="118"/>
      <c r="HW2221" s="118"/>
      <c r="HX2221" s="118"/>
      <c r="HY2221" s="118"/>
      <c r="HZ2221" s="118"/>
      <c r="IA2221" s="118"/>
      <c r="IB2221" s="118"/>
      <c r="IC2221" s="118"/>
      <c r="ID2221" s="118"/>
      <c r="IE2221" s="118"/>
      <c r="IF2221" s="118"/>
      <c r="IG2221" s="118"/>
      <c r="IH2221" s="118"/>
      <c r="II2221" s="118"/>
      <c r="IJ2221" s="118"/>
    </row>
    <row r="2222" spans="1:244" s="127" customFormat="1" ht="12.75" customHeight="1">
      <c r="A2222" s="118">
        <v>2221</v>
      </c>
      <c r="B2222" s="128">
        <v>24</v>
      </c>
      <c r="C2222" s="156">
        <v>36526</v>
      </c>
      <c r="D2222" s="157" t="s">
        <v>44</v>
      </c>
      <c r="E2222" s="8">
        <v>2000</v>
      </c>
      <c r="F2222" s="158"/>
      <c r="G2222" s="162"/>
      <c r="H2222" s="11"/>
      <c r="I2222" s="163"/>
      <c r="J2222" s="11"/>
      <c r="K2222" s="11"/>
      <c r="L2222" s="11"/>
      <c r="M2222" s="174"/>
      <c r="N2222" s="528"/>
      <c r="O2222" s="11"/>
      <c r="P2222" s="8"/>
      <c r="Q2222" s="11"/>
      <c r="R2222" s="11"/>
      <c r="S2222" s="155"/>
      <c r="T2222" s="11"/>
      <c r="U2222" s="161"/>
      <c r="V2222" s="11"/>
      <c r="W2222" s="11"/>
    </row>
    <row r="2223" spans="1:244" s="127" customFormat="1" ht="12.75" customHeight="1">
      <c r="A2223" s="118">
        <v>2222</v>
      </c>
      <c r="B2223" s="128">
        <v>24</v>
      </c>
      <c r="C2223" s="156">
        <v>36557</v>
      </c>
      <c r="D2223" s="157" t="s">
        <v>45</v>
      </c>
      <c r="E2223" s="8">
        <v>2000</v>
      </c>
      <c r="F2223" s="158"/>
      <c r="G2223" s="162"/>
      <c r="H2223" s="11"/>
      <c r="I2223" s="163"/>
      <c r="J2223" s="11"/>
      <c r="K2223" s="11"/>
      <c r="L2223" s="11"/>
      <c r="M2223" s="174"/>
      <c r="N2223" s="528"/>
      <c r="O2223" s="11"/>
      <c r="P2223" s="8"/>
      <c r="Q2223" s="11"/>
      <c r="R2223" s="11"/>
      <c r="S2223" s="155"/>
      <c r="T2223" s="11"/>
      <c r="U2223" s="161"/>
      <c r="V2223" s="11"/>
      <c r="W2223" s="11"/>
    </row>
    <row r="2224" spans="1:244" s="127" customFormat="1" ht="12.75" customHeight="1">
      <c r="A2224" s="118">
        <v>2223</v>
      </c>
      <c r="B2224" s="128">
        <v>24</v>
      </c>
      <c r="C2224" s="156">
        <v>36586</v>
      </c>
      <c r="D2224" s="157" t="s">
        <v>46</v>
      </c>
      <c r="E2224" s="8">
        <v>2000</v>
      </c>
      <c r="F2224" s="158"/>
      <c r="G2224" s="162"/>
      <c r="H2224" s="11"/>
      <c r="I2224" s="163"/>
      <c r="J2224" s="11"/>
      <c r="K2224" s="11"/>
      <c r="L2224" s="11"/>
      <c r="M2224" s="174"/>
      <c r="N2224" s="528"/>
      <c r="O2224" s="11"/>
      <c r="P2224" s="8"/>
      <c r="Q2224" s="11"/>
      <c r="R2224" s="11"/>
      <c r="S2224" s="155"/>
      <c r="T2224" s="11"/>
      <c r="U2224" s="161"/>
      <c r="V2224" s="11"/>
      <c r="W2224" s="11"/>
    </row>
    <row r="2225" spans="1:244" s="127" customFormat="1" ht="12.75" customHeight="1">
      <c r="A2225" s="118">
        <v>2224</v>
      </c>
      <c r="B2225" s="128">
        <v>24</v>
      </c>
      <c r="C2225" s="156">
        <v>36617</v>
      </c>
      <c r="D2225" s="157" t="s">
        <v>47</v>
      </c>
      <c r="E2225" s="8">
        <v>2000</v>
      </c>
      <c r="F2225" s="158">
        <f t="shared" ref="F2225:F2251" si="566">C2225-H2225</f>
        <v>0</v>
      </c>
      <c r="G2225" s="158">
        <f t="shared" ref="G2225:G2248" si="567">IF(F2225&lt;365,1,2)</f>
        <v>1</v>
      </c>
      <c r="H2225" s="162">
        <v>36617</v>
      </c>
      <c r="I2225" s="163">
        <v>415179</v>
      </c>
      <c r="J2225" s="11"/>
      <c r="K2225" s="11"/>
      <c r="L2225" s="11"/>
      <c r="M2225" s="174"/>
      <c r="N2225" s="528"/>
      <c r="O2225" s="11"/>
      <c r="P2225" s="8"/>
      <c r="Q2225" s="11"/>
      <c r="R2225" s="11"/>
      <c r="S2225" s="155" t="s">
        <v>11</v>
      </c>
      <c r="T2225" s="11"/>
      <c r="U2225" s="161"/>
      <c r="V2225" s="11"/>
      <c r="W2225" s="11"/>
    </row>
    <row r="2226" spans="1:244" s="127" customFormat="1" ht="12.75" customHeight="1">
      <c r="A2226" s="118">
        <v>2225</v>
      </c>
      <c r="B2226" s="128">
        <v>24</v>
      </c>
      <c r="C2226" s="156">
        <v>36647</v>
      </c>
      <c r="D2226" s="157" t="s">
        <v>48</v>
      </c>
      <c r="E2226" s="8">
        <v>2000</v>
      </c>
      <c r="F2226" s="158">
        <f t="shared" si="566"/>
        <v>30</v>
      </c>
      <c r="G2226" s="158">
        <f t="shared" si="567"/>
        <v>1</v>
      </c>
      <c r="H2226" s="162">
        <v>36617</v>
      </c>
      <c r="I2226" s="163">
        <v>593435</v>
      </c>
      <c r="J2226" s="11"/>
      <c r="K2226" s="11"/>
      <c r="L2226" s="11"/>
      <c r="M2226" s="174"/>
      <c r="N2226" s="528"/>
      <c r="O2226" s="11"/>
      <c r="P2226" s="8"/>
      <c r="Q2226" s="11"/>
      <c r="R2226" s="11"/>
      <c r="S2226" s="155"/>
      <c r="T2226" s="11"/>
      <c r="U2226" s="161"/>
      <c r="V2226" s="11"/>
      <c r="W2226" s="11"/>
    </row>
    <row r="2227" spans="1:244" s="127" customFormat="1" ht="12.75" customHeight="1">
      <c r="A2227" s="118">
        <v>2226</v>
      </c>
      <c r="B2227" s="128">
        <v>24</v>
      </c>
      <c r="C2227" s="156">
        <v>36678</v>
      </c>
      <c r="D2227" s="157" t="s">
        <v>49</v>
      </c>
      <c r="E2227" s="8">
        <v>2000</v>
      </c>
      <c r="F2227" s="158">
        <f t="shared" si="566"/>
        <v>61</v>
      </c>
      <c r="G2227" s="158">
        <f t="shared" si="567"/>
        <v>1</v>
      </c>
      <c r="H2227" s="162">
        <v>36617</v>
      </c>
      <c r="I2227" s="163">
        <v>588636</v>
      </c>
      <c r="J2227" s="11"/>
      <c r="K2227" s="11"/>
      <c r="L2227" s="11"/>
      <c r="M2227" s="174"/>
      <c r="N2227" s="528"/>
      <c r="O2227" s="11"/>
      <c r="P2227" s="8"/>
      <c r="Q2227" s="11"/>
      <c r="R2227" s="11"/>
      <c r="S2227" s="155"/>
      <c r="T2227" s="11"/>
      <c r="U2227" s="161"/>
      <c r="V2227" s="11"/>
      <c r="W2227" s="11"/>
    </row>
    <row r="2228" spans="1:244" ht="12.75" customHeight="1">
      <c r="A2228" s="118">
        <v>2227</v>
      </c>
      <c r="B2228" s="128">
        <v>24</v>
      </c>
      <c r="C2228" s="156">
        <v>36708</v>
      </c>
      <c r="D2228" s="157" t="s">
        <v>50</v>
      </c>
      <c r="E2228" s="8">
        <v>2000</v>
      </c>
      <c r="F2228" s="158">
        <f t="shared" si="566"/>
        <v>91</v>
      </c>
      <c r="G2228" s="158">
        <f t="shared" si="567"/>
        <v>1</v>
      </c>
      <c r="H2228" s="162">
        <v>36617</v>
      </c>
      <c r="I2228" s="163">
        <v>570702</v>
      </c>
      <c r="J2228" s="11"/>
      <c r="K2228" s="11"/>
      <c r="L2228" s="11"/>
      <c r="O2228" s="11"/>
      <c r="T2228" s="11"/>
      <c r="V2228" s="11"/>
      <c r="W2228" s="11"/>
      <c r="X2228" s="127"/>
      <c r="Y2228" s="127"/>
      <c r="Z2228" s="127"/>
      <c r="AA2228" s="127"/>
      <c r="AB2228" s="127"/>
      <c r="AC2228" s="127"/>
      <c r="AD2228" s="127"/>
      <c r="AE2228" s="127"/>
      <c r="AF2228" s="127"/>
      <c r="AG2228" s="127"/>
      <c r="AH2228" s="127"/>
      <c r="AI2228" s="127"/>
      <c r="AJ2228" s="127"/>
      <c r="AK2228" s="127"/>
      <c r="AL2228" s="127"/>
      <c r="AM2228" s="127"/>
      <c r="AN2228" s="127"/>
      <c r="AO2228" s="127"/>
      <c r="AP2228" s="127"/>
      <c r="AQ2228" s="127"/>
      <c r="AR2228" s="127"/>
      <c r="AS2228" s="127"/>
      <c r="AT2228" s="127"/>
      <c r="AU2228" s="127"/>
      <c r="AV2228" s="127"/>
      <c r="AW2228" s="127"/>
      <c r="AX2228" s="127"/>
      <c r="AY2228" s="127"/>
      <c r="AZ2228" s="127"/>
      <c r="BA2228" s="127"/>
      <c r="BB2228" s="127"/>
      <c r="BC2228" s="127"/>
      <c r="BD2228" s="127"/>
      <c r="BE2228" s="127"/>
      <c r="BF2228" s="127"/>
      <c r="BG2228" s="127"/>
      <c r="BH2228" s="127"/>
      <c r="BI2228" s="127"/>
      <c r="BJ2228" s="127"/>
      <c r="BK2228" s="127"/>
      <c r="BL2228" s="127"/>
      <c r="BM2228" s="127"/>
      <c r="BN2228" s="127"/>
      <c r="BO2228" s="127"/>
      <c r="BP2228" s="127"/>
      <c r="BQ2228" s="127"/>
      <c r="BR2228" s="127"/>
      <c r="BS2228" s="127"/>
      <c r="BT2228" s="127"/>
      <c r="BU2228" s="127"/>
      <c r="BV2228" s="127"/>
      <c r="BW2228" s="127"/>
      <c r="BX2228" s="127"/>
      <c r="BY2228" s="127"/>
      <c r="BZ2228" s="127"/>
      <c r="CA2228" s="127"/>
      <c r="CB2228" s="127"/>
      <c r="CC2228" s="127"/>
      <c r="CD2228" s="127"/>
      <c r="CE2228" s="127"/>
      <c r="CF2228" s="127"/>
      <c r="CG2228" s="127"/>
      <c r="CH2228" s="127"/>
      <c r="CI2228" s="127"/>
      <c r="CJ2228" s="127"/>
      <c r="CK2228" s="127"/>
      <c r="CL2228" s="127"/>
      <c r="CM2228" s="127"/>
      <c r="CN2228" s="127"/>
      <c r="CO2228" s="127"/>
      <c r="CP2228" s="127"/>
      <c r="CQ2228" s="127"/>
      <c r="CR2228" s="127"/>
      <c r="CS2228" s="127"/>
      <c r="CT2228" s="127"/>
      <c r="CU2228" s="127"/>
      <c r="CV2228" s="127"/>
      <c r="CW2228" s="127"/>
      <c r="CX2228" s="127"/>
      <c r="CY2228" s="127"/>
      <c r="CZ2228" s="127"/>
      <c r="DA2228" s="127"/>
      <c r="DB2228" s="127"/>
      <c r="DC2228" s="127"/>
      <c r="DD2228" s="127"/>
      <c r="DE2228" s="127"/>
      <c r="DF2228" s="127"/>
      <c r="DG2228" s="127"/>
      <c r="DH2228" s="127"/>
      <c r="DI2228" s="127"/>
      <c r="DJ2228" s="127"/>
      <c r="DK2228" s="127"/>
      <c r="DL2228" s="127"/>
      <c r="DM2228" s="127"/>
      <c r="DN2228" s="127"/>
      <c r="DO2228" s="127"/>
      <c r="DP2228" s="127"/>
      <c r="DQ2228" s="127"/>
      <c r="DR2228" s="127"/>
      <c r="DS2228" s="127"/>
      <c r="DT2228" s="127"/>
      <c r="DU2228" s="127"/>
      <c r="DV2228" s="127"/>
      <c r="DW2228" s="127"/>
      <c r="DX2228" s="127"/>
      <c r="DY2228" s="127"/>
      <c r="DZ2228" s="127"/>
      <c r="EA2228" s="127"/>
      <c r="EB2228" s="127"/>
      <c r="EC2228" s="127"/>
      <c r="ED2228" s="127"/>
      <c r="EE2228" s="127"/>
      <c r="EF2228" s="127"/>
      <c r="EG2228" s="127"/>
      <c r="EH2228" s="127"/>
      <c r="EI2228" s="127"/>
      <c r="EJ2228" s="127"/>
      <c r="EK2228" s="127"/>
      <c r="EL2228" s="127"/>
      <c r="EM2228" s="127"/>
      <c r="EN2228" s="127"/>
      <c r="EO2228" s="127"/>
      <c r="EP2228" s="127"/>
      <c r="EQ2228" s="127"/>
      <c r="ER2228" s="127"/>
      <c r="ES2228" s="127"/>
      <c r="ET2228" s="127"/>
      <c r="EU2228" s="127"/>
      <c r="EV2228" s="127"/>
      <c r="EW2228" s="127"/>
      <c r="EX2228" s="127"/>
      <c r="EY2228" s="127"/>
      <c r="EZ2228" s="127"/>
      <c r="FA2228" s="127"/>
      <c r="FB2228" s="127"/>
      <c r="FC2228" s="127"/>
      <c r="FD2228" s="127"/>
      <c r="FE2228" s="127"/>
      <c r="FF2228" s="127"/>
      <c r="FG2228" s="127"/>
      <c r="FH2228" s="127"/>
      <c r="FI2228" s="127"/>
      <c r="FJ2228" s="127"/>
      <c r="FK2228" s="127"/>
      <c r="FL2228" s="127"/>
      <c r="FM2228" s="127"/>
      <c r="FN2228" s="127"/>
      <c r="FO2228" s="127"/>
      <c r="FP2228" s="127"/>
      <c r="FQ2228" s="127"/>
      <c r="FR2228" s="127"/>
      <c r="FS2228" s="127"/>
      <c r="FT2228" s="127"/>
      <c r="FU2228" s="127"/>
      <c r="FV2228" s="127"/>
      <c r="FW2228" s="127"/>
      <c r="FX2228" s="127"/>
      <c r="FY2228" s="127"/>
      <c r="FZ2228" s="127"/>
      <c r="GA2228" s="127"/>
      <c r="GB2228" s="127"/>
      <c r="GC2228" s="127"/>
      <c r="GD2228" s="127"/>
      <c r="GE2228" s="127"/>
      <c r="GF2228" s="127"/>
      <c r="GG2228" s="127"/>
      <c r="GH2228" s="127"/>
      <c r="GI2228" s="127"/>
      <c r="GJ2228" s="127"/>
      <c r="GK2228" s="127"/>
      <c r="GL2228" s="127"/>
      <c r="GM2228" s="127"/>
      <c r="GN2228" s="127"/>
      <c r="GO2228" s="127"/>
      <c r="GP2228" s="127"/>
      <c r="GQ2228" s="127"/>
      <c r="GR2228" s="127"/>
      <c r="GS2228" s="127"/>
      <c r="GT2228" s="127"/>
      <c r="GU2228" s="127"/>
      <c r="GV2228" s="127"/>
      <c r="GW2228" s="127"/>
      <c r="GX2228" s="127"/>
      <c r="GY2228" s="127"/>
      <c r="GZ2228" s="127"/>
      <c r="HA2228" s="127"/>
      <c r="HB2228" s="127"/>
      <c r="HC2228" s="127"/>
      <c r="HD2228" s="127"/>
      <c r="HE2228" s="127"/>
      <c r="HF2228" s="127"/>
      <c r="HG2228" s="127"/>
      <c r="HH2228" s="127"/>
      <c r="HI2228" s="127"/>
      <c r="HJ2228" s="127"/>
      <c r="HK2228" s="127"/>
      <c r="HL2228" s="127"/>
      <c r="HM2228" s="127"/>
      <c r="HN2228" s="127"/>
      <c r="HO2228" s="127"/>
      <c r="HP2228" s="127"/>
      <c r="HQ2228" s="127"/>
      <c r="HR2228" s="127"/>
      <c r="HS2228" s="127"/>
      <c r="HT2228" s="127"/>
      <c r="HU2228" s="127"/>
      <c r="HV2228" s="127"/>
      <c r="HW2228" s="127"/>
      <c r="HX2228" s="127"/>
      <c r="HY2228" s="127"/>
      <c r="HZ2228" s="127"/>
      <c r="IA2228" s="127"/>
      <c r="IB2228" s="127"/>
      <c r="IC2228" s="127"/>
      <c r="ID2228" s="127"/>
      <c r="IE2228" s="127"/>
      <c r="IF2228" s="127"/>
      <c r="IG2228" s="127"/>
      <c r="IH2228" s="127"/>
      <c r="II2228" s="127"/>
      <c r="IJ2228" s="127"/>
    </row>
    <row r="2229" spans="1:244" ht="12.75" customHeight="1">
      <c r="A2229" s="118">
        <v>2228</v>
      </c>
      <c r="B2229" s="128">
        <v>24</v>
      </c>
      <c r="C2229" s="156">
        <v>36739</v>
      </c>
      <c r="D2229" s="157" t="s">
        <v>51</v>
      </c>
      <c r="E2229" s="8">
        <v>2000</v>
      </c>
      <c r="F2229" s="158">
        <f t="shared" si="566"/>
        <v>122</v>
      </c>
      <c r="G2229" s="158">
        <f t="shared" si="567"/>
        <v>1</v>
      </c>
      <c r="H2229" s="162">
        <v>36617</v>
      </c>
      <c r="I2229" s="163">
        <v>552339</v>
      </c>
      <c r="J2229" s="11"/>
      <c r="K2229" s="11"/>
      <c r="L2229" s="11"/>
      <c r="O2229" s="11"/>
      <c r="T2229" s="11"/>
      <c r="V2229" s="11"/>
      <c r="W2229" s="11"/>
      <c r="X2229" s="128"/>
      <c r="Y2229" s="128"/>
      <c r="Z2229" s="128"/>
      <c r="AA2229" s="128"/>
      <c r="AB2229" s="128"/>
      <c r="AC2229" s="128"/>
      <c r="AD2229" s="128"/>
      <c r="AE2229" s="128"/>
      <c r="AF2229" s="128"/>
      <c r="AG2229" s="128"/>
      <c r="AH2229" s="128"/>
      <c r="AI2229" s="128"/>
      <c r="AJ2229" s="128"/>
      <c r="AK2229" s="128"/>
      <c r="AL2229" s="128"/>
      <c r="AM2229" s="128"/>
      <c r="AN2229" s="128"/>
      <c r="AO2229" s="128"/>
      <c r="AP2229" s="128"/>
      <c r="AQ2229" s="128"/>
      <c r="AR2229" s="128"/>
      <c r="AS2229" s="128"/>
      <c r="AT2229" s="128"/>
      <c r="AU2229" s="128"/>
      <c r="AV2229" s="128"/>
      <c r="AW2229" s="128"/>
      <c r="AX2229" s="128"/>
      <c r="AY2229" s="128"/>
      <c r="AZ2229" s="128"/>
      <c r="BA2229" s="128"/>
      <c r="BB2229" s="128"/>
      <c r="BC2229" s="128"/>
      <c r="BD2229" s="128"/>
      <c r="BE2229" s="128"/>
      <c r="BF2229" s="128"/>
      <c r="BG2229" s="128"/>
      <c r="BH2229" s="128"/>
      <c r="BI2229" s="128"/>
      <c r="BJ2229" s="128"/>
      <c r="BK2229" s="128"/>
      <c r="BL2229" s="128"/>
      <c r="BM2229" s="128"/>
      <c r="BN2229" s="128"/>
      <c r="BO2229" s="128"/>
      <c r="BP2229" s="128"/>
      <c r="BQ2229" s="128"/>
      <c r="BR2229" s="128"/>
      <c r="BS2229" s="128"/>
      <c r="BT2229" s="128"/>
      <c r="BU2229" s="128"/>
      <c r="BV2229" s="128"/>
      <c r="BW2229" s="128"/>
      <c r="BX2229" s="128"/>
      <c r="BY2229" s="128"/>
      <c r="BZ2229" s="128"/>
      <c r="CA2229" s="128"/>
      <c r="CB2229" s="128"/>
      <c r="CC2229" s="128"/>
      <c r="CD2229" s="128"/>
      <c r="CE2229" s="128"/>
      <c r="CF2229" s="128"/>
      <c r="CG2229" s="128"/>
      <c r="CH2229" s="128"/>
      <c r="CI2229" s="128"/>
      <c r="CJ2229" s="128"/>
      <c r="CK2229" s="128"/>
      <c r="CL2229" s="128"/>
      <c r="CM2229" s="128"/>
      <c r="CN2229" s="128"/>
      <c r="CO2229" s="128"/>
      <c r="CP2229" s="128"/>
      <c r="CQ2229" s="128"/>
      <c r="CR2229" s="128"/>
      <c r="CS2229" s="128"/>
      <c r="CT2229" s="128"/>
      <c r="CU2229" s="128"/>
      <c r="CV2229" s="128"/>
      <c r="CW2229" s="128"/>
      <c r="CX2229" s="128"/>
      <c r="CY2229" s="128"/>
      <c r="CZ2229" s="128"/>
      <c r="DA2229" s="128"/>
      <c r="DB2229" s="128"/>
      <c r="DC2229" s="128"/>
      <c r="DD2229" s="128"/>
      <c r="DE2229" s="128"/>
      <c r="DF2229" s="128"/>
      <c r="DG2229" s="128"/>
      <c r="DH2229" s="128"/>
      <c r="DI2229" s="128"/>
      <c r="DJ2229" s="128"/>
      <c r="DK2229" s="128"/>
      <c r="DL2229" s="128"/>
      <c r="DM2229" s="128"/>
      <c r="DN2229" s="128"/>
      <c r="DO2229" s="128"/>
      <c r="DP2229" s="128"/>
      <c r="DQ2229" s="128"/>
      <c r="DR2229" s="128"/>
      <c r="DS2229" s="128"/>
      <c r="DT2229" s="128"/>
      <c r="DU2229" s="128"/>
      <c r="DV2229" s="128"/>
      <c r="DW2229" s="128"/>
      <c r="DX2229" s="128"/>
      <c r="DY2229" s="128"/>
      <c r="DZ2229" s="128"/>
      <c r="EA2229" s="128"/>
      <c r="EB2229" s="128"/>
      <c r="EC2229" s="128"/>
      <c r="ED2229" s="128"/>
      <c r="EE2229" s="128"/>
      <c r="EF2229" s="128"/>
      <c r="EG2229" s="128"/>
      <c r="EH2229" s="128"/>
      <c r="EI2229" s="128"/>
      <c r="EJ2229" s="128"/>
      <c r="EK2229" s="128"/>
      <c r="EL2229" s="128"/>
      <c r="EM2229" s="128"/>
      <c r="EN2229" s="128"/>
      <c r="EO2229" s="128"/>
      <c r="EP2229" s="128"/>
      <c r="EQ2229" s="128"/>
      <c r="ER2229" s="128"/>
      <c r="ES2229" s="128"/>
      <c r="ET2229" s="128"/>
      <c r="EU2229" s="128"/>
      <c r="EV2229" s="128"/>
      <c r="EW2229" s="128"/>
      <c r="EX2229" s="128"/>
      <c r="EY2229" s="128"/>
      <c r="EZ2229" s="128"/>
      <c r="FA2229" s="128"/>
      <c r="FB2229" s="128"/>
      <c r="FC2229" s="128"/>
      <c r="FD2229" s="128"/>
      <c r="FE2229" s="128"/>
      <c r="FF2229" s="128"/>
      <c r="FG2229" s="128"/>
      <c r="FH2229" s="128"/>
      <c r="FI2229" s="128"/>
      <c r="FJ2229" s="128"/>
      <c r="FK2229" s="128"/>
      <c r="FL2229" s="128"/>
      <c r="FM2229" s="128"/>
      <c r="FN2229" s="128"/>
      <c r="FO2229" s="128"/>
      <c r="FP2229" s="128"/>
      <c r="FQ2229" s="128"/>
      <c r="FR2229" s="128"/>
      <c r="FS2229" s="128"/>
      <c r="FT2229" s="128"/>
      <c r="FU2229" s="128"/>
      <c r="FV2229" s="128"/>
      <c r="FW2229" s="128"/>
      <c r="FX2229" s="128"/>
      <c r="FY2229" s="128"/>
      <c r="FZ2229" s="128"/>
      <c r="GA2229" s="128"/>
      <c r="GB2229" s="128"/>
      <c r="GC2229" s="128"/>
      <c r="GD2229" s="128"/>
      <c r="GE2229" s="128"/>
      <c r="GF2229" s="128"/>
      <c r="GG2229" s="128"/>
      <c r="GH2229" s="128"/>
      <c r="GI2229" s="128"/>
      <c r="GJ2229" s="128"/>
      <c r="GK2229" s="128"/>
      <c r="GL2229" s="128"/>
      <c r="GM2229" s="128"/>
      <c r="GN2229" s="128"/>
      <c r="GO2229" s="128"/>
      <c r="GP2229" s="128"/>
      <c r="GQ2229" s="128"/>
      <c r="GR2229" s="128"/>
      <c r="GS2229" s="128"/>
      <c r="GT2229" s="128"/>
      <c r="GU2229" s="128"/>
      <c r="GV2229" s="128"/>
      <c r="GW2229" s="128"/>
      <c r="GX2229" s="128"/>
      <c r="GY2229" s="128"/>
      <c r="GZ2229" s="128"/>
      <c r="HA2229" s="128"/>
      <c r="HB2229" s="128"/>
      <c r="HC2229" s="128"/>
      <c r="HD2229" s="128"/>
      <c r="HE2229" s="128"/>
      <c r="HF2229" s="128"/>
      <c r="HG2229" s="128"/>
      <c r="HH2229" s="128"/>
      <c r="HI2229" s="128"/>
      <c r="HJ2229" s="128"/>
      <c r="HK2229" s="128"/>
      <c r="HL2229" s="128"/>
      <c r="HM2229" s="128"/>
      <c r="HN2229" s="128"/>
      <c r="HO2229" s="128"/>
      <c r="HP2229" s="128"/>
      <c r="HQ2229" s="128"/>
      <c r="HR2229" s="128"/>
      <c r="HS2229" s="128"/>
      <c r="HT2229" s="128"/>
      <c r="HU2229" s="128"/>
      <c r="HV2229" s="128"/>
      <c r="HW2229" s="128"/>
      <c r="HX2229" s="128"/>
      <c r="HY2229" s="128"/>
      <c r="HZ2229" s="128"/>
      <c r="IA2229" s="128"/>
      <c r="IB2229" s="128"/>
      <c r="IC2229" s="128"/>
      <c r="ID2229" s="128"/>
      <c r="IE2229" s="128"/>
      <c r="IF2229" s="128"/>
      <c r="IG2229" s="128"/>
      <c r="IH2229" s="128"/>
      <c r="II2229" s="128"/>
      <c r="IJ2229" s="128"/>
    </row>
    <row r="2230" spans="1:244" ht="12.75" customHeight="1">
      <c r="A2230" s="118">
        <v>2229</v>
      </c>
      <c r="B2230" s="128">
        <v>24</v>
      </c>
      <c r="C2230" s="156">
        <v>36770</v>
      </c>
      <c r="D2230" s="157" t="s">
        <v>52</v>
      </c>
      <c r="E2230" s="8">
        <v>2000</v>
      </c>
      <c r="F2230" s="158">
        <f t="shared" si="566"/>
        <v>153</v>
      </c>
      <c r="G2230" s="158">
        <f t="shared" si="567"/>
        <v>1</v>
      </c>
      <c r="H2230" s="162">
        <v>36617</v>
      </c>
      <c r="I2230" s="163">
        <v>549009</v>
      </c>
      <c r="J2230" s="11"/>
      <c r="K2230" s="11"/>
      <c r="L2230" s="11"/>
      <c r="O2230" s="11"/>
      <c r="T2230" s="11"/>
      <c r="V2230" s="11"/>
      <c r="W2230" s="11"/>
      <c r="X2230" s="127"/>
      <c r="Y2230" s="127"/>
      <c r="Z2230" s="127"/>
      <c r="AA2230" s="127"/>
      <c r="AB2230" s="127"/>
      <c r="AC2230" s="127"/>
      <c r="AD2230" s="127"/>
      <c r="AE2230" s="127"/>
      <c r="AF2230" s="127"/>
      <c r="AG2230" s="127"/>
      <c r="AH2230" s="127"/>
      <c r="AI2230" s="127"/>
      <c r="AJ2230" s="127"/>
      <c r="AK2230" s="127"/>
      <c r="AL2230" s="127"/>
      <c r="AM2230" s="127"/>
      <c r="AN2230" s="127"/>
      <c r="AO2230" s="127"/>
      <c r="AP2230" s="127"/>
      <c r="AQ2230" s="127"/>
      <c r="AR2230" s="127"/>
      <c r="AS2230" s="127"/>
      <c r="AT2230" s="127"/>
      <c r="AU2230" s="127"/>
      <c r="AV2230" s="127"/>
      <c r="AW2230" s="127"/>
      <c r="AX2230" s="127"/>
      <c r="AY2230" s="127"/>
      <c r="AZ2230" s="127"/>
      <c r="BA2230" s="127"/>
      <c r="BB2230" s="127"/>
      <c r="BC2230" s="127"/>
      <c r="BD2230" s="127"/>
      <c r="BE2230" s="127"/>
      <c r="BF2230" s="127"/>
      <c r="BG2230" s="127"/>
      <c r="BH2230" s="127"/>
      <c r="BI2230" s="127"/>
      <c r="BJ2230" s="127"/>
      <c r="BK2230" s="127"/>
      <c r="BL2230" s="127"/>
      <c r="BM2230" s="127"/>
      <c r="BN2230" s="127"/>
      <c r="BO2230" s="127"/>
      <c r="BP2230" s="127"/>
      <c r="BQ2230" s="127"/>
      <c r="BR2230" s="127"/>
      <c r="BS2230" s="127"/>
      <c r="BT2230" s="127"/>
      <c r="BU2230" s="127"/>
      <c r="BV2230" s="127"/>
      <c r="BW2230" s="127"/>
      <c r="BX2230" s="127"/>
      <c r="BY2230" s="127"/>
      <c r="BZ2230" s="127"/>
      <c r="CA2230" s="127"/>
      <c r="CB2230" s="127"/>
      <c r="CC2230" s="127"/>
      <c r="CD2230" s="127"/>
      <c r="CE2230" s="127"/>
      <c r="CF2230" s="127"/>
      <c r="CG2230" s="127"/>
      <c r="CH2230" s="127"/>
      <c r="CI2230" s="127"/>
      <c r="CJ2230" s="127"/>
      <c r="CK2230" s="127"/>
      <c r="CL2230" s="127"/>
      <c r="CM2230" s="127"/>
      <c r="CN2230" s="127"/>
      <c r="CO2230" s="127"/>
      <c r="CP2230" s="127"/>
      <c r="CQ2230" s="127"/>
      <c r="CR2230" s="127"/>
      <c r="CS2230" s="127"/>
      <c r="CT2230" s="127"/>
      <c r="CU2230" s="127"/>
      <c r="CV2230" s="127"/>
      <c r="CW2230" s="127"/>
      <c r="CX2230" s="127"/>
      <c r="CY2230" s="127"/>
      <c r="CZ2230" s="127"/>
      <c r="DA2230" s="127"/>
      <c r="DB2230" s="127"/>
      <c r="DC2230" s="127"/>
      <c r="DD2230" s="127"/>
      <c r="DE2230" s="127"/>
      <c r="DF2230" s="127"/>
      <c r="DG2230" s="127"/>
      <c r="DH2230" s="127"/>
      <c r="DI2230" s="127"/>
      <c r="DJ2230" s="127"/>
      <c r="DK2230" s="127"/>
      <c r="DL2230" s="127"/>
      <c r="DM2230" s="127"/>
      <c r="DN2230" s="127"/>
      <c r="DO2230" s="127"/>
      <c r="DP2230" s="127"/>
      <c r="DQ2230" s="127"/>
      <c r="DR2230" s="127"/>
      <c r="DS2230" s="127"/>
      <c r="DT2230" s="127"/>
      <c r="DU2230" s="127"/>
      <c r="DV2230" s="127"/>
      <c r="DW2230" s="127"/>
      <c r="DX2230" s="127"/>
      <c r="DY2230" s="127"/>
      <c r="DZ2230" s="127"/>
      <c r="EA2230" s="127"/>
      <c r="EB2230" s="127"/>
      <c r="EC2230" s="127"/>
      <c r="ED2230" s="127"/>
      <c r="EE2230" s="127"/>
      <c r="EF2230" s="127"/>
      <c r="EG2230" s="127"/>
      <c r="EH2230" s="127"/>
      <c r="EI2230" s="127"/>
      <c r="EJ2230" s="127"/>
      <c r="EK2230" s="127"/>
      <c r="EL2230" s="127"/>
      <c r="EM2230" s="127"/>
      <c r="EN2230" s="127"/>
      <c r="EO2230" s="127"/>
      <c r="EP2230" s="127"/>
      <c r="EQ2230" s="127"/>
      <c r="ER2230" s="127"/>
      <c r="ES2230" s="127"/>
      <c r="ET2230" s="127"/>
      <c r="EU2230" s="127"/>
      <c r="EV2230" s="127"/>
      <c r="EW2230" s="127"/>
      <c r="EX2230" s="127"/>
      <c r="EY2230" s="127"/>
      <c r="EZ2230" s="127"/>
      <c r="FA2230" s="127"/>
      <c r="FB2230" s="127"/>
      <c r="FC2230" s="127"/>
      <c r="FD2230" s="127"/>
      <c r="FE2230" s="127"/>
      <c r="FF2230" s="127"/>
      <c r="FG2230" s="127"/>
      <c r="FH2230" s="127"/>
      <c r="FI2230" s="127"/>
      <c r="FJ2230" s="127"/>
      <c r="FK2230" s="127"/>
      <c r="FL2230" s="127"/>
      <c r="FM2230" s="127"/>
      <c r="FN2230" s="127"/>
      <c r="FO2230" s="127"/>
      <c r="FP2230" s="127"/>
      <c r="FQ2230" s="127"/>
      <c r="FR2230" s="127"/>
      <c r="FS2230" s="127"/>
      <c r="FT2230" s="127"/>
      <c r="FU2230" s="127"/>
      <c r="FV2230" s="127"/>
      <c r="FW2230" s="127"/>
      <c r="FX2230" s="127"/>
      <c r="FY2230" s="127"/>
      <c r="FZ2230" s="127"/>
      <c r="GA2230" s="127"/>
      <c r="GB2230" s="127"/>
      <c r="GC2230" s="127"/>
      <c r="GD2230" s="127"/>
      <c r="GE2230" s="127"/>
      <c r="GF2230" s="127"/>
      <c r="GG2230" s="127"/>
      <c r="GH2230" s="127"/>
      <c r="GI2230" s="127"/>
      <c r="GJ2230" s="127"/>
      <c r="GK2230" s="127"/>
      <c r="GL2230" s="127"/>
      <c r="GM2230" s="127"/>
      <c r="GN2230" s="127"/>
      <c r="GO2230" s="127"/>
      <c r="GP2230" s="127"/>
      <c r="GQ2230" s="127"/>
      <c r="GR2230" s="127"/>
      <c r="GS2230" s="127"/>
      <c r="GT2230" s="127"/>
      <c r="GU2230" s="127"/>
      <c r="GV2230" s="127"/>
      <c r="GW2230" s="127"/>
      <c r="GX2230" s="127"/>
      <c r="GY2230" s="127"/>
      <c r="GZ2230" s="127"/>
      <c r="HA2230" s="127"/>
      <c r="HB2230" s="127"/>
      <c r="HC2230" s="127"/>
      <c r="HD2230" s="127"/>
      <c r="HE2230" s="127"/>
      <c r="HF2230" s="127"/>
      <c r="HG2230" s="127"/>
      <c r="HH2230" s="127"/>
      <c r="HI2230" s="127"/>
      <c r="HJ2230" s="127"/>
      <c r="HK2230" s="127"/>
      <c r="HL2230" s="127"/>
      <c r="HM2230" s="127"/>
      <c r="HN2230" s="127"/>
      <c r="HO2230" s="127"/>
      <c r="HP2230" s="127"/>
      <c r="HQ2230" s="127"/>
      <c r="HR2230" s="127"/>
      <c r="HS2230" s="127"/>
      <c r="HT2230" s="127"/>
      <c r="HU2230" s="127"/>
      <c r="HV2230" s="127"/>
      <c r="HW2230" s="127"/>
      <c r="HX2230" s="127"/>
      <c r="HY2230" s="127"/>
      <c r="HZ2230" s="127"/>
      <c r="IA2230" s="127"/>
      <c r="IB2230" s="127"/>
      <c r="IC2230" s="127"/>
      <c r="ID2230" s="127"/>
      <c r="IE2230" s="127"/>
      <c r="IF2230" s="127"/>
      <c r="IG2230" s="127"/>
      <c r="IH2230" s="127"/>
      <c r="II2230" s="127"/>
      <c r="IJ2230" s="127"/>
    </row>
    <row r="2231" spans="1:244" ht="12.75" customHeight="1">
      <c r="A2231" s="118">
        <v>2230</v>
      </c>
      <c r="B2231" s="128">
        <v>24</v>
      </c>
      <c r="C2231" s="156">
        <v>36800</v>
      </c>
      <c r="D2231" s="157" t="s">
        <v>53</v>
      </c>
      <c r="E2231" s="8">
        <v>2000</v>
      </c>
      <c r="F2231" s="158">
        <f t="shared" si="566"/>
        <v>183</v>
      </c>
      <c r="G2231" s="158">
        <f t="shared" si="567"/>
        <v>1</v>
      </c>
      <c r="H2231" s="162">
        <v>36617</v>
      </c>
      <c r="I2231" s="163">
        <v>545809</v>
      </c>
      <c r="J2231" s="11"/>
      <c r="K2231" s="11"/>
      <c r="L2231" s="11"/>
      <c r="O2231" s="11"/>
      <c r="T2231" s="11"/>
      <c r="V2231" s="11"/>
      <c r="W2231" s="11"/>
      <c r="X2231" s="127"/>
      <c r="Y2231" s="127"/>
      <c r="Z2231" s="127"/>
      <c r="AA2231" s="127"/>
      <c r="AB2231" s="127"/>
      <c r="AC2231" s="127"/>
      <c r="AD2231" s="127"/>
      <c r="AE2231" s="127"/>
      <c r="AF2231" s="127"/>
      <c r="AG2231" s="127"/>
      <c r="AH2231" s="127"/>
      <c r="AI2231" s="127"/>
      <c r="AJ2231" s="127"/>
      <c r="AK2231" s="127"/>
      <c r="AL2231" s="127"/>
      <c r="AM2231" s="127"/>
      <c r="AN2231" s="127"/>
      <c r="AO2231" s="127"/>
      <c r="AP2231" s="127"/>
      <c r="AQ2231" s="127"/>
      <c r="AR2231" s="127"/>
      <c r="AS2231" s="127"/>
      <c r="AT2231" s="127"/>
      <c r="AU2231" s="127"/>
      <c r="AV2231" s="127"/>
      <c r="AW2231" s="127"/>
      <c r="AX2231" s="127"/>
      <c r="AY2231" s="127"/>
      <c r="AZ2231" s="127"/>
      <c r="BA2231" s="127"/>
      <c r="BB2231" s="127"/>
      <c r="BC2231" s="127"/>
      <c r="BD2231" s="127"/>
      <c r="BE2231" s="127"/>
      <c r="BF2231" s="127"/>
      <c r="BG2231" s="127"/>
      <c r="BH2231" s="127"/>
      <c r="BI2231" s="127"/>
      <c r="BJ2231" s="127"/>
      <c r="BK2231" s="127"/>
      <c r="BL2231" s="127"/>
      <c r="BM2231" s="127"/>
      <c r="BN2231" s="127"/>
      <c r="BO2231" s="127"/>
      <c r="BP2231" s="127"/>
      <c r="BQ2231" s="127"/>
      <c r="BR2231" s="127"/>
      <c r="BS2231" s="127"/>
      <c r="BT2231" s="127"/>
      <c r="BU2231" s="127"/>
      <c r="BV2231" s="127"/>
      <c r="BW2231" s="127"/>
      <c r="BX2231" s="127"/>
      <c r="BY2231" s="127"/>
      <c r="BZ2231" s="127"/>
      <c r="CA2231" s="127"/>
      <c r="CB2231" s="127"/>
      <c r="CC2231" s="127"/>
      <c r="CD2231" s="127"/>
      <c r="CE2231" s="127"/>
      <c r="CF2231" s="127"/>
      <c r="CG2231" s="127"/>
      <c r="CH2231" s="127"/>
      <c r="CI2231" s="127"/>
      <c r="CJ2231" s="127"/>
      <c r="CK2231" s="127"/>
      <c r="CL2231" s="127"/>
      <c r="CM2231" s="127"/>
      <c r="CN2231" s="127"/>
      <c r="CO2231" s="127"/>
      <c r="CP2231" s="127"/>
      <c r="CQ2231" s="127"/>
      <c r="CR2231" s="127"/>
      <c r="CS2231" s="127"/>
      <c r="CT2231" s="127"/>
      <c r="CU2231" s="127"/>
      <c r="CV2231" s="127"/>
      <c r="CW2231" s="127"/>
      <c r="CX2231" s="127"/>
      <c r="CY2231" s="127"/>
      <c r="CZ2231" s="127"/>
      <c r="DA2231" s="127"/>
      <c r="DB2231" s="127"/>
      <c r="DC2231" s="127"/>
      <c r="DD2231" s="127"/>
      <c r="DE2231" s="127"/>
      <c r="DF2231" s="127"/>
      <c r="DG2231" s="127"/>
      <c r="DH2231" s="127"/>
      <c r="DI2231" s="127"/>
      <c r="DJ2231" s="127"/>
      <c r="DK2231" s="127"/>
      <c r="DL2231" s="127"/>
      <c r="DM2231" s="127"/>
      <c r="DN2231" s="127"/>
      <c r="DO2231" s="127"/>
      <c r="DP2231" s="127"/>
      <c r="DQ2231" s="127"/>
      <c r="DR2231" s="127"/>
      <c r="DS2231" s="127"/>
      <c r="DT2231" s="127"/>
      <c r="DU2231" s="127"/>
      <c r="DV2231" s="127"/>
      <c r="DW2231" s="127"/>
      <c r="DX2231" s="127"/>
      <c r="DY2231" s="127"/>
      <c r="DZ2231" s="127"/>
      <c r="EA2231" s="127"/>
      <c r="EB2231" s="127"/>
      <c r="EC2231" s="127"/>
      <c r="ED2231" s="127"/>
      <c r="EE2231" s="127"/>
      <c r="EF2231" s="127"/>
      <c r="EG2231" s="127"/>
      <c r="EH2231" s="127"/>
      <c r="EI2231" s="127"/>
      <c r="EJ2231" s="127"/>
      <c r="EK2231" s="127"/>
      <c r="EL2231" s="127"/>
      <c r="EM2231" s="127"/>
      <c r="EN2231" s="127"/>
      <c r="EO2231" s="127"/>
      <c r="EP2231" s="127"/>
      <c r="EQ2231" s="127"/>
      <c r="ER2231" s="127"/>
      <c r="ES2231" s="127"/>
      <c r="ET2231" s="127"/>
      <c r="EU2231" s="127"/>
      <c r="EV2231" s="127"/>
      <c r="EW2231" s="127"/>
      <c r="EX2231" s="127"/>
      <c r="EY2231" s="127"/>
      <c r="EZ2231" s="127"/>
      <c r="FA2231" s="127"/>
      <c r="FB2231" s="127"/>
      <c r="FC2231" s="127"/>
      <c r="FD2231" s="127"/>
      <c r="FE2231" s="127"/>
      <c r="FF2231" s="127"/>
      <c r="FG2231" s="127"/>
      <c r="FH2231" s="127"/>
      <c r="FI2231" s="127"/>
      <c r="FJ2231" s="127"/>
      <c r="FK2231" s="127"/>
      <c r="FL2231" s="127"/>
      <c r="FM2231" s="127"/>
      <c r="FN2231" s="127"/>
      <c r="FO2231" s="127"/>
      <c r="FP2231" s="127"/>
      <c r="FQ2231" s="127"/>
      <c r="FR2231" s="127"/>
      <c r="FS2231" s="127"/>
      <c r="FT2231" s="127"/>
      <c r="FU2231" s="127"/>
      <c r="FV2231" s="127"/>
      <c r="FW2231" s="127"/>
      <c r="FX2231" s="127"/>
      <c r="FY2231" s="127"/>
      <c r="FZ2231" s="127"/>
      <c r="GA2231" s="127"/>
      <c r="GB2231" s="127"/>
      <c r="GC2231" s="127"/>
      <c r="GD2231" s="127"/>
      <c r="GE2231" s="127"/>
      <c r="GF2231" s="127"/>
      <c r="GG2231" s="127"/>
      <c r="GH2231" s="127"/>
      <c r="GI2231" s="127"/>
      <c r="GJ2231" s="127"/>
      <c r="GK2231" s="127"/>
      <c r="GL2231" s="127"/>
      <c r="GM2231" s="127"/>
      <c r="GN2231" s="127"/>
      <c r="GO2231" s="127"/>
      <c r="GP2231" s="127"/>
      <c r="GQ2231" s="127"/>
      <c r="GR2231" s="127"/>
      <c r="GS2231" s="127"/>
      <c r="GT2231" s="127"/>
      <c r="GU2231" s="127"/>
      <c r="GV2231" s="127"/>
      <c r="GW2231" s="127"/>
      <c r="GX2231" s="127"/>
      <c r="GY2231" s="127"/>
      <c r="GZ2231" s="127"/>
      <c r="HA2231" s="127"/>
      <c r="HB2231" s="127"/>
      <c r="HC2231" s="127"/>
      <c r="HD2231" s="127"/>
      <c r="HE2231" s="127"/>
      <c r="HF2231" s="127"/>
      <c r="HG2231" s="127"/>
      <c r="HH2231" s="127"/>
      <c r="HI2231" s="127"/>
      <c r="HJ2231" s="127"/>
      <c r="HK2231" s="127"/>
      <c r="HL2231" s="127"/>
      <c r="HM2231" s="127"/>
      <c r="HN2231" s="127"/>
      <c r="HO2231" s="127"/>
      <c r="HP2231" s="127"/>
      <c r="HQ2231" s="127"/>
      <c r="HR2231" s="127"/>
      <c r="HS2231" s="127"/>
      <c r="HT2231" s="127"/>
      <c r="HU2231" s="127"/>
      <c r="HV2231" s="127"/>
      <c r="HW2231" s="127"/>
      <c r="HX2231" s="127"/>
      <c r="HY2231" s="127"/>
      <c r="HZ2231" s="127"/>
      <c r="IA2231" s="127"/>
      <c r="IB2231" s="127"/>
      <c r="IC2231" s="127"/>
      <c r="ID2231" s="127"/>
      <c r="IE2231" s="127"/>
      <c r="IF2231" s="127"/>
      <c r="IG2231" s="127"/>
      <c r="IH2231" s="127"/>
      <c r="II2231" s="127"/>
      <c r="IJ2231" s="127"/>
    </row>
    <row r="2232" spans="1:244" ht="12.75" customHeight="1">
      <c r="A2232" s="118">
        <v>2231</v>
      </c>
      <c r="B2232" s="128">
        <v>24</v>
      </c>
      <c r="C2232" s="156">
        <v>36831</v>
      </c>
      <c r="D2232" s="157" t="s">
        <v>54</v>
      </c>
      <c r="E2232" s="8">
        <v>2000</v>
      </c>
      <c r="F2232" s="158">
        <f t="shared" si="566"/>
        <v>214</v>
      </c>
      <c r="G2232" s="158">
        <f t="shared" si="567"/>
        <v>1</v>
      </c>
      <c r="H2232" s="162">
        <v>36617</v>
      </c>
      <c r="I2232" s="163">
        <v>544275</v>
      </c>
      <c r="J2232" s="11"/>
      <c r="K2232" s="11"/>
      <c r="L2232" s="11"/>
      <c r="O2232" s="11"/>
      <c r="T2232" s="11"/>
      <c r="V2232" s="11"/>
      <c r="W2232" s="11"/>
      <c r="X2232" s="127"/>
      <c r="Y2232" s="127"/>
      <c r="Z2232" s="127"/>
      <c r="AA2232" s="127"/>
      <c r="AB2232" s="127"/>
      <c r="AC2232" s="127"/>
      <c r="AD2232" s="127"/>
      <c r="AE2232" s="127"/>
      <c r="AF2232" s="127"/>
      <c r="AG2232" s="127"/>
      <c r="AH2232" s="127"/>
      <c r="AI2232" s="127"/>
      <c r="AJ2232" s="127"/>
      <c r="AK2232" s="127"/>
      <c r="AL2232" s="127"/>
      <c r="AM2232" s="127"/>
      <c r="AN2232" s="127"/>
      <c r="AO2232" s="127"/>
      <c r="AP2232" s="127"/>
      <c r="AQ2232" s="127"/>
      <c r="AR2232" s="127"/>
      <c r="AS2232" s="127"/>
      <c r="AT2232" s="127"/>
      <c r="AU2232" s="127"/>
      <c r="AV2232" s="127"/>
      <c r="AW2232" s="127"/>
      <c r="AX2232" s="127"/>
      <c r="AY2232" s="127"/>
      <c r="AZ2232" s="127"/>
      <c r="BA2232" s="127"/>
      <c r="BB2232" s="127"/>
      <c r="BC2232" s="127"/>
      <c r="BD2232" s="127"/>
      <c r="BE2232" s="127"/>
      <c r="BF2232" s="127"/>
      <c r="BG2232" s="127"/>
      <c r="BH2232" s="127"/>
      <c r="BI2232" s="127"/>
      <c r="BJ2232" s="127"/>
      <c r="BK2232" s="127"/>
      <c r="BL2232" s="127"/>
      <c r="BM2232" s="127"/>
      <c r="BN2232" s="127"/>
      <c r="BO2232" s="127"/>
      <c r="BP2232" s="127"/>
      <c r="BQ2232" s="127"/>
      <c r="BR2232" s="127"/>
      <c r="BS2232" s="127"/>
      <c r="BT2232" s="127"/>
      <c r="BU2232" s="127"/>
      <c r="BV2232" s="127"/>
      <c r="BW2232" s="127"/>
      <c r="BX2232" s="127"/>
      <c r="BY2232" s="127"/>
      <c r="BZ2232" s="127"/>
      <c r="CA2232" s="127"/>
      <c r="CB2232" s="127"/>
      <c r="CC2232" s="127"/>
      <c r="CD2232" s="127"/>
      <c r="CE2232" s="127"/>
      <c r="CF2232" s="127"/>
      <c r="CG2232" s="127"/>
      <c r="CH2232" s="127"/>
      <c r="CI2232" s="127"/>
      <c r="CJ2232" s="127"/>
      <c r="CK2232" s="127"/>
      <c r="CL2232" s="127"/>
      <c r="CM2232" s="127"/>
      <c r="CN2232" s="127"/>
      <c r="CO2232" s="127"/>
      <c r="CP2232" s="127"/>
      <c r="CQ2232" s="127"/>
      <c r="CR2232" s="127"/>
      <c r="CS2232" s="127"/>
      <c r="CT2232" s="127"/>
      <c r="CU2232" s="127"/>
      <c r="CV2232" s="127"/>
      <c r="CW2232" s="127"/>
      <c r="CX2232" s="127"/>
      <c r="CY2232" s="127"/>
      <c r="CZ2232" s="127"/>
      <c r="DA2232" s="127"/>
      <c r="DB2232" s="127"/>
      <c r="DC2232" s="127"/>
      <c r="DD2232" s="127"/>
      <c r="DE2232" s="127"/>
      <c r="DF2232" s="127"/>
      <c r="DG2232" s="127"/>
      <c r="DH2232" s="127"/>
      <c r="DI2232" s="127"/>
      <c r="DJ2232" s="127"/>
      <c r="DK2232" s="127"/>
      <c r="DL2232" s="127"/>
      <c r="DM2232" s="127"/>
      <c r="DN2232" s="127"/>
      <c r="DO2232" s="127"/>
      <c r="DP2232" s="127"/>
      <c r="DQ2232" s="127"/>
      <c r="DR2232" s="127"/>
      <c r="DS2232" s="127"/>
      <c r="DT2232" s="127"/>
      <c r="DU2232" s="127"/>
      <c r="DV2232" s="127"/>
      <c r="DW2232" s="127"/>
      <c r="DX2232" s="127"/>
      <c r="DY2232" s="127"/>
      <c r="DZ2232" s="127"/>
      <c r="EA2232" s="127"/>
      <c r="EB2232" s="127"/>
      <c r="EC2232" s="127"/>
      <c r="ED2232" s="127"/>
      <c r="EE2232" s="127"/>
      <c r="EF2232" s="127"/>
      <c r="EG2232" s="127"/>
      <c r="EH2232" s="127"/>
      <c r="EI2232" s="127"/>
      <c r="EJ2232" s="127"/>
      <c r="EK2232" s="127"/>
      <c r="EL2232" s="127"/>
      <c r="EM2232" s="127"/>
      <c r="EN2232" s="127"/>
      <c r="EO2232" s="127"/>
      <c r="EP2232" s="127"/>
      <c r="EQ2232" s="127"/>
      <c r="ER2232" s="127"/>
      <c r="ES2232" s="127"/>
      <c r="ET2232" s="127"/>
      <c r="EU2232" s="127"/>
      <c r="EV2232" s="127"/>
      <c r="EW2232" s="127"/>
      <c r="EX2232" s="127"/>
      <c r="EY2232" s="127"/>
      <c r="EZ2232" s="127"/>
      <c r="FA2232" s="127"/>
      <c r="FB2232" s="127"/>
      <c r="FC2232" s="127"/>
      <c r="FD2232" s="127"/>
      <c r="FE2232" s="127"/>
      <c r="FF2232" s="127"/>
      <c r="FG2232" s="127"/>
      <c r="FH2232" s="127"/>
      <c r="FI2232" s="127"/>
      <c r="FJ2232" s="127"/>
      <c r="FK2232" s="127"/>
      <c r="FL2232" s="127"/>
      <c r="FM2232" s="127"/>
      <c r="FN2232" s="127"/>
      <c r="FO2232" s="127"/>
      <c r="FP2232" s="127"/>
      <c r="FQ2232" s="127"/>
      <c r="FR2232" s="127"/>
      <c r="FS2232" s="127"/>
      <c r="FT2232" s="127"/>
      <c r="FU2232" s="127"/>
      <c r="FV2232" s="127"/>
      <c r="FW2232" s="127"/>
      <c r="FX2232" s="127"/>
      <c r="FY2232" s="127"/>
      <c r="FZ2232" s="127"/>
      <c r="GA2232" s="127"/>
      <c r="GB2232" s="127"/>
      <c r="GC2232" s="127"/>
      <c r="GD2232" s="127"/>
      <c r="GE2232" s="127"/>
      <c r="GF2232" s="127"/>
      <c r="GG2232" s="127"/>
      <c r="GH2232" s="127"/>
      <c r="GI2232" s="127"/>
      <c r="GJ2232" s="127"/>
      <c r="GK2232" s="127"/>
      <c r="GL2232" s="127"/>
      <c r="GM2232" s="127"/>
      <c r="GN2232" s="127"/>
      <c r="GO2232" s="127"/>
      <c r="GP2232" s="127"/>
      <c r="GQ2232" s="127"/>
      <c r="GR2232" s="127"/>
      <c r="GS2232" s="127"/>
      <c r="GT2232" s="127"/>
      <c r="GU2232" s="127"/>
      <c r="GV2232" s="127"/>
      <c r="GW2232" s="127"/>
      <c r="GX2232" s="127"/>
      <c r="GY2232" s="127"/>
      <c r="GZ2232" s="127"/>
      <c r="HA2232" s="127"/>
      <c r="HB2232" s="127"/>
      <c r="HC2232" s="127"/>
      <c r="HD2232" s="127"/>
      <c r="HE2232" s="127"/>
      <c r="HF2232" s="127"/>
      <c r="HG2232" s="127"/>
      <c r="HH2232" s="127"/>
      <c r="HI2232" s="127"/>
      <c r="HJ2232" s="127"/>
      <c r="HK2232" s="127"/>
      <c r="HL2232" s="127"/>
      <c r="HM2232" s="127"/>
      <c r="HN2232" s="127"/>
      <c r="HO2232" s="127"/>
      <c r="HP2232" s="127"/>
      <c r="HQ2232" s="127"/>
      <c r="HR2232" s="127"/>
      <c r="HS2232" s="127"/>
      <c r="HT2232" s="127"/>
      <c r="HU2232" s="127"/>
      <c r="HV2232" s="127"/>
      <c r="HW2232" s="127"/>
      <c r="HX2232" s="127"/>
      <c r="HY2232" s="127"/>
      <c r="HZ2232" s="127"/>
      <c r="IA2232" s="127"/>
      <c r="IB2232" s="127"/>
      <c r="IC2232" s="127"/>
      <c r="ID2232" s="127"/>
      <c r="IE2232" s="127"/>
      <c r="IF2232" s="127"/>
      <c r="IG2232" s="127"/>
      <c r="IH2232" s="127"/>
      <c r="II2232" s="127"/>
      <c r="IJ2232" s="127"/>
    </row>
    <row r="2233" spans="1:244" ht="12.75" customHeight="1">
      <c r="A2233" s="118">
        <v>2232</v>
      </c>
      <c r="B2233" s="128">
        <v>24</v>
      </c>
      <c r="C2233" s="156">
        <v>36861</v>
      </c>
      <c r="D2233" s="157" t="s">
        <v>55</v>
      </c>
      <c r="E2233" s="8">
        <v>2000</v>
      </c>
      <c r="F2233" s="158">
        <f t="shared" si="566"/>
        <v>244</v>
      </c>
      <c r="G2233" s="158">
        <f t="shared" si="567"/>
        <v>1</v>
      </c>
      <c r="H2233" s="162">
        <v>36617</v>
      </c>
      <c r="I2233" s="163">
        <v>543078</v>
      </c>
      <c r="J2233" s="11"/>
      <c r="K2233" s="11"/>
      <c r="L2233" s="11"/>
      <c r="O2233" s="11"/>
      <c r="T2233" s="11"/>
      <c r="V2233" s="11"/>
      <c r="W2233" s="11"/>
      <c r="X2233" s="127"/>
      <c r="Y2233" s="127"/>
      <c r="Z2233" s="127"/>
      <c r="AA2233" s="127"/>
      <c r="AB2233" s="127"/>
      <c r="AC2233" s="127"/>
      <c r="AD2233" s="127"/>
      <c r="AE2233" s="127"/>
      <c r="AF2233" s="127"/>
      <c r="AG2233" s="127"/>
      <c r="AH2233" s="127"/>
      <c r="AI2233" s="127"/>
      <c r="AJ2233" s="127"/>
      <c r="AK2233" s="127"/>
      <c r="AL2233" s="127"/>
      <c r="AM2233" s="127"/>
      <c r="AN2233" s="127"/>
      <c r="AO2233" s="127"/>
      <c r="AP2233" s="127"/>
      <c r="AQ2233" s="127"/>
      <c r="AR2233" s="127"/>
      <c r="AS2233" s="127"/>
      <c r="AT2233" s="127"/>
      <c r="AU2233" s="127"/>
      <c r="AV2233" s="127"/>
      <c r="AW2233" s="127"/>
      <c r="AX2233" s="127"/>
      <c r="AY2233" s="127"/>
      <c r="AZ2233" s="127"/>
      <c r="BA2233" s="127"/>
      <c r="BB2233" s="127"/>
      <c r="BC2233" s="127"/>
      <c r="BD2233" s="127"/>
      <c r="BE2233" s="127"/>
      <c r="BF2233" s="127"/>
      <c r="BG2233" s="127"/>
      <c r="BH2233" s="127"/>
      <c r="BI2233" s="127"/>
      <c r="BJ2233" s="127"/>
      <c r="BK2233" s="127"/>
      <c r="BL2233" s="127"/>
      <c r="BM2233" s="127"/>
      <c r="BN2233" s="127"/>
      <c r="BO2233" s="127"/>
      <c r="BP2233" s="127"/>
      <c r="BQ2233" s="127"/>
      <c r="BR2233" s="127"/>
      <c r="BS2233" s="127"/>
      <c r="BT2233" s="127"/>
      <c r="BU2233" s="127"/>
      <c r="BV2233" s="127"/>
      <c r="BW2233" s="127"/>
      <c r="BX2233" s="127"/>
      <c r="BY2233" s="127"/>
      <c r="BZ2233" s="127"/>
      <c r="CA2233" s="127"/>
      <c r="CB2233" s="127"/>
      <c r="CC2233" s="127"/>
      <c r="CD2233" s="127"/>
      <c r="CE2233" s="127"/>
      <c r="CF2233" s="127"/>
      <c r="CG2233" s="127"/>
      <c r="CH2233" s="127"/>
      <c r="CI2233" s="127"/>
      <c r="CJ2233" s="127"/>
      <c r="CK2233" s="127"/>
      <c r="CL2233" s="127"/>
      <c r="CM2233" s="127"/>
      <c r="CN2233" s="127"/>
      <c r="CO2233" s="127"/>
      <c r="CP2233" s="127"/>
      <c r="CQ2233" s="127"/>
      <c r="CR2233" s="127"/>
      <c r="CS2233" s="127"/>
      <c r="CT2233" s="127"/>
      <c r="CU2233" s="127"/>
      <c r="CV2233" s="127"/>
      <c r="CW2233" s="127"/>
      <c r="CX2233" s="127"/>
      <c r="CY2233" s="127"/>
      <c r="CZ2233" s="127"/>
      <c r="DA2233" s="127"/>
      <c r="DB2233" s="127"/>
      <c r="DC2233" s="127"/>
      <c r="DD2233" s="127"/>
      <c r="DE2233" s="127"/>
      <c r="DF2233" s="127"/>
      <c r="DG2233" s="127"/>
      <c r="DH2233" s="127"/>
      <c r="DI2233" s="127"/>
      <c r="DJ2233" s="127"/>
      <c r="DK2233" s="127"/>
      <c r="DL2233" s="127"/>
      <c r="DM2233" s="127"/>
      <c r="DN2233" s="127"/>
      <c r="DO2233" s="127"/>
      <c r="DP2233" s="127"/>
      <c r="DQ2233" s="127"/>
      <c r="DR2233" s="127"/>
      <c r="DS2233" s="127"/>
      <c r="DT2233" s="127"/>
      <c r="DU2233" s="127"/>
      <c r="DV2233" s="127"/>
      <c r="DW2233" s="127"/>
      <c r="DX2233" s="127"/>
      <c r="DY2233" s="127"/>
      <c r="DZ2233" s="127"/>
      <c r="EA2233" s="127"/>
      <c r="EB2233" s="127"/>
      <c r="EC2233" s="127"/>
      <c r="ED2233" s="127"/>
      <c r="EE2233" s="127"/>
      <c r="EF2233" s="127"/>
      <c r="EG2233" s="127"/>
      <c r="EH2233" s="127"/>
      <c r="EI2233" s="127"/>
      <c r="EJ2233" s="127"/>
      <c r="EK2233" s="127"/>
      <c r="EL2233" s="127"/>
      <c r="EM2233" s="127"/>
      <c r="EN2233" s="127"/>
      <c r="EO2233" s="127"/>
      <c r="EP2233" s="127"/>
      <c r="EQ2233" s="127"/>
      <c r="ER2233" s="127"/>
      <c r="ES2233" s="127"/>
      <c r="ET2233" s="127"/>
      <c r="EU2233" s="127"/>
      <c r="EV2233" s="127"/>
      <c r="EW2233" s="127"/>
      <c r="EX2233" s="127"/>
      <c r="EY2233" s="127"/>
      <c r="EZ2233" s="127"/>
      <c r="FA2233" s="127"/>
      <c r="FB2233" s="127"/>
      <c r="FC2233" s="127"/>
      <c r="FD2233" s="127"/>
      <c r="FE2233" s="127"/>
      <c r="FF2233" s="127"/>
      <c r="FG2233" s="127"/>
      <c r="FH2233" s="127"/>
      <c r="FI2233" s="127"/>
      <c r="FJ2233" s="127"/>
      <c r="FK2233" s="127"/>
      <c r="FL2233" s="127"/>
      <c r="FM2233" s="127"/>
      <c r="FN2233" s="127"/>
      <c r="FO2233" s="127"/>
      <c r="FP2233" s="127"/>
      <c r="FQ2233" s="127"/>
      <c r="FR2233" s="127"/>
      <c r="FS2233" s="127"/>
      <c r="FT2233" s="127"/>
      <c r="FU2233" s="127"/>
      <c r="FV2233" s="127"/>
      <c r="FW2233" s="127"/>
      <c r="FX2233" s="127"/>
      <c r="FY2233" s="127"/>
      <c r="FZ2233" s="127"/>
      <c r="GA2233" s="127"/>
      <c r="GB2233" s="127"/>
      <c r="GC2233" s="127"/>
      <c r="GD2233" s="127"/>
      <c r="GE2233" s="127"/>
      <c r="GF2233" s="127"/>
      <c r="GG2233" s="127"/>
      <c r="GH2233" s="127"/>
      <c r="GI2233" s="127"/>
      <c r="GJ2233" s="127"/>
      <c r="GK2233" s="127"/>
      <c r="GL2233" s="127"/>
      <c r="GM2233" s="127"/>
      <c r="GN2233" s="127"/>
      <c r="GO2233" s="127"/>
      <c r="GP2233" s="127"/>
      <c r="GQ2233" s="127"/>
      <c r="GR2233" s="127"/>
      <c r="GS2233" s="127"/>
      <c r="GT2233" s="127"/>
      <c r="GU2233" s="127"/>
      <c r="GV2233" s="127"/>
      <c r="GW2233" s="127"/>
      <c r="GX2233" s="127"/>
      <c r="GY2233" s="127"/>
      <c r="GZ2233" s="127"/>
      <c r="HA2233" s="127"/>
      <c r="HB2233" s="127"/>
      <c r="HC2233" s="127"/>
      <c r="HD2233" s="127"/>
      <c r="HE2233" s="127"/>
      <c r="HF2233" s="127"/>
      <c r="HG2233" s="127"/>
      <c r="HH2233" s="127"/>
      <c r="HI2233" s="127"/>
      <c r="HJ2233" s="127"/>
      <c r="HK2233" s="127"/>
      <c r="HL2233" s="127"/>
      <c r="HM2233" s="127"/>
      <c r="HN2233" s="127"/>
      <c r="HO2233" s="127"/>
      <c r="HP2233" s="127"/>
      <c r="HQ2233" s="127"/>
      <c r="HR2233" s="127"/>
      <c r="HS2233" s="127"/>
      <c r="HT2233" s="127"/>
      <c r="HU2233" s="127"/>
      <c r="HV2233" s="127"/>
      <c r="HW2233" s="127"/>
      <c r="HX2233" s="127"/>
      <c r="HY2233" s="127"/>
      <c r="HZ2233" s="127"/>
      <c r="IA2233" s="127"/>
      <c r="IB2233" s="127"/>
      <c r="IC2233" s="127"/>
      <c r="ID2233" s="127"/>
      <c r="IE2233" s="127"/>
      <c r="IF2233" s="127"/>
      <c r="IG2233" s="127"/>
      <c r="IH2233" s="127"/>
      <c r="II2233" s="127"/>
      <c r="IJ2233" s="127"/>
    </row>
    <row r="2234" spans="1:244" ht="12.75" customHeight="1">
      <c r="A2234" s="118">
        <v>2233</v>
      </c>
      <c r="B2234" s="128">
        <v>24</v>
      </c>
      <c r="C2234" s="156">
        <v>36892</v>
      </c>
      <c r="D2234" s="157" t="s">
        <v>44</v>
      </c>
      <c r="E2234" s="8">
        <v>2001</v>
      </c>
      <c r="F2234" s="158">
        <f t="shared" si="566"/>
        <v>275</v>
      </c>
      <c r="G2234" s="158">
        <f t="shared" si="567"/>
        <v>1</v>
      </c>
      <c r="H2234" s="162">
        <v>36617</v>
      </c>
      <c r="I2234" s="163">
        <v>542706</v>
      </c>
      <c r="J2234" s="11"/>
      <c r="K2234" s="11"/>
      <c r="L2234" s="11"/>
      <c r="O2234" s="11"/>
      <c r="Q2234" s="11">
        <v>8</v>
      </c>
      <c r="T2234" s="11"/>
      <c r="V2234" s="11"/>
      <c r="W2234" s="11"/>
      <c r="X2234" s="127"/>
      <c r="Y2234" s="127"/>
      <c r="Z2234" s="127"/>
      <c r="AA2234" s="127"/>
      <c r="AB2234" s="127"/>
      <c r="AC2234" s="127"/>
      <c r="AD2234" s="127"/>
      <c r="AE2234" s="127"/>
      <c r="AF2234" s="127"/>
      <c r="AG2234" s="127"/>
      <c r="AH2234" s="127"/>
      <c r="AI2234" s="127"/>
      <c r="AJ2234" s="127"/>
      <c r="AK2234" s="127"/>
      <c r="AL2234" s="127"/>
      <c r="AM2234" s="127"/>
      <c r="AN2234" s="127"/>
      <c r="AO2234" s="127"/>
      <c r="AP2234" s="127"/>
      <c r="AQ2234" s="127"/>
      <c r="AR2234" s="127"/>
      <c r="AS2234" s="127"/>
      <c r="AT2234" s="127"/>
      <c r="AU2234" s="127"/>
      <c r="AV2234" s="127"/>
      <c r="AW2234" s="127"/>
      <c r="AX2234" s="127"/>
      <c r="AY2234" s="127"/>
      <c r="AZ2234" s="127"/>
      <c r="BA2234" s="127"/>
      <c r="BB2234" s="127"/>
      <c r="BC2234" s="127"/>
      <c r="BD2234" s="127"/>
      <c r="BE2234" s="127"/>
      <c r="BF2234" s="127"/>
      <c r="BG2234" s="127"/>
      <c r="BH2234" s="127"/>
      <c r="BI2234" s="127"/>
      <c r="BJ2234" s="127"/>
      <c r="BK2234" s="127"/>
      <c r="BL2234" s="127"/>
      <c r="BM2234" s="127"/>
      <c r="BN2234" s="127"/>
      <c r="BO2234" s="127"/>
      <c r="BP2234" s="127"/>
      <c r="BQ2234" s="127"/>
      <c r="BR2234" s="127"/>
      <c r="BS2234" s="127"/>
      <c r="BT2234" s="127"/>
      <c r="BU2234" s="127"/>
      <c r="BV2234" s="127"/>
      <c r="BW2234" s="127"/>
      <c r="BX2234" s="127"/>
      <c r="BY2234" s="127"/>
      <c r="BZ2234" s="127"/>
      <c r="CA2234" s="127"/>
      <c r="CB2234" s="127"/>
      <c r="CC2234" s="127"/>
      <c r="CD2234" s="127"/>
      <c r="CE2234" s="127"/>
      <c r="CF2234" s="127"/>
      <c r="CG2234" s="127"/>
      <c r="CH2234" s="127"/>
      <c r="CI2234" s="127"/>
      <c r="CJ2234" s="127"/>
      <c r="CK2234" s="127"/>
      <c r="CL2234" s="127"/>
      <c r="CM2234" s="127"/>
      <c r="CN2234" s="127"/>
      <c r="CO2234" s="127"/>
      <c r="CP2234" s="127"/>
      <c r="CQ2234" s="127"/>
      <c r="CR2234" s="127"/>
      <c r="CS2234" s="127"/>
      <c r="CT2234" s="127"/>
      <c r="CU2234" s="127"/>
      <c r="CV2234" s="127"/>
      <c r="CW2234" s="127"/>
      <c r="CX2234" s="127"/>
      <c r="CY2234" s="127"/>
      <c r="CZ2234" s="127"/>
      <c r="DA2234" s="127"/>
      <c r="DB2234" s="127"/>
      <c r="DC2234" s="127"/>
      <c r="DD2234" s="127"/>
      <c r="DE2234" s="127"/>
      <c r="DF2234" s="127"/>
      <c r="DG2234" s="127"/>
      <c r="DH2234" s="127"/>
      <c r="DI2234" s="127"/>
      <c r="DJ2234" s="127"/>
      <c r="DK2234" s="127"/>
      <c r="DL2234" s="127"/>
      <c r="DM2234" s="127"/>
      <c r="DN2234" s="127"/>
      <c r="DO2234" s="127"/>
      <c r="DP2234" s="127"/>
      <c r="DQ2234" s="127"/>
      <c r="DR2234" s="127"/>
      <c r="DS2234" s="127"/>
      <c r="DT2234" s="127"/>
      <c r="DU2234" s="127"/>
      <c r="DV2234" s="127"/>
      <c r="DW2234" s="127"/>
      <c r="DX2234" s="127"/>
      <c r="DY2234" s="127"/>
      <c r="DZ2234" s="127"/>
      <c r="EA2234" s="127"/>
      <c r="EB2234" s="127"/>
      <c r="EC2234" s="127"/>
      <c r="ED2234" s="127"/>
      <c r="EE2234" s="127"/>
      <c r="EF2234" s="127"/>
      <c r="EG2234" s="127"/>
      <c r="EH2234" s="127"/>
      <c r="EI2234" s="127"/>
      <c r="EJ2234" s="127"/>
      <c r="EK2234" s="127"/>
      <c r="EL2234" s="127"/>
      <c r="EM2234" s="127"/>
      <c r="EN2234" s="127"/>
      <c r="EO2234" s="127"/>
      <c r="EP2234" s="127"/>
      <c r="EQ2234" s="127"/>
      <c r="ER2234" s="127"/>
      <c r="ES2234" s="127"/>
      <c r="ET2234" s="127"/>
      <c r="EU2234" s="127"/>
      <c r="EV2234" s="127"/>
      <c r="EW2234" s="127"/>
      <c r="EX2234" s="127"/>
      <c r="EY2234" s="127"/>
      <c r="EZ2234" s="127"/>
      <c r="FA2234" s="127"/>
      <c r="FB2234" s="127"/>
      <c r="FC2234" s="127"/>
      <c r="FD2234" s="127"/>
      <c r="FE2234" s="127"/>
      <c r="FF2234" s="127"/>
      <c r="FG2234" s="127"/>
      <c r="FH2234" s="127"/>
      <c r="FI2234" s="127"/>
      <c r="FJ2234" s="127"/>
      <c r="FK2234" s="127"/>
      <c r="FL2234" s="127"/>
      <c r="FM2234" s="127"/>
      <c r="FN2234" s="127"/>
      <c r="FO2234" s="127"/>
      <c r="FP2234" s="127"/>
      <c r="FQ2234" s="127"/>
      <c r="FR2234" s="127"/>
      <c r="FS2234" s="127"/>
      <c r="FT2234" s="127"/>
      <c r="FU2234" s="127"/>
      <c r="FV2234" s="127"/>
      <c r="FW2234" s="127"/>
      <c r="FX2234" s="127"/>
      <c r="FY2234" s="127"/>
      <c r="FZ2234" s="127"/>
      <c r="GA2234" s="127"/>
      <c r="GB2234" s="127"/>
      <c r="GC2234" s="127"/>
      <c r="GD2234" s="127"/>
      <c r="GE2234" s="127"/>
      <c r="GF2234" s="127"/>
      <c r="GG2234" s="127"/>
      <c r="GH2234" s="127"/>
      <c r="GI2234" s="127"/>
      <c r="GJ2234" s="127"/>
      <c r="GK2234" s="127"/>
      <c r="GL2234" s="127"/>
      <c r="GM2234" s="127"/>
      <c r="GN2234" s="127"/>
      <c r="GO2234" s="127"/>
      <c r="GP2234" s="127"/>
      <c r="GQ2234" s="127"/>
      <c r="GR2234" s="127"/>
      <c r="GS2234" s="127"/>
      <c r="GT2234" s="127"/>
      <c r="GU2234" s="127"/>
      <c r="GV2234" s="127"/>
      <c r="GW2234" s="127"/>
      <c r="GX2234" s="127"/>
      <c r="GY2234" s="127"/>
      <c r="GZ2234" s="127"/>
      <c r="HA2234" s="127"/>
      <c r="HB2234" s="127"/>
      <c r="HC2234" s="127"/>
      <c r="HD2234" s="127"/>
      <c r="HE2234" s="127"/>
      <c r="HF2234" s="127"/>
      <c r="HG2234" s="127"/>
      <c r="HH2234" s="127"/>
      <c r="HI2234" s="127"/>
      <c r="HJ2234" s="127"/>
      <c r="HK2234" s="127"/>
      <c r="HL2234" s="127"/>
      <c r="HM2234" s="127"/>
      <c r="HN2234" s="127"/>
      <c r="HO2234" s="127"/>
      <c r="HP2234" s="127"/>
      <c r="HQ2234" s="127"/>
      <c r="HR2234" s="127"/>
      <c r="HS2234" s="127"/>
      <c r="HT2234" s="127"/>
      <c r="HU2234" s="127"/>
      <c r="HV2234" s="127"/>
      <c r="HW2234" s="127"/>
      <c r="HX2234" s="127"/>
      <c r="HY2234" s="127"/>
      <c r="HZ2234" s="127"/>
      <c r="IA2234" s="127"/>
      <c r="IB2234" s="127"/>
      <c r="IC2234" s="127"/>
      <c r="ID2234" s="127"/>
      <c r="IE2234" s="127"/>
      <c r="IF2234" s="127"/>
      <c r="IG2234" s="127"/>
      <c r="IH2234" s="127"/>
      <c r="II2234" s="127"/>
      <c r="IJ2234" s="127"/>
    </row>
    <row r="2235" spans="1:244" ht="12.75" customHeight="1">
      <c r="A2235" s="118">
        <v>2234</v>
      </c>
      <c r="B2235" s="128">
        <v>24</v>
      </c>
      <c r="C2235" s="156">
        <v>36923</v>
      </c>
      <c r="D2235" s="157" t="s">
        <v>45</v>
      </c>
      <c r="E2235" s="8">
        <v>2001</v>
      </c>
      <c r="F2235" s="158">
        <f t="shared" si="566"/>
        <v>306</v>
      </c>
      <c r="G2235" s="158">
        <f t="shared" si="567"/>
        <v>1</v>
      </c>
      <c r="H2235" s="162">
        <v>36617</v>
      </c>
      <c r="I2235" s="163">
        <v>542694</v>
      </c>
      <c r="J2235" s="11"/>
      <c r="K2235" s="11"/>
      <c r="L2235" s="11"/>
      <c r="O2235" s="11"/>
      <c r="T2235" s="11"/>
      <c r="V2235" s="11"/>
      <c r="W2235" s="11"/>
      <c r="X2235" s="127"/>
      <c r="Y2235" s="127"/>
      <c r="Z2235" s="127"/>
      <c r="AA2235" s="127"/>
      <c r="AB2235" s="127"/>
      <c r="AC2235" s="127"/>
      <c r="AD2235" s="127"/>
      <c r="AE2235" s="127"/>
      <c r="AF2235" s="127"/>
      <c r="AG2235" s="127"/>
      <c r="AH2235" s="127"/>
      <c r="AI2235" s="127"/>
      <c r="AJ2235" s="127"/>
      <c r="AK2235" s="127"/>
      <c r="AL2235" s="127"/>
      <c r="AM2235" s="127"/>
      <c r="AN2235" s="127"/>
      <c r="AO2235" s="127"/>
      <c r="AP2235" s="127"/>
      <c r="AQ2235" s="127"/>
      <c r="AR2235" s="127"/>
      <c r="AS2235" s="127"/>
      <c r="AT2235" s="127"/>
      <c r="AU2235" s="127"/>
      <c r="AV2235" s="127"/>
      <c r="AW2235" s="127"/>
      <c r="AX2235" s="127"/>
      <c r="AY2235" s="127"/>
      <c r="AZ2235" s="127"/>
      <c r="BA2235" s="127"/>
      <c r="BB2235" s="127"/>
      <c r="BC2235" s="127"/>
      <c r="BD2235" s="127"/>
      <c r="BE2235" s="127"/>
      <c r="BF2235" s="127"/>
      <c r="BG2235" s="127"/>
      <c r="BH2235" s="127"/>
      <c r="BI2235" s="127"/>
      <c r="BJ2235" s="127"/>
      <c r="BK2235" s="127"/>
      <c r="BL2235" s="127"/>
      <c r="BM2235" s="127"/>
      <c r="BN2235" s="127"/>
      <c r="BO2235" s="127"/>
      <c r="BP2235" s="127"/>
      <c r="BQ2235" s="127"/>
      <c r="BR2235" s="127"/>
      <c r="BS2235" s="127"/>
      <c r="BT2235" s="127"/>
      <c r="BU2235" s="127"/>
      <c r="BV2235" s="127"/>
      <c r="BW2235" s="127"/>
      <c r="BX2235" s="127"/>
      <c r="BY2235" s="127"/>
      <c r="BZ2235" s="127"/>
      <c r="CA2235" s="127"/>
      <c r="CB2235" s="127"/>
      <c r="CC2235" s="127"/>
      <c r="CD2235" s="127"/>
      <c r="CE2235" s="127"/>
      <c r="CF2235" s="127"/>
      <c r="CG2235" s="127"/>
      <c r="CH2235" s="127"/>
      <c r="CI2235" s="127"/>
      <c r="CJ2235" s="127"/>
      <c r="CK2235" s="127"/>
      <c r="CL2235" s="127"/>
      <c r="CM2235" s="127"/>
      <c r="CN2235" s="127"/>
      <c r="CO2235" s="127"/>
      <c r="CP2235" s="127"/>
      <c r="CQ2235" s="127"/>
      <c r="CR2235" s="127"/>
      <c r="CS2235" s="127"/>
      <c r="CT2235" s="127"/>
      <c r="CU2235" s="127"/>
      <c r="CV2235" s="127"/>
      <c r="CW2235" s="127"/>
      <c r="CX2235" s="127"/>
      <c r="CY2235" s="127"/>
      <c r="CZ2235" s="127"/>
      <c r="DA2235" s="127"/>
      <c r="DB2235" s="127"/>
      <c r="DC2235" s="127"/>
      <c r="DD2235" s="127"/>
      <c r="DE2235" s="127"/>
      <c r="DF2235" s="127"/>
      <c r="DG2235" s="127"/>
      <c r="DH2235" s="127"/>
      <c r="DI2235" s="127"/>
      <c r="DJ2235" s="127"/>
      <c r="DK2235" s="127"/>
      <c r="DL2235" s="127"/>
      <c r="DM2235" s="127"/>
      <c r="DN2235" s="127"/>
      <c r="DO2235" s="127"/>
      <c r="DP2235" s="127"/>
      <c r="DQ2235" s="127"/>
      <c r="DR2235" s="127"/>
      <c r="DS2235" s="127"/>
      <c r="DT2235" s="127"/>
      <c r="DU2235" s="127"/>
      <c r="DV2235" s="127"/>
      <c r="DW2235" s="127"/>
      <c r="DX2235" s="127"/>
      <c r="DY2235" s="127"/>
      <c r="DZ2235" s="127"/>
      <c r="EA2235" s="127"/>
      <c r="EB2235" s="127"/>
      <c r="EC2235" s="127"/>
      <c r="ED2235" s="127"/>
      <c r="EE2235" s="127"/>
      <c r="EF2235" s="127"/>
      <c r="EG2235" s="127"/>
      <c r="EH2235" s="127"/>
      <c r="EI2235" s="127"/>
      <c r="EJ2235" s="127"/>
      <c r="EK2235" s="127"/>
      <c r="EL2235" s="127"/>
      <c r="EM2235" s="127"/>
      <c r="EN2235" s="127"/>
      <c r="EO2235" s="127"/>
      <c r="EP2235" s="127"/>
      <c r="EQ2235" s="127"/>
      <c r="ER2235" s="127"/>
      <c r="ES2235" s="127"/>
      <c r="ET2235" s="127"/>
      <c r="EU2235" s="127"/>
      <c r="EV2235" s="127"/>
      <c r="EW2235" s="127"/>
      <c r="EX2235" s="127"/>
      <c r="EY2235" s="127"/>
      <c r="EZ2235" s="127"/>
      <c r="FA2235" s="127"/>
      <c r="FB2235" s="127"/>
      <c r="FC2235" s="127"/>
      <c r="FD2235" s="127"/>
      <c r="FE2235" s="127"/>
      <c r="FF2235" s="127"/>
      <c r="FG2235" s="127"/>
      <c r="FH2235" s="127"/>
      <c r="FI2235" s="127"/>
      <c r="FJ2235" s="127"/>
      <c r="FK2235" s="127"/>
      <c r="FL2235" s="127"/>
      <c r="FM2235" s="127"/>
      <c r="FN2235" s="127"/>
      <c r="FO2235" s="127"/>
      <c r="FP2235" s="127"/>
      <c r="FQ2235" s="127"/>
      <c r="FR2235" s="127"/>
      <c r="FS2235" s="127"/>
      <c r="FT2235" s="127"/>
      <c r="FU2235" s="127"/>
      <c r="FV2235" s="127"/>
      <c r="FW2235" s="127"/>
      <c r="FX2235" s="127"/>
      <c r="FY2235" s="127"/>
      <c r="FZ2235" s="127"/>
      <c r="GA2235" s="127"/>
      <c r="GB2235" s="127"/>
      <c r="GC2235" s="127"/>
      <c r="GD2235" s="127"/>
      <c r="GE2235" s="127"/>
      <c r="GF2235" s="127"/>
      <c r="GG2235" s="127"/>
      <c r="GH2235" s="127"/>
      <c r="GI2235" s="127"/>
      <c r="GJ2235" s="127"/>
      <c r="GK2235" s="127"/>
      <c r="GL2235" s="127"/>
      <c r="GM2235" s="127"/>
      <c r="GN2235" s="127"/>
      <c r="GO2235" s="127"/>
      <c r="GP2235" s="127"/>
      <c r="GQ2235" s="127"/>
      <c r="GR2235" s="127"/>
      <c r="GS2235" s="127"/>
      <c r="GT2235" s="127"/>
      <c r="GU2235" s="127"/>
      <c r="GV2235" s="127"/>
      <c r="GW2235" s="127"/>
      <c r="GX2235" s="127"/>
      <c r="GY2235" s="127"/>
      <c r="GZ2235" s="127"/>
      <c r="HA2235" s="127"/>
      <c r="HB2235" s="127"/>
      <c r="HC2235" s="127"/>
      <c r="HD2235" s="127"/>
      <c r="HE2235" s="127"/>
      <c r="HF2235" s="127"/>
      <c r="HG2235" s="127"/>
      <c r="HH2235" s="127"/>
      <c r="HI2235" s="127"/>
      <c r="HJ2235" s="127"/>
      <c r="HK2235" s="127"/>
      <c r="HL2235" s="127"/>
      <c r="HM2235" s="127"/>
      <c r="HN2235" s="127"/>
      <c r="HO2235" s="127"/>
      <c r="HP2235" s="127"/>
      <c r="HQ2235" s="127"/>
      <c r="HR2235" s="127"/>
      <c r="HS2235" s="127"/>
      <c r="HT2235" s="127"/>
      <c r="HU2235" s="127"/>
      <c r="HV2235" s="127"/>
      <c r="HW2235" s="127"/>
      <c r="HX2235" s="127"/>
      <c r="HY2235" s="127"/>
      <c r="HZ2235" s="127"/>
      <c r="IA2235" s="127"/>
      <c r="IB2235" s="127"/>
      <c r="IC2235" s="127"/>
      <c r="ID2235" s="127"/>
      <c r="IE2235" s="127"/>
      <c r="IF2235" s="127"/>
      <c r="IG2235" s="127"/>
      <c r="IH2235" s="127"/>
      <c r="II2235" s="127"/>
      <c r="IJ2235" s="127"/>
    </row>
    <row r="2236" spans="1:244" ht="12.75" customHeight="1">
      <c r="A2236" s="118">
        <v>2235</v>
      </c>
      <c r="B2236" s="128">
        <v>24</v>
      </c>
      <c r="C2236" s="156">
        <v>36951</v>
      </c>
      <c r="D2236" s="157" t="s">
        <v>46</v>
      </c>
      <c r="E2236" s="8">
        <v>2001</v>
      </c>
      <c r="F2236" s="158">
        <f t="shared" si="566"/>
        <v>334</v>
      </c>
      <c r="G2236" s="158">
        <f t="shared" si="567"/>
        <v>1</v>
      </c>
      <c r="H2236" s="162">
        <v>36617</v>
      </c>
      <c r="I2236" s="163">
        <v>542325</v>
      </c>
      <c r="J2236" s="11">
        <v>34.799999999999997</v>
      </c>
      <c r="K2236" s="11">
        <v>11.3</v>
      </c>
      <c r="L2236" s="11">
        <v>4</v>
      </c>
      <c r="O2236" s="11">
        <v>1.4</v>
      </c>
      <c r="T2236" s="161">
        <f>$I2236*K2236</f>
        <v>6128272.5</v>
      </c>
      <c r="U2236" s="161">
        <f>$I2236*L2236</f>
        <v>2169300</v>
      </c>
      <c r="V2236" s="161">
        <f>$I2236*O2236</f>
        <v>759255</v>
      </c>
      <c r="W2236" s="161">
        <f>V2236*0.4</f>
        <v>303702</v>
      </c>
      <c r="X2236" s="127"/>
      <c r="Y2236" s="127"/>
      <c r="Z2236" s="127"/>
      <c r="AA2236" s="127"/>
      <c r="AB2236" s="127"/>
      <c r="AC2236" s="127"/>
      <c r="AD2236" s="127"/>
      <c r="AE2236" s="127"/>
      <c r="AF2236" s="127"/>
      <c r="AG2236" s="127"/>
      <c r="AH2236" s="127"/>
      <c r="AI2236" s="127"/>
      <c r="AJ2236" s="127"/>
      <c r="AK2236" s="127"/>
      <c r="AL2236" s="127"/>
      <c r="AM2236" s="127"/>
      <c r="AN2236" s="127"/>
      <c r="AO2236" s="127"/>
      <c r="AP2236" s="127"/>
      <c r="AQ2236" s="127"/>
      <c r="AR2236" s="127"/>
      <c r="AS2236" s="127"/>
      <c r="AT2236" s="127"/>
      <c r="AU2236" s="127"/>
      <c r="AV2236" s="127"/>
      <c r="AW2236" s="127"/>
      <c r="AX2236" s="127"/>
      <c r="AY2236" s="127"/>
      <c r="AZ2236" s="127"/>
      <c r="BA2236" s="127"/>
      <c r="BB2236" s="127"/>
      <c r="BC2236" s="127"/>
      <c r="BD2236" s="127"/>
      <c r="BE2236" s="127"/>
      <c r="BF2236" s="127"/>
      <c r="BG2236" s="127"/>
      <c r="BH2236" s="127"/>
      <c r="BI2236" s="127"/>
      <c r="BJ2236" s="127"/>
      <c r="BK2236" s="127"/>
      <c r="BL2236" s="127"/>
      <c r="BM2236" s="127"/>
      <c r="BN2236" s="127"/>
      <c r="BO2236" s="127"/>
      <c r="BP2236" s="127"/>
      <c r="BQ2236" s="127"/>
      <c r="BR2236" s="127"/>
      <c r="BS2236" s="127"/>
      <c r="BT2236" s="127"/>
      <c r="BU2236" s="127"/>
      <c r="BV2236" s="127"/>
      <c r="BW2236" s="127"/>
      <c r="BX2236" s="127"/>
      <c r="BY2236" s="127"/>
      <c r="BZ2236" s="127"/>
      <c r="CA2236" s="127"/>
      <c r="CB2236" s="127"/>
      <c r="CC2236" s="127"/>
      <c r="CD2236" s="127"/>
      <c r="CE2236" s="127"/>
      <c r="CF2236" s="127"/>
      <c r="CG2236" s="127"/>
      <c r="CH2236" s="127"/>
      <c r="CI2236" s="127"/>
      <c r="CJ2236" s="127"/>
      <c r="CK2236" s="127"/>
      <c r="CL2236" s="127"/>
      <c r="CM2236" s="127"/>
      <c r="CN2236" s="127"/>
      <c r="CO2236" s="127"/>
      <c r="CP2236" s="127"/>
      <c r="CQ2236" s="127"/>
      <c r="CR2236" s="127"/>
      <c r="CS2236" s="127"/>
      <c r="CT2236" s="127"/>
      <c r="CU2236" s="127"/>
      <c r="CV2236" s="127"/>
      <c r="CW2236" s="127"/>
      <c r="CX2236" s="127"/>
      <c r="CY2236" s="127"/>
      <c r="CZ2236" s="127"/>
      <c r="DA2236" s="127"/>
      <c r="DB2236" s="127"/>
      <c r="DC2236" s="127"/>
      <c r="DD2236" s="127"/>
      <c r="DE2236" s="127"/>
      <c r="DF2236" s="127"/>
      <c r="DG2236" s="127"/>
      <c r="DH2236" s="127"/>
      <c r="DI2236" s="127"/>
      <c r="DJ2236" s="127"/>
      <c r="DK2236" s="127"/>
      <c r="DL2236" s="127"/>
      <c r="DM2236" s="127"/>
      <c r="DN2236" s="127"/>
      <c r="DO2236" s="127"/>
      <c r="DP2236" s="127"/>
      <c r="DQ2236" s="127"/>
      <c r="DR2236" s="127"/>
      <c r="DS2236" s="127"/>
      <c r="DT2236" s="127"/>
      <c r="DU2236" s="127"/>
      <c r="DV2236" s="127"/>
      <c r="DW2236" s="127"/>
      <c r="DX2236" s="127"/>
      <c r="DY2236" s="127"/>
      <c r="DZ2236" s="127"/>
      <c r="EA2236" s="127"/>
      <c r="EB2236" s="127"/>
      <c r="EC2236" s="127"/>
      <c r="ED2236" s="127"/>
      <c r="EE2236" s="127"/>
      <c r="EF2236" s="127"/>
      <c r="EG2236" s="127"/>
      <c r="EH2236" s="127"/>
      <c r="EI2236" s="127"/>
      <c r="EJ2236" s="127"/>
      <c r="EK2236" s="127"/>
      <c r="EL2236" s="127"/>
      <c r="EM2236" s="127"/>
      <c r="EN2236" s="127"/>
      <c r="EO2236" s="127"/>
      <c r="EP2236" s="127"/>
      <c r="EQ2236" s="127"/>
      <c r="ER2236" s="127"/>
      <c r="ES2236" s="127"/>
      <c r="ET2236" s="127"/>
      <c r="EU2236" s="127"/>
      <c r="EV2236" s="127"/>
      <c r="EW2236" s="127"/>
      <c r="EX2236" s="127"/>
      <c r="EY2236" s="127"/>
      <c r="EZ2236" s="127"/>
      <c r="FA2236" s="127"/>
      <c r="FB2236" s="127"/>
      <c r="FC2236" s="127"/>
      <c r="FD2236" s="127"/>
      <c r="FE2236" s="127"/>
      <c r="FF2236" s="127"/>
      <c r="FG2236" s="127"/>
      <c r="FH2236" s="127"/>
      <c r="FI2236" s="127"/>
      <c r="FJ2236" s="127"/>
      <c r="FK2236" s="127"/>
      <c r="FL2236" s="127"/>
      <c r="FM2236" s="127"/>
      <c r="FN2236" s="127"/>
      <c r="FO2236" s="127"/>
      <c r="FP2236" s="127"/>
      <c r="FQ2236" s="127"/>
      <c r="FR2236" s="127"/>
      <c r="FS2236" s="127"/>
      <c r="FT2236" s="127"/>
      <c r="FU2236" s="127"/>
      <c r="FV2236" s="127"/>
      <c r="FW2236" s="127"/>
      <c r="FX2236" s="127"/>
      <c r="FY2236" s="127"/>
      <c r="FZ2236" s="127"/>
      <c r="GA2236" s="127"/>
      <c r="GB2236" s="127"/>
      <c r="GC2236" s="127"/>
      <c r="GD2236" s="127"/>
      <c r="GE2236" s="127"/>
      <c r="GF2236" s="127"/>
      <c r="GG2236" s="127"/>
      <c r="GH2236" s="127"/>
      <c r="GI2236" s="127"/>
      <c r="GJ2236" s="127"/>
      <c r="GK2236" s="127"/>
      <c r="GL2236" s="127"/>
      <c r="GM2236" s="127"/>
      <c r="GN2236" s="127"/>
      <c r="GO2236" s="127"/>
      <c r="GP2236" s="127"/>
      <c r="GQ2236" s="127"/>
      <c r="GR2236" s="127"/>
      <c r="GS2236" s="127"/>
      <c r="GT2236" s="127"/>
      <c r="GU2236" s="127"/>
      <c r="GV2236" s="127"/>
      <c r="GW2236" s="127"/>
      <c r="GX2236" s="127"/>
      <c r="GY2236" s="127"/>
      <c r="GZ2236" s="127"/>
      <c r="HA2236" s="127"/>
      <c r="HB2236" s="127"/>
      <c r="HC2236" s="127"/>
      <c r="HD2236" s="127"/>
      <c r="HE2236" s="127"/>
      <c r="HF2236" s="127"/>
      <c r="HG2236" s="127"/>
      <c r="HH2236" s="127"/>
      <c r="HI2236" s="127"/>
      <c r="HJ2236" s="127"/>
      <c r="HK2236" s="127"/>
      <c r="HL2236" s="127"/>
      <c r="HM2236" s="127"/>
      <c r="HN2236" s="127"/>
      <c r="HO2236" s="127"/>
      <c r="HP2236" s="127"/>
      <c r="HQ2236" s="127"/>
      <c r="HR2236" s="127"/>
      <c r="HS2236" s="127"/>
      <c r="HT2236" s="127"/>
      <c r="HU2236" s="127"/>
      <c r="HV2236" s="127"/>
      <c r="HW2236" s="127"/>
      <c r="HX2236" s="127"/>
      <c r="HY2236" s="127"/>
      <c r="HZ2236" s="127"/>
      <c r="IA2236" s="127"/>
      <c r="IB2236" s="127"/>
      <c r="IC2236" s="127"/>
      <c r="ID2236" s="127"/>
      <c r="IE2236" s="127"/>
      <c r="IF2236" s="127"/>
      <c r="IG2236" s="127"/>
      <c r="IH2236" s="127"/>
      <c r="II2236" s="127"/>
      <c r="IJ2236" s="127"/>
    </row>
    <row r="2237" spans="1:244" ht="12.75" customHeight="1">
      <c r="A2237" s="118">
        <v>2236</v>
      </c>
      <c r="B2237" s="128">
        <v>24</v>
      </c>
      <c r="C2237" s="156">
        <v>36982</v>
      </c>
      <c r="D2237" s="157" t="s">
        <v>47</v>
      </c>
      <c r="E2237" s="8">
        <v>2001</v>
      </c>
      <c r="F2237" s="158">
        <f t="shared" si="566"/>
        <v>365</v>
      </c>
      <c r="G2237" s="158">
        <f t="shared" si="567"/>
        <v>2</v>
      </c>
      <c r="H2237" s="162">
        <v>36617</v>
      </c>
      <c r="I2237" s="163">
        <v>541593</v>
      </c>
      <c r="J2237" s="11"/>
      <c r="K2237" s="11"/>
      <c r="L2237" s="199">
        <v>4.5999999999999996</v>
      </c>
      <c r="N2237" s="528">
        <v>3</v>
      </c>
      <c r="O2237" s="199">
        <v>1.1000000000000001</v>
      </c>
      <c r="T2237" s="11"/>
      <c r="U2237" s="161">
        <f>$I2237*L2237</f>
        <v>2491327.7999999998</v>
      </c>
      <c r="V2237" s="161">
        <f t="shared" ref="V2237:V2240" si="568">$I2237*O2237</f>
        <v>595752.30000000005</v>
      </c>
      <c r="W2237" s="161">
        <f>V2237*0.4</f>
        <v>238300.92000000004</v>
      </c>
      <c r="X2237" s="127"/>
      <c r="Y2237" s="127"/>
      <c r="Z2237" s="127"/>
      <c r="AA2237" s="127"/>
      <c r="AB2237" s="127"/>
      <c r="AC2237" s="127"/>
      <c r="AD2237" s="127"/>
      <c r="AE2237" s="127"/>
      <c r="AF2237" s="127"/>
      <c r="AG2237" s="127"/>
      <c r="AH2237" s="127"/>
      <c r="AI2237" s="127"/>
      <c r="AJ2237" s="127"/>
      <c r="AK2237" s="127"/>
      <c r="AL2237" s="127"/>
      <c r="AM2237" s="127"/>
      <c r="AN2237" s="127"/>
      <c r="AO2237" s="127"/>
      <c r="AP2237" s="127"/>
      <c r="AQ2237" s="127"/>
      <c r="AR2237" s="127"/>
      <c r="AS2237" s="127"/>
      <c r="AT2237" s="127"/>
      <c r="AU2237" s="127"/>
      <c r="AV2237" s="127"/>
      <c r="AW2237" s="127"/>
      <c r="AX2237" s="127"/>
      <c r="AY2237" s="127"/>
      <c r="AZ2237" s="127"/>
      <c r="BA2237" s="127"/>
      <c r="BB2237" s="127"/>
      <c r="BC2237" s="127"/>
      <c r="BD2237" s="127"/>
      <c r="BE2237" s="127"/>
      <c r="BF2237" s="127"/>
      <c r="BG2237" s="127"/>
      <c r="BH2237" s="127"/>
      <c r="BI2237" s="127"/>
      <c r="BJ2237" s="127"/>
      <c r="BK2237" s="127"/>
      <c r="BL2237" s="127"/>
      <c r="BM2237" s="127"/>
      <c r="BN2237" s="127"/>
      <c r="BO2237" s="127"/>
      <c r="BP2237" s="127"/>
      <c r="BQ2237" s="127"/>
      <c r="BR2237" s="127"/>
      <c r="BS2237" s="127"/>
      <c r="BT2237" s="127"/>
      <c r="BU2237" s="127"/>
      <c r="BV2237" s="127"/>
      <c r="BW2237" s="127"/>
      <c r="BX2237" s="127"/>
      <c r="BY2237" s="127"/>
      <c r="BZ2237" s="127"/>
      <c r="CA2237" s="127"/>
      <c r="CB2237" s="127"/>
      <c r="CC2237" s="127"/>
      <c r="CD2237" s="127"/>
      <c r="CE2237" s="127"/>
      <c r="CF2237" s="127"/>
      <c r="CG2237" s="127"/>
      <c r="CH2237" s="127"/>
      <c r="CI2237" s="127"/>
      <c r="CJ2237" s="127"/>
      <c r="CK2237" s="127"/>
      <c r="CL2237" s="127"/>
      <c r="CM2237" s="127"/>
      <c r="CN2237" s="127"/>
      <c r="CO2237" s="127"/>
      <c r="CP2237" s="127"/>
      <c r="CQ2237" s="127"/>
      <c r="CR2237" s="127"/>
      <c r="CS2237" s="127"/>
      <c r="CT2237" s="127"/>
      <c r="CU2237" s="127"/>
      <c r="CV2237" s="127"/>
      <c r="CW2237" s="127"/>
      <c r="CX2237" s="127"/>
      <c r="CY2237" s="127"/>
      <c r="CZ2237" s="127"/>
      <c r="DA2237" s="127"/>
      <c r="DB2237" s="127"/>
      <c r="DC2237" s="127"/>
      <c r="DD2237" s="127"/>
      <c r="DE2237" s="127"/>
      <c r="DF2237" s="127"/>
      <c r="DG2237" s="127"/>
      <c r="DH2237" s="127"/>
      <c r="DI2237" s="127"/>
      <c r="DJ2237" s="127"/>
      <c r="DK2237" s="127"/>
      <c r="DL2237" s="127"/>
      <c r="DM2237" s="127"/>
      <c r="DN2237" s="127"/>
      <c r="DO2237" s="127"/>
      <c r="DP2237" s="127"/>
      <c r="DQ2237" s="127"/>
      <c r="DR2237" s="127"/>
      <c r="DS2237" s="127"/>
      <c r="DT2237" s="127"/>
      <c r="DU2237" s="127"/>
      <c r="DV2237" s="127"/>
      <c r="DW2237" s="127"/>
      <c r="DX2237" s="127"/>
      <c r="DY2237" s="127"/>
      <c r="DZ2237" s="127"/>
      <c r="EA2237" s="127"/>
      <c r="EB2237" s="127"/>
      <c r="EC2237" s="127"/>
      <c r="ED2237" s="127"/>
      <c r="EE2237" s="127"/>
      <c r="EF2237" s="127"/>
      <c r="EG2237" s="127"/>
      <c r="EH2237" s="127"/>
      <c r="EI2237" s="127"/>
      <c r="EJ2237" s="127"/>
      <c r="EK2237" s="127"/>
      <c r="EL2237" s="127"/>
      <c r="EM2237" s="127"/>
      <c r="EN2237" s="127"/>
      <c r="EO2237" s="127"/>
      <c r="EP2237" s="127"/>
      <c r="EQ2237" s="127"/>
      <c r="ER2237" s="127"/>
      <c r="ES2237" s="127"/>
      <c r="ET2237" s="127"/>
      <c r="EU2237" s="127"/>
      <c r="EV2237" s="127"/>
      <c r="EW2237" s="127"/>
      <c r="EX2237" s="127"/>
      <c r="EY2237" s="127"/>
      <c r="EZ2237" s="127"/>
      <c r="FA2237" s="127"/>
      <c r="FB2237" s="127"/>
      <c r="FC2237" s="127"/>
      <c r="FD2237" s="127"/>
      <c r="FE2237" s="127"/>
      <c r="FF2237" s="127"/>
      <c r="FG2237" s="127"/>
      <c r="FH2237" s="127"/>
      <c r="FI2237" s="127"/>
      <c r="FJ2237" s="127"/>
      <c r="FK2237" s="127"/>
      <c r="FL2237" s="127"/>
      <c r="FM2237" s="127"/>
      <c r="FN2237" s="127"/>
      <c r="FO2237" s="127"/>
      <c r="FP2237" s="127"/>
      <c r="FQ2237" s="127"/>
      <c r="FR2237" s="127"/>
      <c r="FS2237" s="127"/>
      <c r="FT2237" s="127"/>
      <c r="FU2237" s="127"/>
      <c r="FV2237" s="127"/>
      <c r="FW2237" s="127"/>
      <c r="FX2237" s="127"/>
      <c r="FY2237" s="127"/>
      <c r="FZ2237" s="127"/>
      <c r="GA2237" s="127"/>
      <c r="GB2237" s="127"/>
      <c r="GC2237" s="127"/>
      <c r="GD2237" s="127"/>
      <c r="GE2237" s="127"/>
      <c r="GF2237" s="127"/>
      <c r="GG2237" s="127"/>
      <c r="GH2237" s="127"/>
      <c r="GI2237" s="127"/>
      <c r="GJ2237" s="127"/>
      <c r="GK2237" s="127"/>
      <c r="GL2237" s="127"/>
      <c r="GM2237" s="127"/>
      <c r="GN2237" s="127"/>
      <c r="GO2237" s="127"/>
      <c r="GP2237" s="127"/>
      <c r="GQ2237" s="127"/>
      <c r="GR2237" s="127"/>
      <c r="GS2237" s="127"/>
      <c r="GT2237" s="127"/>
      <c r="GU2237" s="127"/>
      <c r="GV2237" s="127"/>
      <c r="GW2237" s="127"/>
      <c r="GX2237" s="127"/>
      <c r="GY2237" s="127"/>
      <c r="GZ2237" s="127"/>
      <c r="HA2237" s="127"/>
      <c r="HB2237" s="127"/>
      <c r="HC2237" s="127"/>
      <c r="HD2237" s="127"/>
      <c r="HE2237" s="127"/>
      <c r="HF2237" s="127"/>
      <c r="HG2237" s="127"/>
      <c r="HH2237" s="127"/>
      <c r="HI2237" s="127"/>
      <c r="HJ2237" s="127"/>
      <c r="HK2237" s="127"/>
      <c r="HL2237" s="127"/>
      <c r="HM2237" s="127"/>
      <c r="HN2237" s="127"/>
      <c r="HO2237" s="127"/>
      <c r="HP2237" s="127"/>
      <c r="HQ2237" s="127"/>
      <c r="HR2237" s="127"/>
      <c r="HS2237" s="127"/>
      <c r="HT2237" s="127"/>
      <c r="HU2237" s="127"/>
      <c r="HV2237" s="127"/>
      <c r="HW2237" s="127"/>
      <c r="HX2237" s="127"/>
      <c r="HY2237" s="127"/>
      <c r="HZ2237" s="127"/>
      <c r="IA2237" s="127"/>
      <c r="IB2237" s="127"/>
      <c r="IC2237" s="127"/>
      <c r="ID2237" s="127"/>
      <c r="IE2237" s="127"/>
      <c r="IF2237" s="127"/>
      <c r="IG2237" s="127"/>
      <c r="IH2237" s="127"/>
      <c r="II2237" s="127"/>
      <c r="IJ2237" s="127"/>
    </row>
    <row r="2238" spans="1:244" ht="12.75" customHeight="1">
      <c r="A2238" s="118">
        <v>2237</v>
      </c>
      <c r="B2238" s="128">
        <v>24</v>
      </c>
      <c r="C2238" s="156">
        <v>37012</v>
      </c>
      <c r="D2238" s="157" t="s">
        <v>48</v>
      </c>
      <c r="E2238" s="8">
        <v>2001</v>
      </c>
      <c r="F2238" s="158">
        <f t="shared" si="566"/>
        <v>395</v>
      </c>
      <c r="G2238" s="158">
        <f t="shared" si="567"/>
        <v>2</v>
      </c>
      <c r="H2238" s="162">
        <v>36617</v>
      </c>
      <c r="I2238" s="163">
        <v>541166</v>
      </c>
      <c r="J2238" s="11"/>
      <c r="K2238" s="11"/>
      <c r="L2238" s="199">
        <v>5.2</v>
      </c>
      <c r="N2238" s="528">
        <v>3</v>
      </c>
      <c r="O2238" s="199">
        <v>0.8</v>
      </c>
      <c r="T2238" s="11"/>
      <c r="U2238" s="161">
        <f>$I2238*L2238</f>
        <v>2814063.2</v>
      </c>
      <c r="V2238" s="161">
        <f t="shared" si="568"/>
        <v>432932.80000000005</v>
      </c>
      <c r="W2238" s="161">
        <f>V2238*0.4</f>
        <v>173173.12000000002</v>
      </c>
    </row>
    <row r="2239" spans="1:244" ht="12.75" customHeight="1">
      <c r="A2239" s="118">
        <v>2238</v>
      </c>
      <c r="B2239" s="128">
        <v>24</v>
      </c>
      <c r="C2239" s="156">
        <v>37043</v>
      </c>
      <c r="D2239" s="157" t="s">
        <v>49</v>
      </c>
      <c r="E2239" s="8">
        <v>2001</v>
      </c>
      <c r="F2239" s="158">
        <f t="shared" si="566"/>
        <v>426</v>
      </c>
      <c r="G2239" s="158">
        <f t="shared" si="567"/>
        <v>2</v>
      </c>
      <c r="H2239" s="162">
        <v>36617</v>
      </c>
      <c r="I2239" s="163">
        <v>521006</v>
      </c>
      <c r="J2239" s="11"/>
      <c r="K2239" s="11"/>
      <c r="L2239" s="199">
        <v>5.8</v>
      </c>
      <c r="N2239" s="528">
        <v>3</v>
      </c>
      <c r="O2239" s="199">
        <v>0.4</v>
      </c>
      <c r="Q2239" s="11">
        <v>8.9</v>
      </c>
      <c r="T2239" s="11"/>
      <c r="U2239" s="161">
        <f>$I2239*L2239</f>
        <v>3021834.8</v>
      </c>
      <c r="V2239" s="161">
        <f t="shared" si="568"/>
        <v>208402.40000000002</v>
      </c>
      <c r="W2239" s="161">
        <f>V2239*0.4</f>
        <v>83360.960000000021</v>
      </c>
    </row>
    <row r="2240" spans="1:244" s="127" customFormat="1" ht="12.75" customHeight="1">
      <c r="A2240" s="118">
        <v>2239</v>
      </c>
      <c r="B2240" s="128">
        <v>24</v>
      </c>
      <c r="C2240" s="156">
        <v>37073</v>
      </c>
      <c r="D2240" s="157" t="s">
        <v>50</v>
      </c>
      <c r="E2240" s="8">
        <v>2001</v>
      </c>
      <c r="F2240" s="158">
        <f t="shared" si="566"/>
        <v>456</v>
      </c>
      <c r="G2240" s="158">
        <f t="shared" si="567"/>
        <v>2</v>
      </c>
      <c r="H2240" s="162">
        <v>36617</v>
      </c>
      <c r="I2240" s="163">
        <v>516827</v>
      </c>
      <c r="J2240" s="11">
        <v>4.75</v>
      </c>
      <c r="K2240" s="11">
        <v>13.7</v>
      </c>
      <c r="L2240" s="11">
        <v>6.4</v>
      </c>
      <c r="M2240" s="174"/>
      <c r="N2240" s="528"/>
      <c r="O2240" s="11">
        <v>0</v>
      </c>
      <c r="P2240" s="8"/>
      <c r="Q2240" s="11"/>
      <c r="R2240" s="11"/>
      <c r="S2240" s="155"/>
      <c r="T2240" s="161">
        <f>$I2240*K2240</f>
        <v>7080529.8999999994</v>
      </c>
      <c r="U2240" s="161">
        <f>$I2240*L2240</f>
        <v>3307692.8000000003</v>
      </c>
      <c r="V2240" s="161">
        <f t="shared" si="568"/>
        <v>0</v>
      </c>
      <c r="W2240" s="161">
        <f>V2240*0.4</f>
        <v>0</v>
      </c>
      <c r="X2240" s="118"/>
      <c r="Y2240" s="118"/>
      <c r="Z2240" s="118"/>
      <c r="AA2240" s="118"/>
      <c r="AB2240" s="118"/>
      <c r="AC2240" s="118"/>
      <c r="AD2240" s="118"/>
      <c r="AE2240" s="118"/>
      <c r="AF2240" s="118"/>
      <c r="AG2240" s="118"/>
      <c r="AH2240" s="118"/>
      <c r="AI2240" s="118"/>
      <c r="AJ2240" s="118"/>
      <c r="AK2240" s="118"/>
      <c r="AL2240" s="118"/>
      <c r="AM2240" s="118"/>
      <c r="AN2240" s="118"/>
      <c r="AO2240" s="118"/>
      <c r="AP2240" s="118"/>
      <c r="AQ2240" s="118"/>
      <c r="AR2240" s="118"/>
      <c r="AS2240" s="118"/>
      <c r="AT2240" s="118"/>
      <c r="AU2240" s="118"/>
      <c r="AV2240" s="118"/>
      <c r="AW2240" s="118"/>
      <c r="AX2240" s="118"/>
      <c r="AY2240" s="118"/>
      <c r="AZ2240" s="118"/>
      <c r="BA2240" s="118"/>
      <c r="BB2240" s="118"/>
      <c r="BC2240" s="118"/>
      <c r="BD2240" s="118"/>
      <c r="BE2240" s="118"/>
      <c r="BF2240" s="118"/>
      <c r="BG2240" s="118"/>
      <c r="BH2240" s="118"/>
      <c r="BI2240" s="118"/>
      <c r="BJ2240" s="118"/>
      <c r="BK2240" s="118"/>
      <c r="BL2240" s="118"/>
      <c r="BM2240" s="118"/>
      <c r="BN2240" s="118"/>
      <c r="BO2240" s="118"/>
      <c r="BP2240" s="118"/>
      <c r="BQ2240" s="118"/>
      <c r="BR2240" s="118"/>
      <c r="BS2240" s="118"/>
      <c r="BT2240" s="118"/>
      <c r="BU2240" s="118"/>
      <c r="BV2240" s="118"/>
      <c r="BW2240" s="118"/>
      <c r="BX2240" s="118"/>
      <c r="BY2240" s="118"/>
      <c r="BZ2240" s="118"/>
      <c r="CA2240" s="118"/>
      <c r="CB2240" s="118"/>
      <c r="CC2240" s="118"/>
      <c r="CD2240" s="118"/>
      <c r="CE2240" s="118"/>
      <c r="CF2240" s="118"/>
      <c r="CG2240" s="118"/>
      <c r="CH2240" s="118"/>
      <c r="CI2240" s="118"/>
      <c r="CJ2240" s="118"/>
      <c r="CK2240" s="118"/>
      <c r="CL2240" s="118"/>
      <c r="CM2240" s="118"/>
      <c r="CN2240" s="118"/>
      <c r="CO2240" s="118"/>
      <c r="CP2240" s="118"/>
      <c r="CQ2240" s="118"/>
      <c r="CR2240" s="118"/>
      <c r="CS2240" s="118"/>
      <c r="CT2240" s="118"/>
      <c r="CU2240" s="118"/>
      <c r="CV2240" s="118"/>
      <c r="CW2240" s="118"/>
      <c r="CX2240" s="118"/>
      <c r="CY2240" s="118"/>
      <c r="CZ2240" s="118"/>
      <c r="DA2240" s="118"/>
      <c r="DB2240" s="118"/>
      <c r="DC2240" s="118"/>
      <c r="DD2240" s="118"/>
      <c r="DE2240" s="118"/>
      <c r="DF2240" s="118"/>
      <c r="DG2240" s="118"/>
      <c r="DH2240" s="118"/>
      <c r="DI2240" s="118"/>
      <c r="DJ2240" s="118"/>
      <c r="DK2240" s="118"/>
      <c r="DL2240" s="118"/>
      <c r="DM2240" s="118"/>
      <c r="DN2240" s="118"/>
      <c r="DO2240" s="118"/>
      <c r="DP2240" s="118"/>
      <c r="DQ2240" s="118"/>
      <c r="DR2240" s="118"/>
      <c r="DS2240" s="118"/>
      <c r="DT2240" s="118"/>
      <c r="DU2240" s="118"/>
      <c r="DV2240" s="118"/>
      <c r="DW2240" s="118"/>
      <c r="DX2240" s="118"/>
      <c r="DY2240" s="118"/>
      <c r="DZ2240" s="118"/>
      <c r="EA2240" s="118"/>
      <c r="EB2240" s="118"/>
      <c r="EC2240" s="118"/>
      <c r="ED2240" s="118"/>
      <c r="EE2240" s="118"/>
      <c r="EF2240" s="118"/>
      <c r="EG2240" s="118"/>
      <c r="EH2240" s="118"/>
      <c r="EI2240" s="118"/>
      <c r="EJ2240" s="118"/>
      <c r="EK2240" s="118"/>
      <c r="EL2240" s="118"/>
      <c r="EM2240" s="118"/>
      <c r="EN2240" s="118"/>
      <c r="EO2240" s="118"/>
      <c r="EP2240" s="118"/>
      <c r="EQ2240" s="118"/>
      <c r="ER2240" s="118"/>
      <c r="ES2240" s="118"/>
      <c r="ET2240" s="118"/>
      <c r="EU2240" s="118"/>
      <c r="EV2240" s="118"/>
      <c r="EW2240" s="118"/>
      <c r="EX2240" s="118"/>
      <c r="EY2240" s="118"/>
      <c r="EZ2240" s="118"/>
      <c r="FA2240" s="118"/>
      <c r="FB2240" s="118"/>
      <c r="FC2240" s="118"/>
      <c r="FD2240" s="118"/>
      <c r="FE2240" s="118"/>
      <c r="FF2240" s="118"/>
      <c r="FG2240" s="118"/>
      <c r="FH2240" s="118"/>
      <c r="FI2240" s="118"/>
      <c r="FJ2240" s="118"/>
      <c r="FK2240" s="118"/>
      <c r="FL2240" s="118"/>
      <c r="FM2240" s="118"/>
      <c r="FN2240" s="118"/>
      <c r="FO2240" s="118"/>
      <c r="FP2240" s="118"/>
      <c r="FQ2240" s="118"/>
      <c r="FR2240" s="118"/>
      <c r="FS2240" s="118"/>
      <c r="FT2240" s="118"/>
      <c r="FU2240" s="118"/>
      <c r="FV2240" s="118"/>
      <c r="FW2240" s="118"/>
      <c r="FX2240" s="118"/>
      <c r="FY2240" s="118"/>
      <c r="FZ2240" s="118"/>
      <c r="GA2240" s="118"/>
      <c r="GB2240" s="118"/>
      <c r="GC2240" s="118"/>
      <c r="GD2240" s="118"/>
      <c r="GE2240" s="118"/>
      <c r="GF2240" s="118"/>
      <c r="GG2240" s="118"/>
      <c r="GH2240" s="118"/>
      <c r="GI2240" s="118"/>
      <c r="GJ2240" s="118"/>
      <c r="GK2240" s="118"/>
      <c r="GL2240" s="118"/>
      <c r="GM2240" s="118"/>
      <c r="GN2240" s="118"/>
      <c r="GO2240" s="118"/>
      <c r="GP2240" s="118"/>
      <c r="GQ2240" s="118"/>
      <c r="GR2240" s="118"/>
      <c r="GS2240" s="118"/>
      <c r="GT2240" s="118"/>
      <c r="GU2240" s="118"/>
      <c r="GV2240" s="118"/>
      <c r="GW2240" s="118"/>
      <c r="GX2240" s="118"/>
      <c r="GY2240" s="118"/>
      <c r="GZ2240" s="118"/>
      <c r="HA2240" s="118"/>
      <c r="HB2240" s="118"/>
      <c r="HC2240" s="118"/>
      <c r="HD2240" s="118"/>
      <c r="HE2240" s="118"/>
      <c r="HF2240" s="118"/>
      <c r="HG2240" s="118"/>
      <c r="HH2240" s="118"/>
      <c r="HI2240" s="118"/>
      <c r="HJ2240" s="118"/>
      <c r="HK2240" s="118"/>
      <c r="HL2240" s="118"/>
      <c r="HM2240" s="118"/>
      <c r="HN2240" s="118"/>
      <c r="HO2240" s="118"/>
      <c r="HP2240" s="118"/>
      <c r="HQ2240" s="118"/>
      <c r="HR2240" s="118"/>
      <c r="HS2240" s="118"/>
      <c r="HT2240" s="118"/>
      <c r="HU2240" s="118"/>
      <c r="HV2240" s="118"/>
      <c r="HW2240" s="118"/>
      <c r="HX2240" s="118"/>
      <c r="HY2240" s="118"/>
      <c r="HZ2240" s="118"/>
      <c r="IA2240" s="118"/>
      <c r="IB2240" s="118"/>
      <c r="IC2240" s="118"/>
      <c r="ID2240" s="118"/>
      <c r="IE2240" s="118"/>
      <c r="IF2240" s="118"/>
      <c r="IG2240" s="118"/>
      <c r="IH2240" s="118"/>
      <c r="II2240" s="118"/>
      <c r="IJ2240" s="118"/>
    </row>
    <row r="2241" spans="1:244" s="127" customFormat="1" ht="12.75" customHeight="1">
      <c r="A2241" s="118">
        <v>2240</v>
      </c>
      <c r="B2241" s="128">
        <v>24</v>
      </c>
      <c r="C2241" s="156">
        <v>37104</v>
      </c>
      <c r="D2241" s="157" t="s">
        <v>51</v>
      </c>
      <c r="E2241" s="8">
        <v>2001</v>
      </c>
      <c r="F2241" s="158">
        <f t="shared" si="566"/>
        <v>487</v>
      </c>
      <c r="G2241" s="158">
        <f t="shared" si="567"/>
        <v>2</v>
      </c>
      <c r="H2241" s="162">
        <v>36617</v>
      </c>
      <c r="I2241" s="163">
        <v>515914</v>
      </c>
      <c r="J2241" s="11"/>
      <c r="K2241" s="11"/>
      <c r="L2241" s="11"/>
      <c r="M2241" s="174"/>
      <c r="N2241" s="528"/>
      <c r="O2241" s="11"/>
      <c r="P2241" s="8"/>
      <c r="Q2241" s="11">
        <v>9.5</v>
      </c>
      <c r="R2241" s="11"/>
      <c r="S2241" s="155"/>
      <c r="T2241" s="11"/>
      <c r="U2241" s="161"/>
      <c r="V2241" s="11"/>
      <c r="W2241" s="11"/>
      <c r="X2241" s="118"/>
      <c r="Y2241" s="118"/>
      <c r="Z2241" s="118"/>
      <c r="AA2241" s="118"/>
      <c r="AB2241" s="118"/>
      <c r="AC2241" s="118"/>
      <c r="AD2241" s="118"/>
      <c r="AE2241" s="118"/>
      <c r="AF2241" s="118"/>
      <c r="AG2241" s="118"/>
      <c r="AH2241" s="118"/>
      <c r="AI2241" s="118"/>
      <c r="AJ2241" s="118"/>
      <c r="AK2241" s="118"/>
      <c r="AL2241" s="118"/>
      <c r="AM2241" s="118"/>
      <c r="AN2241" s="118"/>
      <c r="AO2241" s="118"/>
      <c r="AP2241" s="118"/>
      <c r="AQ2241" s="118"/>
      <c r="AR2241" s="118"/>
      <c r="AS2241" s="118"/>
      <c r="AT2241" s="118"/>
      <c r="AU2241" s="118"/>
      <c r="AV2241" s="118"/>
      <c r="AW2241" s="118"/>
      <c r="AX2241" s="118"/>
      <c r="AY2241" s="118"/>
      <c r="AZ2241" s="118"/>
      <c r="BA2241" s="118"/>
      <c r="BB2241" s="118"/>
      <c r="BC2241" s="118"/>
      <c r="BD2241" s="118"/>
      <c r="BE2241" s="118"/>
      <c r="BF2241" s="118"/>
      <c r="BG2241" s="118"/>
      <c r="BH2241" s="118"/>
      <c r="BI2241" s="118"/>
      <c r="BJ2241" s="118"/>
      <c r="BK2241" s="118"/>
      <c r="BL2241" s="118"/>
      <c r="BM2241" s="118"/>
      <c r="BN2241" s="118"/>
      <c r="BO2241" s="118"/>
      <c r="BP2241" s="118"/>
      <c r="BQ2241" s="118"/>
      <c r="BR2241" s="118"/>
      <c r="BS2241" s="118"/>
      <c r="BT2241" s="118"/>
      <c r="BU2241" s="118"/>
      <c r="BV2241" s="118"/>
      <c r="BW2241" s="118"/>
      <c r="BX2241" s="118"/>
      <c r="BY2241" s="118"/>
      <c r="BZ2241" s="118"/>
      <c r="CA2241" s="118"/>
      <c r="CB2241" s="118"/>
      <c r="CC2241" s="118"/>
      <c r="CD2241" s="118"/>
      <c r="CE2241" s="118"/>
      <c r="CF2241" s="118"/>
      <c r="CG2241" s="118"/>
      <c r="CH2241" s="118"/>
      <c r="CI2241" s="118"/>
      <c r="CJ2241" s="118"/>
      <c r="CK2241" s="118"/>
      <c r="CL2241" s="118"/>
      <c r="CM2241" s="118"/>
      <c r="CN2241" s="118"/>
      <c r="CO2241" s="118"/>
      <c r="CP2241" s="118"/>
      <c r="CQ2241" s="118"/>
      <c r="CR2241" s="118"/>
      <c r="CS2241" s="118"/>
      <c r="CT2241" s="118"/>
      <c r="CU2241" s="118"/>
      <c r="CV2241" s="118"/>
      <c r="CW2241" s="118"/>
      <c r="CX2241" s="118"/>
      <c r="CY2241" s="118"/>
      <c r="CZ2241" s="118"/>
      <c r="DA2241" s="118"/>
      <c r="DB2241" s="118"/>
      <c r="DC2241" s="118"/>
      <c r="DD2241" s="118"/>
      <c r="DE2241" s="118"/>
      <c r="DF2241" s="118"/>
      <c r="DG2241" s="118"/>
      <c r="DH2241" s="118"/>
      <c r="DI2241" s="118"/>
      <c r="DJ2241" s="118"/>
      <c r="DK2241" s="118"/>
      <c r="DL2241" s="118"/>
      <c r="DM2241" s="118"/>
      <c r="DN2241" s="118"/>
      <c r="DO2241" s="118"/>
      <c r="DP2241" s="118"/>
      <c r="DQ2241" s="118"/>
      <c r="DR2241" s="118"/>
      <c r="DS2241" s="118"/>
      <c r="DT2241" s="118"/>
      <c r="DU2241" s="118"/>
      <c r="DV2241" s="118"/>
      <c r="DW2241" s="118"/>
      <c r="DX2241" s="118"/>
      <c r="DY2241" s="118"/>
      <c r="DZ2241" s="118"/>
      <c r="EA2241" s="118"/>
      <c r="EB2241" s="118"/>
      <c r="EC2241" s="118"/>
      <c r="ED2241" s="118"/>
      <c r="EE2241" s="118"/>
      <c r="EF2241" s="118"/>
      <c r="EG2241" s="118"/>
      <c r="EH2241" s="118"/>
      <c r="EI2241" s="118"/>
      <c r="EJ2241" s="118"/>
      <c r="EK2241" s="118"/>
      <c r="EL2241" s="118"/>
      <c r="EM2241" s="118"/>
      <c r="EN2241" s="118"/>
      <c r="EO2241" s="118"/>
      <c r="EP2241" s="118"/>
      <c r="EQ2241" s="118"/>
      <c r="ER2241" s="118"/>
      <c r="ES2241" s="118"/>
      <c r="ET2241" s="118"/>
      <c r="EU2241" s="118"/>
      <c r="EV2241" s="118"/>
      <c r="EW2241" s="118"/>
      <c r="EX2241" s="118"/>
      <c r="EY2241" s="118"/>
      <c r="EZ2241" s="118"/>
      <c r="FA2241" s="118"/>
      <c r="FB2241" s="118"/>
      <c r="FC2241" s="118"/>
      <c r="FD2241" s="118"/>
      <c r="FE2241" s="118"/>
      <c r="FF2241" s="118"/>
      <c r="FG2241" s="118"/>
      <c r="FH2241" s="118"/>
      <c r="FI2241" s="118"/>
      <c r="FJ2241" s="118"/>
      <c r="FK2241" s="118"/>
      <c r="FL2241" s="118"/>
      <c r="FM2241" s="118"/>
      <c r="FN2241" s="118"/>
      <c r="FO2241" s="118"/>
      <c r="FP2241" s="118"/>
      <c r="FQ2241" s="118"/>
      <c r="FR2241" s="118"/>
      <c r="FS2241" s="118"/>
      <c r="FT2241" s="118"/>
      <c r="FU2241" s="118"/>
      <c r="FV2241" s="118"/>
      <c r="FW2241" s="118"/>
      <c r="FX2241" s="118"/>
      <c r="FY2241" s="118"/>
      <c r="FZ2241" s="118"/>
      <c r="GA2241" s="118"/>
      <c r="GB2241" s="118"/>
      <c r="GC2241" s="118"/>
      <c r="GD2241" s="118"/>
      <c r="GE2241" s="118"/>
      <c r="GF2241" s="118"/>
      <c r="GG2241" s="118"/>
      <c r="GH2241" s="118"/>
      <c r="GI2241" s="118"/>
      <c r="GJ2241" s="118"/>
      <c r="GK2241" s="118"/>
      <c r="GL2241" s="118"/>
      <c r="GM2241" s="118"/>
      <c r="GN2241" s="118"/>
      <c r="GO2241" s="118"/>
      <c r="GP2241" s="118"/>
      <c r="GQ2241" s="118"/>
      <c r="GR2241" s="118"/>
      <c r="GS2241" s="118"/>
      <c r="GT2241" s="118"/>
      <c r="GU2241" s="118"/>
      <c r="GV2241" s="118"/>
      <c r="GW2241" s="118"/>
      <c r="GX2241" s="118"/>
      <c r="GY2241" s="118"/>
      <c r="GZ2241" s="118"/>
      <c r="HA2241" s="118"/>
      <c r="HB2241" s="118"/>
      <c r="HC2241" s="118"/>
      <c r="HD2241" s="118"/>
      <c r="HE2241" s="118"/>
      <c r="HF2241" s="118"/>
      <c r="HG2241" s="118"/>
      <c r="HH2241" s="118"/>
      <c r="HI2241" s="118"/>
      <c r="HJ2241" s="118"/>
      <c r="HK2241" s="118"/>
      <c r="HL2241" s="118"/>
      <c r="HM2241" s="118"/>
      <c r="HN2241" s="118"/>
      <c r="HO2241" s="118"/>
      <c r="HP2241" s="118"/>
      <c r="HQ2241" s="118"/>
      <c r="HR2241" s="118"/>
      <c r="HS2241" s="118"/>
      <c r="HT2241" s="118"/>
      <c r="HU2241" s="118"/>
      <c r="HV2241" s="118"/>
      <c r="HW2241" s="118"/>
      <c r="HX2241" s="118"/>
      <c r="HY2241" s="118"/>
      <c r="HZ2241" s="118"/>
      <c r="IA2241" s="118"/>
      <c r="IB2241" s="118"/>
      <c r="IC2241" s="118"/>
      <c r="ID2241" s="118"/>
      <c r="IE2241" s="118"/>
      <c r="IF2241" s="118"/>
      <c r="IG2241" s="118"/>
      <c r="IH2241" s="118"/>
      <c r="II2241" s="118"/>
      <c r="IJ2241" s="118"/>
    </row>
    <row r="2242" spans="1:244" s="127" customFormat="1" ht="12.75" customHeight="1">
      <c r="A2242" s="118">
        <v>2241</v>
      </c>
      <c r="B2242" s="128">
        <v>24</v>
      </c>
      <c r="C2242" s="156">
        <v>37135</v>
      </c>
      <c r="D2242" s="157" t="s">
        <v>52</v>
      </c>
      <c r="E2242" s="8">
        <v>2001</v>
      </c>
      <c r="F2242" s="158">
        <f t="shared" si="566"/>
        <v>518</v>
      </c>
      <c r="G2242" s="158">
        <f t="shared" si="567"/>
        <v>2</v>
      </c>
      <c r="H2242" s="162">
        <v>36617</v>
      </c>
      <c r="I2242" s="163">
        <v>514996</v>
      </c>
      <c r="J2242" s="11"/>
      <c r="K2242" s="11"/>
      <c r="L2242" s="11"/>
      <c r="M2242" s="174"/>
      <c r="N2242" s="528"/>
      <c r="O2242" s="11"/>
      <c r="P2242" s="8"/>
      <c r="Q2242" s="11">
        <v>9.1999999999999993</v>
      </c>
      <c r="R2242" s="11"/>
      <c r="S2242" s="155"/>
      <c r="T2242" s="11"/>
      <c r="U2242" s="161"/>
      <c r="V2242" s="11"/>
      <c r="W2242" s="11"/>
    </row>
    <row r="2243" spans="1:244" s="127" customFormat="1" ht="12.75" customHeight="1">
      <c r="A2243" s="118">
        <v>2242</v>
      </c>
      <c r="B2243" s="128">
        <v>24</v>
      </c>
      <c r="C2243" s="156">
        <v>37165</v>
      </c>
      <c r="D2243" s="157" t="s">
        <v>53</v>
      </c>
      <c r="E2243" s="8">
        <v>2001</v>
      </c>
      <c r="F2243" s="158">
        <f t="shared" si="566"/>
        <v>548</v>
      </c>
      <c r="G2243" s="158">
        <f t="shared" si="567"/>
        <v>2</v>
      </c>
      <c r="H2243" s="162">
        <v>36617</v>
      </c>
      <c r="I2243" s="163">
        <v>513975</v>
      </c>
      <c r="J2243" s="11"/>
      <c r="K2243" s="11"/>
      <c r="L2243" s="11"/>
      <c r="M2243" s="174"/>
      <c r="N2243" s="528"/>
      <c r="O2243" s="11"/>
      <c r="P2243" s="8"/>
      <c r="Q2243" s="11">
        <v>8.6</v>
      </c>
      <c r="R2243" s="11"/>
      <c r="S2243" s="155"/>
      <c r="T2243" s="11"/>
      <c r="U2243" s="161"/>
      <c r="V2243" s="11"/>
      <c r="W2243" s="11"/>
    </row>
    <row r="2244" spans="1:244" s="127" customFormat="1" ht="12.75" customHeight="1">
      <c r="A2244" s="118">
        <v>2243</v>
      </c>
      <c r="B2244" s="128">
        <v>24</v>
      </c>
      <c r="C2244" s="156">
        <v>37196</v>
      </c>
      <c r="D2244" s="157" t="s">
        <v>54</v>
      </c>
      <c r="E2244" s="8">
        <v>2001</v>
      </c>
      <c r="F2244" s="158">
        <f t="shared" si="566"/>
        <v>579</v>
      </c>
      <c r="G2244" s="158">
        <f t="shared" si="567"/>
        <v>2</v>
      </c>
      <c r="H2244" s="162">
        <v>36617</v>
      </c>
      <c r="I2244" s="163">
        <v>513352</v>
      </c>
      <c r="J2244" s="11"/>
      <c r="K2244" s="11"/>
      <c r="L2244" s="11"/>
      <c r="M2244" s="174"/>
      <c r="N2244" s="528"/>
      <c r="O2244" s="11"/>
      <c r="P2244" s="8"/>
      <c r="Q2244" s="11">
        <v>8.1999999999999993</v>
      </c>
      <c r="R2244" s="11"/>
      <c r="S2244" s="155"/>
      <c r="T2244" s="11"/>
      <c r="U2244" s="161"/>
      <c r="V2244" s="11"/>
      <c r="W2244" s="11"/>
    </row>
    <row r="2245" spans="1:244" s="127" customFormat="1" ht="12.75" customHeight="1">
      <c r="A2245" s="118">
        <v>2244</v>
      </c>
      <c r="B2245" s="260">
        <v>24</v>
      </c>
      <c r="C2245" s="156">
        <v>37226</v>
      </c>
      <c r="D2245" s="157" t="s">
        <v>55</v>
      </c>
      <c r="E2245" s="8">
        <v>2001</v>
      </c>
      <c r="F2245" s="158">
        <f t="shared" si="566"/>
        <v>609</v>
      </c>
      <c r="G2245" s="158">
        <f t="shared" si="567"/>
        <v>2</v>
      </c>
      <c r="H2245" s="162">
        <v>36617</v>
      </c>
      <c r="I2245" s="163">
        <v>428765</v>
      </c>
      <c r="J2245" s="11"/>
      <c r="K2245" s="11"/>
      <c r="L2245" s="11"/>
      <c r="M2245" s="174"/>
      <c r="N2245" s="528"/>
      <c r="O2245" s="11"/>
      <c r="P2245" s="8"/>
      <c r="Q2245" s="11">
        <v>7.5</v>
      </c>
      <c r="R2245" s="11"/>
      <c r="S2245" s="155" t="s">
        <v>28</v>
      </c>
      <c r="T2245" s="11"/>
      <c r="U2245" s="161"/>
      <c r="V2245" s="11"/>
      <c r="W2245" s="11"/>
    </row>
    <row r="2246" spans="1:244" s="127" customFormat="1" ht="12.75" customHeight="1">
      <c r="A2246" s="118">
        <v>2245</v>
      </c>
      <c r="B2246" s="260">
        <v>24</v>
      </c>
      <c r="C2246" s="156">
        <v>37257</v>
      </c>
      <c r="D2246" s="157" t="s">
        <v>44</v>
      </c>
      <c r="E2246" s="8">
        <v>2002</v>
      </c>
      <c r="F2246" s="158">
        <f t="shared" si="566"/>
        <v>640</v>
      </c>
      <c r="G2246" s="158">
        <f t="shared" si="567"/>
        <v>2</v>
      </c>
      <c r="H2246" s="162">
        <v>36617</v>
      </c>
      <c r="I2246" s="163">
        <v>427779</v>
      </c>
      <c r="J2246" s="11"/>
      <c r="K2246" s="11"/>
      <c r="L2246" s="11"/>
      <c r="M2246" s="174"/>
      <c r="N2246" s="528"/>
      <c r="O2246" s="11"/>
      <c r="P2246" s="8"/>
      <c r="Q2246" s="11"/>
      <c r="R2246" s="11"/>
      <c r="S2246" s="155"/>
      <c r="T2246" s="11"/>
      <c r="U2246" s="161"/>
      <c r="V2246" s="11"/>
      <c r="W2246" s="11"/>
      <c r="X2246" s="118"/>
      <c r="Y2246" s="118"/>
      <c r="Z2246" s="118"/>
      <c r="AA2246" s="118"/>
      <c r="AB2246" s="118"/>
      <c r="AC2246" s="118"/>
      <c r="AD2246" s="118"/>
      <c r="AE2246" s="118"/>
      <c r="AF2246" s="118"/>
      <c r="AG2246" s="118"/>
      <c r="AH2246" s="118"/>
      <c r="AI2246" s="118"/>
      <c r="AJ2246" s="118"/>
      <c r="AK2246" s="118"/>
      <c r="AL2246" s="118"/>
      <c r="AM2246" s="118"/>
      <c r="AN2246" s="118"/>
      <c r="AO2246" s="118"/>
      <c r="AP2246" s="118"/>
      <c r="AQ2246" s="118"/>
      <c r="AR2246" s="118"/>
      <c r="AS2246" s="118"/>
      <c r="AT2246" s="118"/>
      <c r="AU2246" s="118"/>
      <c r="AV2246" s="118"/>
      <c r="AW2246" s="118"/>
      <c r="AX2246" s="118"/>
      <c r="AY2246" s="118"/>
      <c r="AZ2246" s="118"/>
      <c r="BA2246" s="118"/>
      <c r="BB2246" s="118"/>
      <c r="BC2246" s="118"/>
      <c r="BD2246" s="118"/>
      <c r="BE2246" s="118"/>
      <c r="BF2246" s="118"/>
      <c r="BG2246" s="118"/>
      <c r="BH2246" s="118"/>
      <c r="BI2246" s="118"/>
      <c r="BJ2246" s="118"/>
      <c r="BK2246" s="118"/>
      <c r="BL2246" s="118"/>
      <c r="BM2246" s="118"/>
      <c r="BN2246" s="118"/>
      <c r="BO2246" s="118"/>
      <c r="BP2246" s="118"/>
      <c r="BQ2246" s="118"/>
      <c r="BR2246" s="118"/>
      <c r="BS2246" s="118"/>
      <c r="BT2246" s="118"/>
      <c r="BU2246" s="118"/>
      <c r="BV2246" s="118"/>
      <c r="BW2246" s="118"/>
      <c r="BX2246" s="118"/>
      <c r="BY2246" s="118"/>
      <c r="BZ2246" s="118"/>
      <c r="CA2246" s="118"/>
      <c r="CB2246" s="118"/>
      <c r="CC2246" s="118"/>
      <c r="CD2246" s="118"/>
      <c r="CE2246" s="118"/>
      <c r="CF2246" s="118"/>
      <c r="CG2246" s="118"/>
      <c r="CH2246" s="118"/>
      <c r="CI2246" s="118"/>
      <c r="CJ2246" s="118"/>
      <c r="CK2246" s="118"/>
      <c r="CL2246" s="118"/>
      <c r="CM2246" s="118"/>
      <c r="CN2246" s="118"/>
      <c r="CO2246" s="118"/>
      <c r="CP2246" s="118"/>
      <c r="CQ2246" s="118"/>
      <c r="CR2246" s="118"/>
      <c r="CS2246" s="118"/>
      <c r="CT2246" s="118"/>
      <c r="CU2246" s="118"/>
      <c r="CV2246" s="118"/>
      <c r="CW2246" s="118"/>
      <c r="CX2246" s="118"/>
      <c r="CY2246" s="118"/>
      <c r="CZ2246" s="118"/>
      <c r="DA2246" s="118"/>
      <c r="DB2246" s="118"/>
      <c r="DC2246" s="118"/>
      <c r="DD2246" s="118"/>
      <c r="DE2246" s="118"/>
      <c r="DF2246" s="118"/>
      <c r="DG2246" s="118"/>
      <c r="DH2246" s="118"/>
      <c r="DI2246" s="118"/>
      <c r="DJ2246" s="118"/>
      <c r="DK2246" s="118"/>
      <c r="DL2246" s="118"/>
      <c r="DM2246" s="118"/>
      <c r="DN2246" s="118"/>
      <c r="DO2246" s="118"/>
      <c r="DP2246" s="118"/>
      <c r="DQ2246" s="118"/>
      <c r="DR2246" s="118"/>
      <c r="DS2246" s="118"/>
      <c r="DT2246" s="118"/>
      <c r="DU2246" s="118"/>
      <c r="DV2246" s="118"/>
      <c r="DW2246" s="118"/>
      <c r="DX2246" s="118"/>
      <c r="DY2246" s="118"/>
      <c r="DZ2246" s="118"/>
      <c r="EA2246" s="118"/>
      <c r="EB2246" s="118"/>
      <c r="EC2246" s="118"/>
      <c r="ED2246" s="118"/>
      <c r="EE2246" s="118"/>
      <c r="EF2246" s="118"/>
      <c r="EG2246" s="118"/>
      <c r="EH2246" s="118"/>
      <c r="EI2246" s="118"/>
      <c r="EJ2246" s="118"/>
      <c r="EK2246" s="118"/>
      <c r="EL2246" s="118"/>
      <c r="EM2246" s="118"/>
      <c r="EN2246" s="118"/>
      <c r="EO2246" s="118"/>
      <c r="EP2246" s="118"/>
      <c r="EQ2246" s="118"/>
      <c r="ER2246" s="118"/>
      <c r="ES2246" s="118"/>
      <c r="ET2246" s="118"/>
      <c r="EU2246" s="118"/>
      <c r="EV2246" s="118"/>
      <c r="EW2246" s="118"/>
      <c r="EX2246" s="118"/>
      <c r="EY2246" s="118"/>
      <c r="EZ2246" s="118"/>
      <c r="FA2246" s="118"/>
      <c r="FB2246" s="118"/>
      <c r="FC2246" s="118"/>
      <c r="FD2246" s="118"/>
      <c r="FE2246" s="118"/>
      <c r="FF2246" s="118"/>
      <c r="FG2246" s="118"/>
      <c r="FH2246" s="118"/>
      <c r="FI2246" s="118"/>
      <c r="FJ2246" s="118"/>
      <c r="FK2246" s="118"/>
      <c r="FL2246" s="118"/>
      <c r="FM2246" s="118"/>
      <c r="FN2246" s="118"/>
      <c r="FO2246" s="118"/>
      <c r="FP2246" s="118"/>
      <c r="FQ2246" s="118"/>
      <c r="FR2246" s="118"/>
      <c r="FS2246" s="118"/>
      <c r="FT2246" s="118"/>
      <c r="FU2246" s="118"/>
      <c r="FV2246" s="118"/>
      <c r="FW2246" s="118"/>
      <c r="FX2246" s="118"/>
      <c r="FY2246" s="118"/>
      <c r="FZ2246" s="118"/>
      <c r="GA2246" s="118"/>
      <c r="GB2246" s="118"/>
      <c r="GC2246" s="118"/>
      <c r="GD2246" s="118"/>
      <c r="GE2246" s="118"/>
      <c r="GF2246" s="118"/>
      <c r="GG2246" s="118"/>
      <c r="GH2246" s="118"/>
      <c r="GI2246" s="118"/>
      <c r="GJ2246" s="118"/>
      <c r="GK2246" s="118"/>
      <c r="GL2246" s="118"/>
      <c r="GM2246" s="118"/>
      <c r="GN2246" s="118"/>
      <c r="GO2246" s="118"/>
      <c r="GP2246" s="118"/>
      <c r="GQ2246" s="118"/>
      <c r="GR2246" s="118"/>
      <c r="GS2246" s="118"/>
      <c r="GT2246" s="118"/>
      <c r="GU2246" s="118"/>
      <c r="GV2246" s="118"/>
      <c r="GW2246" s="118"/>
      <c r="GX2246" s="118"/>
      <c r="GY2246" s="118"/>
      <c r="GZ2246" s="118"/>
      <c r="HA2246" s="118"/>
      <c r="HB2246" s="118"/>
      <c r="HC2246" s="118"/>
      <c r="HD2246" s="118"/>
      <c r="HE2246" s="118"/>
      <c r="HF2246" s="118"/>
      <c r="HG2246" s="118"/>
      <c r="HH2246" s="118"/>
      <c r="HI2246" s="118"/>
      <c r="HJ2246" s="118"/>
      <c r="HK2246" s="118"/>
      <c r="HL2246" s="118"/>
      <c r="HM2246" s="118"/>
      <c r="HN2246" s="118"/>
      <c r="HO2246" s="118"/>
      <c r="HP2246" s="118"/>
      <c r="HQ2246" s="118"/>
      <c r="HR2246" s="118"/>
      <c r="HS2246" s="118"/>
      <c r="HT2246" s="118"/>
      <c r="HU2246" s="118"/>
      <c r="HV2246" s="118"/>
      <c r="HW2246" s="118"/>
      <c r="HX2246" s="118"/>
      <c r="HY2246" s="118"/>
      <c r="HZ2246" s="118"/>
      <c r="IA2246" s="118"/>
      <c r="IB2246" s="118"/>
      <c r="IC2246" s="118"/>
      <c r="ID2246" s="118"/>
      <c r="IE2246" s="118"/>
      <c r="IF2246" s="118"/>
      <c r="IG2246" s="118"/>
      <c r="IH2246" s="118"/>
      <c r="II2246" s="118"/>
      <c r="IJ2246" s="118"/>
    </row>
    <row r="2247" spans="1:244" s="127" customFormat="1" ht="12.75" customHeight="1">
      <c r="A2247" s="118">
        <v>2246</v>
      </c>
      <c r="B2247" s="260">
        <v>24</v>
      </c>
      <c r="C2247" s="156">
        <v>37288</v>
      </c>
      <c r="D2247" s="157" t="s">
        <v>45</v>
      </c>
      <c r="E2247" s="8">
        <v>2002</v>
      </c>
      <c r="F2247" s="158">
        <f t="shared" si="566"/>
        <v>671</v>
      </c>
      <c r="G2247" s="158">
        <f t="shared" si="567"/>
        <v>2</v>
      </c>
      <c r="H2247" s="162">
        <v>36617</v>
      </c>
      <c r="I2247" s="163">
        <v>426940</v>
      </c>
      <c r="J2247" s="11"/>
      <c r="K2247" s="11"/>
      <c r="L2247" s="11"/>
      <c r="M2247" s="174"/>
      <c r="N2247" s="528"/>
      <c r="O2247" s="11"/>
      <c r="P2247" s="8"/>
      <c r="Q2247" s="11">
        <v>7.1</v>
      </c>
      <c r="R2247" s="11"/>
      <c r="S2247" s="155"/>
      <c r="T2247" s="11"/>
      <c r="U2247" s="161"/>
      <c r="V2247" s="11"/>
      <c r="W2247" s="11"/>
      <c r="X2247" s="118"/>
      <c r="Y2247" s="118"/>
      <c r="Z2247" s="118"/>
      <c r="AA2247" s="118"/>
      <c r="AB2247" s="118"/>
      <c r="AC2247" s="118"/>
      <c r="AD2247" s="118"/>
      <c r="AE2247" s="118"/>
      <c r="AF2247" s="118"/>
      <c r="AG2247" s="118"/>
      <c r="AH2247" s="118"/>
      <c r="AI2247" s="118"/>
      <c r="AJ2247" s="118"/>
      <c r="AK2247" s="118"/>
      <c r="AL2247" s="118"/>
      <c r="AM2247" s="118"/>
      <c r="AN2247" s="118"/>
      <c r="AO2247" s="118"/>
      <c r="AP2247" s="118"/>
      <c r="AQ2247" s="118"/>
      <c r="AR2247" s="118"/>
      <c r="AS2247" s="118"/>
      <c r="AT2247" s="118"/>
      <c r="AU2247" s="118"/>
      <c r="AV2247" s="118"/>
      <c r="AW2247" s="118"/>
      <c r="AX2247" s="118"/>
      <c r="AY2247" s="118"/>
      <c r="AZ2247" s="118"/>
      <c r="BA2247" s="118"/>
      <c r="BB2247" s="118"/>
      <c r="BC2247" s="118"/>
      <c r="BD2247" s="118"/>
      <c r="BE2247" s="118"/>
      <c r="BF2247" s="118"/>
      <c r="BG2247" s="118"/>
      <c r="BH2247" s="118"/>
      <c r="BI2247" s="118"/>
      <c r="BJ2247" s="118"/>
      <c r="BK2247" s="118"/>
      <c r="BL2247" s="118"/>
      <c r="BM2247" s="118"/>
      <c r="BN2247" s="118"/>
      <c r="BO2247" s="118"/>
      <c r="BP2247" s="118"/>
      <c r="BQ2247" s="118"/>
      <c r="BR2247" s="118"/>
      <c r="BS2247" s="118"/>
      <c r="BT2247" s="118"/>
      <c r="BU2247" s="118"/>
      <c r="BV2247" s="118"/>
      <c r="BW2247" s="118"/>
      <c r="BX2247" s="118"/>
      <c r="BY2247" s="118"/>
      <c r="BZ2247" s="118"/>
      <c r="CA2247" s="118"/>
      <c r="CB2247" s="118"/>
      <c r="CC2247" s="118"/>
      <c r="CD2247" s="118"/>
      <c r="CE2247" s="118"/>
      <c r="CF2247" s="118"/>
      <c r="CG2247" s="118"/>
      <c r="CH2247" s="118"/>
      <c r="CI2247" s="118"/>
      <c r="CJ2247" s="118"/>
      <c r="CK2247" s="118"/>
      <c r="CL2247" s="118"/>
      <c r="CM2247" s="118"/>
      <c r="CN2247" s="118"/>
      <c r="CO2247" s="118"/>
      <c r="CP2247" s="118"/>
      <c r="CQ2247" s="118"/>
      <c r="CR2247" s="118"/>
      <c r="CS2247" s="118"/>
      <c r="CT2247" s="118"/>
      <c r="CU2247" s="118"/>
      <c r="CV2247" s="118"/>
      <c r="CW2247" s="118"/>
      <c r="CX2247" s="118"/>
      <c r="CY2247" s="118"/>
      <c r="CZ2247" s="118"/>
      <c r="DA2247" s="118"/>
      <c r="DB2247" s="118"/>
      <c r="DC2247" s="118"/>
      <c r="DD2247" s="118"/>
      <c r="DE2247" s="118"/>
      <c r="DF2247" s="118"/>
      <c r="DG2247" s="118"/>
      <c r="DH2247" s="118"/>
      <c r="DI2247" s="118"/>
      <c r="DJ2247" s="118"/>
      <c r="DK2247" s="118"/>
      <c r="DL2247" s="118"/>
      <c r="DM2247" s="118"/>
      <c r="DN2247" s="118"/>
      <c r="DO2247" s="118"/>
      <c r="DP2247" s="118"/>
      <c r="DQ2247" s="118"/>
      <c r="DR2247" s="118"/>
      <c r="DS2247" s="118"/>
      <c r="DT2247" s="118"/>
      <c r="DU2247" s="118"/>
      <c r="DV2247" s="118"/>
      <c r="DW2247" s="118"/>
      <c r="DX2247" s="118"/>
      <c r="DY2247" s="118"/>
      <c r="DZ2247" s="118"/>
      <c r="EA2247" s="118"/>
      <c r="EB2247" s="118"/>
      <c r="EC2247" s="118"/>
      <c r="ED2247" s="118"/>
      <c r="EE2247" s="118"/>
      <c r="EF2247" s="118"/>
      <c r="EG2247" s="118"/>
      <c r="EH2247" s="118"/>
      <c r="EI2247" s="118"/>
      <c r="EJ2247" s="118"/>
      <c r="EK2247" s="118"/>
      <c r="EL2247" s="118"/>
      <c r="EM2247" s="118"/>
      <c r="EN2247" s="118"/>
      <c r="EO2247" s="118"/>
      <c r="EP2247" s="118"/>
      <c r="EQ2247" s="118"/>
      <c r="ER2247" s="118"/>
      <c r="ES2247" s="118"/>
      <c r="ET2247" s="118"/>
      <c r="EU2247" s="118"/>
      <c r="EV2247" s="118"/>
      <c r="EW2247" s="118"/>
      <c r="EX2247" s="118"/>
      <c r="EY2247" s="118"/>
      <c r="EZ2247" s="118"/>
      <c r="FA2247" s="118"/>
      <c r="FB2247" s="118"/>
      <c r="FC2247" s="118"/>
      <c r="FD2247" s="118"/>
      <c r="FE2247" s="118"/>
      <c r="FF2247" s="118"/>
      <c r="FG2247" s="118"/>
      <c r="FH2247" s="118"/>
      <c r="FI2247" s="118"/>
      <c r="FJ2247" s="118"/>
      <c r="FK2247" s="118"/>
      <c r="FL2247" s="118"/>
      <c r="FM2247" s="118"/>
      <c r="FN2247" s="118"/>
      <c r="FO2247" s="118"/>
      <c r="FP2247" s="118"/>
      <c r="FQ2247" s="118"/>
      <c r="FR2247" s="118"/>
      <c r="FS2247" s="118"/>
      <c r="FT2247" s="118"/>
      <c r="FU2247" s="118"/>
      <c r="FV2247" s="118"/>
      <c r="FW2247" s="118"/>
      <c r="FX2247" s="118"/>
      <c r="FY2247" s="118"/>
      <c r="FZ2247" s="118"/>
      <c r="GA2247" s="118"/>
      <c r="GB2247" s="118"/>
      <c r="GC2247" s="118"/>
      <c r="GD2247" s="118"/>
      <c r="GE2247" s="118"/>
      <c r="GF2247" s="118"/>
      <c r="GG2247" s="118"/>
      <c r="GH2247" s="118"/>
      <c r="GI2247" s="118"/>
      <c r="GJ2247" s="118"/>
      <c r="GK2247" s="118"/>
      <c r="GL2247" s="118"/>
      <c r="GM2247" s="118"/>
      <c r="GN2247" s="118"/>
      <c r="GO2247" s="118"/>
      <c r="GP2247" s="118"/>
      <c r="GQ2247" s="118"/>
      <c r="GR2247" s="118"/>
      <c r="GS2247" s="118"/>
      <c r="GT2247" s="118"/>
      <c r="GU2247" s="118"/>
      <c r="GV2247" s="118"/>
      <c r="GW2247" s="118"/>
      <c r="GX2247" s="118"/>
      <c r="GY2247" s="118"/>
      <c r="GZ2247" s="118"/>
      <c r="HA2247" s="118"/>
      <c r="HB2247" s="118"/>
      <c r="HC2247" s="118"/>
      <c r="HD2247" s="118"/>
      <c r="HE2247" s="118"/>
      <c r="HF2247" s="118"/>
      <c r="HG2247" s="118"/>
      <c r="HH2247" s="118"/>
      <c r="HI2247" s="118"/>
      <c r="HJ2247" s="118"/>
      <c r="HK2247" s="118"/>
      <c r="HL2247" s="118"/>
      <c r="HM2247" s="118"/>
      <c r="HN2247" s="118"/>
      <c r="HO2247" s="118"/>
      <c r="HP2247" s="118"/>
      <c r="HQ2247" s="118"/>
      <c r="HR2247" s="118"/>
      <c r="HS2247" s="118"/>
      <c r="HT2247" s="118"/>
      <c r="HU2247" s="118"/>
      <c r="HV2247" s="118"/>
      <c r="HW2247" s="118"/>
      <c r="HX2247" s="118"/>
      <c r="HY2247" s="118"/>
      <c r="HZ2247" s="118"/>
      <c r="IA2247" s="118"/>
      <c r="IB2247" s="118"/>
      <c r="IC2247" s="118"/>
      <c r="ID2247" s="118"/>
      <c r="IE2247" s="118"/>
      <c r="IF2247" s="118"/>
      <c r="IG2247" s="118"/>
      <c r="IH2247" s="118"/>
      <c r="II2247" s="118"/>
      <c r="IJ2247" s="118"/>
    </row>
    <row r="2248" spans="1:244" s="127" customFormat="1" ht="12.75" customHeight="1">
      <c r="A2248" s="118">
        <v>2247</v>
      </c>
      <c r="B2248" s="260">
        <v>24</v>
      </c>
      <c r="C2248" s="156">
        <v>37316</v>
      </c>
      <c r="D2248" s="157" t="s">
        <v>46</v>
      </c>
      <c r="E2248" s="8">
        <v>2002</v>
      </c>
      <c r="F2248" s="158">
        <f t="shared" si="566"/>
        <v>699</v>
      </c>
      <c r="G2248" s="158">
        <f t="shared" si="567"/>
        <v>2</v>
      </c>
      <c r="H2248" s="162">
        <v>36617</v>
      </c>
      <c r="I2248" s="163">
        <v>337843</v>
      </c>
      <c r="J2248" s="11"/>
      <c r="K2248" s="11"/>
      <c r="L2248" s="11"/>
      <c r="M2248" s="174"/>
      <c r="N2248" s="528"/>
      <c r="O2248" s="11"/>
      <c r="P2248" s="8"/>
      <c r="Q2248" s="11">
        <v>7</v>
      </c>
      <c r="R2248" s="11"/>
      <c r="S2248" s="155"/>
      <c r="T2248" s="11"/>
      <c r="U2248" s="161"/>
      <c r="V2248" s="11"/>
      <c r="W2248" s="11"/>
      <c r="X2248" s="118"/>
      <c r="Y2248" s="118"/>
      <c r="Z2248" s="118"/>
      <c r="AA2248" s="118"/>
      <c r="AB2248" s="118"/>
      <c r="AC2248" s="118"/>
      <c r="AD2248" s="118"/>
      <c r="AE2248" s="118"/>
      <c r="AF2248" s="118"/>
      <c r="AG2248" s="118"/>
      <c r="AH2248" s="118"/>
      <c r="AI2248" s="118"/>
      <c r="AJ2248" s="118"/>
      <c r="AK2248" s="118"/>
      <c r="AL2248" s="118"/>
      <c r="AM2248" s="118"/>
      <c r="AN2248" s="118"/>
      <c r="AO2248" s="118"/>
      <c r="AP2248" s="118"/>
      <c r="AQ2248" s="118"/>
      <c r="AR2248" s="118"/>
      <c r="AS2248" s="118"/>
      <c r="AT2248" s="118"/>
      <c r="AU2248" s="118"/>
      <c r="AV2248" s="118"/>
      <c r="AW2248" s="118"/>
      <c r="AX2248" s="118"/>
      <c r="AY2248" s="118"/>
      <c r="AZ2248" s="118"/>
      <c r="BA2248" s="118"/>
      <c r="BB2248" s="118"/>
      <c r="BC2248" s="118"/>
      <c r="BD2248" s="118"/>
      <c r="BE2248" s="118"/>
      <c r="BF2248" s="118"/>
      <c r="BG2248" s="118"/>
      <c r="BH2248" s="118"/>
      <c r="BI2248" s="118"/>
      <c r="BJ2248" s="118"/>
      <c r="BK2248" s="118"/>
      <c r="BL2248" s="118"/>
      <c r="BM2248" s="118"/>
      <c r="BN2248" s="118"/>
      <c r="BO2248" s="118"/>
      <c r="BP2248" s="118"/>
      <c r="BQ2248" s="118"/>
      <c r="BR2248" s="118"/>
      <c r="BS2248" s="118"/>
      <c r="BT2248" s="118"/>
      <c r="BU2248" s="118"/>
      <c r="BV2248" s="118"/>
      <c r="BW2248" s="118"/>
      <c r="BX2248" s="118"/>
      <c r="BY2248" s="118"/>
      <c r="BZ2248" s="118"/>
      <c r="CA2248" s="118"/>
      <c r="CB2248" s="118"/>
      <c r="CC2248" s="118"/>
      <c r="CD2248" s="118"/>
      <c r="CE2248" s="118"/>
      <c r="CF2248" s="118"/>
      <c r="CG2248" s="118"/>
      <c r="CH2248" s="118"/>
      <c r="CI2248" s="118"/>
      <c r="CJ2248" s="118"/>
      <c r="CK2248" s="118"/>
      <c r="CL2248" s="118"/>
      <c r="CM2248" s="118"/>
      <c r="CN2248" s="118"/>
      <c r="CO2248" s="118"/>
      <c r="CP2248" s="118"/>
      <c r="CQ2248" s="118"/>
      <c r="CR2248" s="118"/>
      <c r="CS2248" s="118"/>
      <c r="CT2248" s="118"/>
      <c r="CU2248" s="118"/>
      <c r="CV2248" s="118"/>
      <c r="CW2248" s="118"/>
      <c r="CX2248" s="118"/>
      <c r="CY2248" s="118"/>
      <c r="CZ2248" s="118"/>
      <c r="DA2248" s="118"/>
      <c r="DB2248" s="118"/>
      <c r="DC2248" s="118"/>
      <c r="DD2248" s="118"/>
      <c r="DE2248" s="118"/>
      <c r="DF2248" s="118"/>
      <c r="DG2248" s="118"/>
      <c r="DH2248" s="118"/>
      <c r="DI2248" s="118"/>
      <c r="DJ2248" s="118"/>
      <c r="DK2248" s="118"/>
      <c r="DL2248" s="118"/>
      <c r="DM2248" s="118"/>
      <c r="DN2248" s="118"/>
      <c r="DO2248" s="118"/>
      <c r="DP2248" s="118"/>
      <c r="DQ2248" s="118"/>
      <c r="DR2248" s="118"/>
      <c r="DS2248" s="118"/>
      <c r="DT2248" s="118"/>
      <c r="DU2248" s="118"/>
      <c r="DV2248" s="118"/>
      <c r="DW2248" s="118"/>
      <c r="DX2248" s="118"/>
      <c r="DY2248" s="118"/>
      <c r="DZ2248" s="118"/>
      <c r="EA2248" s="118"/>
      <c r="EB2248" s="118"/>
      <c r="EC2248" s="118"/>
      <c r="ED2248" s="118"/>
      <c r="EE2248" s="118"/>
      <c r="EF2248" s="118"/>
      <c r="EG2248" s="118"/>
      <c r="EH2248" s="118"/>
      <c r="EI2248" s="118"/>
      <c r="EJ2248" s="118"/>
      <c r="EK2248" s="118"/>
      <c r="EL2248" s="118"/>
      <c r="EM2248" s="118"/>
      <c r="EN2248" s="118"/>
      <c r="EO2248" s="118"/>
      <c r="EP2248" s="118"/>
      <c r="EQ2248" s="118"/>
      <c r="ER2248" s="118"/>
      <c r="ES2248" s="118"/>
      <c r="ET2248" s="118"/>
      <c r="EU2248" s="118"/>
      <c r="EV2248" s="118"/>
      <c r="EW2248" s="118"/>
      <c r="EX2248" s="118"/>
      <c r="EY2248" s="118"/>
      <c r="EZ2248" s="118"/>
      <c r="FA2248" s="118"/>
      <c r="FB2248" s="118"/>
      <c r="FC2248" s="118"/>
      <c r="FD2248" s="118"/>
      <c r="FE2248" s="118"/>
      <c r="FF2248" s="118"/>
      <c r="FG2248" s="118"/>
      <c r="FH2248" s="118"/>
      <c r="FI2248" s="118"/>
      <c r="FJ2248" s="118"/>
      <c r="FK2248" s="118"/>
      <c r="FL2248" s="118"/>
      <c r="FM2248" s="118"/>
      <c r="FN2248" s="118"/>
      <c r="FO2248" s="118"/>
      <c r="FP2248" s="118"/>
      <c r="FQ2248" s="118"/>
      <c r="FR2248" s="118"/>
      <c r="FS2248" s="118"/>
      <c r="FT2248" s="118"/>
      <c r="FU2248" s="118"/>
      <c r="FV2248" s="118"/>
      <c r="FW2248" s="118"/>
      <c r="FX2248" s="118"/>
      <c r="FY2248" s="118"/>
      <c r="FZ2248" s="118"/>
      <c r="GA2248" s="118"/>
      <c r="GB2248" s="118"/>
      <c r="GC2248" s="118"/>
      <c r="GD2248" s="118"/>
      <c r="GE2248" s="118"/>
      <c r="GF2248" s="118"/>
      <c r="GG2248" s="118"/>
      <c r="GH2248" s="118"/>
      <c r="GI2248" s="118"/>
      <c r="GJ2248" s="118"/>
      <c r="GK2248" s="118"/>
      <c r="GL2248" s="118"/>
      <c r="GM2248" s="118"/>
      <c r="GN2248" s="118"/>
      <c r="GO2248" s="118"/>
      <c r="GP2248" s="118"/>
      <c r="GQ2248" s="118"/>
      <c r="GR2248" s="118"/>
      <c r="GS2248" s="118"/>
      <c r="GT2248" s="118"/>
      <c r="GU2248" s="118"/>
      <c r="GV2248" s="118"/>
      <c r="GW2248" s="118"/>
      <c r="GX2248" s="118"/>
      <c r="GY2248" s="118"/>
      <c r="GZ2248" s="118"/>
      <c r="HA2248" s="118"/>
      <c r="HB2248" s="118"/>
      <c r="HC2248" s="118"/>
      <c r="HD2248" s="118"/>
      <c r="HE2248" s="118"/>
      <c r="HF2248" s="118"/>
      <c r="HG2248" s="118"/>
      <c r="HH2248" s="118"/>
      <c r="HI2248" s="118"/>
      <c r="HJ2248" s="118"/>
      <c r="HK2248" s="118"/>
      <c r="HL2248" s="118"/>
      <c r="HM2248" s="118"/>
      <c r="HN2248" s="118"/>
      <c r="HO2248" s="118"/>
      <c r="HP2248" s="118"/>
      <c r="HQ2248" s="118"/>
      <c r="HR2248" s="118"/>
      <c r="HS2248" s="118"/>
      <c r="HT2248" s="118"/>
      <c r="HU2248" s="118"/>
      <c r="HV2248" s="118"/>
      <c r="HW2248" s="118"/>
      <c r="HX2248" s="118"/>
      <c r="HY2248" s="118"/>
      <c r="HZ2248" s="118"/>
      <c r="IA2248" s="118"/>
      <c r="IB2248" s="118"/>
      <c r="IC2248" s="118"/>
      <c r="ID2248" s="118"/>
      <c r="IE2248" s="118"/>
      <c r="IF2248" s="118"/>
      <c r="IG2248" s="118"/>
      <c r="IH2248" s="118"/>
      <c r="II2248" s="118"/>
      <c r="IJ2248" s="118"/>
    </row>
    <row r="2249" spans="1:244" s="127" customFormat="1" ht="12.75" customHeight="1">
      <c r="A2249" s="118">
        <v>2248</v>
      </c>
      <c r="B2249" s="260">
        <v>24</v>
      </c>
      <c r="C2249" s="156">
        <v>37347</v>
      </c>
      <c r="D2249" s="157" t="s">
        <v>47</v>
      </c>
      <c r="E2249" s="8">
        <v>2002</v>
      </c>
      <c r="F2249" s="158">
        <f t="shared" si="566"/>
        <v>730</v>
      </c>
      <c r="G2249" s="158">
        <f>IF(F2249&lt;730,2,3)</f>
        <v>3</v>
      </c>
      <c r="H2249" s="162">
        <v>36617</v>
      </c>
      <c r="I2249" s="163">
        <v>322113</v>
      </c>
      <c r="J2249" s="11"/>
      <c r="K2249" s="11"/>
      <c r="L2249" s="11"/>
      <c r="M2249" s="174"/>
      <c r="N2249" s="528"/>
      <c r="O2249" s="11"/>
      <c r="P2249" s="8"/>
      <c r="Q2249" s="11">
        <v>7.8</v>
      </c>
      <c r="R2249" s="11"/>
      <c r="S2249" s="155"/>
      <c r="T2249" s="11"/>
      <c r="U2249" s="161"/>
      <c r="V2249" s="11"/>
      <c r="W2249" s="11"/>
      <c r="X2249" s="118"/>
      <c r="Y2249" s="118"/>
      <c r="Z2249" s="118"/>
      <c r="AA2249" s="118"/>
      <c r="AB2249" s="118"/>
      <c r="AC2249" s="118"/>
      <c r="AD2249" s="118"/>
      <c r="AE2249" s="118"/>
      <c r="AF2249" s="118"/>
      <c r="AG2249" s="118"/>
      <c r="AH2249" s="118"/>
      <c r="AI2249" s="118"/>
      <c r="AJ2249" s="118"/>
      <c r="AK2249" s="118"/>
      <c r="AL2249" s="118"/>
      <c r="AM2249" s="118"/>
      <c r="AN2249" s="118"/>
      <c r="AO2249" s="118"/>
      <c r="AP2249" s="118"/>
      <c r="AQ2249" s="118"/>
      <c r="AR2249" s="118"/>
      <c r="AS2249" s="118"/>
      <c r="AT2249" s="118"/>
      <c r="AU2249" s="118"/>
      <c r="AV2249" s="118"/>
      <c r="AW2249" s="118"/>
      <c r="AX2249" s="118"/>
      <c r="AY2249" s="118"/>
      <c r="AZ2249" s="118"/>
      <c r="BA2249" s="118"/>
      <c r="BB2249" s="118"/>
      <c r="BC2249" s="118"/>
      <c r="BD2249" s="118"/>
      <c r="BE2249" s="118"/>
      <c r="BF2249" s="118"/>
      <c r="BG2249" s="118"/>
      <c r="BH2249" s="118"/>
      <c r="BI2249" s="118"/>
      <c r="BJ2249" s="118"/>
      <c r="BK2249" s="118"/>
      <c r="BL2249" s="118"/>
      <c r="BM2249" s="118"/>
      <c r="BN2249" s="118"/>
      <c r="BO2249" s="118"/>
      <c r="BP2249" s="118"/>
      <c r="BQ2249" s="118"/>
      <c r="BR2249" s="118"/>
      <c r="BS2249" s="118"/>
      <c r="BT2249" s="118"/>
      <c r="BU2249" s="118"/>
      <c r="BV2249" s="118"/>
      <c r="BW2249" s="118"/>
      <c r="BX2249" s="118"/>
      <c r="BY2249" s="118"/>
      <c r="BZ2249" s="118"/>
      <c r="CA2249" s="118"/>
      <c r="CB2249" s="118"/>
      <c r="CC2249" s="118"/>
      <c r="CD2249" s="118"/>
      <c r="CE2249" s="118"/>
      <c r="CF2249" s="118"/>
      <c r="CG2249" s="118"/>
      <c r="CH2249" s="118"/>
      <c r="CI2249" s="118"/>
      <c r="CJ2249" s="118"/>
      <c r="CK2249" s="118"/>
      <c r="CL2249" s="118"/>
      <c r="CM2249" s="118"/>
      <c r="CN2249" s="118"/>
      <c r="CO2249" s="118"/>
      <c r="CP2249" s="118"/>
      <c r="CQ2249" s="118"/>
      <c r="CR2249" s="118"/>
      <c r="CS2249" s="118"/>
      <c r="CT2249" s="118"/>
      <c r="CU2249" s="118"/>
      <c r="CV2249" s="118"/>
      <c r="CW2249" s="118"/>
      <c r="CX2249" s="118"/>
      <c r="CY2249" s="118"/>
      <c r="CZ2249" s="118"/>
      <c r="DA2249" s="118"/>
      <c r="DB2249" s="118"/>
      <c r="DC2249" s="118"/>
      <c r="DD2249" s="118"/>
      <c r="DE2249" s="118"/>
      <c r="DF2249" s="118"/>
      <c r="DG2249" s="118"/>
      <c r="DH2249" s="118"/>
      <c r="DI2249" s="118"/>
      <c r="DJ2249" s="118"/>
      <c r="DK2249" s="118"/>
      <c r="DL2249" s="118"/>
      <c r="DM2249" s="118"/>
      <c r="DN2249" s="118"/>
      <c r="DO2249" s="118"/>
      <c r="DP2249" s="118"/>
      <c r="DQ2249" s="118"/>
      <c r="DR2249" s="118"/>
      <c r="DS2249" s="118"/>
      <c r="DT2249" s="118"/>
      <c r="DU2249" s="118"/>
      <c r="DV2249" s="118"/>
      <c r="DW2249" s="118"/>
      <c r="DX2249" s="118"/>
      <c r="DY2249" s="118"/>
      <c r="DZ2249" s="118"/>
      <c r="EA2249" s="118"/>
      <c r="EB2249" s="118"/>
      <c r="EC2249" s="118"/>
      <c r="ED2249" s="118"/>
      <c r="EE2249" s="118"/>
      <c r="EF2249" s="118"/>
      <c r="EG2249" s="118"/>
      <c r="EH2249" s="118"/>
      <c r="EI2249" s="118"/>
      <c r="EJ2249" s="118"/>
      <c r="EK2249" s="118"/>
      <c r="EL2249" s="118"/>
      <c r="EM2249" s="118"/>
      <c r="EN2249" s="118"/>
      <c r="EO2249" s="118"/>
      <c r="EP2249" s="118"/>
      <c r="EQ2249" s="118"/>
      <c r="ER2249" s="118"/>
      <c r="ES2249" s="118"/>
      <c r="ET2249" s="118"/>
      <c r="EU2249" s="118"/>
      <c r="EV2249" s="118"/>
      <c r="EW2249" s="118"/>
      <c r="EX2249" s="118"/>
      <c r="EY2249" s="118"/>
      <c r="EZ2249" s="118"/>
      <c r="FA2249" s="118"/>
      <c r="FB2249" s="118"/>
      <c r="FC2249" s="118"/>
      <c r="FD2249" s="118"/>
      <c r="FE2249" s="118"/>
      <c r="FF2249" s="118"/>
      <c r="FG2249" s="118"/>
      <c r="FH2249" s="118"/>
      <c r="FI2249" s="118"/>
      <c r="FJ2249" s="118"/>
      <c r="FK2249" s="118"/>
      <c r="FL2249" s="118"/>
      <c r="FM2249" s="118"/>
      <c r="FN2249" s="118"/>
      <c r="FO2249" s="118"/>
      <c r="FP2249" s="118"/>
      <c r="FQ2249" s="118"/>
      <c r="FR2249" s="118"/>
      <c r="FS2249" s="118"/>
      <c r="FT2249" s="118"/>
      <c r="FU2249" s="118"/>
      <c r="FV2249" s="118"/>
      <c r="FW2249" s="118"/>
      <c r="FX2249" s="118"/>
      <c r="FY2249" s="118"/>
      <c r="FZ2249" s="118"/>
      <c r="GA2249" s="118"/>
      <c r="GB2249" s="118"/>
      <c r="GC2249" s="118"/>
      <c r="GD2249" s="118"/>
      <c r="GE2249" s="118"/>
      <c r="GF2249" s="118"/>
      <c r="GG2249" s="118"/>
      <c r="GH2249" s="118"/>
      <c r="GI2249" s="118"/>
      <c r="GJ2249" s="118"/>
      <c r="GK2249" s="118"/>
      <c r="GL2249" s="118"/>
      <c r="GM2249" s="118"/>
      <c r="GN2249" s="118"/>
      <c r="GO2249" s="118"/>
      <c r="GP2249" s="118"/>
      <c r="GQ2249" s="118"/>
      <c r="GR2249" s="118"/>
      <c r="GS2249" s="118"/>
      <c r="GT2249" s="118"/>
      <c r="GU2249" s="118"/>
      <c r="GV2249" s="118"/>
      <c r="GW2249" s="118"/>
      <c r="GX2249" s="118"/>
      <c r="GY2249" s="118"/>
      <c r="GZ2249" s="118"/>
      <c r="HA2249" s="118"/>
      <c r="HB2249" s="118"/>
      <c r="HC2249" s="118"/>
      <c r="HD2249" s="118"/>
      <c r="HE2249" s="118"/>
      <c r="HF2249" s="118"/>
      <c r="HG2249" s="118"/>
      <c r="HH2249" s="118"/>
      <c r="HI2249" s="118"/>
      <c r="HJ2249" s="118"/>
      <c r="HK2249" s="118"/>
      <c r="HL2249" s="118"/>
      <c r="HM2249" s="118"/>
      <c r="HN2249" s="118"/>
      <c r="HO2249" s="118"/>
      <c r="HP2249" s="118"/>
      <c r="HQ2249" s="118"/>
      <c r="HR2249" s="118"/>
      <c r="HS2249" s="118"/>
      <c r="HT2249" s="118"/>
      <c r="HU2249" s="118"/>
      <c r="HV2249" s="118"/>
      <c r="HW2249" s="118"/>
      <c r="HX2249" s="118"/>
      <c r="HY2249" s="118"/>
      <c r="HZ2249" s="118"/>
      <c r="IA2249" s="118"/>
      <c r="IB2249" s="118"/>
      <c r="IC2249" s="118"/>
      <c r="ID2249" s="118"/>
      <c r="IE2249" s="118"/>
      <c r="IF2249" s="118"/>
      <c r="IG2249" s="118"/>
      <c r="IH2249" s="118"/>
      <c r="II2249" s="118"/>
      <c r="IJ2249" s="118"/>
    </row>
    <row r="2250" spans="1:244" s="127" customFormat="1" ht="12.75" customHeight="1">
      <c r="A2250" s="118">
        <v>2249</v>
      </c>
      <c r="B2250" s="260">
        <v>24</v>
      </c>
      <c r="C2250" s="156">
        <v>37377</v>
      </c>
      <c r="D2250" s="157" t="s">
        <v>48</v>
      </c>
      <c r="E2250" s="8">
        <v>2002</v>
      </c>
      <c r="F2250" s="158">
        <f t="shared" si="566"/>
        <v>760</v>
      </c>
      <c r="G2250" s="158">
        <f>IF(F2250&lt;730,2,3)</f>
        <v>3</v>
      </c>
      <c r="H2250" s="162">
        <v>36617</v>
      </c>
      <c r="I2250" s="163">
        <v>209355</v>
      </c>
      <c r="J2250" s="11"/>
      <c r="K2250" s="11"/>
      <c r="L2250" s="11"/>
      <c r="M2250" s="174"/>
      <c r="N2250" s="528"/>
      <c r="O2250" s="11"/>
      <c r="P2250" s="8"/>
      <c r="Q2250" s="11">
        <v>8.1</v>
      </c>
      <c r="R2250" s="11"/>
      <c r="S2250" s="155"/>
      <c r="T2250" s="11"/>
      <c r="U2250" s="161"/>
      <c r="V2250" s="11"/>
      <c r="W2250" s="11"/>
      <c r="X2250" s="118"/>
      <c r="Y2250" s="118"/>
      <c r="Z2250" s="118"/>
      <c r="AA2250" s="118"/>
      <c r="AB2250" s="118"/>
      <c r="AC2250" s="118"/>
      <c r="AD2250" s="118"/>
      <c r="AE2250" s="118"/>
      <c r="AF2250" s="118"/>
      <c r="AG2250" s="118"/>
      <c r="AH2250" s="118"/>
      <c r="AI2250" s="118"/>
      <c r="AJ2250" s="118"/>
      <c r="AK2250" s="118"/>
      <c r="AL2250" s="118"/>
      <c r="AM2250" s="118"/>
      <c r="AN2250" s="118"/>
      <c r="AO2250" s="118"/>
      <c r="AP2250" s="118"/>
      <c r="AQ2250" s="118"/>
      <c r="AR2250" s="118"/>
      <c r="AS2250" s="118"/>
      <c r="AT2250" s="118"/>
      <c r="AU2250" s="118"/>
      <c r="AV2250" s="118"/>
      <c r="AW2250" s="118"/>
      <c r="AX2250" s="118"/>
      <c r="AY2250" s="118"/>
      <c r="AZ2250" s="118"/>
      <c r="BA2250" s="118"/>
      <c r="BB2250" s="118"/>
      <c r="BC2250" s="118"/>
      <c r="BD2250" s="118"/>
      <c r="BE2250" s="118"/>
      <c r="BF2250" s="118"/>
      <c r="BG2250" s="118"/>
      <c r="BH2250" s="118"/>
      <c r="BI2250" s="118"/>
      <c r="BJ2250" s="118"/>
      <c r="BK2250" s="118"/>
      <c r="BL2250" s="118"/>
      <c r="BM2250" s="118"/>
      <c r="BN2250" s="118"/>
      <c r="BO2250" s="118"/>
      <c r="BP2250" s="118"/>
      <c r="BQ2250" s="118"/>
      <c r="BR2250" s="118"/>
      <c r="BS2250" s="118"/>
      <c r="BT2250" s="118"/>
      <c r="BU2250" s="118"/>
      <c r="BV2250" s="118"/>
      <c r="BW2250" s="118"/>
      <c r="BX2250" s="118"/>
      <c r="BY2250" s="118"/>
      <c r="BZ2250" s="118"/>
      <c r="CA2250" s="118"/>
      <c r="CB2250" s="118"/>
      <c r="CC2250" s="118"/>
      <c r="CD2250" s="118"/>
      <c r="CE2250" s="118"/>
      <c r="CF2250" s="118"/>
      <c r="CG2250" s="118"/>
      <c r="CH2250" s="118"/>
      <c r="CI2250" s="118"/>
      <c r="CJ2250" s="118"/>
      <c r="CK2250" s="118"/>
      <c r="CL2250" s="118"/>
      <c r="CM2250" s="118"/>
      <c r="CN2250" s="118"/>
      <c r="CO2250" s="118"/>
      <c r="CP2250" s="118"/>
      <c r="CQ2250" s="118"/>
      <c r="CR2250" s="118"/>
      <c r="CS2250" s="118"/>
      <c r="CT2250" s="118"/>
      <c r="CU2250" s="118"/>
      <c r="CV2250" s="118"/>
      <c r="CW2250" s="118"/>
      <c r="CX2250" s="118"/>
      <c r="CY2250" s="118"/>
      <c r="CZ2250" s="118"/>
      <c r="DA2250" s="118"/>
      <c r="DB2250" s="118"/>
      <c r="DC2250" s="118"/>
      <c r="DD2250" s="118"/>
      <c r="DE2250" s="118"/>
      <c r="DF2250" s="118"/>
      <c r="DG2250" s="118"/>
      <c r="DH2250" s="118"/>
      <c r="DI2250" s="118"/>
      <c r="DJ2250" s="118"/>
      <c r="DK2250" s="118"/>
      <c r="DL2250" s="118"/>
      <c r="DM2250" s="118"/>
      <c r="DN2250" s="118"/>
      <c r="DO2250" s="118"/>
      <c r="DP2250" s="118"/>
      <c r="DQ2250" s="118"/>
      <c r="DR2250" s="118"/>
      <c r="DS2250" s="118"/>
      <c r="DT2250" s="118"/>
      <c r="DU2250" s="118"/>
      <c r="DV2250" s="118"/>
      <c r="DW2250" s="118"/>
      <c r="DX2250" s="118"/>
      <c r="DY2250" s="118"/>
      <c r="DZ2250" s="118"/>
      <c r="EA2250" s="118"/>
      <c r="EB2250" s="118"/>
      <c r="EC2250" s="118"/>
      <c r="ED2250" s="118"/>
      <c r="EE2250" s="118"/>
      <c r="EF2250" s="118"/>
      <c r="EG2250" s="118"/>
      <c r="EH2250" s="118"/>
      <c r="EI2250" s="118"/>
      <c r="EJ2250" s="118"/>
      <c r="EK2250" s="118"/>
      <c r="EL2250" s="118"/>
      <c r="EM2250" s="118"/>
      <c r="EN2250" s="118"/>
      <c r="EO2250" s="118"/>
      <c r="EP2250" s="118"/>
      <c r="EQ2250" s="118"/>
      <c r="ER2250" s="118"/>
      <c r="ES2250" s="118"/>
      <c r="ET2250" s="118"/>
      <c r="EU2250" s="118"/>
      <c r="EV2250" s="118"/>
      <c r="EW2250" s="118"/>
      <c r="EX2250" s="118"/>
      <c r="EY2250" s="118"/>
      <c r="EZ2250" s="118"/>
      <c r="FA2250" s="118"/>
      <c r="FB2250" s="118"/>
      <c r="FC2250" s="118"/>
      <c r="FD2250" s="118"/>
      <c r="FE2250" s="118"/>
      <c r="FF2250" s="118"/>
      <c r="FG2250" s="118"/>
      <c r="FH2250" s="118"/>
      <c r="FI2250" s="118"/>
      <c r="FJ2250" s="118"/>
      <c r="FK2250" s="118"/>
      <c r="FL2250" s="118"/>
      <c r="FM2250" s="118"/>
      <c r="FN2250" s="118"/>
      <c r="FO2250" s="118"/>
      <c r="FP2250" s="118"/>
      <c r="FQ2250" s="118"/>
      <c r="FR2250" s="118"/>
      <c r="FS2250" s="118"/>
      <c r="FT2250" s="118"/>
      <c r="FU2250" s="118"/>
      <c r="FV2250" s="118"/>
      <c r="FW2250" s="118"/>
      <c r="FX2250" s="118"/>
      <c r="FY2250" s="118"/>
      <c r="FZ2250" s="118"/>
      <c r="GA2250" s="118"/>
      <c r="GB2250" s="118"/>
      <c r="GC2250" s="118"/>
      <c r="GD2250" s="118"/>
      <c r="GE2250" s="118"/>
      <c r="GF2250" s="118"/>
      <c r="GG2250" s="118"/>
      <c r="GH2250" s="118"/>
      <c r="GI2250" s="118"/>
      <c r="GJ2250" s="118"/>
      <c r="GK2250" s="118"/>
      <c r="GL2250" s="118"/>
      <c r="GM2250" s="118"/>
      <c r="GN2250" s="118"/>
      <c r="GO2250" s="118"/>
      <c r="GP2250" s="118"/>
      <c r="GQ2250" s="118"/>
      <c r="GR2250" s="118"/>
      <c r="GS2250" s="118"/>
      <c r="GT2250" s="118"/>
      <c r="GU2250" s="118"/>
      <c r="GV2250" s="118"/>
      <c r="GW2250" s="118"/>
      <c r="GX2250" s="118"/>
      <c r="GY2250" s="118"/>
      <c r="GZ2250" s="118"/>
      <c r="HA2250" s="118"/>
      <c r="HB2250" s="118"/>
      <c r="HC2250" s="118"/>
      <c r="HD2250" s="118"/>
      <c r="HE2250" s="118"/>
      <c r="HF2250" s="118"/>
      <c r="HG2250" s="118"/>
      <c r="HH2250" s="118"/>
      <c r="HI2250" s="118"/>
      <c r="HJ2250" s="118"/>
      <c r="HK2250" s="118"/>
      <c r="HL2250" s="118"/>
      <c r="HM2250" s="118"/>
      <c r="HN2250" s="118"/>
      <c r="HO2250" s="118"/>
      <c r="HP2250" s="118"/>
      <c r="HQ2250" s="118"/>
      <c r="HR2250" s="118"/>
      <c r="HS2250" s="118"/>
      <c r="HT2250" s="118"/>
      <c r="HU2250" s="118"/>
      <c r="HV2250" s="118"/>
      <c r="HW2250" s="118"/>
      <c r="HX2250" s="118"/>
      <c r="HY2250" s="118"/>
      <c r="HZ2250" s="118"/>
      <c r="IA2250" s="118"/>
      <c r="IB2250" s="118"/>
      <c r="IC2250" s="118"/>
      <c r="ID2250" s="118"/>
      <c r="IE2250" s="118"/>
      <c r="IF2250" s="118"/>
      <c r="IG2250" s="118"/>
      <c r="IH2250" s="118"/>
      <c r="II2250" s="118"/>
      <c r="IJ2250" s="118"/>
    </row>
    <row r="2251" spans="1:244" s="127" customFormat="1" ht="12.75" customHeight="1">
      <c r="A2251" s="118">
        <v>2250</v>
      </c>
      <c r="B2251" s="260">
        <v>24</v>
      </c>
      <c r="C2251" s="156">
        <v>37408</v>
      </c>
      <c r="D2251" s="157" t="s">
        <v>49</v>
      </c>
      <c r="E2251" s="8">
        <v>2002</v>
      </c>
      <c r="F2251" s="158">
        <f t="shared" si="566"/>
        <v>791</v>
      </c>
      <c r="G2251" s="158">
        <f>IF(F2251&lt;730,2,3)</f>
        <v>3</v>
      </c>
      <c r="H2251" s="162">
        <v>36617</v>
      </c>
      <c r="I2251" s="163">
        <v>50489</v>
      </c>
      <c r="J2251" s="11"/>
      <c r="K2251" s="11"/>
      <c r="L2251" s="11"/>
      <c r="M2251" s="174"/>
      <c r="N2251" s="528"/>
      <c r="O2251" s="11"/>
      <c r="P2251" s="8"/>
      <c r="Q2251" s="11"/>
      <c r="R2251" s="11"/>
      <c r="S2251" s="155"/>
      <c r="T2251" s="11"/>
      <c r="U2251" s="161"/>
      <c r="V2251" s="11"/>
      <c r="W2251" s="11"/>
      <c r="X2251" s="118"/>
      <c r="Y2251" s="118"/>
      <c r="Z2251" s="118"/>
      <c r="AA2251" s="118"/>
      <c r="AB2251" s="118"/>
      <c r="AC2251" s="118"/>
      <c r="AD2251" s="118"/>
      <c r="AE2251" s="118"/>
      <c r="AF2251" s="118"/>
      <c r="AG2251" s="118"/>
      <c r="AH2251" s="118"/>
      <c r="AI2251" s="118"/>
      <c r="AJ2251" s="118"/>
      <c r="AK2251" s="118"/>
      <c r="AL2251" s="118"/>
      <c r="AM2251" s="118"/>
      <c r="AN2251" s="118"/>
      <c r="AO2251" s="118"/>
      <c r="AP2251" s="118"/>
      <c r="AQ2251" s="118"/>
      <c r="AR2251" s="118"/>
      <c r="AS2251" s="118"/>
      <c r="AT2251" s="118"/>
      <c r="AU2251" s="118"/>
      <c r="AV2251" s="118"/>
      <c r="AW2251" s="118"/>
      <c r="AX2251" s="118"/>
      <c r="AY2251" s="118"/>
      <c r="AZ2251" s="118"/>
      <c r="BA2251" s="118"/>
      <c r="BB2251" s="118"/>
      <c r="BC2251" s="118"/>
      <c r="BD2251" s="118"/>
      <c r="BE2251" s="118"/>
      <c r="BF2251" s="118"/>
      <c r="BG2251" s="118"/>
      <c r="BH2251" s="118"/>
      <c r="BI2251" s="118"/>
      <c r="BJ2251" s="118"/>
      <c r="BK2251" s="118"/>
      <c r="BL2251" s="118"/>
      <c r="BM2251" s="118"/>
      <c r="BN2251" s="118"/>
      <c r="BO2251" s="118"/>
      <c r="BP2251" s="118"/>
      <c r="BQ2251" s="118"/>
      <c r="BR2251" s="118"/>
      <c r="BS2251" s="118"/>
      <c r="BT2251" s="118"/>
      <c r="BU2251" s="118"/>
      <c r="BV2251" s="118"/>
      <c r="BW2251" s="118"/>
      <c r="BX2251" s="118"/>
      <c r="BY2251" s="118"/>
      <c r="BZ2251" s="118"/>
      <c r="CA2251" s="118"/>
      <c r="CB2251" s="118"/>
      <c r="CC2251" s="118"/>
      <c r="CD2251" s="118"/>
      <c r="CE2251" s="118"/>
      <c r="CF2251" s="118"/>
      <c r="CG2251" s="118"/>
      <c r="CH2251" s="118"/>
      <c r="CI2251" s="118"/>
      <c r="CJ2251" s="118"/>
      <c r="CK2251" s="118"/>
      <c r="CL2251" s="118"/>
      <c r="CM2251" s="118"/>
      <c r="CN2251" s="118"/>
      <c r="CO2251" s="118"/>
      <c r="CP2251" s="118"/>
      <c r="CQ2251" s="118"/>
      <c r="CR2251" s="118"/>
      <c r="CS2251" s="118"/>
      <c r="CT2251" s="118"/>
      <c r="CU2251" s="118"/>
      <c r="CV2251" s="118"/>
      <c r="CW2251" s="118"/>
      <c r="CX2251" s="118"/>
      <c r="CY2251" s="118"/>
      <c r="CZ2251" s="118"/>
      <c r="DA2251" s="118"/>
      <c r="DB2251" s="118"/>
      <c r="DC2251" s="118"/>
      <c r="DD2251" s="118"/>
      <c r="DE2251" s="118"/>
      <c r="DF2251" s="118"/>
      <c r="DG2251" s="118"/>
      <c r="DH2251" s="118"/>
      <c r="DI2251" s="118"/>
      <c r="DJ2251" s="118"/>
      <c r="DK2251" s="118"/>
      <c r="DL2251" s="118"/>
      <c r="DM2251" s="118"/>
      <c r="DN2251" s="118"/>
      <c r="DO2251" s="118"/>
      <c r="DP2251" s="118"/>
      <c r="DQ2251" s="118"/>
      <c r="DR2251" s="118"/>
      <c r="DS2251" s="118"/>
      <c r="DT2251" s="118"/>
      <c r="DU2251" s="118"/>
      <c r="DV2251" s="118"/>
      <c r="DW2251" s="118"/>
      <c r="DX2251" s="118"/>
      <c r="DY2251" s="118"/>
      <c r="DZ2251" s="118"/>
      <c r="EA2251" s="118"/>
      <c r="EB2251" s="118"/>
      <c r="EC2251" s="118"/>
      <c r="ED2251" s="118"/>
      <c r="EE2251" s="118"/>
      <c r="EF2251" s="118"/>
      <c r="EG2251" s="118"/>
      <c r="EH2251" s="118"/>
      <c r="EI2251" s="118"/>
      <c r="EJ2251" s="118"/>
      <c r="EK2251" s="118"/>
      <c r="EL2251" s="118"/>
      <c r="EM2251" s="118"/>
      <c r="EN2251" s="118"/>
      <c r="EO2251" s="118"/>
      <c r="EP2251" s="118"/>
      <c r="EQ2251" s="118"/>
      <c r="ER2251" s="118"/>
      <c r="ES2251" s="118"/>
      <c r="ET2251" s="118"/>
      <c r="EU2251" s="118"/>
      <c r="EV2251" s="118"/>
      <c r="EW2251" s="118"/>
      <c r="EX2251" s="118"/>
      <c r="EY2251" s="118"/>
      <c r="EZ2251" s="118"/>
      <c r="FA2251" s="118"/>
      <c r="FB2251" s="118"/>
      <c r="FC2251" s="118"/>
      <c r="FD2251" s="118"/>
      <c r="FE2251" s="118"/>
      <c r="FF2251" s="118"/>
      <c r="FG2251" s="118"/>
      <c r="FH2251" s="118"/>
      <c r="FI2251" s="118"/>
      <c r="FJ2251" s="118"/>
      <c r="FK2251" s="118"/>
      <c r="FL2251" s="118"/>
      <c r="FM2251" s="118"/>
      <c r="FN2251" s="118"/>
      <c r="FO2251" s="118"/>
      <c r="FP2251" s="118"/>
      <c r="FQ2251" s="118"/>
      <c r="FR2251" s="118"/>
      <c r="FS2251" s="118"/>
      <c r="FT2251" s="118"/>
      <c r="FU2251" s="118"/>
      <c r="FV2251" s="118"/>
      <c r="FW2251" s="118"/>
      <c r="FX2251" s="118"/>
      <c r="FY2251" s="118"/>
      <c r="FZ2251" s="118"/>
      <c r="GA2251" s="118"/>
      <c r="GB2251" s="118"/>
      <c r="GC2251" s="118"/>
      <c r="GD2251" s="118"/>
      <c r="GE2251" s="118"/>
      <c r="GF2251" s="118"/>
      <c r="GG2251" s="118"/>
      <c r="GH2251" s="118"/>
      <c r="GI2251" s="118"/>
      <c r="GJ2251" s="118"/>
      <c r="GK2251" s="118"/>
      <c r="GL2251" s="118"/>
      <c r="GM2251" s="118"/>
      <c r="GN2251" s="118"/>
      <c r="GO2251" s="118"/>
      <c r="GP2251" s="118"/>
      <c r="GQ2251" s="118"/>
      <c r="GR2251" s="118"/>
      <c r="GS2251" s="118"/>
      <c r="GT2251" s="118"/>
      <c r="GU2251" s="118"/>
      <c r="GV2251" s="118"/>
      <c r="GW2251" s="118"/>
      <c r="GX2251" s="118"/>
      <c r="GY2251" s="118"/>
      <c r="GZ2251" s="118"/>
      <c r="HA2251" s="118"/>
      <c r="HB2251" s="118"/>
      <c r="HC2251" s="118"/>
      <c r="HD2251" s="118"/>
      <c r="HE2251" s="118"/>
      <c r="HF2251" s="118"/>
      <c r="HG2251" s="118"/>
      <c r="HH2251" s="118"/>
      <c r="HI2251" s="118"/>
      <c r="HJ2251" s="118"/>
      <c r="HK2251" s="118"/>
      <c r="HL2251" s="118"/>
      <c r="HM2251" s="118"/>
      <c r="HN2251" s="118"/>
      <c r="HO2251" s="118"/>
      <c r="HP2251" s="118"/>
      <c r="HQ2251" s="118"/>
      <c r="HR2251" s="118"/>
      <c r="HS2251" s="118"/>
      <c r="HT2251" s="118"/>
      <c r="HU2251" s="118"/>
      <c r="HV2251" s="118"/>
      <c r="HW2251" s="118"/>
      <c r="HX2251" s="118"/>
      <c r="HY2251" s="118"/>
      <c r="HZ2251" s="118"/>
      <c r="IA2251" s="118"/>
      <c r="IB2251" s="118"/>
      <c r="IC2251" s="118"/>
      <c r="ID2251" s="118"/>
      <c r="IE2251" s="118"/>
      <c r="IF2251" s="118"/>
      <c r="IG2251" s="118"/>
      <c r="IH2251" s="118"/>
      <c r="II2251" s="118"/>
      <c r="IJ2251" s="118"/>
    </row>
    <row r="2252" spans="1:244" ht="12.75" customHeight="1">
      <c r="A2252" s="118">
        <v>2251</v>
      </c>
      <c r="B2252" s="128">
        <v>24</v>
      </c>
      <c r="C2252" s="156">
        <v>37438</v>
      </c>
      <c r="D2252" s="157" t="s">
        <v>50</v>
      </c>
      <c r="E2252" s="8">
        <v>2002</v>
      </c>
      <c r="F2252" s="158"/>
      <c r="G2252" s="162"/>
      <c r="H2252" s="162"/>
      <c r="J2252" s="11"/>
      <c r="K2252" s="11"/>
      <c r="L2252" s="11"/>
      <c r="O2252" s="11"/>
      <c r="S2252" s="155" t="s">
        <v>13</v>
      </c>
      <c r="T2252" s="11"/>
      <c r="V2252" s="11"/>
      <c r="W2252" s="11"/>
    </row>
    <row r="2253" spans="1:244" ht="12.75" customHeight="1">
      <c r="A2253" s="118">
        <v>2252</v>
      </c>
      <c r="B2253" s="128">
        <v>24</v>
      </c>
      <c r="C2253" s="156">
        <v>37469</v>
      </c>
      <c r="D2253" s="157" t="s">
        <v>51</v>
      </c>
      <c r="E2253" s="8">
        <v>2002</v>
      </c>
      <c r="F2253" s="158"/>
      <c r="G2253" s="162"/>
      <c r="H2253" s="162"/>
      <c r="J2253" s="11"/>
      <c r="K2253" s="11"/>
      <c r="L2253" s="11"/>
      <c r="O2253" s="11"/>
      <c r="T2253" s="11"/>
      <c r="V2253" s="11"/>
      <c r="W2253" s="11"/>
    </row>
    <row r="2254" spans="1:244" ht="12.75" customHeight="1">
      <c r="A2254" s="118">
        <v>2253</v>
      </c>
      <c r="B2254" s="128">
        <v>24</v>
      </c>
      <c r="C2254" s="156">
        <v>37500</v>
      </c>
      <c r="D2254" s="157" t="s">
        <v>52</v>
      </c>
      <c r="E2254" s="8">
        <v>2002</v>
      </c>
      <c r="F2254" s="158"/>
      <c r="G2254" s="162"/>
      <c r="J2254" s="11"/>
      <c r="K2254" s="11"/>
      <c r="L2254" s="11"/>
      <c r="O2254" s="11"/>
      <c r="T2254" s="11"/>
      <c r="V2254" s="11"/>
      <c r="W2254" s="11"/>
    </row>
    <row r="2255" spans="1:244" ht="12.75" customHeight="1">
      <c r="A2255" s="118">
        <v>2254</v>
      </c>
      <c r="B2255" s="128">
        <v>24</v>
      </c>
      <c r="C2255" s="156">
        <v>37530</v>
      </c>
      <c r="D2255" s="157" t="s">
        <v>53</v>
      </c>
      <c r="E2255" s="8">
        <v>2002</v>
      </c>
      <c r="F2255" s="158"/>
      <c r="G2255" s="162"/>
      <c r="J2255" s="11"/>
      <c r="K2255" s="11"/>
      <c r="L2255" s="11"/>
      <c r="O2255" s="11"/>
      <c r="T2255" s="11"/>
      <c r="V2255" s="11"/>
      <c r="W2255" s="11"/>
    </row>
    <row r="2256" spans="1:244" ht="12.75" customHeight="1">
      <c r="A2256" s="118">
        <v>2255</v>
      </c>
      <c r="B2256" s="128">
        <v>24</v>
      </c>
      <c r="C2256" s="156">
        <v>37561</v>
      </c>
      <c r="D2256" s="157" t="s">
        <v>54</v>
      </c>
      <c r="E2256" s="8">
        <v>2002</v>
      </c>
      <c r="F2256" s="158"/>
      <c r="G2256" s="162"/>
      <c r="J2256" s="11"/>
      <c r="K2256" s="11"/>
      <c r="L2256" s="11"/>
      <c r="O2256" s="11"/>
      <c r="T2256" s="11"/>
      <c r="V2256" s="11"/>
      <c r="W2256" s="11"/>
    </row>
    <row r="2257" spans="1:244" ht="12.75" customHeight="1">
      <c r="A2257" s="118">
        <v>2256</v>
      </c>
      <c r="B2257" s="128">
        <v>24</v>
      </c>
      <c r="C2257" s="156">
        <v>37591</v>
      </c>
      <c r="D2257" s="157" t="s">
        <v>55</v>
      </c>
      <c r="E2257" s="8">
        <v>2002</v>
      </c>
      <c r="F2257" s="158">
        <f t="shared" ref="F2257:F2272" si="569">C2257-H2257</f>
        <v>244</v>
      </c>
      <c r="G2257" s="158">
        <f t="shared" ref="G2257:G2272" si="570">IF(F2257&lt;365,1,2)</f>
        <v>1</v>
      </c>
      <c r="H2257" s="162">
        <v>37347</v>
      </c>
      <c r="I2257" s="163">
        <v>538353</v>
      </c>
      <c r="J2257" s="173"/>
      <c r="K2257" s="165">
        <v>1.8</v>
      </c>
      <c r="L2257" s="165">
        <v>0.85</v>
      </c>
      <c r="N2257" s="528" t="s">
        <v>446</v>
      </c>
      <c r="O2257" s="165">
        <v>0</v>
      </c>
      <c r="S2257" s="180" t="s">
        <v>383</v>
      </c>
      <c r="T2257" s="161">
        <f t="shared" ref="T2257:T2271" si="571">$I2257*K2257</f>
        <v>969035.4</v>
      </c>
      <c r="U2257" s="161">
        <f t="shared" ref="U2257:U2271" si="572">$I2257*L2257</f>
        <v>457600.05</v>
      </c>
      <c r="V2257" s="161">
        <f t="shared" ref="V2257:V2272" si="573">$I2257*O2257</f>
        <v>0</v>
      </c>
      <c r="W2257" s="161">
        <f t="shared" ref="W2257:W2272" si="574">V2257*0.4</f>
        <v>0</v>
      </c>
    </row>
    <row r="2258" spans="1:244" ht="12.75" customHeight="1">
      <c r="A2258" s="118">
        <v>2257</v>
      </c>
      <c r="B2258" s="128">
        <v>24</v>
      </c>
      <c r="C2258" s="156">
        <v>37622</v>
      </c>
      <c r="D2258" s="157" t="s">
        <v>44</v>
      </c>
      <c r="E2258" s="8">
        <v>2003</v>
      </c>
      <c r="F2258" s="158">
        <f t="shared" si="569"/>
        <v>275</v>
      </c>
      <c r="G2258" s="158">
        <f t="shared" si="570"/>
        <v>1</v>
      </c>
      <c r="H2258" s="162">
        <v>37347</v>
      </c>
      <c r="I2258" s="163">
        <v>571020</v>
      </c>
      <c r="J2258" s="11">
        <v>30.8</v>
      </c>
      <c r="K2258" s="11">
        <v>3.9</v>
      </c>
      <c r="L2258" s="11">
        <v>0.9</v>
      </c>
      <c r="O2258" s="11">
        <v>0.6</v>
      </c>
      <c r="Q2258" s="11">
        <v>7.6</v>
      </c>
      <c r="T2258" s="161">
        <f t="shared" si="571"/>
        <v>2226978</v>
      </c>
      <c r="U2258" s="161">
        <f t="shared" si="572"/>
        <v>513918</v>
      </c>
      <c r="V2258" s="161">
        <f t="shared" si="573"/>
        <v>342612</v>
      </c>
      <c r="W2258" s="161">
        <f t="shared" si="574"/>
        <v>137044.80000000002</v>
      </c>
      <c r="X2258" s="127"/>
      <c r="Y2258" s="127"/>
      <c r="Z2258" s="127"/>
      <c r="AA2258" s="127"/>
      <c r="AB2258" s="127"/>
      <c r="AC2258" s="127"/>
      <c r="AD2258" s="127"/>
      <c r="AE2258" s="127"/>
      <c r="AF2258" s="127"/>
      <c r="AG2258" s="127"/>
      <c r="AH2258" s="127"/>
      <c r="AI2258" s="127"/>
      <c r="AJ2258" s="127"/>
      <c r="AK2258" s="127"/>
      <c r="AL2258" s="127"/>
      <c r="AM2258" s="127"/>
      <c r="AN2258" s="127"/>
      <c r="AO2258" s="127"/>
      <c r="AP2258" s="127"/>
      <c r="AQ2258" s="127"/>
      <c r="AR2258" s="127"/>
      <c r="AS2258" s="127"/>
      <c r="AT2258" s="127"/>
      <c r="AU2258" s="127"/>
      <c r="AV2258" s="127"/>
      <c r="AW2258" s="127"/>
      <c r="AX2258" s="127"/>
      <c r="AY2258" s="127"/>
      <c r="AZ2258" s="127"/>
      <c r="BA2258" s="127"/>
      <c r="BB2258" s="127"/>
      <c r="BC2258" s="127"/>
      <c r="BD2258" s="127"/>
      <c r="BE2258" s="127"/>
      <c r="BF2258" s="127"/>
      <c r="BG2258" s="127"/>
      <c r="BH2258" s="127"/>
      <c r="BI2258" s="127"/>
      <c r="BJ2258" s="127"/>
      <c r="BK2258" s="127"/>
      <c r="BL2258" s="127"/>
      <c r="BM2258" s="127"/>
      <c r="BN2258" s="127"/>
      <c r="BO2258" s="127"/>
      <c r="BP2258" s="127"/>
      <c r="BQ2258" s="127"/>
      <c r="BR2258" s="127"/>
      <c r="BS2258" s="127"/>
      <c r="BT2258" s="127"/>
      <c r="BU2258" s="127"/>
      <c r="BV2258" s="127"/>
      <c r="BW2258" s="127"/>
      <c r="BX2258" s="127"/>
      <c r="BY2258" s="127"/>
      <c r="BZ2258" s="127"/>
      <c r="CA2258" s="127"/>
      <c r="CB2258" s="127"/>
      <c r="CC2258" s="127"/>
      <c r="CD2258" s="127"/>
      <c r="CE2258" s="127"/>
      <c r="CF2258" s="127"/>
      <c r="CG2258" s="127"/>
      <c r="CH2258" s="127"/>
      <c r="CI2258" s="127"/>
      <c r="CJ2258" s="127"/>
      <c r="CK2258" s="127"/>
      <c r="CL2258" s="127"/>
      <c r="CM2258" s="127"/>
      <c r="CN2258" s="127"/>
      <c r="CO2258" s="127"/>
      <c r="CP2258" s="127"/>
      <c r="CQ2258" s="127"/>
      <c r="CR2258" s="127"/>
      <c r="CS2258" s="127"/>
      <c r="CT2258" s="127"/>
      <c r="CU2258" s="127"/>
      <c r="CV2258" s="127"/>
      <c r="CW2258" s="127"/>
      <c r="CX2258" s="127"/>
      <c r="CY2258" s="127"/>
      <c r="CZ2258" s="127"/>
      <c r="DA2258" s="127"/>
      <c r="DB2258" s="127"/>
      <c r="DC2258" s="127"/>
      <c r="DD2258" s="127"/>
      <c r="DE2258" s="127"/>
      <c r="DF2258" s="127"/>
      <c r="DG2258" s="127"/>
      <c r="DH2258" s="127"/>
      <c r="DI2258" s="127"/>
      <c r="DJ2258" s="127"/>
      <c r="DK2258" s="127"/>
      <c r="DL2258" s="127"/>
      <c r="DM2258" s="127"/>
      <c r="DN2258" s="127"/>
      <c r="DO2258" s="127"/>
      <c r="DP2258" s="127"/>
      <c r="DQ2258" s="127"/>
      <c r="DR2258" s="127"/>
      <c r="DS2258" s="127"/>
      <c r="DT2258" s="127"/>
      <c r="DU2258" s="127"/>
      <c r="DV2258" s="127"/>
      <c r="DW2258" s="127"/>
      <c r="DX2258" s="127"/>
      <c r="DY2258" s="127"/>
      <c r="DZ2258" s="127"/>
      <c r="EA2258" s="127"/>
      <c r="EB2258" s="127"/>
      <c r="EC2258" s="127"/>
      <c r="ED2258" s="127"/>
      <c r="EE2258" s="127"/>
      <c r="EF2258" s="127"/>
      <c r="EG2258" s="127"/>
      <c r="EH2258" s="127"/>
      <c r="EI2258" s="127"/>
      <c r="EJ2258" s="127"/>
      <c r="EK2258" s="127"/>
      <c r="EL2258" s="127"/>
      <c r="EM2258" s="127"/>
      <c r="EN2258" s="127"/>
      <c r="EO2258" s="127"/>
      <c r="EP2258" s="127"/>
      <c r="EQ2258" s="127"/>
      <c r="ER2258" s="127"/>
      <c r="ES2258" s="127"/>
      <c r="ET2258" s="127"/>
      <c r="EU2258" s="127"/>
      <c r="EV2258" s="127"/>
      <c r="EW2258" s="127"/>
      <c r="EX2258" s="127"/>
      <c r="EY2258" s="127"/>
      <c r="EZ2258" s="127"/>
      <c r="FA2258" s="127"/>
      <c r="FB2258" s="127"/>
      <c r="FC2258" s="127"/>
      <c r="FD2258" s="127"/>
      <c r="FE2258" s="127"/>
      <c r="FF2258" s="127"/>
      <c r="FG2258" s="127"/>
      <c r="FH2258" s="127"/>
      <c r="FI2258" s="127"/>
      <c r="FJ2258" s="127"/>
      <c r="FK2258" s="127"/>
      <c r="FL2258" s="127"/>
      <c r="FM2258" s="127"/>
      <c r="FN2258" s="127"/>
      <c r="FO2258" s="127"/>
      <c r="FP2258" s="127"/>
      <c r="FQ2258" s="127"/>
      <c r="FR2258" s="127"/>
      <c r="FS2258" s="127"/>
      <c r="FT2258" s="127"/>
      <c r="FU2258" s="127"/>
      <c r="FV2258" s="127"/>
      <c r="FW2258" s="127"/>
      <c r="FX2258" s="127"/>
      <c r="FY2258" s="127"/>
      <c r="FZ2258" s="127"/>
      <c r="GA2258" s="127"/>
      <c r="GB2258" s="127"/>
      <c r="GC2258" s="127"/>
      <c r="GD2258" s="127"/>
      <c r="GE2258" s="127"/>
      <c r="GF2258" s="127"/>
      <c r="GG2258" s="127"/>
      <c r="GH2258" s="127"/>
      <c r="GI2258" s="127"/>
      <c r="GJ2258" s="127"/>
      <c r="GK2258" s="127"/>
      <c r="GL2258" s="127"/>
      <c r="GM2258" s="127"/>
      <c r="GN2258" s="127"/>
      <c r="GO2258" s="127"/>
      <c r="GP2258" s="127"/>
      <c r="GQ2258" s="127"/>
      <c r="GR2258" s="127"/>
      <c r="GS2258" s="127"/>
      <c r="GT2258" s="127"/>
      <c r="GU2258" s="127"/>
      <c r="GV2258" s="127"/>
      <c r="GW2258" s="127"/>
      <c r="GX2258" s="127"/>
      <c r="GY2258" s="127"/>
      <c r="GZ2258" s="127"/>
      <c r="HA2258" s="127"/>
      <c r="HB2258" s="127"/>
      <c r="HC2258" s="127"/>
      <c r="HD2258" s="127"/>
      <c r="HE2258" s="127"/>
      <c r="HF2258" s="127"/>
      <c r="HG2258" s="127"/>
      <c r="HH2258" s="127"/>
      <c r="HI2258" s="127"/>
      <c r="HJ2258" s="127"/>
      <c r="HK2258" s="127"/>
      <c r="HL2258" s="127"/>
      <c r="HM2258" s="127"/>
      <c r="HN2258" s="127"/>
      <c r="HO2258" s="127"/>
      <c r="HP2258" s="127"/>
      <c r="HQ2258" s="127"/>
      <c r="HR2258" s="127"/>
      <c r="HS2258" s="127"/>
      <c r="HT2258" s="127"/>
      <c r="HU2258" s="127"/>
      <c r="HV2258" s="127"/>
      <c r="HW2258" s="127"/>
      <c r="HX2258" s="127"/>
      <c r="HY2258" s="127"/>
      <c r="HZ2258" s="127"/>
      <c r="IA2258" s="127"/>
      <c r="IB2258" s="127"/>
      <c r="IC2258" s="127"/>
      <c r="ID2258" s="127"/>
      <c r="IE2258" s="127"/>
      <c r="IF2258" s="127"/>
      <c r="IG2258" s="127"/>
      <c r="IH2258" s="127"/>
      <c r="II2258" s="127"/>
      <c r="IJ2258" s="127"/>
    </row>
    <row r="2259" spans="1:244" ht="12.75" customHeight="1">
      <c r="A2259" s="118">
        <v>2258</v>
      </c>
      <c r="B2259" s="128">
        <v>24</v>
      </c>
      <c r="C2259" s="156">
        <v>37653</v>
      </c>
      <c r="D2259" s="157" t="s">
        <v>45</v>
      </c>
      <c r="E2259" s="8">
        <v>2003</v>
      </c>
      <c r="F2259" s="158">
        <f t="shared" si="569"/>
        <v>306</v>
      </c>
      <c r="G2259" s="158">
        <f t="shared" si="570"/>
        <v>1</v>
      </c>
      <c r="H2259" s="162">
        <v>37347</v>
      </c>
      <c r="I2259" s="163">
        <v>570429</v>
      </c>
      <c r="J2259" s="11">
        <v>20.2</v>
      </c>
      <c r="K2259" s="11">
        <v>3.1</v>
      </c>
      <c r="L2259" s="11">
        <v>1</v>
      </c>
      <c r="M2259" s="174">
        <v>2</v>
      </c>
      <c r="O2259" s="11">
        <v>0</v>
      </c>
      <c r="P2259" s="8">
        <v>1</v>
      </c>
      <c r="Q2259" s="11">
        <v>7.7</v>
      </c>
      <c r="T2259" s="161">
        <f t="shared" si="571"/>
        <v>1768329.9000000001</v>
      </c>
      <c r="U2259" s="161">
        <f t="shared" si="572"/>
        <v>570429</v>
      </c>
      <c r="V2259" s="161">
        <f t="shared" si="573"/>
        <v>0</v>
      </c>
      <c r="W2259" s="161">
        <f t="shared" si="574"/>
        <v>0</v>
      </c>
      <c r="X2259" s="127"/>
      <c r="Y2259" s="127"/>
      <c r="Z2259" s="127"/>
      <c r="AA2259" s="127"/>
      <c r="AB2259" s="127"/>
      <c r="AC2259" s="127"/>
      <c r="AD2259" s="127"/>
      <c r="AE2259" s="127"/>
      <c r="AF2259" s="127"/>
      <c r="AG2259" s="127"/>
      <c r="AH2259" s="127"/>
      <c r="AI2259" s="127"/>
      <c r="AJ2259" s="127"/>
      <c r="AK2259" s="127"/>
      <c r="AL2259" s="127"/>
      <c r="AM2259" s="127"/>
      <c r="AN2259" s="127"/>
      <c r="AO2259" s="127"/>
      <c r="AP2259" s="127"/>
      <c r="AQ2259" s="127"/>
      <c r="AR2259" s="127"/>
      <c r="AS2259" s="127"/>
      <c r="AT2259" s="127"/>
      <c r="AU2259" s="127"/>
      <c r="AV2259" s="127"/>
      <c r="AW2259" s="127"/>
      <c r="AX2259" s="127"/>
      <c r="AY2259" s="127"/>
      <c r="AZ2259" s="127"/>
      <c r="BA2259" s="127"/>
      <c r="BB2259" s="127"/>
      <c r="BC2259" s="127"/>
      <c r="BD2259" s="127"/>
      <c r="BE2259" s="127"/>
      <c r="BF2259" s="127"/>
      <c r="BG2259" s="127"/>
      <c r="BH2259" s="127"/>
      <c r="BI2259" s="127"/>
      <c r="BJ2259" s="127"/>
      <c r="BK2259" s="127"/>
      <c r="BL2259" s="127"/>
      <c r="BM2259" s="127"/>
      <c r="BN2259" s="127"/>
      <c r="BO2259" s="127"/>
      <c r="BP2259" s="127"/>
      <c r="BQ2259" s="127"/>
      <c r="BR2259" s="127"/>
      <c r="BS2259" s="127"/>
      <c r="BT2259" s="127"/>
      <c r="BU2259" s="127"/>
      <c r="BV2259" s="127"/>
      <c r="BW2259" s="127"/>
      <c r="BX2259" s="127"/>
      <c r="BY2259" s="127"/>
      <c r="BZ2259" s="127"/>
      <c r="CA2259" s="127"/>
      <c r="CB2259" s="127"/>
      <c r="CC2259" s="127"/>
      <c r="CD2259" s="127"/>
      <c r="CE2259" s="127"/>
      <c r="CF2259" s="127"/>
      <c r="CG2259" s="127"/>
      <c r="CH2259" s="127"/>
      <c r="CI2259" s="127"/>
      <c r="CJ2259" s="127"/>
      <c r="CK2259" s="127"/>
      <c r="CL2259" s="127"/>
      <c r="CM2259" s="127"/>
      <c r="CN2259" s="127"/>
      <c r="CO2259" s="127"/>
      <c r="CP2259" s="127"/>
      <c r="CQ2259" s="127"/>
      <c r="CR2259" s="127"/>
      <c r="CS2259" s="127"/>
      <c r="CT2259" s="127"/>
      <c r="CU2259" s="127"/>
      <c r="CV2259" s="127"/>
      <c r="CW2259" s="127"/>
      <c r="CX2259" s="127"/>
      <c r="CY2259" s="127"/>
      <c r="CZ2259" s="127"/>
      <c r="DA2259" s="127"/>
      <c r="DB2259" s="127"/>
      <c r="DC2259" s="127"/>
      <c r="DD2259" s="127"/>
      <c r="DE2259" s="127"/>
      <c r="DF2259" s="127"/>
      <c r="DG2259" s="127"/>
      <c r="DH2259" s="127"/>
      <c r="DI2259" s="127"/>
      <c r="DJ2259" s="127"/>
      <c r="DK2259" s="127"/>
      <c r="DL2259" s="127"/>
      <c r="DM2259" s="127"/>
      <c r="DN2259" s="127"/>
      <c r="DO2259" s="127"/>
      <c r="DP2259" s="127"/>
      <c r="DQ2259" s="127"/>
      <c r="DR2259" s="127"/>
      <c r="DS2259" s="127"/>
      <c r="DT2259" s="127"/>
      <c r="DU2259" s="127"/>
      <c r="DV2259" s="127"/>
      <c r="DW2259" s="127"/>
      <c r="DX2259" s="127"/>
      <c r="DY2259" s="127"/>
      <c r="DZ2259" s="127"/>
      <c r="EA2259" s="127"/>
      <c r="EB2259" s="127"/>
      <c r="EC2259" s="127"/>
      <c r="ED2259" s="127"/>
      <c r="EE2259" s="127"/>
      <c r="EF2259" s="127"/>
      <c r="EG2259" s="127"/>
      <c r="EH2259" s="127"/>
      <c r="EI2259" s="127"/>
      <c r="EJ2259" s="127"/>
      <c r="EK2259" s="127"/>
      <c r="EL2259" s="127"/>
      <c r="EM2259" s="127"/>
      <c r="EN2259" s="127"/>
      <c r="EO2259" s="127"/>
      <c r="EP2259" s="127"/>
      <c r="EQ2259" s="127"/>
      <c r="ER2259" s="127"/>
      <c r="ES2259" s="127"/>
      <c r="ET2259" s="127"/>
      <c r="EU2259" s="127"/>
      <c r="EV2259" s="127"/>
      <c r="EW2259" s="127"/>
      <c r="EX2259" s="127"/>
      <c r="EY2259" s="127"/>
      <c r="EZ2259" s="127"/>
      <c r="FA2259" s="127"/>
      <c r="FB2259" s="127"/>
      <c r="FC2259" s="127"/>
      <c r="FD2259" s="127"/>
      <c r="FE2259" s="127"/>
      <c r="FF2259" s="127"/>
      <c r="FG2259" s="127"/>
      <c r="FH2259" s="127"/>
      <c r="FI2259" s="127"/>
      <c r="FJ2259" s="127"/>
      <c r="FK2259" s="127"/>
      <c r="FL2259" s="127"/>
      <c r="FM2259" s="127"/>
      <c r="FN2259" s="127"/>
      <c r="FO2259" s="127"/>
      <c r="FP2259" s="127"/>
      <c r="FQ2259" s="127"/>
      <c r="FR2259" s="127"/>
      <c r="FS2259" s="127"/>
      <c r="FT2259" s="127"/>
      <c r="FU2259" s="127"/>
      <c r="FV2259" s="127"/>
      <c r="FW2259" s="127"/>
      <c r="FX2259" s="127"/>
      <c r="FY2259" s="127"/>
      <c r="FZ2259" s="127"/>
      <c r="GA2259" s="127"/>
      <c r="GB2259" s="127"/>
      <c r="GC2259" s="127"/>
      <c r="GD2259" s="127"/>
      <c r="GE2259" s="127"/>
      <c r="GF2259" s="127"/>
      <c r="GG2259" s="127"/>
      <c r="GH2259" s="127"/>
      <c r="GI2259" s="127"/>
      <c r="GJ2259" s="127"/>
      <c r="GK2259" s="127"/>
      <c r="GL2259" s="127"/>
      <c r="GM2259" s="127"/>
      <c r="GN2259" s="127"/>
      <c r="GO2259" s="127"/>
      <c r="GP2259" s="127"/>
      <c r="GQ2259" s="127"/>
      <c r="GR2259" s="127"/>
      <c r="GS2259" s="127"/>
      <c r="GT2259" s="127"/>
      <c r="GU2259" s="127"/>
      <c r="GV2259" s="127"/>
      <c r="GW2259" s="127"/>
      <c r="GX2259" s="127"/>
      <c r="GY2259" s="127"/>
      <c r="GZ2259" s="127"/>
      <c r="HA2259" s="127"/>
      <c r="HB2259" s="127"/>
      <c r="HC2259" s="127"/>
      <c r="HD2259" s="127"/>
      <c r="HE2259" s="127"/>
      <c r="HF2259" s="127"/>
      <c r="HG2259" s="127"/>
      <c r="HH2259" s="127"/>
      <c r="HI2259" s="127"/>
      <c r="HJ2259" s="127"/>
      <c r="HK2259" s="127"/>
      <c r="HL2259" s="127"/>
      <c r="HM2259" s="127"/>
      <c r="HN2259" s="127"/>
      <c r="HO2259" s="127"/>
      <c r="HP2259" s="127"/>
      <c r="HQ2259" s="127"/>
      <c r="HR2259" s="127"/>
      <c r="HS2259" s="127"/>
      <c r="HT2259" s="127"/>
      <c r="HU2259" s="127"/>
      <c r="HV2259" s="127"/>
      <c r="HW2259" s="127"/>
      <c r="HX2259" s="127"/>
      <c r="HY2259" s="127"/>
      <c r="HZ2259" s="127"/>
      <c r="IA2259" s="127"/>
      <c r="IB2259" s="127"/>
      <c r="IC2259" s="127"/>
      <c r="ID2259" s="127"/>
      <c r="IE2259" s="127"/>
      <c r="IF2259" s="127"/>
      <c r="IG2259" s="127"/>
      <c r="IH2259" s="127"/>
      <c r="II2259" s="127"/>
      <c r="IJ2259" s="127"/>
    </row>
    <row r="2260" spans="1:244" ht="12.75" customHeight="1">
      <c r="A2260" s="118">
        <v>2259</v>
      </c>
      <c r="B2260" s="128">
        <v>24</v>
      </c>
      <c r="C2260" s="156">
        <v>37681</v>
      </c>
      <c r="D2260" s="157" t="s">
        <v>46</v>
      </c>
      <c r="E2260" s="8">
        <v>2003</v>
      </c>
      <c r="F2260" s="158">
        <f t="shared" si="569"/>
        <v>334</v>
      </c>
      <c r="G2260" s="158">
        <f t="shared" si="570"/>
        <v>1</v>
      </c>
      <c r="H2260" s="162">
        <v>37347</v>
      </c>
      <c r="I2260" s="194">
        <v>569254</v>
      </c>
      <c r="J2260" s="15">
        <v>0.05</v>
      </c>
      <c r="K2260" s="15">
        <v>0.35</v>
      </c>
      <c r="L2260" s="15">
        <v>0.2</v>
      </c>
      <c r="M2260" s="174">
        <v>0</v>
      </c>
      <c r="O2260" s="15">
        <v>0</v>
      </c>
      <c r="Q2260" s="11">
        <v>7.7</v>
      </c>
      <c r="R2260" s="11">
        <v>33</v>
      </c>
      <c r="T2260" s="161">
        <f t="shared" si="571"/>
        <v>199238.9</v>
      </c>
      <c r="U2260" s="161">
        <f t="shared" si="572"/>
        <v>113850.8</v>
      </c>
      <c r="V2260" s="161">
        <f t="shared" si="573"/>
        <v>0</v>
      </c>
      <c r="W2260" s="161">
        <f t="shared" si="574"/>
        <v>0</v>
      </c>
      <c r="X2260" s="127"/>
      <c r="Y2260" s="127"/>
      <c r="Z2260" s="127"/>
      <c r="AA2260" s="127"/>
      <c r="AB2260" s="127"/>
      <c r="AC2260" s="127"/>
      <c r="AD2260" s="127"/>
      <c r="AE2260" s="127"/>
      <c r="AF2260" s="127"/>
      <c r="AG2260" s="127"/>
      <c r="AH2260" s="127"/>
      <c r="AI2260" s="127"/>
      <c r="AJ2260" s="127"/>
      <c r="AK2260" s="127"/>
      <c r="AL2260" s="127"/>
      <c r="AM2260" s="127"/>
      <c r="AN2260" s="127"/>
      <c r="AO2260" s="127"/>
      <c r="AP2260" s="127"/>
      <c r="AQ2260" s="127"/>
      <c r="AR2260" s="127"/>
      <c r="AS2260" s="127"/>
      <c r="AT2260" s="127"/>
      <c r="AU2260" s="127"/>
      <c r="AV2260" s="127"/>
      <c r="AW2260" s="127"/>
      <c r="AX2260" s="127"/>
      <c r="AY2260" s="127"/>
      <c r="AZ2260" s="127"/>
      <c r="BA2260" s="127"/>
      <c r="BB2260" s="127"/>
      <c r="BC2260" s="127"/>
      <c r="BD2260" s="127"/>
      <c r="BE2260" s="127"/>
      <c r="BF2260" s="127"/>
      <c r="BG2260" s="127"/>
      <c r="BH2260" s="127"/>
      <c r="BI2260" s="127"/>
      <c r="BJ2260" s="127"/>
      <c r="BK2260" s="127"/>
      <c r="BL2260" s="127"/>
      <c r="BM2260" s="127"/>
      <c r="BN2260" s="127"/>
      <c r="BO2260" s="127"/>
      <c r="BP2260" s="127"/>
      <c r="BQ2260" s="127"/>
      <c r="BR2260" s="127"/>
      <c r="BS2260" s="127"/>
      <c r="BT2260" s="127"/>
      <c r="BU2260" s="127"/>
      <c r="BV2260" s="127"/>
      <c r="BW2260" s="127"/>
      <c r="BX2260" s="127"/>
      <c r="BY2260" s="127"/>
      <c r="BZ2260" s="127"/>
      <c r="CA2260" s="127"/>
      <c r="CB2260" s="127"/>
      <c r="CC2260" s="127"/>
      <c r="CD2260" s="127"/>
      <c r="CE2260" s="127"/>
      <c r="CF2260" s="127"/>
      <c r="CG2260" s="127"/>
      <c r="CH2260" s="127"/>
      <c r="CI2260" s="127"/>
      <c r="CJ2260" s="127"/>
      <c r="CK2260" s="127"/>
      <c r="CL2260" s="127"/>
      <c r="CM2260" s="127"/>
      <c r="CN2260" s="127"/>
      <c r="CO2260" s="127"/>
      <c r="CP2260" s="127"/>
      <c r="CQ2260" s="127"/>
      <c r="CR2260" s="127"/>
      <c r="CS2260" s="127"/>
      <c r="CT2260" s="127"/>
      <c r="CU2260" s="127"/>
      <c r="CV2260" s="127"/>
      <c r="CW2260" s="127"/>
      <c r="CX2260" s="127"/>
      <c r="CY2260" s="127"/>
      <c r="CZ2260" s="127"/>
      <c r="DA2260" s="127"/>
      <c r="DB2260" s="127"/>
      <c r="DC2260" s="127"/>
      <c r="DD2260" s="127"/>
      <c r="DE2260" s="127"/>
      <c r="DF2260" s="127"/>
      <c r="DG2260" s="127"/>
      <c r="DH2260" s="127"/>
      <c r="DI2260" s="127"/>
      <c r="DJ2260" s="127"/>
      <c r="DK2260" s="127"/>
      <c r="DL2260" s="127"/>
      <c r="DM2260" s="127"/>
      <c r="DN2260" s="127"/>
      <c r="DO2260" s="127"/>
      <c r="DP2260" s="127"/>
      <c r="DQ2260" s="127"/>
      <c r="DR2260" s="127"/>
      <c r="DS2260" s="127"/>
      <c r="DT2260" s="127"/>
      <c r="DU2260" s="127"/>
      <c r="DV2260" s="127"/>
      <c r="DW2260" s="127"/>
      <c r="DX2260" s="127"/>
      <c r="DY2260" s="127"/>
      <c r="DZ2260" s="127"/>
      <c r="EA2260" s="127"/>
      <c r="EB2260" s="127"/>
      <c r="EC2260" s="127"/>
      <c r="ED2260" s="127"/>
      <c r="EE2260" s="127"/>
      <c r="EF2260" s="127"/>
      <c r="EG2260" s="127"/>
      <c r="EH2260" s="127"/>
      <c r="EI2260" s="127"/>
      <c r="EJ2260" s="127"/>
      <c r="EK2260" s="127"/>
      <c r="EL2260" s="127"/>
      <c r="EM2260" s="127"/>
      <c r="EN2260" s="127"/>
      <c r="EO2260" s="127"/>
      <c r="EP2260" s="127"/>
      <c r="EQ2260" s="127"/>
      <c r="ER2260" s="127"/>
      <c r="ES2260" s="127"/>
      <c r="ET2260" s="127"/>
      <c r="EU2260" s="127"/>
      <c r="EV2260" s="127"/>
      <c r="EW2260" s="127"/>
      <c r="EX2260" s="127"/>
      <c r="EY2260" s="127"/>
      <c r="EZ2260" s="127"/>
      <c r="FA2260" s="127"/>
      <c r="FB2260" s="127"/>
      <c r="FC2260" s="127"/>
      <c r="FD2260" s="127"/>
      <c r="FE2260" s="127"/>
      <c r="FF2260" s="127"/>
      <c r="FG2260" s="127"/>
      <c r="FH2260" s="127"/>
      <c r="FI2260" s="127"/>
      <c r="FJ2260" s="127"/>
      <c r="FK2260" s="127"/>
      <c r="FL2260" s="127"/>
      <c r="FM2260" s="127"/>
      <c r="FN2260" s="127"/>
      <c r="FO2260" s="127"/>
      <c r="FP2260" s="127"/>
      <c r="FQ2260" s="127"/>
      <c r="FR2260" s="127"/>
      <c r="FS2260" s="127"/>
      <c r="FT2260" s="127"/>
      <c r="FU2260" s="127"/>
      <c r="FV2260" s="127"/>
      <c r="FW2260" s="127"/>
      <c r="FX2260" s="127"/>
      <c r="FY2260" s="127"/>
      <c r="FZ2260" s="127"/>
      <c r="GA2260" s="127"/>
      <c r="GB2260" s="127"/>
      <c r="GC2260" s="127"/>
      <c r="GD2260" s="127"/>
      <c r="GE2260" s="127"/>
      <c r="GF2260" s="127"/>
      <c r="GG2260" s="127"/>
      <c r="GH2260" s="127"/>
      <c r="GI2260" s="127"/>
      <c r="GJ2260" s="127"/>
      <c r="GK2260" s="127"/>
      <c r="GL2260" s="127"/>
      <c r="GM2260" s="127"/>
      <c r="GN2260" s="127"/>
      <c r="GO2260" s="127"/>
      <c r="GP2260" s="127"/>
      <c r="GQ2260" s="127"/>
      <c r="GR2260" s="127"/>
      <c r="GS2260" s="127"/>
      <c r="GT2260" s="127"/>
      <c r="GU2260" s="127"/>
      <c r="GV2260" s="127"/>
      <c r="GW2260" s="127"/>
      <c r="GX2260" s="127"/>
      <c r="GY2260" s="127"/>
      <c r="GZ2260" s="127"/>
      <c r="HA2260" s="127"/>
      <c r="HB2260" s="127"/>
      <c r="HC2260" s="127"/>
      <c r="HD2260" s="127"/>
      <c r="HE2260" s="127"/>
      <c r="HF2260" s="127"/>
      <c r="HG2260" s="127"/>
      <c r="HH2260" s="127"/>
      <c r="HI2260" s="127"/>
      <c r="HJ2260" s="127"/>
      <c r="HK2260" s="127"/>
      <c r="HL2260" s="127"/>
      <c r="HM2260" s="127"/>
      <c r="HN2260" s="127"/>
      <c r="HO2260" s="127"/>
      <c r="HP2260" s="127"/>
      <c r="HQ2260" s="127"/>
      <c r="HR2260" s="127"/>
      <c r="HS2260" s="127"/>
      <c r="HT2260" s="127"/>
      <c r="HU2260" s="127"/>
      <c r="HV2260" s="127"/>
      <c r="HW2260" s="127"/>
      <c r="HX2260" s="127"/>
      <c r="HY2260" s="127"/>
      <c r="HZ2260" s="127"/>
      <c r="IA2260" s="127"/>
      <c r="IB2260" s="127"/>
      <c r="IC2260" s="127"/>
      <c r="ID2260" s="127"/>
      <c r="IE2260" s="127"/>
      <c r="IF2260" s="127"/>
      <c r="IG2260" s="127"/>
      <c r="IH2260" s="127"/>
      <c r="II2260" s="127"/>
      <c r="IJ2260" s="127"/>
    </row>
    <row r="2261" spans="1:244" ht="12.75" customHeight="1">
      <c r="A2261" s="118">
        <v>2260</v>
      </c>
      <c r="B2261" s="128">
        <v>24</v>
      </c>
      <c r="C2261" s="156">
        <v>37712</v>
      </c>
      <c r="D2261" s="157" t="s">
        <v>47</v>
      </c>
      <c r="E2261" s="8">
        <v>2003</v>
      </c>
      <c r="F2261" s="158">
        <f t="shared" si="569"/>
        <v>365</v>
      </c>
      <c r="G2261" s="158">
        <f t="shared" si="570"/>
        <v>2</v>
      </c>
      <c r="H2261" s="162">
        <v>37347</v>
      </c>
      <c r="I2261" s="194">
        <v>567913</v>
      </c>
      <c r="J2261" s="15">
        <v>1.7</v>
      </c>
      <c r="K2261" s="15">
        <v>0.35</v>
      </c>
      <c r="L2261" s="15">
        <v>0.1</v>
      </c>
      <c r="M2261" s="174">
        <v>0</v>
      </c>
      <c r="O2261" s="15">
        <v>1.1499999999999999</v>
      </c>
      <c r="Q2261" s="11">
        <v>8</v>
      </c>
      <c r="R2261" s="11">
        <v>33</v>
      </c>
      <c r="T2261" s="161">
        <f t="shared" si="571"/>
        <v>198769.55</v>
      </c>
      <c r="U2261" s="161">
        <f t="shared" si="572"/>
        <v>56791.3</v>
      </c>
      <c r="V2261" s="161">
        <f t="shared" si="573"/>
        <v>653099.94999999995</v>
      </c>
      <c r="W2261" s="161">
        <f t="shared" si="574"/>
        <v>261239.97999999998</v>
      </c>
      <c r="X2261" s="127"/>
      <c r="Y2261" s="127"/>
      <c r="Z2261" s="127"/>
      <c r="AA2261" s="127"/>
      <c r="AB2261" s="127"/>
      <c r="AC2261" s="127"/>
      <c r="AD2261" s="127"/>
      <c r="AE2261" s="127"/>
      <c r="AF2261" s="127"/>
      <c r="AG2261" s="127"/>
      <c r="AH2261" s="127"/>
      <c r="AI2261" s="127"/>
      <c r="AJ2261" s="127"/>
      <c r="AK2261" s="127"/>
      <c r="AL2261" s="127"/>
      <c r="AM2261" s="127"/>
      <c r="AN2261" s="127"/>
      <c r="AO2261" s="127"/>
      <c r="AP2261" s="127"/>
      <c r="AQ2261" s="127"/>
      <c r="AR2261" s="127"/>
      <c r="AS2261" s="127"/>
      <c r="AT2261" s="127"/>
      <c r="AU2261" s="127"/>
      <c r="AV2261" s="127"/>
      <c r="AW2261" s="127"/>
      <c r="AX2261" s="127"/>
      <c r="AY2261" s="127"/>
      <c r="AZ2261" s="127"/>
      <c r="BA2261" s="127"/>
      <c r="BB2261" s="127"/>
      <c r="BC2261" s="127"/>
      <c r="BD2261" s="127"/>
      <c r="BE2261" s="127"/>
      <c r="BF2261" s="127"/>
      <c r="BG2261" s="127"/>
      <c r="BH2261" s="127"/>
      <c r="BI2261" s="127"/>
      <c r="BJ2261" s="127"/>
      <c r="BK2261" s="127"/>
      <c r="BL2261" s="127"/>
      <c r="BM2261" s="127"/>
      <c r="BN2261" s="127"/>
      <c r="BO2261" s="127"/>
      <c r="BP2261" s="127"/>
      <c r="BQ2261" s="127"/>
      <c r="BR2261" s="127"/>
      <c r="BS2261" s="127"/>
      <c r="BT2261" s="127"/>
      <c r="BU2261" s="127"/>
      <c r="BV2261" s="127"/>
      <c r="BW2261" s="127"/>
      <c r="BX2261" s="127"/>
      <c r="BY2261" s="127"/>
      <c r="BZ2261" s="127"/>
      <c r="CA2261" s="127"/>
      <c r="CB2261" s="127"/>
      <c r="CC2261" s="127"/>
      <c r="CD2261" s="127"/>
      <c r="CE2261" s="127"/>
      <c r="CF2261" s="127"/>
      <c r="CG2261" s="127"/>
      <c r="CH2261" s="127"/>
      <c r="CI2261" s="127"/>
      <c r="CJ2261" s="127"/>
      <c r="CK2261" s="127"/>
      <c r="CL2261" s="127"/>
      <c r="CM2261" s="127"/>
      <c r="CN2261" s="127"/>
      <c r="CO2261" s="127"/>
      <c r="CP2261" s="127"/>
      <c r="CQ2261" s="127"/>
      <c r="CR2261" s="127"/>
      <c r="CS2261" s="127"/>
      <c r="CT2261" s="127"/>
      <c r="CU2261" s="127"/>
      <c r="CV2261" s="127"/>
      <c r="CW2261" s="127"/>
      <c r="CX2261" s="127"/>
      <c r="CY2261" s="127"/>
      <c r="CZ2261" s="127"/>
      <c r="DA2261" s="127"/>
      <c r="DB2261" s="127"/>
      <c r="DC2261" s="127"/>
      <c r="DD2261" s="127"/>
      <c r="DE2261" s="127"/>
      <c r="DF2261" s="127"/>
      <c r="DG2261" s="127"/>
      <c r="DH2261" s="127"/>
      <c r="DI2261" s="127"/>
      <c r="DJ2261" s="127"/>
      <c r="DK2261" s="127"/>
      <c r="DL2261" s="127"/>
      <c r="DM2261" s="127"/>
      <c r="DN2261" s="127"/>
      <c r="DO2261" s="127"/>
      <c r="DP2261" s="127"/>
      <c r="DQ2261" s="127"/>
      <c r="DR2261" s="127"/>
      <c r="DS2261" s="127"/>
      <c r="DT2261" s="127"/>
      <c r="DU2261" s="127"/>
      <c r="DV2261" s="127"/>
      <c r="DW2261" s="127"/>
      <c r="DX2261" s="127"/>
      <c r="DY2261" s="127"/>
      <c r="DZ2261" s="127"/>
      <c r="EA2261" s="127"/>
      <c r="EB2261" s="127"/>
      <c r="EC2261" s="127"/>
      <c r="ED2261" s="127"/>
      <c r="EE2261" s="127"/>
      <c r="EF2261" s="127"/>
      <c r="EG2261" s="127"/>
      <c r="EH2261" s="127"/>
      <c r="EI2261" s="127"/>
      <c r="EJ2261" s="127"/>
      <c r="EK2261" s="127"/>
      <c r="EL2261" s="127"/>
      <c r="EM2261" s="127"/>
      <c r="EN2261" s="127"/>
      <c r="EO2261" s="127"/>
      <c r="EP2261" s="127"/>
      <c r="EQ2261" s="127"/>
      <c r="ER2261" s="127"/>
      <c r="ES2261" s="127"/>
      <c r="ET2261" s="127"/>
      <c r="EU2261" s="127"/>
      <c r="EV2261" s="127"/>
      <c r="EW2261" s="127"/>
      <c r="EX2261" s="127"/>
      <c r="EY2261" s="127"/>
      <c r="EZ2261" s="127"/>
      <c r="FA2261" s="127"/>
      <c r="FB2261" s="127"/>
      <c r="FC2261" s="127"/>
      <c r="FD2261" s="127"/>
      <c r="FE2261" s="127"/>
      <c r="FF2261" s="127"/>
      <c r="FG2261" s="127"/>
      <c r="FH2261" s="127"/>
      <c r="FI2261" s="127"/>
      <c r="FJ2261" s="127"/>
      <c r="FK2261" s="127"/>
      <c r="FL2261" s="127"/>
      <c r="FM2261" s="127"/>
      <c r="FN2261" s="127"/>
      <c r="FO2261" s="127"/>
      <c r="FP2261" s="127"/>
      <c r="FQ2261" s="127"/>
      <c r="FR2261" s="127"/>
      <c r="FS2261" s="127"/>
      <c r="FT2261" s="127"/>
      <c r="FU2261" s="127"/>
      <c r="FV2261" s="127"/>
      <c r="FW2261" s="127"/>
      <c r="FX2261" s="127"/>
      <c r="FY2261" s="127"/>
      <c r="FZ2261" s="127"/>
      <c r="GA2261" s="127"/>
      <c r="GB2261" s="127"/>
      <c r="GC2261" s="127"/>
      <c r="GD2261" s="127"/>
      <c r="GE2261" s="127"/>
      <c r="GF2261" s="127"/>
      <c r="GG2261" s="127"/>
      <c r="GH2261" s="127"/>
      <c r="GI2261" s="127"/>
      <c r="GJ2261" s="127"/>
      <c r="GK2261" s="127"/>
      <c r="GL2261" s="127"/>
      <c r="GM2261" s="127"/>
      <c r="GN2261" s="127"/>
      <c r="GO2261" s="127"/>
      <c r="GP2261" s="127"/>
      <c r="GQ2261" s="127"/>
      <c r="GR2261" s="127"/>
      <c r="GS2261" s="127"/>
      <c r="GT2261" s="127"/>
      <c r="GU2261" s="127"/>
      <c r="GV2261" s="127"/>
      <c r="GW2261" s="127"/>
      <c r="GX2261" s="127"/>
      <c r="GY2261" s="127"/>
      <c r="GZ2261" s="127"/>
      <c r="HA2261" s="127"/>
      <c r="HB2261" s="127"/>
      <c r="HC2261" s="127"/>
      <c r="HD2261" s="127"/>
      <c r="HE2261" s="127"/>
      <c r="HF2261" s="127"/>
      <c r="HG2261" s="127"/>
      <c r="HH2261" s="127"/>
      <c r="HI2261" s="127"/>
      <c r="HJ2261" s="127"/>
      <c r="HK2261" s="127"/>
      <c r="HL2261" s="127"/>
      <c r="HM2261" s="127"/>
      <c r="HN2261" s="127"/>
      <c r="HO2261" s="127"/>
      <c r="HP2261" s="127"/>
      <c r="HQ2261" s="127"/>
      <c r="HR2261" s="127"/>
      <c r="HS2261" s="127"/>
      <c r="HT2261" s="127"/>
      <c r="HU2261" s="127"/>
      <c r="HV2261" s="127"/>
      <c r="HW2261" s="127"/>
      <c r="HX2261" s="127"/>
      <c r="HY2261" s="127"/>
      <c r="HZ2261" s="127"/>
      <c r="IA2261" s="127"/>
      <c r="IB2261" s="127"/>
      <c r="IC2261" s="127"/>
      <c r="ID2261" s="127"/>
      <c r="IE2261" s="127"/>
      <c r="IF2261" s="127"/>
      <c r="IG2261" s="127"/>
      <c r="IH2261" s="127"/>
      <c r="II2261" s="127"/>
      <c r="IJ2261" s="127"/>
    </row>
    <row r="2262" spans="1:244" ht="12.75" customHeight="1">
      <c r="A2262" s="118">
        <v>2261</v>
      </c>
      <c r="B2262" s="128">
        <v>24</v>
      </c>
      <c r="C2262" s="156">
        <v>37742</v>
      </c>
      <c r="D2262" s="157" t="s">
        <v>48</v>
      </c>
      <c r="E2262" s="8">
        <v>2003</v>
      </c>
      <c r="F2262" s="158">
        <f t="shared" si="569"/>
        <v>395</v>
      </c>
      <c r="G2262" s="158">
        <f t="shared" si="570"/>
        <v>2</v>
      </c>
      <c r="H2262" s="162">
        <v>37347</v>
      </c>
      <c r="I2262" s="198">
        <v>560000</v>
      </c>
      <c r="J2262" s="15">
        <v>2.2000000000000002</v>
      </c>
      <c r="K2262" s="15">
        <v>0.05</v>
      </c>
      <c r="L2262" s="15">
        <v>0</v>
      </c>
      <c r="M2262" s="174">
        <v>0</v>
      </c>
      <c r="O2262" s="15">
        <v>4.45</v>
      </c>
      <c r="Q2262" s="11">
        <v>8.5</v>
      </c>
      <c r="R2262" s="11">
        <v>32.5</v>
      </c>
      <c r="T2262" s="161">
        <f t="shared" si="571"/>
        <v>28000</v>
      </c>
      <c r="U2262" s="161">
        <f t="shared" si="572"/>
        <v>0</v>
      </c>
      <c r="V2262" s="161">
        <f t="shared" si="573"/>
        <v>2492000</v>
      </c>
      <c r="W2262" s="161">
        <f t="shared" si="574"/>
        <v>996800</v>
      </c>
      <c r="X2262" s="127"/>
      <c r="Y2262" s="127"/>
      <c r="Z2262" s="127"/>
      <c r="AA2262" s="127"/>
      <c r="AB2262" s="127"/>
      <c r="AC2262" s="127"/>
      <c r="AD2262" s="127"/>
      <c r="AE2262" s="127"/>
      <c r="AF2262" s="127"/>
      <c r="AG2262" s="127"/>
      <c r="AH2262" s="127"/>
      <c r="AI2262" s="127"/>
      <c r="AJ2262" s="127"/>
      <c r="AK2262" s="127"/>
      <c r="AL2262" s="127"/>
      <c r="AM2262" s="127"/>
      <c r="AN2262" s="127"/>
      <c r="AO2262" s="127"/>
      <c r="AP2262" s="127"/>
      <c r="AQ2262" s="127"/>
      <c r="AR2262" s="127"/>
      <c r="AS2262" s="127"/>
      <c r="AT2262" s="127"/>
      <c r="AU2262" s="127"/>
      <c r="AV2262" s="127"/>
      <c r="AW2262" s="127"/>
      <c r="AX2262" s="127"/>
      <c r="AY2262" s="127"/>
      <c r="AZ2262" s="127"/>
      <c r="BA2262" s="127"/>
      <c r="BB2262" s="127"/>
      <c r="BC2262" s="127"/>
      <c r="BD2262" s="127"/>
      <c r="BE2262" s="127"/>
      <c r="BF2262" s="127"/>
      <c r="BG2262" s="127"/>
      <c r="BH2262" s="127"/>
      <c r="BI2262" s="127"/>
      <c r="BJ2262" s="127"/>
      <c r="BK2262" s="127"/>
      <c r="BL2262" s="127"/>
      <c r="BM2262" s="127"/>
      <c r="BN2262" s="127"/>
      <c r="BO2262" s="127"/>
      <c r="BP2262" s="127"/>
      <c r="BQ2262" s="127"/>
      <c r="BR2262" s="127"/>
      <c r="BS2262" s="127"/>
      <c r="BT2262" s="127"/>
      <c r="BU2262" s="127"/>
      <c r="BV2262" s="127"/>
      <c r="BW2262" s="127"/>
      <c r="BX2262" s="127"/>
      <c r="BY2262" s="127"/>
      <c r="BZ2262" s="127"/>
      <c r="CA2262" s="127"/>
      <c r="CB2262" s="127"/>
      <c r="CC2262" s="127"/>
      <c r="CD2262" s="127"/>
      <c r="CE2262" s="127"/>
      <c r="CF2262" s="127"/>
      <c r="CG2262" s="127"/>
      <c r="CH2262" s="127"/>
      <c r="CI2262" s="127"/>
      <c r="CJ2262" s="127"/>
      <c r="CK2262" s="127"/>
      <c r="CL2262" s="127"/>
      <c r="CM2262" s="127"/>
      <c r="CN2262" s="127"/>
      <c r="CO2262" s="127"/>
      <c r="CP2262" s="127"/>
      <c r="CQ2262" s="127"/>
      <c r="CR2262" s="127"/>
      <c r="CS2262" s="127"/>
      <c r="CT2262" s="127"/>
      <c r="CU2262" s="127"/>
      <c r="CV2262" s="127"/>
      <c r="CW2262" s="127"/>
      <c r="CX2262" s="127"/>
      <c r="CY2262" s="127"/>
      <c r="CZ2262" s="127"/>
      <c r="DA2262" s="127"/>
      <c r="DB2262" s="127"/>
      <c r="DC2262" s="127"/>
      <c r="DD2262" s="127"/>
      <c r="DE2262" s="127"/>
      <c r="DF2262" s="127"/>
      <c r="DG2262" s="127"/>
      <c r="DH2262" s="127"/>
      <c r="DI2262" s="127"/>
      <c r="DJ2262" s="127"/>
      <c r="DK2262" s="127"/>
      <c r="DL2262" s="127"/>
      <c r="DM2262" s="127"/>
      <c r="DN2262" s="127"/>
      <c r="DO2262" s="127"/>
      <c r="DP2262" s="127"/>
      <c r="DQ2262" s="127"/>
      <c r="DR2262" s="127"/>
      <c r="DS2262" s="127"/>
      <c r="DT2262" s="127"/>
      <c r="DU2262" s="127"/>
      <c r="DV2262" s="127"/>
      <c r="DW2262" s="127"/>
      <c r="DX2262" s="127"/>
      <c r="DY2262" s="127"/>
      <c r="DZ2262" s="127"/>
      <c r="EA2262" s="127"/>
      <c r="EB2262" s="127"/>
      <c r="EC2262" s="127"/>
      <c r="ED2262" s="127"/>
      <c r="EE2262" s="127"/>
      <c r="EF2262" s="127"/>
      <c r="EG2262" s="127"/>
      <c r="EH2262" s="127"/>
      <c r="EI2262" s="127"/>
      <c r="EJ2262" s="127"/>
      <c r="EK2262" s="127"/>
      <c r="EL2262" s="127"/>
      <c r="EM2262" s="127"/>
      <c r="EN2262" s="127"/>
      <c r="EO2262" s="127"/>
      <c r="EP2262" s="127"/>
      <c r="EQ2262" s="127"/>
      <c r="ER2262" s="127"/>
      <c r="ES2262" s="127"/>
      <c r="ET2262" s="127"/>
      <c r="EU2262" s="127"/>
      <c r="EV2262" s="127"/>
      <c r="EW2262" s="127"/>
      <c r="EX2262" s="127"/>
      <c r="EY2262" s="127"/>
      <c r="EZ2262" s="127"/>
      <c r="FA2262" s="127"/>
      <c r="FB2262" s="127"/>
      <c r="FC2262" s="127"/>
      <c r="FD2262" s="127"/>
      <c r="FE2262" s="127"/>
      <c r="FF2262" s="127"/>
      <c r="FG2262" s="127"/>
      <c r="FH2262" s="127"/>
      <c r="FI2262" s="127"/>
      <c r="FJ2262" s="127"/>
      <c r="FK2262" s="127"/>
      <c r="FL2262" s="127"/>
      <c r="FM2262" s="127"/>
      <c r="FN2262" s="127"/>
      <c r="FO2262" s="127"/>
      <c r="FP2262" s="127"/>
      <c r="FQ2262" s="127"/>
      <c r="FR2262" s="127"/>
      <c r="FS2262" s="127"/>
      <c r="FT2262" s="127"/>
      <c r="FU2262" s="127"/>
      <c r="FV2262" s="127"/>
      <c r="FW2262" s="127"/>
      <c r="FX2262" s="127"/>
      <c r="FY2262" s="127"/>
      <c r="FZ2262" s="127"/>
      <c r="GA2262" s="127"/>
      <c r="GB2262" s="127"/>
      <c r="GC2262" s="127"/>
      <c r="GD2262" s="127"/>
      <c r="GE2262" s="127"/>
      <c r="GF2262" s="127"/>
      <c r="GG2262" s="127"/>
      <c r="GH2262" s="127"/>
      <c r="GI2262" s="127"/>
      <c r="GJ2262" s="127"/>
      <c r="GK2262" s="127"/>
      <c r="GL2262" s="127"/>
      <c r="GM2262" s="127"/>
      <c r="GN2262" s="127"/>
      <c r="GO2262" s="127"/>
      <c r="GP2262" s="127"/>
      <c r="GQ2262" s="127"/>
      <c r="GR2262" s="127"/>
      <c r="GS2262" s="127"/>
      <c r="GT2262" s="127"/>
      <c r="GU2262" s="127"/>
      <c r="GV2262" s="127"/>
      <c r="GW2262" s="127"/>
      <c r="GX2262" s="127"/>
      <c r="GY2262" s="127"/>
      <c r="GZ2262" s="127"/>
      <c r="HA2262" s="127"/>
      <c r="HB2262" s="127"/>
      <c r="HC2262" s="127"/>
      <c r="HD2262" s="127"/>
      <c r="HE2262" s="127"/>
      <c r="HF2262" s="127"/>
      <c r="HG2262" s="127"/>
      <c r="HH2262" s="127"/>
      <c r="HI2262" s="127"/>
      <c r="HJ2262" s="127"/>
      <c r="HK2262" s="127"/>
      <c r="HL2262" s="127"/>
      <c r="HM2262" s="127"/>
      <c r="HN2262" s="127"/>
      <c r="HO2262" s="127"/>
      <c r="HP2262" s="127"/>
      <c r="HQ2262" s="127"/>
      <c r="HR2262" s="127"/>
      <c r="HS2262" s="127"/>
      <c r="HT2262" s="127"/>
      <c r="HU2262" s="127"/>
      <c r="HV2262" s="127"/>
      <c r="HW2262" s="127"/>
      <c r="HX2262" s="127"/>
      <c r="HY2262" s="127"/>
      <c r="HZ2262" s="127"/>
      <c r="IA2262" s="127"/>
      <c r="IB2262" s="127"/>
      <c r="IC2262" s="127"/>
      <c r="ID2262" s="127"/>
      <c r="IE2262" s="127"/>
      <c r="IF2262" s="127"/>
      <c r="IG2262" s="127"/>
      <c r="IH2262" s="127"/>
      <c r="II2262" s="127"/>
      <c r="IJ2262" s="127"/>
    </row>
    <row r="2263" spans="1:244" ht="12.75" customHeight="1">
      <c r="A2263" s="118">
        <v>2262</v>
      </c>
      <c r="B2263" s="128">
        <v>24</v>
      </c>
      <c r="C2263" s="156">
        <v>37773</v>
      </c>
      <c r="D2263" s="157" t="s">
        <v>49</v>
      </c>
      <c r="E2263" s="8">
        <v>2003</v>
      </c>
      <c r="F2263" s="158">
        <f t="shared" si="569"/>
        <v>426</v>
      </c>
      <c r="G2263" s="158">
        <f t="shared" si="570"/>
        <v>2</v>
      </c>
      <c r="H2263" s="162">
        <v>37347</v>
      </c>
      <c r="I2263" s="198">
        <v>545000</v>
      </c>
      <c r="J2263" s="15">
        <v>1.1000000000000001</v>
      </c>
      <c r="K2263" s="15">
        <v>0.17</v>
      </c>
      <c r="L2263" s="15">
        <v>0</v>
      </c>
      <c r="M2263" s="174">
        <v>0</v>
      </c>
      <c r="O2263" s="15">
        <v>8.3699999999999992</v>
      </c>
      <c r="Q2263" s="11">
        <v>9.1999999999999993</v>
      </c>
      <c r="R2263" s="11">
        <v>33</v>
      </c>
      <c r="T2263" s="161">
        <f t="shared" si="571"/>
        <v>92650</v>
      </c>
      <c r="U2263" s="161">
        <f t="shared" si="572"/>
        <v>0</v>
      </c>
      <c r="V2263" s="161">
        <f t="shared" si="573"/>
        <v>4561650</v>
      </c>
      <c r="W2263" s="161">
        <f t="shared" si="574"/>
        <v>1824660</v>
      </c>
      <c r="X2263" s="127"/>
      <c r="Y2263" s="127"/>
      <c r="Z2263" s="127"/>
      <c r="AA2263" s="127"/>
      <c r="AB2263" s="127"/>
      <c r="AC2263" s="127"/>
      <c r="AD2263" s="127"/>
      <c r="AE2263" s="127"/>
      <c r="AF2263" s="127"/>
      <c r="AG2263" s="127"/>
      <c r="AH2263" s="127"/>
      <c r="AI2263" s="127"/>
      <c r="AJ2263" s="127"/>
      <c r="AK2263" s="127"/>
      <c r="AL2263" s="127"/>
      <c r="AM2263" s="127"/>
      <c r="AN2263" s="127"/>
      <c r="AO2263" s="127"/>
      <c r="AP2263" s="127"/>
      <c r="AQ2263" s="127"/>
      <c r="AR2263" s="127"/>
      <c r="AS2263" s="127"/>
      <c r="AT2263" s="127"/>
      <c r="AU2263" s="127"/>
      <c r="AV2263" s="127"/>
      <c r="AW2263" s="127"/>
      <c r="AX2263" s="127"/>
      <c r="AY2263" s="127"/>
      <c r="AZ2263" s="127"/>
      <c r="BA2263" s="127"/>
      <c r="BB2263" s="127"/>
      <c r="BC2263" s="127"/>
      <c r="BD2263" s="127"/>
      <c r="BE2263" s="127"/>
      <c r="BF2263" s="127"/>
      <c r="BG2263" s="127"/>
      <c r="BH2263" s="127"/>
      <c r="BI2263" s="127"/>
      <c r="BJ2263" s="127"/>
      <c r="BK2263" s="127"/>
      <c r="BL2263" s="127"/>
      <c r="BM2263" s="127"/>
      <c r="BN2263" s="127"/>
      <c r="BO2263" s="127"/>
      <c r="BP2263" s="127"/>
      <c r="BQ2263" s="127"/>
      <c r="BR2263" s="127"/>
      <c r="BS2263" s="127"/>
      <c r="BT2263" s="127"/>
      <c r="BU2263" s="127"/>
      <c r="BV2263" s="127"/>
      <c r="BW2263" s="127"/>
      <c r="BX2263" s="127"/>
      <c r="BY2263" s="127"/>
      <c r="BZ2263" s="127"/>
      <c r="CA2263" s="127"/>
      <c r="CB2263" s="127"/>
      <c r="CC2263" s="127"/>
      <c r="CD2263" s="127"/>
      <c r="CE2263" s="127"/>
      <c r="CF2263" s="127"/>
      <c r="CG2263" s="127"/>
      <c r="CH2263" s="127"/>
      <c r="CI2263" s="127"/>
      <c r="CJ2263" s="127"/>
      <c r="CK2263" s="127"/>
      <c r="CL2263" s="127"/>
      <c r="CM2263" s="127"/>
      <c r="CN2263" s="127"/>
      <c r="CO2263" s="127"/>
      <c r="CP2263" s="127"/>
      <c r="CQ2263" s="127"/>
      <c r="CR2263" s="127"/>
      <c r="CS2263" s="127"/>
      <c r="CT2263" s="127"/>
      <c r="CU2263" s="127"/>
      <c r="CV2263" s="127"/>
      <c r="CW2263" s="127"/>
      <c r="CX2263" s="127"/>
      <c r="CY2263" s="127"/>
      <c r="CZ2263" s="127"/>
      <c r="DA2263" s="127"/>
      <c r="DB2263" s="127"/>
      <c r="DC2263" s="127"/>
      <c r="DD2263" s="127"/>
      <c r="DE2263" s="127"/>
      <c r="DF2263" s="127"/>
      <c r="DG2263" s="127"/>
      <c r="DH2263" s="127"/>
      <c r="DI2263" s="127"/>
      <c r="DJ2263" s="127"/>
      <c r="DK2263" s="127"/>
      <c r="DL2263" s="127"/>
      <c r="DM2263" s="127"/>
      <c r="DN2263" s="127"/>
      <c r="DO2263" s="127"/>
      <c r="DP2263" s="127"/>
      <c r="DQ2263" s="127"/>
      <c r="DR2263" s="127"/>
      <c r="DS2263" s="127"/>
      <c r="DT2263" s="127"/>
      <c r="DU2263" s="127"/>
      <c r="DV2263" s="127"/>
      <c r="DW2263" s="127"/>
      <c r="DX2263" s="127"/>
      <c r="DY2263" s="127"/>
      <c r="DZ2263" s="127"/>
      <c r="EA2263" s="127"/>
      <c r="EB2263" s="127"/>
      <c r="EC2263" s="127"/>
      <c r="ED2263" s="127"/>
      <c r="EE2263" s="127"/>
      <c r="EF2263" s="127"/>
      <c r="EG2263" s="127"/>
      <c r="EH2263" s="127"/>
      <c r="EI2263" s="127"/>
      <c r="EJ2263" s="127"/>
      <c r="EK2263" s="127"/>
      <c r="EL2263" s="127"/>
      <c r="EM2263" s="127"/>
      <c r="EN2263" s="127"/>
      <c r="EO2263" s="127"/>
      <c r="EP2263" s="127"/>
      <c r="EQ2263" s="127"/>
      <c r="ER2263" s="127"/>
      <c r="ES2263" s="127"/>
      <c r="ET2263" s="127"/>
      <c r="EU2263" s="127"/>
      <c r="EV2263" s="127"/>
      <c r="EW2263" s="127"/>
      <c r="EX2263" s="127"/>
      <c r="EY2263" s="127"/>
      <c r="EZ2263" s="127"/>
      <c r="FA2263" s="127"/>
      <c r="FB2263" s="127"/>
      <c r="FC2263" s="127"/>
      <c r="FD2263" s="127"/>
      <c r="FE2263" s="127"/>
      <c r="FF2263" s="127"/>
      <c r="FG2263" s="127"/>
      <c r="FH2263" s="127"/>
      <c r="FI2263" s="127"/>
      <c r="FJ2263" s="127"/>
      <c r="FK2263" s="127"/>
      <c r="FL2263" s="127"/>
      <c r="FM2263" s="127"/>
      <c r="FN2263" s="127"/>
      <c r="FO2263" s="127"/>
      <c r="FP2263" s="127"/>
      <c r="FQ2263" s="127"/>
      <c r="FR2263" s="127"/>
      <c r="FS2263" s="127"/>
      <c r="FT2263" s="127"/>
      <c r="FU2263" s="127"/>
      <c r="FV2263" s="127"/>
      <c r="FW2263" s="127"/>
      <c r="FX2263" s="127"/>
      <c r="FY2263" s="127"/>
      <c r="FZ2263" s="127"/>
      <c r="GA2263" s="127"/>
      <c r="GB2263" s="127"/>
      <c r="GC2263" s="127"/>
      <c r="GD2263" s="127"/>
      <c r="GE2263" s="127"/>
      <c r="GF2263" s="127"/>
      <c r="GG2263" s="127"/>
      <c r="GH2263" s="127"/>
      <c r="GI2263" s="127"/>
      <c r="GJ2263" s="127"/>
      <c r="GK2263" s="127"/>
      <c r="GL2263" s="127"/>
      <c r="GM2263" s="127"/>
      <c r="GN2263" s="127"/>
      <c r="GO2263" s="127"/>
      <c r="GP2263" s="127"/>
      <c r="GQ2263" s="127"/>
      <c r="GR2263" s="127"/>
      <c r="GS2263" s="127"/>
      <c r="GT2263" s="127"/>
      <c r="GU2263" s="127"/>
      <c r="GV2263" s="127"/>
      <c r="GW2263" s="127"/>
      <c r="GX2263" s="127"/>
      <c r="GY2263" s="127"/>
      <c r="GZ2263" s="127"/>
      <c r="HA2263" s="127"/>
      <c r="HB2263" s="127"/>
      <c r="HC2263" s="127"/>
      <c r="HD2263" s="127"/>
      <c r="HE2263" s="127"/>
      <c r="HF2263" s="127"/>
      <c r="HG2263" s="127"/>
      <c r="HH2263" s="127"/>
      <c r="HI2263" s="127"/>
      <c r="HJ2263" s="127"/>
      <c r="HK2263" s="127"/>
      <c r="HL2263" s="127"/>
      <c r="HM2263" s="127"/>
      <c r="HN2263" s="127"/>
      <c r="HO2263" s="127"/>
      <c r="HP2263" s="127"/>
      <c r="HQ2263" s="127"/>
      <c r="HR2263" s="127"/>
      <c r="HS2263" s="127"/>
      <c r="HT2263" s="127"/>
      <c r="HU2263" s="127"/>
      <c r="HV2263" s="127"/>
      <c r="HW2263" s="127"/>
      <c r="HX2263" s="127"/>
      <c r="HY2263" s="127"/>
      <c r="HZ2263" s="127"/>
      <c r="IA2263" s="127"/>
      <c r="IB2263" s="127"/>
      <c r="IC2263" s="127"/>
      <c r="ID2263" s="127"/>
      <c r="IE2263" s="127"/>
      <c r="IF2263" s="127"/>
      <c r="IG2263" s="127"/>
      <c r="IH2263" s="127"/>
      <c r="II2263" s="127"/>
      <c r="IJ2263" s="127"/>
    </row>
    <row r="2264" spans="1:244" s="127" customFormat="1" ht="12.75" customHeight="1">
      <c r="A2264" s="118">
        <v>2263</v>
      </c>
      <c r="B2264" s="128">
        <v>24</v>
      </c>
      <c r="C2264" s="156">
        <v>37803</v>
      </c>
      <c r="D2264" s="157" t="s">
        <v>50</v>
      </c>
      <c r="E2264" s="8">
        <v>2003</v>
      </c>
      <c r="F2264" s="158">
        <f t="shared" si="569"/>
        <v>456</v>
      </c>
      <c r="G2264" s="158">
        <f t="shared" si="570"/>
        <v>2</v>
      </c>
      <c r="H2264" s="162">
        <v>37347</v>
      </c>
      <c r="I2264" s="198">
        <v>535000</v>
      </c>
      <c r="J2264" s="15">
        <v>0.2</v>
      </c>
      <c r="K2264" s="15">
        <v>0.4</v>
      </c>
      <c r="L2264" s="15">
        <v>0.1</v>
      </c>
      <c r="M2264" s="174">
        <v>0</v>
      </c>
      <c r="N2264" s="528"/>
      <c r="O2264" s="15">
        <v>4.4000000000000004</v>
      </c>
      <c r="P2264" s="8"/>
      <c r="Q2264" s="11">
        <v>9.4</v>
      </c>
      <c r="R2264" s="11">
        <v>33</v>
      </c>
      <c r="S2264" s="155"/>
      <c r="T2264" s="161">
        <f t="shared" si="571"/>
        <v>214000</v>
      </c>
      <c r="U2264" s="161">
        <f t="shared" si="572"/>
        <v>53500</v>
      </c>
      <c r="V2264" s="161">
        <f t="shared" si="573"/>
        <v>2354000</v>
      </c>
      <c r="W2264" s="161">
        <f t="shared" si="574"/>
        <v>941600</v>
      </c>
    </row>
    <row r="2265" spans="1:244" s="127" customFormat="1" ht="12.75" customHeight="1">
      <c r="A2265" s="118">
        <v>2264</v>
      </c>
      <c r="B2265" s="128">
        <v>24</v>
      </c>
      <c r="C2265" s="156">
        <v>37834</v>
      </c>
      <c r="D2265" s="157" t="s">
        <v>51</v>
      </c>
      <c r="E2265" s="8">
        <v>2003</v>
      </c>
      <c r="F2265" s="158">
        <f t="shared" si="569"/>
        <v>487</v>
      </c>
      <c r="G2265" s="158">
        <f t="shared" si="570"/>
        <v>2</v>
      </c>
      <c r="H2265" s="162">
        <v>37347</v>
      </c>
      <c r="I2265" s="194">
        <v>524251</v>
      </c>
      <c r="J2265" s="15">
        <v>1</v>
      </c>
      <c r="K2265" s="15">
        <v>1.5</v>
      </c>
      <c r="L2265" s="15">
        <v>0.5</v>
      </c>
      <c r="M2265" s="174"/>
      <c r="N2265" s="528"/>
      <c r="O2265" s="15">
        <v>14</v>
      </c>
      <c r="P2265" s="8"/>
      <c r="Q2265" s="11">
        <v>9.6</v>
      </c>
      <c r="R2265" s="11">
        <v>33</v>
      </c>
      <c r="S2265" s="155"/>
      <c r="T2265" s="161">
        <f t="shared" si="571"/>
        <v>786376.5</v>
      </c>
      <c r="U2265" s="161">
        <f t="shared" si="572"/>
        <v>262125.5</v>
      </c>
      <c r="V2265" s="161">
        <f t="shared" si="573"/>
        <v>7339514</v>
      </c>
      <c r="W2265" s="161">
        <f t="shared" si="574"/>
        <v>2935805.6</v>
      </c>
    </row>
    <row r="2266" spans="1:244" s="127" customFormat="1" ht="12.75" customHeight="1">
      <c r="A2266" s="118">
        <v>2265</v>
      </c>
      <c r="B2266" s="128">
        <v>24</v>
      </c>
      <c r="C2266" s="156">
        <v>37865</v>
      </c>
      <c r="D2266" s="157" t="s">
        <v>52</v>
      </c>
      <c r="E2266" s="8">
        <v>2003</v>
      </c>
      <c r="F2266" s="158">
        <f t="shared" si="569"/>
        <v>518</v>
      </c>
      <c r="G2266" s="158">
        <f t="shared" si="570"/>
        <v>2</v>
      </c>
      <c r="H2266" s="162">
        <v>37347</v>
      </c>
      <c r="I2266" s="198">
        <v>520000</v>
      </c>
      <c r="J2266" s="173"/>
      <c r="K2266" s="165">
        <f>(K2265+K2267)/2</f>
        <v>6.1050000000000004</v>
      </c>
      <c r="L2266" s="165">
        <f>(L2265+L2267)/2</f>
        <v>2.4550000000000001</v>
      </c>
      <c r="M2266" s="174"/>
      <c r="N2266" s="528">
        <v>1</v>
      </c>
      <c r="O2266" s="165">
        <f>(O2265+O2267)/2</f>
        <v>9.01</v>
      </c>
      <c r="P2266" s="8"/>
      <c r="Q2266" s="11"/>
      <c r="R2266" s="11"/>
      <c r="S2266" s="155"/>
      <c r="T2266" s="161">
        <f t="shared" si="571"/>
        <v>3174600</v>
      </c>
      <c r="U2266" s="161">
        <f t="shared" si="572"/>
        <v>1276600</v>
      </c>
      <c r="V2266" s="161">
        <f t="shared" si="573"/>
        <v>4685200</v>
      </c>
      <c r="W2266" s="161">
        <f t="shared" si="574"/>
        <v>1874080</v>
      </c>
    </row>
    <row r="2267" spans="1:244" s="127" customFormat="1" ht="12.75" customHeight="1">
      <c r="A2267" s="118">
        <v>2266</v>
      </c>
      <c r="B2267" s="128">
        <v>24</v>
      </c>
      <c r="C2267" s="156">
        <v>37895</v>
      </c>
      <c r="D2267" s="157" t="s">
        <v>53</v>
      </c>
      <c r="E2267" s="8">
        <v>2003</v>
      </c>
      <c r="F2267" s="158">
        <f t="shared" si="569"/>
        <v>548</v>
      </c>
      <c r="G2267" s="158">
        <f t="shared" si="570"/>
        <v>2</v>
      </c>
      <c r="H2267" s="162">
        <v>37347</v>
      </c>
      <c r="I2267" s="198">
        <v>512000</v>
      </c>
      <c r="J2267" s="15">
        <v>2.38</v>
      </c>
      <c r="K2267" s="15">
        <v>10.71</v>
      </c>
      <c r="L2267" s="15">
        <v>4.41</v>
      </c>
      <c r="M2267" s="174"/>
      <c r="N2267" s="528"/>
      <c r="O2267" s="15">
        <v>4.0199999999999996</v>
      </c>
      <c r="P2267" s="8"/>
      <c r="Q2267" s="11"/>
      <c r="R2267" s="11">
        <v>21.83</v>
      </c>
      <c r="S2267" s="155"/>
      <c r="T2267" s="161">
        <f t="shared" si="571"/>
        <v>5483520</v>
      </c>
      <c r="U2267" s="161">
        <f t="shared" si="572"/>
        <v>2257920</v>
      </c>
      <c r="V2267" s="161">
        <f t="shared" si="573"/>
        <v>2058239.9999999998</v>
      </c>
      <c r="W2267" s="161">
        <f t="shared" si="574"/>
        <v>823296</v>
      </c>
    </row>
    <row r="2268" spans="1:244" s="127" customFormat="1" ht="12.75" customHeight="1">
      <c r="A2268" s="118">
        <v>2267</v>
      </c>
      <c r="B2268" s="128">
        <v>24</v>
      </c>
      <c r="C2268" s="156">
        <v>37926</v>
      </c>
      <c r="D2268" s="157" t="s">
        <v>54</v>
      </c>
      <c r="E2268" s="8">
        <v>2003</v>
      </c>
      <c r="F2268" s="158">
        <f t="shared" si="569"/>
        <v>579</v>
      </c>
      <c r="G2268" s="158">
        <f t="shared" si="570"/>
        <v>2</v>
      </c>
      <c r="H2268" s="162">
        <v>37347</v>
      </c>
      <c r="I2268" s="194">
        <v>505873</v>
      </c>
      <c r="J2268" s="15">
        <v>4.76</v>
      </c>
      <c r="K2268" s="15">
        <v>17.260000000000002</v>
      </c>
      <c r="L2268" s="15">
        <v>8.32</v>
      </c>
      <c r="M2268" s="174">
        <v>0</v>
      </c>
      <c r="N2268" s="528"/>
      <c r="O2268" s="15">
        <v>6.66</v>
      </c>
      <c r="P2268" s="8"/>
      <c r="Q2268" s="11">
        <v>8.1999999999999993</v>
      </c>
      <c r="R2268" s="11">
        <v>33</v>
      </c>
      <c r="S2268" s="155" t="s">
        <v>7</v>
      </c>
      <c r="T2268" s="161">
        <f t="shared" si="571"/>
        <v>8731367.9800000004</v>
      </c>
      <c r="U2268" s="161">
        <f t="shared" si="572"/>
        <v>4208863.3600000003</v>
      </c>
      <c r="V2268" s="161">
        <f t="shared" si="573"/>
        <v>3369114.18</v>
      </c>
      <c r="W2268" s="161">
        <f t="shared" si="574"/>
        <v>1347645.6720000003</v>
      </c>
    </row>
    <row r="2269" spans="1:244" s="127" customFormat="1" ht="12.75" customHeight="1">
      <c r="A2269" s="118">
        <v>2268</v>
      </c>
      <c r="B2269" s="128">
        <v>24</v>
      </c>
      <c r="C2269" s="156">
        <v>37956</v>
      </c>
      <c r="D2269" s="157" t="s">
        <v>55</v>
      </c>
      <c r="E2269" s="8">
        <v>2003</v>
      </c>
      <c r="F2269" s="158">
        <f t="shared" si="569"/>
        <v>609</v>
      </c>
      <c r="G2269" s="158">
        <f t="shared" si="570"/>
        <v>2</v>
      </c>
      <c r="H2269" s="162">
        <v>37347</v>
      </c>
      <c r="I2269" s="194">
        <v>386115</v>
      </c>
      <c r="J2269" s="15">
        <v>1.57</v>
      </c>
      <c r="K2269" s="15">
        <v>19.27</v>
      </c>
      <c r="L2269" s="15">
        <v>10.33</v>
      </c>
      <c r="M2269" s="174">
        <v>0</v>
      </c>
      <c r="N2269" s="528"/>
      <c r="O2269" s="15">
        <v>9.33</v>
      </c>
      <c r="P2269" s="8"/>
      <c r="Q2269" s="11">
        <v>7.5</v>
      </c>
      <c r="R2269" s="11">
        <v>33</v>
      </c>
      <c r="S2269" s="155" t="s">
        <v>7</v>
      </c>
      <c r="T2269" s="161">
        <f t="shared" si="571"/>
        <v>7440436.0499999998</v>
      </c>
      <c r="U2269" s="161">
        <f t="shared" si="572"/>
        <v>3988567.95</v>
      </c>
      <c r="V2269" s="161">
        <f t="shared" si="573"/>
        <v>3602452.95</v>
      </c>
      <c r="W2269" s="161">
        <f t="shared" si="574"/>
        <v>1440981.1800000002</v>
      </c>
    </row>
    <row r="2270" spans="1:244" s="127" customFormat="1" ht="12.75" customHeight="1">
      <c r="A2270" s="118">
        <v>2269</v>
      </c>
      <c r="B2270" s="128">
        <v>24</v>
      </c>
      <c r="C2270" s="156">
        <v>37987</v>
      </c>
      <c r="D2270" s="157" t="s">
        <v>44</v>
      </c>
      <c r="E2270" s="8">
        <v>2004</v>
      </c>
      <c r="F2270" s="158">
        <f t="shared" si="569"/>
        <v>640</v>
      </c>
      <c r="G2270" s="158">
        <f t="shared" si="570"/>
        <v>2</v>
      </c>
      <c r="H2270" s="162">
        <v>37347</v>
      </c>
      <c r="I2270" s="194">
        <v>348700</v>
      </c>
      <c r="J2270" s="15">
        <v>8.93</v>
      </c>
      <c r="K2270" s="15">
        <v>20.87</v>
      </c>
      <c r="L2270" s="15">
        <v>10.33</v>
      </c>
      <c r="M2270" s="174">
        <v>2</v>
      </c>
      <c r="N2270" s="528"/>
      <c r="O2270" s="15">
        <v>2.23</v>
      </c>
      <c r="P2270" s="8">
        <v>1</v>
      </c>
      <c r="Q2270" s="11">
        <v>7.3</v>
      </c>
      <c r="R2270" s="11">
        <v>33</v>
      </c>
      <c r="S2270" s="155" t="s">
        <v>7</v>
      </c>
      <c r="T2270" s="161">
        <f t="shared" si="571"/>
        <v>7277369</v>
      </c>
      <c r="U2270" s="161">
        <f t="shared" si="572"/>
        <v>3602071</v>
      </c>
      <c r="V2270" s="161">
        <f t="shared" si="573"/>
        <v>777601</v>
      </c>
      <c r="W2270" s="161">
        <f t="shared" si="574"/>
        <v>311040.40000000002</v>
      </c>
    </row>
    <row r="2271" spans="1:244" s="127" customFormat="1" ht="12.75" customHeight="1">
      <c r="A2271" s="118">
        <v>2270</v>
      </c>
      <c r="B2271" s="128">
        <v>24</v>
      </c>
      <c r="C2271" s="156">
        <v>38018</v>
      </c>
      <c r="D2271" s="157" t="s">
        <v>45</v>
      </c>
      <c r="E2271" s="8">
        <v>2004</v>
      </c>
      <c r="F2271" s="158">
        <f t="shared" si="569"/>
        <v>671</v>
      </c>
      <c r="G2271" s="158">
        <f t="shared" si="570"/>
        <v>2</v>
      </c>
      <c r="H2271" s="162">
        <v>37347</v>
      </c>
      <c r="I2271" s="194">
        <v>158375</v>
      </c>
      <c r="J2271" s="15">
        <v>0.4</v>
      </c>
      <c r="K2271" s="15">
        <v>4.4000000000000004</v>
      </c>
      <c r="L2271" s="15">
        <v>2</v>
      </c>
      <c r="M2271" s="174"/>
      <c r="N2271" s="528"/>
      <c r="O2271" s="15">
        <v>0.5</v>
      </c>
      <c r="P2271" s="8"/>
      <c r="Q2271" s="11">
        <v>7.3</v>
      </c>
      <c r="R2271" s="11">
        <v>33</v>
      </c>
      <c r="S2271" s="155" t="s">
        <v>7</v>
      </c>
      <c r="T2271" s="161">
        <f t="shared" si="571"/>
        <v>696850</v>
      </c>
      <c r="U2271" s="161">
        <f t="shared" si="572"/>
        <v>316750</v>
      </c>
      <c r="V2271" s="161">
        <f t="shared" si="573"/>
        <v>79187.5</v>
      </c>
      <c r="W2271" s="161">
        <f t="shared" si="574"/>
        <v>31675</v>
      </c>
    </row>
    <row r="2272" spans="1:244" s="127" customFormat="1" ht="12.75" customHeight="1">
      <c r="A2272" s="118">
        <v>2271</v>
      </c>
      <c r="B2272" s="128">
        <v>24</v>
      </c>
      <c r="C2272" s="156">
        <v>38047</v>
      </c>
      <c r="D2272" s="157" t="s">
        <v>46</v>
      </c>
      <c r="E2272" s="8">
        <v>2004</v>
      </c>
      <c r="F2272" s="158">
        <f t="shared" si="569"/>
        <v>700</v>
      </c>
      <c r="G2272" s="158">
        <f t="shared" si="570"/>
        <v>2</v>
      </c>
      <c r="H2272" s="162">
        <v>37347</v>
      </c>
      <c r="I2272" s="198">
        <v>50000</v>
      </c>
      <c r="J2272" s="15"/>
      <c r="K2272" s="15"/>
      <c r="L2272" s="165">
        <v>0.2</v>
      </c>
      <c r="M2272" s="174"/>
      <c r="N2272" s="528" t="s">
        <v>795</v>
      </c>
      <c r="O2272" s="165">
        <v>0.1</v>
      </c>
      <c r="P2272" s="8"/>
      <c r="Q2272" s="11"/>
      <c r="R2272" s="11"/>
      <c r="S2272" s="155"/>
      <c r="T2272" s="15"/>
      <c r="U2272" s="161">
        <f>$I2272*L2272</f>
        <v>10000</v>
      </c>
      <c r="V2272" s="161">
        <f t="shared" si="573"/>
        <v>5000</v>
      </c>
      <c r="W2272" s="161">
        <f t="shared" si="574"/>
        <v>2000</v>
      </c>
    </row>
    <row r="2273" spans="1:244" s="127" customFormat="1" ht="12.75" customHeight="1">
      <c r="A2273" s="118">
        <v>2272</v>
      </c>
      <c r="B2273" s="128">
        <v>24</v>
      </c>
      <c r="C2273" s="156">
        <v>38078</v>
      </c>
      <c r="D2273" s="157" t="s">
        <v>47</v>
      </c>
      <c r="E2273" s="8">
        <v>2004</v>
      </c>
      <c r="F2273" s="158"/>
      <c r="G2273" s="11"/>
      <c r="H2273" s="162"/>
      <c r="I2273" s="194"/>
      <c r="J2273" s="15"/>
      <c r="K2273" s="15"/>
      <c r="L2273" s="15"/>
      <c r="M2273" s="174"/>
      <c r="N2273" s="528"/>
      <c r="O2273" s="15"/>
      <c r="P2273" s="8"/>
      <c r="Q2273" s="11"/>
      <c r="R2273" s="11"/>
      <c r="S2273" s="155"/>
      <c r="T2273" s="15"/>
      <c r="U2273" s="161"/>
      <c r="V2273" s="15"/>
      <c r="W2273" s="15"/>
    </row>
    <row r="2274" spans="1:244" s="127" customFormat="1" ht="12.75" customHeight="1">
      <c r="A2274" s="118">
        <v>2273</v>
      </c>
      <c r="B2274" s="128">
        <v>24</v>
      </c>
      <c r="C2274" s="156">
        <v>38108</v>
      </c>
      <c r="D2274" s="157" t="s">
        <v>48</v>
      </c>
      <c r="E2274" s="8">
        <v>2004</v>
      </c>
      <c r="F2274" s="158"/>
      <c r="G2274" s="11"/>
      <c r="H2274" s="162"/>
      <c r="I2274" s="194"/>
      <c r="J2274" s="15"/>
      <c r="K2274" s="15"/>
      <c r="L2274" s="15"/>
      <c r="M2274" s="174"/>
      <c r="N2274" s="528"/>
      <c r="O2274" s="15"/>
      <c r="P2274" s="8"/>
      <c r="Q2274" s="11"/>
      <c r="R2274" s="11"/>
      <c r="S2274" s="155"/>
      <c r="T2274" s="15"/>
      <c r="U2274" s="161"/>
      <c r="V2274" s="15"/>
      <c r="W2274" s="15"/>
    </row>
    <row r="2275" spans="1:244" s="127" customFormat="1" ht="12.75" customHeight="1">
      <c r="A2275" s="118">
        <v>2274</v>
      </c>
      <c r="B2275" s="128">
        <v>24</v>
      </c>
      <c r="C2275" s="156">
        <v>38139</v>
      </c>
      <c r="D2275" s="157" t="s">
        <v>49</v>
      </c>
      <c r="E2275" s="8">
        <v>2004</v>
      </c>
      <c r="F2275" s="158"/>
      <c r="G2275" s="11"/>
      <c r="H2275" s="162"/>
      <c r="I2275" s="194"/>
      <c r="J2275" s="15"/>
      <c r="K2275" s="15"/>
      <c r="L2275" s="15"/>
      <c r="M2275" s="174"/>
      <c r="N2275" s="528"/>
      <c r="O2275" s="15"/>
      <c r="P2275" s="8"/>
      <c r="Q2275" s="11"/>
      <c r="R2275" s="11"/>
      <c r="S2275" s="155"/>
      <c r="T2275" s="15"/>
      <c r="U2275" s="161"/>
      <c r="V2275" s="15"/>
      <c r="W2275" s="15"/>
    </row>
    <row r="2276" spans="1:244" s="127" customFormat="1" ht="12.75" customHeight="1">
      <c r="A2276" s="118">
        <v>2275</v>
      </c>
      <c r="B2276" s="128">
        <v>24</v>
      </c>
      <c r="C2276" s="156">
        <v>38169</v>
      </c>
      <c r="D2276" s="157" t="s">
        <v>50</v>
      </c>
      <c r="E2276" s="8">
        <v>2004</v>
      </c>
      <c r="F2276" s="158"/>
      <c r="G2276" s="11"/>
      <c r="H2276" s="162"/>
      <c r="I2276" s="194"/>
      <c r="J2276" s="15"/>
      <c r="K2276" s="15"/>
      <c r="L2276" s="15"/>
      <c r="M2276" s="174"/>
      <c r="N2276" s="528"/>
      <c r="O2276" s="15"/>
      <c r="P2276" s="8"/>
      <c r="Q2276" s="11"/>
      <c r="R2276" s="11"/>
      <c r="S2276" s="155"/>
      <c r="T2276" s="15"/>
      <c r="U2276" s="161"/>
      <c r="V2276" s="15"/>
      <c r="W2276" s="15"/>
    </row>
    <row r="2277" spans="1:244" s="127" customFormat="1" ht="12.75" customHeight="1">
      <c r="A2277" s="118">
        <v>2276</v>
      </c>
      <c r="B2277" s="128">
        <v>24</v>
      </c>
      <c r="C2277" s="156">
        <v>38200</v>
      </c>
      <c r="D2277" s="157" t="s">
        <v>51</v>
      </c>
      <c r="E2277" s="8">
        <v>2004</v>
      </c>
      <c r="F2277" s="158"/>
      <c r="G2277" s="11"/>
      <c r="H2277" s="162"/>
      <c r="I2277" s="194"/>
      <c r="J2277" s="15"/>
      <c r="K2277" s="15"/>
      <c r="L2277" s="15"/>
      <c r="M2277" s="174"/>
      <c r="N2277" s="528"/>
      <c r="O2277" s="15"/>
      <c r="P2277" s="8"/>
      <c r="Q2277" s="11"/>
      <c r="R2277" s="11"/>
      <c r="S2277" s="155"/>
      <c r="T2277" s="15"/>
      <c r="U2277" s="161"/>
      <c r="V2277" s="15"/>
      <c r="W2277" s="15"/>
    </row>
    <row r="2278" spans="1:244" s="127" customFormat="1" ht="12.75" customHeight="1">
      <c r="A2278" s="118">
        <v>2277</v>
      </c>
      <c r="B2278" s="128">
        <v>24</v>
      </c>
      <c r="C2278" s="181">
        <v>38231</v>
      </c>
      <c r="D2278" s="157" t="s">
        <v>52</v>
      </c>
      <c r="E2278" s="8">
        <v>2004</v>
      </c>
      <c r="F2278" s="158"/>
      <c r="G2278" s="128"/>
      <c r="H2278" s="172"/>
      <c r="I2278" s="194"/>
      <c r="J2278" s="173"/>
      <c r="K2278" s="173"/>
      <c r="L2278" s="173"/>
      <c r="M2278" s="174"/>
      <c r="N2278" s="528"/>
      <c r="O2278" s="173"/>
      <c r="P2278" s="170"/>
      <c r="Q2278" s="128"/>
      <c r="R2278" s="128"/>
      <c r="S2278" s="180"/>
      <c r="T2278" s="173"/>
      <c r="U2278" s="171"/>
      <c r="V2278" s="173"/>
      <c r="W2278" s="173"/>
    </row>
    <row r="2279" spans="1:244" s="127" customFormat="1" ht="12.75" customHeight="1">
      <c r="A2279" s="118">
        <v>2278</v>
      </c>
      <c r="B2279" s="128">
        <v>24</v>
      </c>
      <c r="C2279" s="181">
        <v>38261</v>
      </c>
      <c r="D2279" s="157" t="s">
        <v>53</v>
      </c>
      <c r="E2279" s="8">
        <v>2004</v>
      </c>
      <c r="F2279" s="158">
        <f t="shared" ref="F2279:F2296" si="575">C2279-H2279</f>
        <v>243</v>
      </c>
      <c r="G2279" s="158">
        <f t="shared" ref="G2279:G2294" si="576">IF(F2279&lt;365,1,2)</f>
        <v>1</v>
      </c>
      <c r="H2279" s="172">
        <v>38018</v>
      </c>
      <c r="I2279" s="194">
        <v>457482</v>
      </c>
      <c r="J2279" s="173"/>
      <c r="K2279" s="165">
        <v>1.03</v>
      </c>
      <c r="L2279" s="165">
        <v>0.33</v>
      </c>
      <c r="M2279" s="174"/>
      <c r="N2279" s="528" t="s">
        <v>446</v>
      </c>
      <c r="O2279" s="165">
        <v>0.17</v>
      </c>
      <c r="P2279" s="170"/>
      <c r="Q2279" s="128"/>
      <c r="R2279" s="128"/>
      <c r="S2279" s="180" t="s">
        <v>384</v>
      </c>
      <c r="T2279" s="161">
        <f t="shared" ref="T2279:T2295" si="577">$I2279*K2279</f>
        <v>471206.46</v>
      </c>
      <c r="U2279" s="161">
        <f t="shared" ref="U2279:U2295" si="578">$I2279*L2279</f>
        <v>150969.06</v>
      </c>
      <c r="V2279" s="161">
        <f t="shared" ref="V2279:V2296" si="579">$I2279*O2279</f>
        <v>77771.94</v>
      </c>
      <c r="W2279" s="161">
        <f t="shared" ref="W2279:W2296" si="580">V2279*0.4</f>
        <v>31108.776000000002</v>
      </c>
    </row>
    <row r="2280" spans="1:244" s="127" customFormat="1" ht="12.75" customHeight="1">
      <c r="A2280" s="118">
        <v>2279</v>
      </c>
      <c r="B2280" s="128">
        <v>24</v>
      </c>
      <c r="C2280" s="181">
        <v>38292</v>
      </c>
      <c r="D2280" s="157" t="s">
        <v>54</v>
      </c>
      <c r="E2280" s="8">
        <v>2004</v>
      </c>
      <c r="F2280" s="158">
        <f t="shared" si="575"/>
        <v>274</v>
      </c>
      <c r="G2280" s="158">
        <f t="shared" si="576"/>
        <v>1</v>
      </c>
      <c r="H2280" s="172">
        <v>38018</v>
      </c>
      <c r="I2280" s="194">
        <v>510412</v>
      </c>
      <c r="J2280" s="173">
        <v>1.97</v>
      </c>
      <c r="K2280" s="173">
        <v>0.63</v>
      </c>
      <c r="L2280" s="173">
        <v>0.27</v>
      </c>
      <c r="M2280" s="174"/>
      <c r="N2280" s="528"/>
      <c r="O2280" s="173">
        <v>0.23</v>
      </c>
      <c r="P2280" s="170"/>
      <c r="Q2280" s="128">
        <v>8.3000000000000007</v>
      </c>
      <c r="R2280" s="128">
        <v>30.2</v>
      </c>
      <c r="S2280" s="180"/>
      <c r="T2280" s="161">
        <f t="shared" si="577"/>
        <v>321559.56</v>
      </c>
      <c r="U2280" s="161">
        <f t="shared" si="578"/>
        <v>137811.24000000002</v>
      </c>
      <c r="V2280" s="161">
        <f t="shared" si="579"/>
        <v>117394.76000000001</v>
      </c>
      <c r="W2280" s="161">
        <f t="shared" si="580"/>
        <v>46957.90400000001</v>
      </c>
    </row>
    <row r="2281" spans="1:244" s="127" customFormat="1" ht="12.75" customHeight="1">
      <c r="A2281" s="118">
        <v>2280</v>
      </c>
      <c r="B2281" s="128">
        <v>24</v>
      </c>
      <c r="C2281" s="181">
        <v>38322</v>
      </c>
      <c r="D2281" s="157" t="s">
        <v>55</v>
      </c>
      <c r="E2281" s="8">
        <v>2004</v>
      </c>
      <c r="F2281" s="158">
        <f t="shared" si="575"/>
        <v>304</v>
      </c>
      <c r="G2281" s="158">
        <f t="shared" si="576"/>
        <v>1</v>
      </c>
      <c r="H2281" s="172">
        <v>38018</v>
      </c>
      <c r="I2281" s="194">
        <v>537253</v>
      </c>
      <c r="J2281" s="173">
        <v>13.08</v>
      </c>
      <c r="K2281" s="173">
        <v>5.12</v>
      </c>
      <c r="L2281" s="173">
        <v>2.58</v>
      </c>
      <c r="M2281" s="174">
        <v>0</v>
      </c>
      <c r="N2281" s="528"/>
      <c r="O2281" s="173">
        <v>2.77</v>
      </c>
      <c r="P2281" s="170"/>
      <c r="Q2281" s="128">
        <v>8</v>
      </c>
      <c r="R2281" s="128">
        <v>31</v>
      </c>
      <c r="S2281" s="180"/>
      <c r="T2281" s="161">
        <f t="shared" si="577"/>
        <v>2750735.36</v>
      </c>
      <c r="U2281" s="161">
        <f t="shared" si="578"/>
        <v>1386112.74</v>
      </c>
      <c r="V2281" s="161">
        <f t="shared" si="579"/>
        <v>1488190.81</v>
      </c>
      <c r="W2281" s="161">
        <f t="shared" si="580"/>
        <v>595276.32400000002</v>
      </c>
    </row>
    <row r="2282" spans="1:244" s="127" customFormat="1" ht="12.75" customHeight="1">
      <c r="A2282" s="118">
        <v>2281</v>
      </c>
      <c r="B2282" s="128">
        <v>24</v>
      </c>
      <c r="C2282" s="181">
        <v>38353</v>
      </c>
      <c r="D2282" s="157" t="s">
        <v>44</v>
      </c>
      <c r="E2282" s="8">
        <v>2005</v>
      </c>
      <c r="F2282" s="158">
        <f t="shared" si="575"/>
        <v>335</v>
      </c>
      <c r="G2282" s="158">
        <f t="shared" si="576"/>
        <v>1</v>
      </c>
      <c r="H2282" s="172">
        <v>38018</v>
      </c>
      <c r="I2282" s="194">
        <v>537253</v>
      </c>
      <c r="J2282" s="173">
        <v>18.75</v>
      </c>
      <c r="K2282" s="173">
        <v>8.23</v>
      </c>
      <c r="L2282" s="173">
        <v>3.65</v>
      </c>
      <c r="M2282" s="174">
        <v>0</v>
      </c>
      <c r="N2282" s="528"/>
      <c r="O2282" s="173">
        <v>4.62</v>
      </c>
      <c r="P2282" s="170"/>
      <c r="Q2282" s="128">
        <v>7</v>
      </c>
      <c r="R2282" s="128">
        <v>31</v>
      </c>
      <c r="S2282" s="180"/>
      <c r="T2282" s="161">
        <f t="shared" si="577"/>
        <v>4421592.1900000004</v>
      </c>
      <c r="U2282" s="161">
        <f t="shared" si="578"/>
        <v>1960973.45</v>
      </c>
      <c r="V2282" s="161">
        <f t="shared" si="579"/>
        <v>2482108.86</v>
      </c>
      <c r="W2282" s="161">
        <f t="shared" si="580"/>
        <v>992843.54399999999</v>
      </c>
      <c r="X2282" s="118"/>
      <c r="Y2282" s="118"/>
      <c r="Z2282" s="118"/>
      <c r="AA2282" s="118"/>
      <c r="AB2282" s="118"/>
      <c r="AC2282" s="118"/>
      <c r="AD2282" s="118"/>
      <c r="AE2282" s="118"/>
      <c r="AF2282" s="118"/>
      <c r="AG2282" s="118"/>
      <c r="AH2282" s="118"/>
      <c r="AI2282" s="118"/>
      <c r="AJ2282" s="118"/>
      <c r="AK2282" s="118"/>
      <c r="AL2282" s="118"/>
      <c r="AM2282" s="118"/>
      <c r="AN2282" s="118"/>
      <c r="AO2282" s="118"/>
      <c r="AP2282" s="118"/>
      <c r="AQ2282" s="118"/>
      <c r="AR2282" s="118"/>
      <c r="AS2282" s="118"/>
      <c r="AT2282" s="118"/>
      <c r="AU2282" s="118"/>
      <c r="AV2282" s="118"/>
      <c r="AW2282" s="118"/>
      <c r="AX2282" s="118"/>
      <c r="AY2282" s="118"/>
      <c r="AZ2282" s="118"/>
      <c r="BA2282" s="118"/>
      <c r="BB2282" s="118"/>
      <c r="BC2282" s="118"/>
      <c r="BD2282" s="118"/>
      <c r="BE2282" s="118"/>
      <c r="BF2282" s="118"/>
      <c r="BG2282" s="118"/>
      <c r="BH2282" s="118"/>
      <c r="BI2282" s="118"/>
      <c r="BJ2282" s="118"/>
      <c r="BK2282" s="118"/>
      <c r="BL2282" s="118"/>
      <c r="BM2282" s="118"/>
      <c r="BN2282" s="118"/>
      <c r="BO2282" s="118"/>
      <c r="BP2282" s="118"/>
      <c r="BQ2282" s="118"/>
      <c r="BR2282" s="118"/>
      <c r="BS2282" s="118"/>
      <c r="BT2282" s="118"/>
      <c r="BU2282" s="118"/>
      <c r="BV2282" s="118"/>
      <c r="BW2282" s="118"/>
      <c r="BX2282" s="118"/>
      <c r="BY2282" s="118"/>
      <c r="BZ2282" s="118"/>
      <c r="CA2282" s="118"/>
      <c r="CB2282" s="118"/>
      <c r="CC2282" s="118"/>
      <c r="CD2282" s="118"/>
      <c r="CE2282" s="118"/>
      <c r="CF2282" s="118"/>
      <c r="CG2282" s="118"/>
      <c r="CH2282" s="118"/>
      <c r="CI2282" s="118"/>
      <c r="CJ2282" s="118"/>
      <c r="CK2282" s="118"/>
      <c r="CL2282" s="118"/>
      <c r="CM2282" s="118"/>
      <c r="CN2282" s="118"/>
      <c r="CO2282" s="118"/>
      <c r="CP2282" s="118"/>
      <c r="CQ2282" s="118"/>
      <c r="CR2282" s="118"/>
      <c r="CS2282" s="118"/>
      <c r="CT2282" s="118"/>
      <c r="CU2282" s="118"/>
      <c r="CV2282" s="118"/>
      <c r="CW2282" s="118"/>
      <c r="CX2282" s="118"/>
      <c r="CY2282" s="118"/>
      <c r="CZ2282" s="118"/>
      <c r="DA2282" s="118"/>
      <c r="DB2282" s="118"/>
      <c r="DC2282" s="118"/>
      <c r="DD2282" s="118"/>
      <c r="DE2282" s="118"/>
      <c r="DF2282" s="118"/>
      <c r="DG2282" s="118"/>
      <c r="DH2282" s="118"/>
      <c r="DI2282" s="118"/>
      <c r="DJ2282" s="118"/>
      <c r="DK2282" s="118"/>
      <c r="DL2282" s="118"/>
      <c r="DM2282" s="118"/>
      <c r="DN2282" s="118"/>
      <c r="DO2282" s="118"/>
      <c r="DP2282" s="118"/>
      <c r="DQ2282" s="118"/>
      <c r="DR2282" s="118"/>
      <c r="DS2282" s="118"/>
      <c r="DT2282" s="118"/>
      <c r="DU2282" s="118"/>
      <c r="DV2282" s="118"/>
      <c r="DW2282" s="118"/>
      <c r="DX2282" s="118"/>
      <c r="DY2282" s="118"/>
      <c r="DZ2282" s="118"/>
      <c r="EA2282" s="118"/>
      <c r="EB2282" s="118"/>
      <c r="EC2282" s="118"/>
      <c r="ED2282" s="118"/>
      <c r="EE2282" s="118"/>
      <c r="EF2282" s="118"/>
      <c r="EG2282" s="118"/>
      <c r="EH2282" s="118"/>
      <c r="EI2282" s="118"/>
      <c r="EJ2282" s="118"/>
      <c r="EK2282" s="118"/>
      <c r="EL2282" s="118"/>
      <c r="EM2282" s="118"/>
      <c r="EN2282" s="118"/>
      <c r="EO2282" s="118"/>
      <c r="EP2282" s="118"/>
      <c r="EQ2282" s="118"/>
      <c r="ER2282" s="118"/>
      <c r="ES2282" s="118"/>
      <c r="ET2282" s="118"/>
      <c r="EU2282" s="118"/>
      <c r="EV2282" s="118"/>
      <c r="EW2282" s="118"/>
      <c r="EX2282" s="118"/>
      <c r="EY2282" s="118"/>
      <c r="EZ2282" s="118"/>
      <c r="FA2282" s="118"/>
      <c r="FB2282" s="118"/>
      <c r="FC2282" s="118"/>
      <c r="FD2282" s="118"/>
      <c r="FE2282" s="118"/>
      <c r="FF2282" s="118"/>
      <c r="FG2282" s="118"/>
      <c r="FH2282" s="118"/>
      <c r="FI2282" s="118"/>
      <c r="FJ2282" s="118"/>
      <c r="FK2282" s="118"/>
      <c r="FL2282" s="118"/>
      <c r="FM2282" s="118"/>
      <c r="FN2282" s="118"/>
      <c r="FO2282" s="118"/>
      <c r="FP2282" s="118"/>
      <c r="FQ2282" s="118"/>
      <c r="FR2282" s="118"/>
      <c r="FS2282" s="118"/>
      <c r="FT2282" s="118"/>
      <c r="FU2282" s="118"/>
      <c r="FV2282" s="118"/>
      <c r="FW2282" s="118"/>
      <c r="FX2282" s="118"/>
      <c r="FY2282" s="118"/>
      <c r="FZ2282" s="118"/>
      <c r="GA2282" s="118"/>
      <c r="GB2282" s="118"/>
      <c r="GC2282" s="118"/>
      <c r="GD2282" s="118"/>
      <c r="GE2282" s="118"/>
      <c r="GF2282" s="118"/>
      <c r="GG2282" s="118"/>
      <c r="GH2282" s="118"/>
      <c r="GI2282" s="118"/>
      <c r="GJ2282" s="118"/>
      <c r="GK2282" s="118"/>
      <c r="GL2282" s="118"/>
      <c r="GM2282" s="118"/>
      <c r="GN2282" s="118"/>
      <c r="GO2282" s="118"/>
      <c r="GP2282" s="118"/>
      <c r="GQ2282" s="118"/>
      <c r="GR2282" s="118"/>
      <c r="GS2282" s="118"/>
      <c r="GT2282" s="118"/>
      <c r="GU2282" s="118"/>
      <c r="GV2282" s="118"/>
      <c r="GW2282" s="118"/>
      <c r="GX2282" s="118"/>
      <c r="GY2282" s="118"/>
      <c r="GZ2282" s="118"/>
      <c r="HA2282" s="118"/>
      <c r="HB2282" s="118"/>
      <c r="HC2282" s="118"/>
      <c r="HD2282" s="118"/>
      <c r="HE2282" s="118"/>
      <c r="HF2282" s="118"/>
      <c r="HG2282" s="118"/>
      <c r="HH2282" s="118"/>
      <c r="HI2282" s="118"/>
      <c r="HJ2282" s="118"/>
      <c r="HK2282" s="118"/>
      <c r="HL2282" s="118"/>
      <c r="HM2282" s="118"/>
      <c r="HN2282" s="118"/>
      <c r="HO2282" s="118"/>
      <c r="HP2282" s="118"/>
      <c r="HQ2282" s="118"/>
      <c r="HR2282" s="118"/>
      <c r="HS2282" s="118"/>
      <c r="HT2282" s="118"/>
      <c r="HU2282" s="118"/>
      <c r="HV2282" s="118"/>
      <c r="HW2282" s="118"/>
      <c r="HX2282" s="118"/>
      <c r="HY2282" s="118"/>
      <c r="HZ2282" s="118"/>
      <c r="IA2282" s="118"/>
      <c r="IB2282" s="118"/>
      <c r="IC2282" s="118"/>
      <c r="ID2282" s="118"/>
      <c r="IE2282" s="118"/>
      <c r="IF2282" s="118"/>
      <c r="IG2282" s="118"/>
      <c r="IH2282" s="118"/>
      <c r="II2282" s="118"/>
      <c r="IJ2282" s="118"/>
    </row>
    <row r="2283" spans="1:244" s="127" customFormat="1" ht="12.75" customHeight="1">
      <c r="A2283" s="118">
        <v>2282</v>
      </c>
      <c r="B2283" s="128">
        <v>24</v>
      </c>
      <c r="C2283" s="181">
        <v>38384</v>
      </c>
      <c r="D2283" s="157" t="s">
        <v>45</v>
      </c>
      <c r="E2283" s="8">
        <v>2005</v>
      </c>
      <c r="F2283" s="158">
        <f t="shared" si="575"/>
        <v>366</v>
      </c>
      <c r="G2283" s="158">
        <f t="shared" si="576"/>
        <v>2</v>
      </c>
      <c r="H2283" s="172">
        <v>38018</v>
      </c>
      <c r="I2283" s="194">
        <v>536340</v>
      </c>
      <c r="J2283" s="173">
        <v>11.13</v>
      </c>
      <c r="K2283" s="173">
        <v>8.57</v>
      </c>
      <c r="L2283" s="173">
        <v>5.4</v>
      </c>
      <c r="M2283" s="174">
        <v>2</v>
      </c>
      <c r="N2283" s="528"/>
      <c r="O2283" s="173">
        <v>1.3</v>
      </c>
      <c r="P2283" s="170">
        <v>1</v>
      </c>
      <c r="Q2283" s="128">
        <v>7</v>
      </c>
      <c r="R2283" s="128">
        <v>31</v>
      </c>
      <c r="S2283" s="180"/>
      <c r="T2283" s="161">
        <f t="shared" si="577"/>
        <v>4596433.8</v>
      </c>
      <c r="U2283" s="161">
        <f t="shared" si="578"/>
        <v>2896236</v>
      </c>
      <c r="V2283" s="161">
        <f t="shared" si="579"/>
        <v>697242</v>
      </c>
      <c r="W2283" s="161">
        <f t="shared" si="580"/>
        <v>278896.8</v>
      </c>
      <c r="X2283" s="118"/>
      <c r="Y2283" s="118"/>
      <c r="Z2283" s="118"/>
      <c r="AA2283" s="118"/>
      <c r="AB2283" s="118"/>
      <c r="AC2283" s="118"/>
      <c r="AD2283" s="118"/>
      <c r="AE2283" s="118"/>
      <c r="AF2283" s="118"/>
      <c r="AG2283" s="118"/>
      <c r="AH2283" s="118"/>
      <c r="AI2283" s="118"/>
      <c r="AJ2283" s="118"/>
      <c r="AK2283" s="118"/>
      <c r="AL2283" s="118"/>
      <c r="AM2283" s="118"/>
      <c r="AN2283" s="118"/>
      <c r="AO2283" s="118"/>
      <c r="AP2283" s="118"/>
      <c r="AQ2283" s="118"/>
      <c r="AR2283" s="118"/>
      <c r="AS2283" s="118"/>
      <c r="AT2283" s="118"/>
      <c r="AU2283" s="118"/>
      <c r="AV2283" s="118"/>
      <c r="AW2283" s="118"/>
      <c r="AX2283" s="118"/>
      <c r="AY2283" s="118"/>
      <c r="AZ2283" s="118"/>
      <c r="BA2283" s="118"/>
      <c r="BB2283" s="118"/>
      <c r="BC2283" s="118"/>
      <c r="BD2283" s="118"/>
      <c r="BE2283" s="118"/>
      <c r="BF2283" s="118"/>
      <c r="BG2283" s="118"/>
      <c r="BH2283" s="118"/>
      <c r="BI2283" s="118"/>
      <c r="BJ2283" s="118"/>
      <c r="BK2283" s="118"/>
      <c r="BL2283" s="118"/>
      <c r="BM2283" s="118"/>
      <c r="BN2283" s="118"/>
      <c r="BO2283" s="118"/>
      <c r="BP2283" s="118"/>
      <c r="BQ2283" s="118"/>
      <c r="BR2283" s="118"/>
      <c r="BS2283" s="118"/>
      <c r="BT2283" s="118"/>
      <c r="BU2283" s="118"/>
      <c r="BV2283" s="118"/>
      <c r="BW2283" s="118"/>
      <c r="BX2283" s="118"/>
      <c r="BY2283" s="118"/>
      <c r="BZ2283" s="118"/>
      <c r="CA2283" s="118"/>
      <c r="CB2283" s="118"/>
      <c r="CC2283" s="118"/>
      <c r="CD2283" s="118"/>
      <c r="CE2283" s="118"/>
      <c r="CF2283" s="118"/>
      <c r="CG2283" s="118"/>
      <c r="CH2283" s="118"/>
      <c r="CI2283" s="118"/>
      <c r="CJ2283" s="118"/>
      <c r="CK2283" s="118"/>
      <c r="CL2283" s="118"/>
      <c r="CM2283" s="118"/>
      <c r="CN2283" s="118"/>
      <c r="CO2283" s="118"/>
      <c r="CP2283" s="118"/>
      <c r="CQ2283" s="118"/>
      <c r="CR2283" s="118"/>
      <c r="CS2283" s="118"/>
      <c r="CT2283" s="118"/>
      <c r="CU2283" s="118"/>
      <c r="CV2283" s="118"/>
      <c r="CW2283" s="118"/>
      <c r="CX2283" s="118"/>
      <c r="CY2283" s="118"/>
      <c r="CZ2283" s="118"/>
      <c r="DA2283" s="118"/>
      <c r="DB2283" s="118"/>
      <c r="DC2283" s="118"/>
      <c r="DD2283" s="118"/>
      <c r="DE2283" s="118"/>
      <c r="DF2283" s="118"/>
      <c r="DG2283" s="118"/>
      <c r="DH2283" s="118"/>
      <c r="DI2283" s="118"/>
      <c r="DJ2283" s="118"/>
      <c r="DK2283" s="118"/>
      <c r="DL2283" s="118"/>
      <c r="DM2283" s="118"/>
      <c r="DN2283" s="118"/>
      <c r="DO2283" s="118"/>
      <c r="DP2283" s="118"/>
      <c r="DQ2283" s="118"/>
      <c r="DR2283" s="118"/>
      <c r="DS2283" s="118"/>
      <c r="DT2283" s="118"/>
      <c r="DU2283" s="118"/>
      <c r="DV2283" s="118"/>
      <c r="DW2283" s="118"/>
      <c r="DX2283" s="118"/>
      <c r="DY2283" s="118"/>
      <c r="DZ2283" s="118"/>
      <c r="EA2283" s="118"/>
      <c r="EB2283" s="118"/>
      <c r="EC2283" s="118"/>
      <c r="ED2283" s="118"/>
      <c r="EE2283" s="118"/>
      <c r="EF2283" s="118"/>
      <c r="EG2283" s="118"/>
      <c r="EH2283" s="118"/>
      <c r="EI2283" s="118"/>
      <c r="EJ2283" s="118"/>
      <c r="EK2283" s="118"/>
      <c r="EL2283" s="118"/>
      <c r="EM2283" s="118"/>
      <c r="EN2283" s="118"/>
      <c r="EO2283" s="118"/>
      <c r="EP2283" s="118"/>
      <c r="EQ2283" s="118"/>
      <c r="ER2283" s="118"/>
      <c r="ES2283" s="118"/>
      <c r="ET2283" s="118"/>
      <c r="EU2283" s="118"/>
      <c r="EV2283" s="118"/>
      <c r="EW2283" s="118"/>
      <c r="EX2283" s="118"/>
      <c r="EY2283" s="118"/>
      <c r="EZ2283" s="118"/>
      <c r="FA2283" s="118"/>
      <c r="FB2283" s="118"/>
      <c r="FC2283" s="118"/>
      <c r="FD2283" s="118"/>
      <c r="FE2283" s="118"/>
      <c r="FF2283" s="118"/>
      <c r="FG2283" s="118"/>
      <c r="FH2283" s="118"/>
      <c r="FI2283" s="118"/>
      <c r="FJ2283" s="118"/>
      <c r="FK2283" s="118"/>
      <c r="FL2283" s="118"/>
      <c r="FM2283" s="118"/>
      <c r="FN2283" s="118"/>
      <c r="FO2283" s="118"/>
      <c r="FP2283" s="118"/>
      <c r="FQ2283" s="118"/>
      <c r="FR2283" s="118"/>
      <c r="FS2283" s="118"/>
      <c r="FT2283" s="118"/>
      <c r="FU2283" s="118"/>
      <c r="FV2283" s="118"/>
      <c r="FW2283" s="118"/>
      <c r="FX2283" s="118"/>
      <c r="FY2283" s="118"/>
      <c r="FZ2283" s="118"/>
      <c r="GA2283" s="118"/>
      <c r="GB2283" s="118"/>
      <c r="GC2283" s="118"/>
      <c r="GD2283" s="118"/>
      <c r="GE2283" s="118"/>
      <c r="GF2283" s="118"/>
      <c r="GG2283" s="118"/>
      <c r="GH2283" s="118"/>
      <c r="GI2283" s="118"/>
      <c r="GJ2283" s="118"/>
      <c r="GK2283" s="118"/>
      <c r="GL2283" s="118"/>
      <c r="GM2283" s="118"/>
      <c r="GN2283" s="118"/>
      <c r="GO2283" s="118"/>
      <c r="GP2283" s="118"/>
      <c r="GQ2283" s="118"/>
      <c r="GR2283" s="118"/>
      <c r="GS2283" s="118"/>
      <c r="GT2283" s="118"/>
      <c r="GU2283" s="118"/>
      <c r="GV2283" s="118"/>
      <c r="GW2283" s="118"/>
      <c r="GX2283" s="118"/>
      <c r="GY2283" s="118"/>
      <c r="GZ2283" s="118"/>
      <c r="HA2283" s="118"/>
      <c r="HB2283" s="118"/>
      <c r="HC2283" s="118"/>
      <c r="HD2283" s="118"/>
      <c r="HE2283" s="118"/>
      <c r="HF2283" s="118"/>
      <c r="HG2283" s="118"/>
      <c r="HH2283" s="118"/>
      <c r="HI2283" s="118"/>
      <c r="HJ2283" s="118"/>
      <c r="HK2283" s="118"/>
      <c r="HL2283" s="118"/>
      <c r="HM2283" s="118"/>
      <c r="HN2283" s="118"/>
      <c r="HO2283" s="118"/>
      <c r="HP2283" s="118"/>
      <c r="HQ2283" s="118"/>
      <c r="HR2283" s="118"/>
      <c r="HS2283" s="118"/>
      <c r="HT2283" s="118"/>
      <c r="HU2283" s="118"/>
      <c r="HV2283" s="118"/>
      <c r="HW2283" s="118"/>
      <c r="HX2283" s="118"/>
      <c r="HY2283" s="118"/>
      <c r="HZ2283" s="118"/>
      <c r="IA2283" s="118"/>
      <c r="IB2283" s="118"/>
      <c r="IC2283" s="118"/>
      <c r="ID2283" s="118"/>
      <c r="IE2283" s="118"/>
      <c r="IF2283" s="118"/>
      <c r="IG2283" s="118"/>
      <c r="IH2283" s="118"/>
      <c r="II2283" s="118"/>
      <c r="IJ2283" s="118"/>
    </row>
    <row r="2284" spans="1:244" ht="12.75" customHeight="1">
      <c r="A2284" s="118">
        <v>2283</v>
      </c>
      <c r="B2284" s="128">
        <v>24</v>
      </c>
      <c r="C2284" s="181">
        <v>38412</v>
      </c>
      <c r="D2284" s="157" t="s">
        <v>46</v>
      </c>
      <c r="E2284" s="8">
        <v>2005</v>
      </c>
      <c r="F2284" s="158">
        <f t="shared" si="575"/>
        <v>394</v>
      </c>
      <c r="G2284" s="158">
        <f t="shared" si="576"/>
        <v>2</v>
      </c>
      <c r="H2284" s="172">
        <v>38018</v>
      </c>
      <c r="I2284" s="194">
        <v>535999</v>
      </c>
      <c r="J2284" s="173">
        <v>0.03</v>
      </c>
      <c r="K2284" s="173">
        <v>2.3199999999999998</v>
      </c>
      <c r="L2284" s="173">
        <v>1.1499999999999999</v>
      </c>
      <c r="M2284" s="174">
        <v>0</v>
      </c>
      <c r="O2284" s="173">
        <v>0.02</v>
      </c>
      <c r="P2284" s="170"/>
      <c r="Q2284" s="128">
        <v>8</v>
      </c>
      <c r="R2284" s="128">
        <v>32</v>
      </c>
      <c r="S2284" s="180"/>
      <c r="T2284" s="161">
        <f t="shared" si="577"/>
        <v>1243517.68</v>
      </c>
      <c r="U2284" s="161">
        <f t="shared" si="578"/>
        <v>616398.85</v>
      </c>
      <c r="V2284" s="161">
        <f t="shared" si="579"/>
        <v>10719.98</v>
      </c>
      <c r="W2284" s="161">
        <f t="shared" si="580"/>
        <v>4287.9920000000002</v>
      </c>
    </row>
    <row r="2285" spans="1:244" ht="12.75" customHeight="1">
      <c r="A2285" s="118">
        <v>2284</v>
      </c>
      <c r="B2285" s="128">
        <v>24</v>
      </c>
      <c r="C2285" s="181">
        <v>38443</v>
      </c>
      <c r="D2285" s="157" t="s">
        <v>47</v>
      </c>
      <c r="E2285" s="8">
        <v>2005</v>
      </c>
      <c r="F2285" s="158">
        <f t="shared" si="575"/>
        <v>425</v>
      </c>
      <c r="G2285" s="158">
        <f t="shared" si="576"/>
        <v>2</v>
      </c>
      <c r="H2285" s="172">
        <v>38018</v>
      </c>
      <c r="I2285" s="194">
        <v>535562</v>
      </c>
      <c r="J2285" s="173">
        <v>0.02</v>
      </c>
      <c r="K2285" s="173">
        <v>0.12</v>
      </c>
      <c r="L2285" s="173">
        <v>0.05</v>
      </c>
      <c r="M2285" s="174">
        <v>0</v>
      </c>
      <c r="O2285" s="173">
        <v>0.03</v>
      </c>
      <c r="P2285" s="170"/>
      <c r="Q2285" s="128">
        <v>8</v>
      </c>
      <c r="R2285" s="128">
        <v>32</v>
      </c>
      <c r="S2285" s="180"/>
      <c r="T2285" s="161">
        <f t="shared" si="577"/>
        <v>64267.439999999995</v>
      </c>
      <c r="U2285" s="161">
        <f t="shared" si="578"/>
        <v>26778.100000000002</v>
      </c>
      <c r="V2285" s="161">
        <f t="shared" si="579"/>
        <v>16066.859999999999</v>
      </c>
      <c r="W2285" s="161">
        <f t="shared" si="580"/>
        <v>6426.7439999999997</v>
      </c>
    </row>
    <row r="2286" spans="1:244" ht="12.75" customHeight="1">
      <c r="A2286" s="118">
        <v>2285</v>
      </c>
      <c r="B2286" s="128">
        <v>24</v>
      </c>
      <c r="C2286" s="181">
        <v>38473</v>
      </c>
      <c r="D2286" s="157" t="s">
        <v>48</v>
      </c>
      <c r="E2286" s="8">
        <v>2005</v>
      </c>
      <c r="F2286" s="158">
        <f t="shared" si="575"/>
        <v>455</v>
      </c>
      <c r="G2286" s="158">
        <f t="shared" si="576"/>
        <v>2</v>
      </c>
      <c r="H2286" s="172">
        <v>38018</v>
      </c>
      <c r="I2286" s="194">
        <v>534616</v>
      </c>
      <c r="J2286" s="173">
        <v>5.62</v>
      </c>
      <c r="K2286" s="173">
        <v>0.17</v>
      </c>
      <c r="L2286" s="173">
        <v>0.05</v>
      </c>
      <c r="M2286" s="174">
        <v>0</v>
      </c>
      <c r="O2286" s="173">
        <v>0</v>
      </c>
      <c r="P2286" s="170"/>
      <c r="Q2286" s="128">
        <v>9</v>
      </c>
      <c r="R2286" s="128">
        <v>32</v>
      </c>
      <c r="S2286" s="180"/>
      <c r="T2286" s="161">
        <f t="shared" si="577"/>
        <v>90884.72</v>
      </c>
      <c r="U2286" s="161">
        <f t="shared" si="578"/>
        <v>26730.800000000003</v>
      </c>
      <c r="V2286" s="161">
        <f t="shared" si="579"/>
        <v>0</v>
      </c>
      <c r="W2286" s="161">
        <f t="shared" si="580"/>
        <v>0</v>
      </c>
    </row>
    <row r="2287" spans="1:244" ht="12.75" customHeight="1">
      <c r="A2287" s="118">
        <v>2286</v>
      </c>
      <c r="B2287" s="128">
        <v>24</v>
      </c>
      <c r="C2287" s="181">
        <v>38504</v>
      </c>
      <c r="D2287" s="157" t="s">
        <v>49</v>
      </c>
      <c r="E2287" s="8">
        <v>2005</v>
      </c>
      <c r="F2287" s="158">
        <f t="shared" si="575"/>
        <v>486</v>
      </c>
      <c r="G2287" s="158">
        <f t="shared" si="576"/>
        <v>2</v>
      </c>
      <c r="H2287" s="172">
        <v>38018</v>
      </c>
      <c r="I2287" s="194">
        <v>532532</v>
      </c>
      <c r="J2287" s="173">
        <v>7.58</v>
      </c>
      <c r="K2287" s="173">
        <v>1.5</v>
      </c>
      <c r="L2287" s="173">
        <v>0.87</v>
      </c>
      <c r="M2287" s="174">
        <v>0</v>
      </c>
      <c r="O2287" s="173">
        <v>0</v>
      </c>
      <c r="P2287" s="170"/>
      <c r="Q2287" s="128">
        <v>10</v>
      </c>
      <c r="R2287" s="128">
        <v>32</v>
      </c>
      <c r="S2287" s="180"/>
      <c r="T2287" s="161">
        <f t="shared" si="577"/>
        <v>798798</v>
      </c>
      <c r="U2287" s="161">
        <f t="shared" si="578"/>
        <v>463302.84</v>
      </c>
      <c r="V2287" s="161">
        <f t="shared" si="579"/>
        <v>0</v>
      </c>
      <c r="W2287" s="161">
        <f t="shared" si="580"/>
        <v>0</v>
      </c>
    </row>
    <row r="2288" spans="1:244" s="189" customFormat="1" ht="12" customHeight="1">
      <c r="A2288" s="118">
        <v>2287</v>
      </c>
      <c r="B2288" s="128">
        <v>24</v>
      </c>
      <c r="C2288" s="181">
        <v>38534</v>
      </c>
      <c r="D2288" s="157" t="s">
        <v>50</v>
      </c>
      <c r="E2288" s="8">
        <v>2005</v>
      </c>
      <c r="F2288" s="174">
        <f t="shared" si="575"/>
        <v>516</v>
      </c>
      <c r="G2288" s="158">
        <f t="shared" si="576"/>
        <v>2</v>
      </c>
      <c r="H2288" s="172">
        <v>38018</v>
      </c>
      <c r="I2288" s="194">
        <v>531767</v>
      </c>
      <c r="J2288" s="173">
        <v>2.93</v>
      </c>
      <c r="K2288" s="173">
        <v>2.7</v>
      </c>
      <c r="L2288" s="173">
        <v>0.93</v>
      </c>
      <c r="M2288" s="174">
        <v>0</v>
      </c>
      <c r="N2288" s="528"/>
      <c r="O2288" s="173">
        <v>0.56999999999999995</v>
      </c>
      <c r="P2288" s="170"/>
      <c r="Q2288" s="128">
        <v>10</v>
      </c>
      <c r="R2288" s="128">
        <v>32</v>
      </c>
      <c r="S2288" s="180"/>
      <c r="T2288" s="161">
        <f t="shared" si="577"/>
        <v>1435770.9000000001</v>
      </c>
      <c r="U2288" s="161">
        <f t="shared" si="578"/>
        <v>494543.31</v>
      </c>
      <c r="V2288" s="161">
        <f t="shared" si="579"/>
        <v>303107.19</v>
      </c>
      <c r="W2288" s="161">
        <f t="shared" si="580"/>
        <v>121242.876</v>
      </c>
      <c r="X2288" s="118"/>
      <c r="Y2288" s="118"/>
      <c r="Z2288" s="118"/>
      <c r="AA2288" s="118"/>
      <c r="AB2288" s="118"/>
      <c r="AC2288" s="118"/>
      <c r="AD2288" s="118"/>
      <c r="AE2288" s="118"/>
      <c r="AF2288" s="118"/>
      <c r="AG2288" s="118"/>
      <c r="AH2288" s="118"/>
      <c r="AI2288" s="118"/>
      <c r="AJ2288" s="118"/>
      <c r="AK2288" s="118"/>
      <c r="AL2288" s="118"/>
      <c r="AM2288" s="118"/>
      <c r="AN2288" s="118"/>
      <c r="AO2288" s="118"/>
      <c r="AP2288" s="118"/>
      <c r="AQ2288" s="118"/>
      <c r="AR2288" s="118"/>
      <c r="AS2288" s="118"/>
      <c r="AT2288" s="118"/>
      <c r="AU2288" s="118"/>
      <c r="AV2288" s="118"/>
      <c r="AW2288" s="118"/>
      <c r="AX2288" s="118"/>
      <c r="AY2288" s="118"/>
      <c r="AZ2288" s="118"/>
      <c r="BA2288" s="118"/>
      <c r="BB2288" s="118"/>
      <c r="BC2288" s="118"/>
      <c r="BD2288" s="118"/>
      <c r="BE2288" s="118"/>
      <c r="BF2288" s="118"/>
      <c r="BG2288" s="118"/>
      <c r="BH2288" s="118"/>
      <c r="BI2288" s="118"/>
      <c r="BJ2288" s="118"/>
      <c r="BK2288" s="118"/>
      <c r="BL2288" s="118"/>
      <c r="BM2288" s="118"/>
      <c r="BN2288" s="118"/>
      <c r="BO2288" s="118"/>
      <c r="BP2288" s="118"/>
      <c r="BQ2288" s="118"/>
      <c r="BR2288" s="118"/>
      <c r="BS2288" s="118"/>
      <c r="BT2288" s="118"/>
      <c r="BU2288" s="118"/>
      <c r="BV2288" s="118"/>
      <c r="BW2288" s="118"/>
      <c r="BX2288" s="118"/>
      <c r="BY2288" s="118"/>
      <c r="BZ2288" s="118"/>
      <c r="CA2288" s="118"/>
      <c r="CB2288" s="118"/>
      <c r="CC2288" s="118"/>
      <c r="CD2288" s="118"/>
      <c r="CE2288" s="118"/>
      <c r="CF2288" s="118"/>
      <c r="CG2288" s="118"/>
      <c r="CH2288" s="118"/>
      <c r="CI2288" s="118"/>
      <c r="CJ2288" s="118"/>
      <c r="CK2288" s="118"/>
      <c r="CL2288" s="118"/>
      <c r="CM2288" s="118"/>
      <c r="CN2288" s="118"/>
      <c r="CO2288" s="118"/>
      <c r="CP2288" s="118"/>
      <c r="CQ2288" s="118"/>
      <c r="CR2288" s="118"/>
      <c r="CS2288" s="118"/>
      <c r="CT2288" s="118"/>
      <c r="CU2288" s="118"/>
      <c r="CV2288" s="118"/>
      <c r="CW2288" s="118"/>
      <c r="CX2288" s="118"/>
      <c r="CY2288" s="118"/>
      <c r="CZ2288" s="118"/>
      <c r="DA2288" s="118"/>
      <c r="DB2288" s="118"/>
      <c r="DC2288" s="118"/>
      <c r="DD2288" s="118"/>
      <c r="DE2288" s="118"/>
      <c r="DF2288" s="118"/>
      <c r="DG2288" s="118"/>
      <c r="DH2288" s="118"/>
      <c r="DI2288" s="118"/>
      <c r="DJ2288" s="118"/>
      <c r="DK2288" s="118"/>
      <c r="DL2288" s="118"/>
      <c r="DM2288" s="118"/>
      <c r="DN2288" s="118"/>
      <c r="DO2288" s="118"/>
      <c r="DP2288" s="118"/>
      <c r="DQ2288" s="118"/>
      <c r="DR2288" s="118"/>
      <c r="DS2288" s="118"/>
      <c r="DT2288" s="118"/>
      <c r="DU2288" s="118"/>
      <c r="DV2288" s="118"/>
      <c r="DW2288" s="118"/>
      <c r="DX2288" s="118"/>
      <c r="DY2288" s="118"/>
      <c r="DZ2288" s="118"/>
      <c r="EA2288" s="118"/>
      <c r="EB2288" s="118"/>
      <c r="EC2288" s="118"/>
      <c r="ED2288" s="118"/>
      <c r="EE2288" s="118"/>
      <c r="EF2288" s="118"/>
      <c r="EG2288" s="118"/>
      <c r="EH2288" s="118"/>
      <c r="EI2288" s="118"/>
      <c r="EJ2288" s="118"/>
      <c r="EK2288" s="118"/>
      <c r="EL2288" s="118"/>
      <c r="EM2288" s="118"/>
      <c r="EN2288" s="118"/>
      <c r="EO2288" s="118"/>
      <c r="EP2288" s="118"/>
      <c r="EQ2288" s="118"/>
      <c r="ER2288" s="118"/>
      <c r="ES2288" s="118"/>
      <c r="ET2288" s="118"/>
      <c r="EU2288" s="118"/>
      <c r="EV2288" s="118"/>
      <c r="EW2288" s="118"/>
      <c r="EX2288" s="118"/>
      <c r="EY2288" s="118"/>
      <c r="EZ2288" s="118"/>
      <c r="FA2288" s="118"/>
      <c r="FB2288" s="118"/>
      <c r="FC2288" s="118"/>
      <c r="FD2288" s="118"/>
      <c r="FE2288" s="118"/>
      <c r="FF2288" s="118"/>
      <c r="FG2288" s="118"/>
      <c r="FH2288" s="118"/>
      <c r="FI2288" s="118"/>
      <c r="FJ2288" s="118"/>
      <c r="FK2288" s="118"/>
      <c r="FL2288" s="118"/>
      <c r="FM2288" s="118"/>
      <c r="FN2288" s="118"/>
      <c r="FO2288" s="118"/>
      <c r="FP2288" s="118"/>
      <c r="FQ2288" s="118"/>
      <c r="FR2288" s="118"/>
      <c r="FS2288" s="118"/>
      <c r="FT2288" s="118"/>
      <c r="FU2288" s="118"/>
      <c r="FV2288" s="118"/>
      <c r="FW2288" s="118"/>
      <c r="FX2288" s="118"/>
      <c r="FY2288" s="118"/>
      <c r="FZ2288" s="118"/>
      <c r="GA2288" s="118"/>
      <c r="GB2288" s="118"/>
      <c r="GC2288" s="118"/>
      <c r="GD2288" s="118"/>
      <c r="GE2288" s="118"/>
      <c r="GF2288" s="118"/>
      <c r="GG2288" s="118"/>
      <c r="GH2288" s="118"/>
      <c r="GI2288" s="118"/>
      <c r="GJ2288" s="118"/>
      <c r="GK2288" s="118"/>
      <c r="GL2288" s="118"/>
      <c r="GM2288" s="118"/>
      <c r="GN2288" s="118"/>
      <c r="GO2288" s="118"/>
      <c r="GP2288" s="118"/>
      <c r="GQ2288" s="118"/>
      <c r="GR2288" s="118"/>
      <c r="GS2288" s="118"/>
      <c r="GT2288" s="118"/>
      <c r="GU2288" s="118"/>
      <c r="GV2288" s="118"/>
      <c r="GW2288" s="118"/>
      <c r="GX2288" s="118"/>
      <c r="GY2288" s="118"/>
      <c r="GZ2288" s="118"/>
      <c r="HA2288" s="118"/>
      <c r="HB2288" s="118"/>
      <c r="HC2288" s="118"/>
      <c r="HD2288" s="118"/>
      <c r="HE2288" s="118"/>
      <c r="HF2288" s="118"/>
      <c r="HG2288" s="118"/>
      <c r="HH2288" s="118"/>
      <c r="HI2288" s="118"/>
      <c r="HJ2288" s="118"/>
      <c r="HK2288" s="118"/>
      <c r="HL2288" s="118"/>
      <c r="HM2288" s="118"/>
      <c r="HN2288" s="118"/>
      <c r="HO2288" s="118"/>
      <c r="HP2288" s="118"/>
      <c r="HQ2288" s="118"/>
      <c r="HR2288" s="118"/>
      <c r="HS2288" s="118"/>
      <c r="HT2288" s="118"/>
      <c r="HU2288" s="118"/>
      <c r="HV2288" s="118"/>
      <c r="HW2288" s="118"/>
      <c r="HX2288" s="118"/>
      <c r="HY2288" s="118"/>
      <c r="HZ2288" s="118"/>
      <c r="IA2288" s="118"/>
      <c r="IB2288" s="118"/>
      <c r="IC2288" s="118"/>
      <c r="ID2288" s="118"/>
      <c r="IE2288" s="118"/>
      <c r="IF2288" s="118"/>
      <c r="IG2288" s="118"/>
      <c r="IH2288" s="118"/>
      <c r="II2288" s="118"/>
      <c r="IJ2288" s="118"/>
    </row>
    <row r="2289" spans="1:244" ht="12" customHeight="1">
      <c r="A2289" s="118">
        <v>2288</v>
      </c>
      <c r="B2289" s="128">
        <v>24</v>
      </c>
      <c r="C2289" s="181">
        <v>38565</v>
      </c>
      <c r="D2289" s="157" t="s">
        <v>51</v>
      </c>
      <c r="E2289" s="8">
        <v>2005</v>
      </c>
      <c r="F2289" s="158">
        <f t="shared" si="575"/>
        <v>547</v>
      </c>
      <c r="G2289" s="158">
        <f t="shared" si="576"/>
        <v>2</v>
      </c>
      <c r="H2289" s="172">
        <v>38018</v>
      </c>
      <c r="I2289" s="194">
        <v>530325</v>
      </c>
      <c r="J2289" s="173">
        <v>8.85</v>
      </c>
      <c r="K2289" s="173">
        <v>1.62</v>
      </c>
      <c r="L2289" s="173">
        <v>0.93</v>
      </c>
      <c r="M2289" s="174">
        <v>0</v>
      </c>
      <c r="O2289" s="173">
        <v>0.12</v>
      </c>
      <c r="P2289" s="170"/>
      <c r="Q2289" s="128">
        <v>10</v>
      </c>
      <c r="R2289" s="128">
        <v>32</v>
      </c>
      <c r="S2289" s="180"/>
      <c r="T2289" s="161">
        <f t="shared" si="577"/>
        <v>859126.5</v>
      </c>
      <c r="U2289" s="161">
        <f t="shared" si="578"/>
        <v>493202.25</v>
      </c>
      <c r="V2289" s="161">
        <f t="shared" si="579"/>
        <v>63639</v>
      </c>
      <c r="W2289" s="161">
        <f t="shared" si="580"/>
        <v>25455.600000000002</v>
      </c>
    </row>
    <row r="2290" spans="1:244">
      <c r="A2290" s="118">
        <v>2289</v>
      </c>
      <c r="B2290" s="128">
        <v>24</v>
      </c>
      <c r="C2290" s="181">
        <v>38596</v>
      </c>
      <c r="D2290" s="157" t="s">
        <v>52</v>
      </c>
      <c r="E2290" s="8">
        <v>2005</v>
      </c>
      <c r="F2290" s="158">
        <f t="shared" si="575"/>
        <v>578</v>
      </c>
      <c r="G2290" s="158">
        <f t="shared" si="576"/>
        <v>2</v>
      </c>
      <c r="H2290" s="172">
        <v>38018</v>
      </c>
      <c r="I2290" s="194">
        <v>529236</v>
      </c>
      <c r="J2290" s="173">
        <v>3.08</v>
      </c>
      <c r="K2290" s="173">
        <v>11.47</v>
      </c>
      <c r="L2290" s="173">
        <v>7.65</v>
      </c>
      <c r="M2290" s="174">
        <v>1</v>
      </c>
      <c r="O2290" s="173">
        <v>0.05</v>
      </c>
      <c r="P2290" s="170"/>
      <c r="Q2290" s="128">
        <v>9</v>
      </c>
      <c r="R2290" s="128">
        <v>31</v>
      </c>
      <c r="S2290" s="180"/>
      <c r="T2290" s="161">
        <f t="shared" si="577"/>
        <v>6070336.9199999999</v>
      </c>
      <c r="U2290" s="161">
        <f t="shared" si="578"/>
        <v>4048655.4000000004</v>
      </c>
      <c r="V2290" s="161">
        <f t="shared" si="579"/>
        <v>26461.800000000003</v>
      </c>
      <c r="W2290" s="161">
        <f t="shared" si="580"/>
        <v>10584.720000000001</v>
      </c>
    </row>
    <row r="2291" spans="1:244">
      <c r="A2291" s="118">
        <v>2290</v>
      </c>
      <c r="B2291" s="128">
        <v>24</v>
      </c>
      <c r="C2291" s="181">
        <v>38626</v>
      </c>
      <c r="D2291" s="157" t="s">
        <v>53</v>
      </c>
      <c r="E2291" s="8">
        <v>2005</v>
      </c>
      <c r="F2291" s="158">
        <f t="shared" si="575"/>
        <v>608</v>
      </c>
      <c r="G2291" s="158">
        <f t="shared" si="576"/>
        <v>2</v>
      </c>
      <c r="H2291" s="172">
        <v>38018</v>
      </c>
      <c r="I2291" s="194">
        <v>484691</v>
      </c>
      <c r="J2291" s="173">
        <v>4.51</v>
      </c>
      <c r="K2291" s="173">
        <v>11.59</v>
      </c>
      <c r="L2291" s="173">
        <v>7.33</v>
      </c>
      <c r="M2291" s="174">
        <v>0</v>
      </c>
      <c r="O2291" s="173">
        <v>0.83</v>
      </c>
      <c r="Q2291" s="128">
        <v>9</v>
      </c>
      <c r="R2291" s="128">
        <v>32</v>
      </c>
      <c r="T2291" s="161">
        <f t="shared" si="577"/>
        <v>5617568.6899999995</v>
      </c>
      <c r="U2291" s="161">
        <f t="shared" si="578"/>
        <v>3552785.0300000003</v>
      </c>
      <c r="V2291" s="161">
        <f t="shared" si="579"/>
        <v>402293.52999999997</v>
      </c>
      <c r="W2291" s="161">
        <f t="shared" si="580"/>
        <v>160917.41200000001</v>
      </c>
    </row>
    <row r="2292" spans="1:244">
      <c r="A2292" s="118">
        <v>2291</v>
      </c>
      <c r="B2292" s="128">
        <v>24</v>
      </c>
      <c r="C2292" s="181">
        <v>38657</v>
      </c>
      <c r="D2292" s="157" t="s">
        <v>54</v>
      </c>
      <c r="E2292" s="8">
        <v>2005</v>
      </c>
      <c r="F2292" s="158">
        <f t="shared" si="575"/>
        <v>639</v>
      </c>
      <c r="G2292" s="158">
        <f t="shared" si="576"/>
        <v>2</v>
      </c>
      <c r="H2292" s="172">
        <v>38018</v>
      </c>
      <c r="I2292" s="194">
        <v>498549</v>
      </c>
      <c r="J2292" s="173">
        <v>3.92</v>
      </c>
      <c r="K2292" s="173">
        <v>5.67</v>
      </c>
      <c r="L2292" s="173">
        <v>3.93</v>
      </c>
      <c r="M2292" s="174">
        <v>1</v>
      </c>
      <c r="O2292" s="173">
        <v>4.0199999999999996</v>
      </c>
      <c r="Q2292" s="128">
        <v>8</v>
      </c>
      <c r="R2292" s="128">
        <v>32</v>
      </c>
      <c r="S2292" s="180"/>
      <c r="T2292" s="161">
        <f t="shared" si="577"/>
        <v>2826772.83</v>
      </c>
      <c r="U2292" s="161">
        <f t="shared" si="578"/>
        <v>1959297.57</v>
      </c>
      <c r="V2292" s="161">
        <f t="shared" si="579"/>
        <v>2004166.9799999997</v>
      </c>
      <c r="W2292" s="161">
        <f t="shared" si="580"/>
        <v>801666.7919999999</v>
      </c>
    </row>
    <row r="2293" spans="1:244">
      <c r="A2293" s="118">
        <v>2292</v>
      </c>
      <c r="B2293" s="128">
        <v>24</v>
      </c>
      <c r="C2293" s="181">
        <v>38687</v>
      </c>
      <c r="D2293" s="157" t="s">
        <v>55</v>
      </c>
      <c r="E2293" s="8">
        <v>2005</v>
      </c>
      <c r="F2293" s="158">
        <f t="shared" si="575"/>
        <v>669</v>
      </c>
      <c r="G2293" s="158">
        <f t="shared" si="576"/>
        <v>2</v>
      </c>
      <c r="H2293" s="172">
        <v>38018</v>
      </c>
      <c r="I2293" s="194">
        <v>497827</v>
      </c>
      <c r="J2293" s="173">
        <v>1.57</v>
      </c>
      <c r="K2293" s="173">
        <v>17.829999999999998</v>
      </c>
      <c r="L2293" s="173">
        <v>11.03</v>
      </c>
      <c r="M2293" s="174">
        <v>2</v>
      </c>
      <c r="O2293" s="173">
        <v>0.18</v>
      </c>
      <c r="P2293" s="170">
        <v>1</v>
      </c>
      <c r="Q2293" s="128">
        <v>8</v>
      </c>
      <c r="R2293" s="128">
        <v>32</v>
      </c>
      <c r="S2293" s="180"/>
      <c r="T2293" s="161">
        <f t="shared" si="577"/>
        <v>8876255.4099999983</v>
      </c>
      <c r="U2293" s="161">
        <f t="shared" si="578"/>
        <v>5491031.8099999996</v>
      </c>
      <c r="V2293" s="161">
        <f t="shared" si="579"/>
        <v>89608.86</v>
      </c>
      <c r="W2293" s="161">
        <f t="shared" si="580"/>
        <v>35843.544000000002</v>
      </c>
    </row>
    <row r="2294" spans="1:244">
      <c r="A2294" s="118">
        <v>2293</v>
      </c>
      <c r="B2294" s="128">
        <v>24</v>
      </c>
      <c r="C2294" s="181">
        <v>38718</v>
      </c>
      <c r="D2294" s="157" t="s">
        <v>44</v>
      </c>
      <c r="E2294" s="8">
        <v>2006</v>
      </c>
      <c r="F2294" s="158">
        <f t="shared" si="575"/>
        <v>700</v>
      </c>
      <c r="G2294" s="158">
        <f t="shared" si="576"/>
        <v>2</v>
      </c>
      <c r="H2294" s="172">
        <v>38018</v>
      </c>
      <c r="I2294" s="194">
        <v>362271</v>
      </c>
      <c r="J2294" s="173">
        <v>0</v>
      </c>
      <c r="K2294" s="173">
        <v>0.08</v>
      </c>
      <c r="L2294" s="173">
        <v>0.03</v>
      </c>
      <c r="M2294" s="174">
        <v>0</v>
      </c>
      <c r="O2294" s="173">
        <v>0</v>
      </c>
      <c r="P2294" s="170"/>
      <c r="Q2294" s="128">
        <v>8</v>
      </c>
      <c r="R2294" s="128">
        <v>32</v>
      </c>
      <c r="S2294" s="180"/>
      <c r="T2294" s="161">
        <f t="shared" si="577"/>
        <v>28981.68</v>
      </c>
      <c r="U2294" s="161">
        <f t="shared" si="578"/>
        <v>10868.13</v>
      </c>
      <c r="V2294" s="161">
        <f t="shared" si="579"/>
        <v>0</v>
      </c>
      <c r="W2294" s="161">
        <f t="shared" si="580"/>
        <v>0</v>
      </c>
      <c r="X2294" s="127"/>
      <c r="Y2294" s="127"/>
      <c r="Z2294" s="127"/>
      <c r="AA2294" s="127"/>
      <c r="AB2294" s="127"/>
      <c r="AC2294" s="127"/>
      <c r="AD2294" s="127"/>
      <c r="AE2294" s="127"/>
      <c r="AF2294" s="127"/>
      <c r="AG2294" s="127"/>
      <c r="AH2294" s="127"/>
      <c r="AI2294" s="127"/>
      <c r="AJ2294" s="127"/>
      <c r="AK2294" s="127"/>
      <c r="AL2294" s="127"/>
      <c r="AM2294" s="127"/>
      <c r="AN2294" s="127"/>
      <c r="AO2294" s="127"/>
      <c r="AP2294" s="127"/>
      <c r="AQ2294" s="127"/>
      <c r="AR2294" s="127"/>
      <c r="AS2294" s="127"/>
      <c r="AT2294" s="127"/>
      <c r="AU2294" s="127"/>
      <c r="AV2294" s="127"/>
      <c r="AW2294" s="127"/>
      <c r="AX2294" s="127"/>
      <c r="AY2294" s="127"/>
      <c r="AZ2294" s="127"/>
      <c r="BA2294" s="127"/>
      <c r="BB2294" s="127"/>
      <c r="BC2294" s="127"/>
      <c r="BD2294" s="127"/>
      <c r="BE2294" s="127"/>
      <c r="BF2294" s="127"/>
      <c r="BG2294" s="127"/>
      <c r="BH2294" s="127"/>
      <c r="BI2294" s="127"/>
      <c r="BJ2294" s="127"/>
      <c r="BK2294" s="127"/>
      <c r="BL2294" s="127"/>
      <c r="BM2294" s="127"/>
      <c r="BN2294" s="127"/>
      <c r="BO2294" s="127"/>
      <c r="BP2294" s="127"/>
      <c r="BQ2294" s="127"/>
      <c r="BR2294" s="127"/>
      <c r="BS2294" s="127"/>
      <c r="BT2294" s="127"/>
      <c r="BU2294" s="127"/>
      <c r="BV2294" s="127"/>
      <c r="BW2294" s="127"/>
      <c r="BX2294" s="127"/>
      <c r="BY2294" s="127"/>
      <c r="BZ2294" s="127"/>
      <c r="CA2294" s="127"/>
      <c r="CB2294" s="127"/>
      <c r="CC2294" s="127"/>
      <c r="CD2294" s="127"/>
      <c r="CE2294" s="127"/>
      <c r="CF2294" s="127"/>
      <c r="CG2294" s="127"/>
      <c r="CH2294" s="127"/>
      <c r="CI2294" s="127"/>
      <c r="CJ2294" s="127"/>
      <c r="CK2294" s="127"/>
      <c r="CL2294" s="127"/>
      <c r="CM2294" s="127"/>
      <c r="CN2294" s="127"/>
      <c r="CO2294" s="127"/>
      <c r="CP2294" s="127"/>
      <c r="CQ2294" s="127"/>
      <c r="CR2294" s="127"/>
      <c r="CS2294" s="127"/>
      <c r="CT2294" s="127"/>
      <c r="CU2294" s="127"/>
      <c r="CV2294" s="127"/>
      <c r="CW2294" s="127"/>
      <c r="CX2294" s="127"/>
      <c r="CY2294" s="127"/>
      <c r="CZ2294" s="127"/>
      <c r="DA2294" s="127"/>
      <c r="DB2294" s="127"/>
      <c r="DC2294" s="127"/>
      <c r="DD2294" s="127"/>
      <c r="DE2294" s="127"/>
      <c r="DF2294" s="127"/>
      <c r="DG2294" s="127"/>
      <c r="DH2294" s="127"/>
      <c r="DI2294" s="127"/>
      <c r="DJ2294" s="127"/>
      <c r="DK2294" s="127"/>
      <c r="DL2294" s="127"/>
      <c r="DM2294" s="127"/>
      <c r="DN2294" s="127"/>
      <c r="DO2294" s="127"/>
      <c r="DP2294" s="127"/>
      <c r="DQ2294" s="127"/>
      <c r="DR2294" s="127"/>
      <c r="DS2294" s="127"/>
      <c r="DT2294" s="127"/>
      <c r="DU2294" s="127"/>
      <c r="DV2294" s="127"/>
      <c r="DW2294" s="127"/>
      <c r="DX2294" s="127"/>
      <c r="DY2294" s="127"/>
      <c r="DZ2294" s="127"/>
      <c r="EA2294" s="127"/>
      <c r="EB2294" s="127"/>
      <c r="EC2294" s="127"/>
      <c r="ED2294" s="127"/>
      <c r="EE2294" s="127"/>
      <c r="EF2294" s="127"/>
      <c r="EG2294" s="127"/>
      <c r="EH2294" s="127"/>
      <c r="EI2294" s="127"/>
      <c r="EJ2294" s="127"/>
      <c r="EK2294" s="127"/>
      <c r="EL2294" s="127"/>
      <c r="EM2294" s="127"/>
      <c r="EN2294" s="127"/>
      <c r="EO2294" s="127"/>
      <c r="EP2294" s="127"/>
      <c r="EQ2294" s="127"/>
      <c r="ER2294" s="127"/>
      <c r="ES2294" s="127"/>
      <c r="ET2294" s="127"/>
      <c r="EU2294" s="127"/>
      <c r="EV2294" s="127"/>
      <c r="EW2294" s="127"/>
      <c r="EX2294" s="127"/>
      <c r="EY2294" s="127"/>
      <c r="EZ2294" s="127"/>
      <c r="FA2294" s="127"/>
      <c r="FB2294" s="127"/>
      <c r="FC2294" s="127"/>
      <c r="FD2294" s="127"/>
      <c r="FE2294" s="127"/>
      <c r="FF2294" s="127"/>
      <c r="FG2294" s="127"/>
      <c r="FH2294" s="127"/>
      <c r="FI2294" s="127"/>
      <c r="FJ2294" s="127"/>
      <c r="FK2294" s="127"/>
      <c r="FL2294" s="127"/>
      <c r="FM2294" s="127"/>
      <c r="FN2294" s="127"/>
      <c r="FO2294" s="127"/>
      <c r="FP2294" s="127"/>
      <c r="FQ2294" s="127"/>
      <c r="FR2294" s="127"/>
      <c r="FS2294" s="127"/>
      <c r="FT2294" s="127"/>
      <c r="FU2294" s="127"/>
      <c r="FV2294" s="127"/>
      <c r="FW2294" s="127"/>
      <c r="FX2294" s="127"/>
      <c r="FY2294" s="127"/>
      <c r="FZ2294" s="127"/>
      <c r="GA2294" s="127"/>
      <c r="GB2294" s="127"/>
      <c r="GC2294" s="127"/>
      <c r="GD2294" s="127"/>
      <c r="GE2294" s="127"/>
      <c r="GF2294" s="127"/>
      <c r="GG2294" s="127"/>
      <c r="GH2294" s="127"/>
      <c r="GI2294" s="127"/>
      <c r="GJ2294" s="127"/>
      <c r="GK2294" s="127"/>
      <c r="GL2294" s="127"/>
      <c r="GM2294" s="127"/>
      <c r="GN2294" s="127"/>
      <c r="GO2294" s="127"/>
      <c r="GP2294" s="127"/>
      <c r="GQ2294" s="127"/>
      <c r="GR2294" s="127"/>
      <c r="GS2294" s="127"/>
      <c r="GT2294" s="127"/>
      <c r="GU2294" s="127"/>
      <c r="GV2294" s="127"/>
      <c r="GW2294" s="127"/>
      <c r="GX2294" s="127"/>
      <c r="GY2294" s="127"/>
      <c r="GZ2294" s="127"/>
      <c r="HA2294" s="127"/>
      <c r="HB2294" s="127"/>
      <c r="HC2294" s="127"/>
      <c r="HD2294" s="127"/>
      <c r="HE2294" s="127"/>
      <c r="HF2294" s="127"/>
      <c r="HG2294" s="127"/>
      <c r="HH2294" s="127"/>
      <c r="HI2294" s="127"/>
      <c r="HJ2294" s="127"/>
      <c r="HK2294" s="127"/>
      <c r="HL2294" s="127"/>
      <c r="HM2294" s="127"/>
      <c r="HN2294" s="127"/>
      <c r="HO2294" s="127"/>
      <c r="HP2294" s="127"/>
      <c r="HQ2294" s="127"/>
      <c r="HR2294" s="127"/>
      <c r="HS2294" s="127"/>
      <c r="HT2294" s="127"/>
      <c r="HU2294" s="127"/>
      <c r="HV2294" s="127"/>
      <c r="HW2294" s="127"/>
      <c r="HX2294" s="127"/>
      <c r="HY2294" s="127"/>
      <c r="HZ2294" s="127"/>
      <c r="IA2294" s="127"/>
      <c r="IB2294" s="127"/>
      <c r="IC2294" s="127"/>
      <c r="ID2294" s="127"/>
      <c r="IE2294" s="127"/>
      <c r="IF2294" s="127"/>
      <c r="IG2294" s="127"/>
      <c r="IH2294" s="127"/>
      <c r="II2294" s="127"/>
      <c r="IJ2294" s="127"/>
    </row>
    <row r="2295" spans="1:244">
      <c r="A2295" s="118">
        <v>2294</v>
      </c>
      <c r="B2295" s="128">
        <v>24</v>
      </c>
      <c r="C2295" s="181">
        <v>38749</v>
      </c>
      <c r="D2295" s="157" t="s">
        <v>45</v>
      </c>
      <c r="E2295" s="8">
        <v>2006</v>
      </c>
      <c r="F2295" s="158">
        <f t="shared" si="575"/>
        <v>731</v>
      </c>
      <c r="G2295" s="158">
        <f>IF(F2295&lt;730,2,3)</f>
        <v>3</v>
      </c>
      <c r="H2295" s="172">
        <v>38018</v>
      </c>
      <c r="I2295" s="194">
        <v>187512</v>
      </c>
      <c r="J2295" s="173">
        <v>0.15</v>
      </c>
      <c r="K2295" s="173">
        <v>0</v>
      </c>
      <c r="L2295" s="173">
        <v>0</v>
      </c>
      <c r="O2295" s="173">
        <v>0.25</v>
      </c>
      <c r="P2295" s="170"/>
      <c r="Q2295" s="128">
        <v>7</v>
      </c>
      <c r="R2295" s="128">
        <v>32</v>
      </c>
      <c r="S2295" s="180"/>
      <c r="T2295" s="161">
        <f t="shared" si="577"/>
        <v>0</v>
      </c>
      <c r="U2295" s="161">
        <f t="shared" si="578"/>
        <v>0</v>
      </c>
      <c r="V2295" s="161">
        <f t="shared" si="579"/>
        <v>46878</v>
      </c>
      <c r="W2295" s="161">
        <f t="shared" si="580"/>
        <v>18751.2</v>
      </c>
      <c r="X2295" s="127"/>
      <c r="Y2295" s="127"/>
      <c r="Z2295" s="127"/>
      <c r="AA2295" s="127"/>
      <c r="AB2295" s="127"/>
      <c r="AC2295" s="127"/>
      <c r="AD2295" s="127"/>
      <c r="AE2295" s="127"/>
      <c r="AF2295" s="127"/>
      <c r="AG2295" s="127"/>
      <c r="AH2295" s="127"/>
      <c r="AI2295" s="127"/>
      <c r="AJ2295" s="127"/>
      <c r="AK2295" s="127"/>
      <c r="AL2295" s="127"/>
      <c r="AM2295" s="127"/>
      <c r="AN2295" s="127"/>
      <c r="AO2295" s="127"/>
      <c r="AP2295" s="127"/>
      <c r="AQ2295" s="127"/>
      <c r="AR2295" s="127"/>
      <c r="AS2295" s="127"/>
      <c r="AT2295" s="127"/>
      <c r="AU2295" s="127"/>
      <c r="AV2295" s="127"/>
      <c r="AW2295" s="127"/>
      <c r="AX2295" s="127"/>
      <c r="AY2295" s="127"/>
      <c r="AZ2295" s="127"/>
      <c r="BA2295" s="127"/>
      <c r="BB2295" s="127"/>
      <c r="BC2295" s="127"/>
      <c r="BD2295" s="127"/>
      <c r="BE2295" s="127"/>
      <c r="BF2295" s="127"/>
      <c r="BG2295" s="127"/>
      <c r="BH2295" s="127"/>
      <c r="BI2295" s="127"/>
      <c r="BJ2295" s="127"/>
      <c r="BK2295" s="127"/>
      <c r="BL2295" s="127"/>
      <c r="BM2295" s="127"/>
      <c r="BN2295" s="127"/>
      <c r="BO2295" s="127"/>
      <c r="BP2295" s="127"/>
      <c r="BQ2295" s="127"/>
      <c r="BR2295" s="127"/>
      <c r="BS2295" s="127"/>
      <c r="BT2295" s="127"/>
      <c r="BU2295" s="127"/>
      <c r="BV2295" s="127"/>
      <c r="BW2295" s="127"/>
      <c r="BX2295" s="127"/>
      <c r="BY2295" s="127"/>
      <c r="BZ2295" s="127"/>
      <c r="CA2295" s="127"/>
      <c r="CB2295" s="127"/>
      <c r="CC2295" s="127"/>
      <c r="CD2295" s="127"/>
      <c r="CE2295" s="127"/>
      <c r="CF2295" s="127"/>
      <c r="CG2295" s="127"/>
      <c r="CH2295" s="127"/>
      <c r="CI2295" s="127"/>
      <c r="CJ2295" s="127"/>
      <c r="CK2295" s="127"/>
      <c r="CL2295" s="127"/>
      <c r="CM2295" s="127"/>
      <c r="CN2295" s="127"/>
      <c r="CO2295" s="127"/>
      <c r="CP2295" s="127"/>
      <c r="CQ2295" s="127"/>
      <c r="CR2295" s="127"/>
      <c r="CS2295" s="127"/>
      <c r="CT2295" s="127"/>
      <c r="CU2295" s="127"/>
      <c r="CV2295" s="127"/>
      <c r="CW2295" s="127"/>
      <c r="CX2295" s="127"/>
      <c r="CY2295" s="127"/>
      <c r="CZ2295" s="127"/>
      <c r="DA2295" s="127"/>
      <c r="DB2295" s="127"/>
      <c r="DC2295" s="127"/>
      <c r="DD2295" s="127"/>
      <c r="DE2295" s="127"/>
      <c r="DF2295" s="127"/>
      <c r="DG2295" s="127"/>
      <c r="DH2295" s="127"/>
      <c r="DI2295" s="127"/>
      <c r="DJ2295" s="127"/>
      <c r="DK2295" s="127"/>
      <c r="DL2295" s="127"/>
      <c r="DM2295" s="127"/>
      <c r="DN2295" s="127"/>
      <c r="DO2295" s="127"/>
      <c r="DP2295" s="127"/>
      <c r="DQ2295" s="127"/>
      <c r="DR2295" s="127"/>
      <c r="DS2295" s="127"/>
      <c r="DT2295" s="127"/>
      <c r="DU2295" s="127"/>
      <c r="DV2295" s="127"/>
      <c r="DW2295" s="127"/>
      <c r="DX2295" s="127"/>
      <c r="DY2295" s="127"/>
      <c r="DZ2295" s="127"/>
      <c r="EA2295" s="127"/>
      <c r="EB2295" s="127"/>
      <c r="EC2295" s="127"/>
      <c r="ED2295" s="127"/>
      <c r="EE2295" s="127"/>
      <c r="EF2295" s="127"/>
      <c r="EG2295" s="127"/>
      <c r="EH2295" s="127"/>
      <c r="EI2295" s="127"/>
      <c r="EJ2295" s="127"/>
      <c r="EK2295" s="127"/>
      <c r="EL2295" s="127"/>
      <c r="EM2295" s="127"/>
      <c r="EN2295" s="127"/>
      <c r="EO2295" s="127"/>
      <c r="EP2295" s="127"/>
      <c r="EQ2295" s="127"/>
      <c r="ER2295" s="127"/>
      <c r="ES2295" s="127"/>
      <c r="ET2295" s="127"/>
      <c r="EU2295" s="127"/>
      <c r="EV2295" s="127"/>
      <c r="EW2295" s="127"/>
      <c r="EX2295" s="127"/>
      <c r="EY2295" s="127"/>
      <c r="EZ2295" s="127"/>
      <c r="FA2295" s="127"/>
      <c r="FB2295" s="127"/>
      <c r="FC2295" s="127"/>
      <c r="FD2295" s="127"/>
      <c r="FE2295" s="127"/>
      <c r="FF2295" s="127"/>
      <c r="FG2295" s="127"/>
      <c r="FH2295" s="127"/>
      <c r="FI2295" s="127"/>
      <c r="FJ2295" s="127"/>
      <c r="FK2295" s="127"/>
      <c r="FL2295" s="127"/>
      <c r="FM2295" s="127"/>
      <c r="FN2295" s="127"/>
      <c r="FO2295" s="127"/>
      <c r="FP2295" s="127"/>
      <c r="FQ2295" s="127"/>
      <c r="FR2295" s="127"/>
      <c r="FS2295" s="127"/>
      <c r="FT2295" s="127"/>
      <c r="FU2295" s="127"/>
      <c r="FV2295" s="127"/>
      <c r="FW2295" s="127"/>
      <c r="FX2295" s="127"/>
      <c r="FY2295" s="127"/>
      <c r="FZ2295" s="127"/>
      <c r="GA2295" s="127"/>
      <c r="GB2295" s="127"/>
      <c r="GC2295" s="127"/>
      <c r="GD2295" s="127"/>
      <c r="GE2295" s="127"/>
      <c r="GF2295" s="127"/>
      <c r="GG2295" s="127"/>
      <c r="GH2295" s="127"/>
      <c r="GI2295" s="127"/>
      <c r="GJ2295" s="127"/>
      <c r="GK2295" s="127"/>
      <c r="GL2295" s="127"/>
      <c r="GM2295" s="127"/>
      <c r="GN2295" s="127"/>
      <c r="GO2295" s="127"/>
      <c r="GP2295" s="127"/>
      <c r="GQ2295" s="127"/>
      <c r="GR2295" s="127"/>
      <c r="GS2295" s="127"/>
      <c r="GT2295" s="127"/>
      <c r="GU2295" s="127"/>
      <c r="GV2295" s="127"/>
      <c r="GW2295" s="127"/>
      <c r="GX2295" s="127"/>
      <c r="GY2295" s="127"/>
      <c r="GZ2295" s="127"/>
      <c r="HA2295" s="127"/>
      <c r="HB2295" s="127"/>
      <c r="HC2295" s="127"/>
      <c r="HD2295" s="127"/>
      <c r="HE2295" s="127"/>
      <c r="HF2295" s="127"/>
      <c r="HG2295" s="127"/>
      <c r="HH2295" s="127"/>
      <c r="HI2295" s="127"/>
      <c r="HJ2295" s="127"/>
      <c r="HK2295" s="127"/>
      <c r="HL2295" s="127"/>
      <c r="HM2295" s="127"/>
      <c r="HN2295" s="127"/>
      <c r="HO2295" s="127"/>
      <c r="HP2295" s="127"/>
      <c r="HQ2295" s="127"/>
      <c r="HR2295" s="127"/>
      <c r="HS2295" s="127"/>
      <c r="HT2295" s="127"/>
      <c r="HU2295" s="127"/>
      <c r="HV2295" s="127"/>
      <c r="HW2295" s="127"/>
      <c r="HX2295" s="127"/>
      <c r="HY2295" s="127"/>
      <c r="HZ2295" s="127"/>
      <c r="IA2295" s="127"/>
      <c r="IB2295" s="127"/>
      <c r="IC2295" s="127"/>
      <c r="ID2295" s="127"/>
      <c r="IE2295" s="127"/>
      <c r="IF2295" s="127"/>
      <c r="IG2295" s="127"/>
      <c r="IH2295" s="127"/>
      <c r="II2295" s="127"/>
      <c r="IJ2295" s="127"/>
    </row>
    <row r="2296" spans="1:244">
      <c r="A2296" s="118">
        <v>2295</v>
      </c>
      <c r="B2296" s="128">
        <v>24</v>
      </c>
      <c r="C2296" s="181">
        <v>38777</v>
      </c>
      <c r="D2296" s="157" t="s">
        <v>46</v>
      </c>
      <c r="E2296" s="8">
        <v>2006</v>
      </c>
      <c r="F2296" s="158">
        <f t="shared" si="575"/>
        <v>759</v>
      </c>
      <c r="G2296" s="158">
        <f>IF(F2296&lt;730,2,3)</f>
        <v>3</v>
      </c>
      <c r="H2296" s="172">
        <v>38018</v>
      </c>
      <c r="I2296" s="194">
        <v>46089</v>
      </c>
      <c r="J2296" s="173"/>
      <c r="K2296" s="173"/>
      <c r="L2296" s="165">
        <v>0.03</v>
      </c>
      <c r="N2296" s="528" t="s">
        <v>795</v>
      </c>
      <c r="O2296" s="165">
        <v>0.4</v>
      </c>
      <c r="P2296" s="170"/>
      <c r="Q2296" s="128"/>
      <c r="R2296" s="128"/>
      <c r="S2296" s="180"/>
      <c r="T2296" s="173"/>
      <c r="U2296" s="171">
        <f>$I2296*L2296</f>
        <v>1382.6699999999998</v>
      </c>
      <c r="V2296" s="171">
        <f t="shared" si="579"/>
        <v>18435.600000000002</v>
      </c>
      <c r="W2296" s="161">
        <f t="shared" si="580"/>
        <v>7374.2400000000016</v>
      </c>
      <c r="X2296" s="127"/>
      <c r="Y2296" s="127"/>
      <c r="Z2296" s="127"/>
      <c r="AA2296" s="127"/>
      <c r="AB2296" s="127"/>
      <c r="AC2296" s="127"/>
      <c r="AD2296" s="127"/>
      <c r="AE2296" s="127"/>
      <c r="AF2296" s="127"/>
      <c r="AG2296" s="127"/>
      <c r="AH2296" s="127"/>
      <c r="AI2296" s="127"/>
      <c r="AJ2296" s="127"/>
      <c r="AK2296" s="127"/>
      <c r="AL2296" s="127"/>
      <c r="AM2296" s="127"/>
      <c r="AN2296" s="127"/>
      <c r="AO2296" s="127"/>
      <c r="AP2296" s="127"/>
      <c r="AQ2296" s="127"/>
      <c r="AR2296" s="127"/>
      <c r="AS2296" s="127"/>
      <c r="AT2296" s="127"/>
      <c r="AU2296" s="127"/>
      <c r="AV2296" s="127"/>
      <c r="AW2296" s="127"/>
      <c r="AX2296" s="127"/>
      <c r="AY2296" s="127"/>
      <c r="AZ2296" s="127"/>
      <c r="BA2296" s="127"/>
      <c r="BB2296" s="127"/>
      <c r="BC2296" s="127"/>
      <c r="BD2296" s="127"/>
      <c r="BE2296" s="127"/>
      <c r="BF2296" s="127"/>
      <c r="BG2296" s="127"/>
      <c r="BH2296" s="127"/>
      <c r="BI2296" s="127"/>
      <c r="BJ2296" s="127"/>
      <c r="BK2296" s="127"/>
      <c r="BL2296" s="127"/>
      <c r="BM2296" s="127"/>
      <c r="BN2296" s="127"/>
      <c r="BO2296" s="127"/>
      <c r="BP2296" s="127"/>
      <c r="BQ2296" s="127"/>
      <c r="BR2296" s="127"/>
      <c r="BS2296" s="127"/>
      <c r="BT2296" s="127"/>
      <c r="BU2296" s="127"/>
      <c r="BV2296" s="127"/>
      <c r="BW2296" s="127"/>
      <c r="BX2296" s="127"/>
      <c r="BY2296" s="127"/>
      <c r="BZ2296" s="127"/>
      <c r="CA2296" s="127"/>
      <c r="CB2296" s="127"/>
      <c r="CC2296" s="127"/>
      <c r="CD2296" s="127"/>
      <c r="CE2296" s="127"/>
      <c r="CF2296" s="127"/>
      <c r="CG2296" s="127"/>
      <c r="CH2296" s="127"/>
      <c r="CI2296" s="127"/>
      <c r="CJ2296" s="127"/>
      <c r="CK2296" s="127"/>
      <c r="CL2296" s="127"/>
      <c r="CM2296" s="127"/>
      <c r="CN2296" s="127"/>
      <c r="CO2296" s="127"/>
      <c r="CP2296" s="127"/>
      <c r="CQ2296" s="127"/>
      <c r="CR2296" s="127"/>
      <c r="CS2296" s="127"/>
      <c r="CT2296" s="127"/>
      <c r="CU2296" s="127"/>
      <c r="CV2296" s="127"/>
      <c r="CW2296" s="127"/>
      <c r="CX2296" s="127"/>
      <c r="CY2296" s="127"/>
      <c r="CZ2296" s="127"/>
      <c r="DA2296" s="127"/>
      <c r="DB2296" s="127"/>
      <c r="DC2296" s="127"/>
      <c r="DD2296" s="127"/>
      <c r="DE2296" s="127"/>
      <c r="DF2296" s="127"/>
      <c r="DG2296" s="127"/>
      <c r="DH2296" s="127"/>
      <c r="DI2296" s="127"/>
      <c r="DJ2296" s="127"/>
      <c r="DK2296" s="127"/>
      <c r="DL2296" s="127"/>
      <c r="DM2296" s="127"/>
      <c r="DN2296" s="127"/>
      <c r="DO2296" s="127"/>
      <c r="DP2296" s="127"/>
      <c r="DQ2296" s="127"/>
      <c r="DR2296" s="127"/>
      <c r="DS2296" s="127"/>
      <c r="DT2296" s="127"/>
      <c r="DU2296" s="127"/>
      <c r="DV2296" s="127"/>
      <c r="DW2296" s="127"/>
      <c r="DX2296" s="127"/>
      <c r="DY2296" s="127"/>
      <c r="DZ2296" s="127"/>
      <c r="EA2296" s="127"/>
      <c r="EB2296" s="127"/>
      <c r="EC2296" s="127"/>
      <c r="ED2296" s="127"/>
      <c r="EE2296" s="127"/>
      <c r="EF2296" s="127"/>
      <c r="EG2296" s="127"/>
      <c r="EH2296" s="127"/>
      <c r="EI2296" s="127"/>
      <c r="EJ2296" s="127"/>
      <c r="EK2296" s="127"/>
      <c r="EL2296" s="127"/>
      <c r="EM2296" s="127"/>
      <c r="EN2296" s="127"/>
      <c r="EO2296" s="127"/>
      <c r="EP2296" s="127"/>
      <c r="EQ2296" s="127"/>
      <c r="ER2296" s="127"/>
      <c r="ES2296" s="127"/>
      <c r="ET2296" s="127"/>
      <c r="EU2296" s="127"/>
      <c r="EV2296" s="127"/>
      <c r="EW2296" s="127"/>
      <c r="EX2296" s="127"/>
      <c r="EY2296" s="127"/>
      <c r="EZ2296" s="127"/>
      <c r="FA2296" s="127"/>
      <c r="FB2296" s="127"/>
      <c r="FC2296" s="127"/>
      <c r="FD2296" s="127"/>
      <c r="FE2296" s="127"/>
      <c r="FF2296" s="127"/>
      <c r="FG2296" s="127"/>
      <c r="FH2296" s="127"/>
      <c r="FI2296" s="127"/>
      <c r="FJ2296" s="127"/>
      <c r="FK2296" s="127"/>
      <c r="FL2296" s="127"/>
      <c r="FM2296" s="127"/>
      <c r="FN2296" s="127"/>
      <c r="FO2296" s="127"/>
      <c r="FP2296" s="127"/>
      <c r="FQ2296" s="127"/>
      <c r="FR2296" s="127"/>
      <c r="FS2296" s="127"/>
      <c r="FT2296" s="127"/>
      <c r="FU2296" s="127"/>
      <c r="FV2296" s="127"/>
      <c r="FW2296" s="127"/>
      <c r="FX2296" s="127"/>
      <c r="FY2296" s="127"/>
      <c r="FZ2296" s="127"/>
      <c r="GA2296" s="127"/>
      <c r="GB2296" s="127"/>
      <c r="GC2296" s="127"/>
      <c r="GD2296" s="127"/>
      <c r="GE2296" s="127"/>
      <c r="GF2296" s="127"/>
      <c r="GG2296" s="127"/>
      <c r="GH2296" s="127"/>
      <c r="GI2296" s="127"/>
      <c r="GJ2296" s="127"/>
      <c r="GK2296" s="127"/>
      <c r="GL2296" s="127"/>
      <c r="GM2296" s="127"/>
      <c r="GN2296" s="127"/>
      <c r="GO2296" s="127"/>
      <c r="GP2296" s="127"/>
      <c r="GQ2296" s="127"/>
      <c r="GR2296" s="127"/>
      <c r="GS2296" s="127"/>
      <c r="GT2296" s="127"/>
      <c r="GU2296" s="127"/>
      <c r="GV2296" s="127"/>
      <c r="GW2296" s="127"/>
      <c r="GX2296" s="127"/>
      <c r="GY2296" s="127"/>
      <c r="GZ2296" s="127"/>
      <c r="HA2296" s="127"/>
      <c r="HB2296" s="127"/>
      <c r="HC2296" s="127"/>
      <c r="HD2296" s="127"/>
      <c r="HE2296" s="127"/>
      <c r="HF2296" s="127"/>
      <c r="HG2296" s="127"/>
      <c r="HH2296" s="127"/>
      <c r="HI2296" s="127"/>
      <c r="HJ2296" s="127"/>
      <c r="HK2296" s="127"/>
      <c r="HL2296" s="127"/>
      <c r="HM2296" s="127"/>
      <c r="HN2296" s="127"/>
      <c r="HO2296" s="127"/>
      <c r="HP2296" s="127"/>
      <c r="HQ2296" s="127"/>
      <c r="HR2296" s="127"/>
      <c r="HS2296" s="127"/>
      <c r="HT2296" s="127"/>
      <c r="HU2296" s="127"/>
      <c r="HV2296" s="127"/>
      <c r="HW2296" s="127"/>
      <c r="HX2296" s="127"/>
      <c r="HY2296" s="127"/>
      <c r="HZ2296" s="127"/>
      <c r="IA2296" s="127"/>
      <c r="IB2296" s="127"/>
      <c r="IC2296" s="127"/>
      <c r="ID2296" s="127"/>
      <c r="IE2296" s="127"/>
      <c r="IF2296" s="127"/>
      <c r="IG2296" s="127"/>
      <c r="IH2296" s="127"/>
      <c r="II2296" s="127"/>
      <c r="IJ2296" s="127"/>
    </row>
    <row r="2297" spans="1:244">
      <c r="A2297" s="118">
        <v>2296</v>
      </c>
      <c r="B2297" s="128">
        <v>24</v>
      </c>
      <c r="C2297" s="181">
        <v>38808</v>
      </c>
      <c r="D2297" s="157" t="s">
        <v>47</v>
      </c>
      <c r="E2297" s="8">
        <v>2006</v>
      </c>
      <c r="F2297" s="158"/>
      <c r="G2297" s="128"/>
      <c r="H2297" s="172"/>
      <c r="I2297" s="194"/>
      <c r="J2297" s="173"/>
      <c r="K2297" s="173"/>
      <c r="L2297" s="173"/>
      <c r="O2297" s="173"/>
      <c r="P2297" s="170"/>
      <c r="Q2297" s="128"/>
      <c r="R2297" s="128"/>
      <c r="S2297" s="180"/>
      <c r="T2297" s="173"/>
      <c r="U2297" s="171"/>
      <c r="V2297" s="173"/>
      <c r="W2297" s="173"/>
      <c r="X2297" s="127"/>
      <c r="Y2297" s="127"/>
      <c r="Z2297" s="127"/>
      <c r="AA2297" s="127"/>
      <c r="AB2297" s="127"/>
      <c r="AC2297" s="127"/>
      <c r="AD2297" s="127"/>
      <c r="AE2297" s="127"/>
      <c r="AF2297" s="127"/>
      <c r="AG2297" s="127"/>
      <c r="AH2297" s="127"/>
      <c r="AI2297" s="127"/>
      <c r="AJ2297" s="127"/>
      <c r="AK2297" s="127"/>
      <c r="AL2297" s="127"/>
      <c r="AM2297" s="127"/>
      <c r="AN2297" s="127"/>
      <c r="AO2297" s="127"/>
      <c r="AP2297" s="127"/>
      <c r="AQ2297" s="127"/>
      <c r="AR2297" s="127"/>
      <c r="AS2297" s="127"/>
      <c r="AT2297" s="127"/>
      <c r="AU2297" s="127"/>
      <c r="AV2297" s="127"/>
      <c r="AW2297" s="127"/>
      <c r="AX2297" s="127"/>
      <c r="AY2297" s="127"/>
      <c r="AZ2297" s="127"/>
      <c r="BA2297" s="127"/>
      <c r="BB2297" s="127"/>
      <c r="BC2297" s="127"/>
      <c r="BD2297" s="127"/>
      <c r="BE2297" s="127"/>
      <c r="BF2297" s="127"/>
      <c r="BG2297" s="127"/>
      <c r="BH2297" s="127"/>
      <c r="BI2297" s="127"/>
      <c r="BJ2297" s="127"/>
      <c r="BK2297" s="127"/>
      <c r="BL2297" s="127"/>
      <c r="BM2297" s="127"/>
      <c r="BN2297" s="127"/>
      <c r="BO2297" s="127"/>
      <c r="BP2297" s="127"/>
      <c r="BQ2297" s="127"/>
      <c r="BR2297" s="127"/>
      <c r="BS2297" s="127"/>
      <c r="BT2297" s="127"/>
      <c r="BU2297" s="127"/>
      <c r="BV2297" s="127"/>
      <c r="BW2297" s="127"/>
      <c r="BX2297" s="127"/>
      <c r="BY2297" s="127"/>
      <c r="BZ2297" s="127"/>
      <c r="CA2297" s="127"/>
      <c r="CB2297" s="127"/>
      <c r="CC2297" s="127"/>
      <c r="CD2297" s="127"/>
      <c r="CE2297" s="127"/>
      <c r="CF2297" s="127"/>
      <c r="CG2297" s="127"/>
      <c r="CH2297" s="127"/>
      <c r="CI2297" s="127"/>
      <c r="CJ2297" s="127"/>
      <c r="CK2297" s="127"/>
      <c r="CL2297" s="127"/>
      <c r="CM2297" s="127"/>
      <c r="CN2297" s="127"/>
      <c r="CO2297" s="127"/>
      <c r="CP2297" s="127"/>
      <c r="CQ2297" s="127"/>
      <c r="CR2297" s="127"/>
      <c r="CS2297" s="127"/>
      <c r="CT2297" s="127"/>
      <c r="CU2297" s="127"/>
      <c r="CV2297" s="127"/>
      <c r="CW2297" s="127"/>
      <c r="CX2297" s="127"/>
      <c r="CY2297" s="127"/>
      <c r="CZ2297" s="127"/>
      <c r="DA2297" s="127"/>
      <c r="DB2297" s="127"/>
      <c r="DC2297" s="127"/>
      <c r="DD2297" s="127"/>
      <c r="DE2297" s="127"/>
      <c r="DF2297" s="127"/>
      <c r="DG2297" s="127"/>
      <c r="DH2297" s="127"/>
      <c r="DI2297" s="127"/>
      <c r="DJ2297" s="127"/>
      <c r="DK2297" s="127"/>
      <c r="DL2297" s="127"/>
      <c r="DM2297" s="127"/>
      <c r="DN2297" s="127"/>
      <c r="DO2297" s="127"/>
      <c r="DP2297" s="127"/>
      <c r="DQ2297" s="127"/>
      <c r="DR2297" s="127"/>
      <c r="DS2297" s="127"/>
      <c r="DT2297" s="127"/>
      <c r="DU2297" s="127"/>
      <c r="DV2297" s="127"/>
      <c r="DW2297" s="127"/>
      <c r="DX2297" s="127"/>
      <c r="DY2297" s="127"/>
      <c r="DZ2297" s="127"/>
      <c r="EA2297" s="127"/>
      <c r="EB2297" s="127"/>
      <c r="EC2297" s="127"/>
      <c r="ED2297" s="127"/>
      <c r="EE2297" s="127"/>
      <c r="EF2297" s="127"/>
      <c r="EG2297" s="127"/>
      <c r="EH2297" s="127"/>
      <c r="EI2297" s="127"/>
      <c r="EJ2297" s="127"/>
      <c r="EK2297" s="127"/>
      <c r="EL2297" s="127"/>
      <c r="EM2297" s="127"/>
      <c r="EN2297" s="127"/>
      <c r="EO2297" s="127"/>
      <c r="EP2297" s="127"/>
      <c r="EQ2297" s="127"/>
      <c r="ER2297" s="127"/>
      <c r="ES2297" s="127"/>
      <c r="ET2297" s="127"/>
      <c r="EU2297" s="127"/>
      <c r="EV2297" s="127"/>
      <c r="EW2297" s="127"/>
      <c r="EX2297" s="127"/>
      <c r="EY2297" s="127"/>
      <c r="EZ2297" s="127"/>
      <c r="FA2297" s="127"/>
      <c r="FB2297" s="127"/>
      <c r="FC2297" s="127"/>
      <c r="FD2297" s="127"/>
      <c r="FE2297" s="127"/>
      <c r="FF2297" s="127"/>
      <c r="FG2297" s="127"/>
      <c r="FH2297" s="127"/>
      <c r="FI2297" s="127"/>
      <c r="FJ2297" s="127"/>
      <c r="FK2297" s="127"/>
      <c r="FL2297" s="127"/>
      <c r="FM2297" s="127"/>
      <c r="FN2297" s="127"/>
      <c r="FO2297" s="127"/>
      <c r="FP2297" s="127"/>
      <c r="FQ2297" s="127"/>
      <c r="FR2297" s="127"/>
      <c r="FS2297" s="127"/>
      <c r="FT2297" s="127"/>
      <c r="FU2297" s="127"/>
      <c r="FV2297" s="127"/>
      <c r="FW2297" s="127"/>
      <c r="FX2297" s="127"/>
      <c r="FY2297" s="127"/>
      <c r="FZ2297" s="127"/>
      <c r="GA2297" s="127"/>
      <c r="GB2297" s="127"/>
      <c r="GC2297" s="127"/>
      <c r="GD2297" s="127"/>
      <c r="GE2297" s="127"/>
      <c r="GF2297" s="127"/>
      <c r="GG2297" s="127"/>
      <c r="GH2297" s="127"/>
      <c r="GI2297" s="127"/>
      <c r="GJ2297" s="127"/>
      <c r="GK2297" s="127"/>
      <c r="GL2297" s="127"/>
      <c r="GM2297" s="127"/>
      <c r="GN2297" s="127"/>
      <c r="GO2297" s="127"/>
      <c r="GP2297" s="127"/>
      <c r="GQ2297" s="127"/>
      <c r="GR2297" s="127"/>
      <c r="GS2297" s="127"/>
      <c r="GT2297" s="127"/>
      <c r="GU2297" s="127"/>
      <c r="GV2297" s="127"/>
      <c r="GW2297" s="127"/>
      <c r="GX2297" s="127"/>
      <c r="GY2297" s="127"/>
      <c r="GZ2297" s="127"/>
      <c r="HA2297" s="127"/>
      <c r="HB2297" s="127"/>
      <c r="HC2297" s="127"/>
      <c r="HD2297" s="127"/>
      <c r="HE2297" s="127"/>
      <c r="HF2297" s="127"/>
      <c r="HG2297" s="127"/>
      <c r="HH2297" s="127"/>
      <c r="HI2297" s="127"/>
      <c r="HJ2297" s="127"/>
      <c r="HK2297" s="127"/>
      <c r="HL2297" s="127"/>
      <c r="HM2297" s="127"/>
      <c r="HN2297" s="127"/>
      <c r="HO2297" s="127"/>
      <c r="HP2297" s="127"/>
      <c r="HQ2297" s="127"/>
      <c r="HR2297" s="127"/>
      <c r="HS2297" s="127"/>
      <c r="HT2297" s="127"/>
      <c r="HU2297" s="127"/>
      <c r="HV2297" s="127"/>
      <c r="HW2297" s="127"/>
      <c r="HX2297" s="127"/>
      <c r="HY2297" s="127"/>
      <c r="HZ2297" s="127"/>
      <c r="IA2297" s="127"/>
      <c r="IB2297" s="127"/>
      <c r="IC2297" s="127"/>
      <c r="ID2297" s="127"/>
      <c r="IE2297" s="127"/>
      <c r="IF2297" s="127"/>
      <c r="IG2297" s="127"/>
      <c r="IH2297" s="127"/>
      <c r="II2297" s="127"/>
      <c r="IJ2297" s="127"/>
    </row>
    <row r="2298" spans="1:244">
      <c r="A2298" s="118">
        <v>2297</v>
      </c>
      <c r="B2298" s="128">
        <v>24</v>
      </c>
      <c r="C2298" s="181">
        <v>38838</v>
      </c>
      <c r="D2298" s="157" t="s">
        <v>48</v>
      </c>
      <c r="E2298" s="8">
        <v>2006</v>
      </c>
      <c r="F2298" s="158"/>
      <c r="G2298" s="128"/>
      <c r="H2298" s="172"/>
      <c r="I2298" s="194"/>
      <c r="J2298" s="173"/>
      <c r="K2298" s="173"/>
      <c r="L2298" s="173"/>
      <c r="O2298" s="173"/>
      <c r="P2298" s="170"/>
      <c r="Q2298" s="128"/>
      <c r="R2298" s="128"/>
      <c r="S2298" s="180"/>
      <c r="T2298" s="173"/>
      <c r="U2298" s="171"/>
      <c r="V2298" s="173"/>
      <c r="W2298" s="173"/>
      <c r="X2298" s="127"/>
      <c r="Y2298" s="127"/>
      <c r="Z2298" s="127"/>
      <c r="AA2298" s="127"/>
      <c r="AB2298" s="127"/>
      <c r="AC2298" s="127"/>
      <c r="AD2298" s="127"/>
      <c r="AE2298" s="127"/>
      <c r="AF2298" s="127"/>
      <c r="AG2298" s="127"/>
      <c r="AH2298" s="127"/>
      <c r="AI2298" s="127"/>
      <c r="AJ2298" s="127"/>
      <c r="AK2298" s="127"/>
      <c r="AL2298" s="127"/>
      <c r="AM2298" s="127"/>
      <c r="AN2298" s="127"/>
      <c r="AO2298" s="127"/>
      <c r="AP2298" s="127"/>
      <c r="AQ2298" s="127"/>
      <c r="AR2298" s="127"/>
      <c r="AS2298" s="127"/>
      <c r="AT2298" s="127"/>
      <c r="AU2298" s="127"/>
      <c r="AV2298" s="127"/>
      <c r="AW2298" s="127"/>
      <c r="AX2298" s="127"/>
      <c r="AY2298" s="127"/>
      <c r="AZ2298" s="127"/>
      <c r="BA2298" s="127"/>
      <c r="BB2298" s="127"/>
      <c r="BC2298" s="127"/>
      <c r="BD2298" s="127"/>
      <c r="BE2298" s="127"/>
      <c r="BF2298" s="127"/>
      <c r="BG2298" s="127"/>
      <c r="BH2298" s="127"/>
      <c r="BI2298" s="127"/>
      <c r="BJ2298" s="127"/>
      <c r="BK2298" s="127"/>
      <c r="BL2298" s="127"/>
      <c r="BM2298" s="127"/>
      <c r="BN2298" s="127"/>
      <c r="BO2298" s="127"/>
      <c r="BP2298" s="127"/>
      <c r="BQ2298" s="127"/>
      <c r="BR2298" s="127"/>
      <c r="BS2298" s="127"/>
      <c r="BT2298" s="127"/>
      <c r="BU2298" s="127"/>
      <c r="BV2298" s="127"/>
      <c r="BW2298" s="127"/>
      <c r="BX2298" s="127"/>
      <c r="BY2298" s="127"/>
      <c r="BZ2298" s="127"/>
      <c r="CA2298" s="127"/>
      <c r="CB2298" s="127"/>
      <c r="CC2298" s="127"/>
      <c r="CD2298" s="127"/>
      <c r="CE2298" s="127"/>
      <c r="CF2298" s="127"/>
      <c r="CG2298" s="127"/>
      <c r="CH2298" s="127"/>
      <c r="CI2298" s="127"/>
      <c r="CJ2298" s="127"/>
      <c r="CK2298" s="127"/>
      <c r="CL2298" s="127"/>
      <c r="CM2298" s="127"/>
      <c r="CN2298" s="127"/>
      <c r="CO2298" s="127"/>
      <c r="CP2298" s="127"/>
      <c r="CQ2298" s="127"/>
      <c r="CR2298" s="127"/>
      <c r="CS2298" s="127"/>
      <c r="CT2298" s="127"/>
      <c r="CU2298" s="127"/>
      <c r="CV2298" s="127"/>
      <c r="CW2298" s="127"/>
      <c r="CX2298" s="127"/>
      <c r="CY2298" s="127"/>
      <c r="CZ2298" s="127"/>
      <c r="DA2298" s="127"/>
      <c r="DB2298" s="127"/>
      <c r="DC2298" s="127"/>
      <c r="DD2298" s="127"/>
      <c r="DE2298" s="127"/>
      <c r="DF2298" s="127"/>
      <c r="DG2298" s="127"/>
      <c r="DH2298" s="127"/>
      <c r="DI2298" s="127"/>
      <c r="DJ2298" s="127"/>
      <c r="DK2298" s="127"/>
      <c r="DL2298" s="127"/>
      <c r="DM2298" s="127"/>
      <c r="DN2298" s="127"/>
      <c r="DO2298" s="127"/>
      <c r="DP2298" s="127"/>
      <c r="DQ2298" s="127"/>
      <c r="DR2298" s="127"/>
      <c r="DS2298" s="127"/>
      <c r="DT2298" s="127"/>
      <c r="DU2298" s="127"/>
      <c r="DV2298" s="127"/>
      <c r="DW2298" s="127"/>
      <c r="DX2298" s="127"/>
      <c r="DY2298" s="127"/>
      <c r="DZ2298" s="127"/>
      <c r="EA2298" s="127"/>
      <c r="EB2298" s="127"/>
      <c r="EC2298" s="127"/>
      <c r="ED2298" s="127"/>
      <c r="EE2298" s="127"/>
      <c r="EF2298" s="127"/>
      <c r="EG2298" s="127"/>
      <c r="EH2298" s="127"/>
      <c r="EI2298" s="127"/>
      <c r="EJ2298" s="127"/>
      <c r="EK2298" s="127"/>
      <c r="EL2298" s="127"/>
      <c r="EM2298" s="127"/>
      <c r="EN2298" s="127"/>
      <c r="EO2298" s="127"/>
      <c r="EP2298" s="127"/>
      <c r="EQ2298" s="127"/>
      <c r="ER2298" s="127"/>
      <c r="ES2298" s="127"/>
      <c r="ET2298" s="127"/>
      <c r="EU2298" s="127"/>
      <c r="EV2298" s="127"/>
      <c r="EW2298" s="127"/>
      <c r="EX2298" s="127"/>
      <c r="EY2298" s="127"/>
      <c r="EZ2298" s="127"/>
      <c r="FA2298" s="127"/>
      <c r="FB2298" s="127"/>
      <c r="FC2298" s="127"/>
      <c r="FD2298" s="127"/>
      <c r="FE2298" s="127"/>
      <c r="FF2298" s="127"/>
      <c r="FG2298" s="127"/>
      <c r="FH2298" s="127"/>
      <c r="FI2298" s="127"/>
      <c r="FJ2298" s="127"/>
      <c r="FK2298" s="127"/>
      <c r="FL2298" s="127"/>
      <c r="FM2298" s="127"/>
      <c r="FN2298" s="127"/>
      <c r="FO2298" s="127"/>
      <c r="FP2298" s="127"/>
      <c r="FQ2298" s="127"/>
      <c r="FR2298" s="127"/>
      <c r="FS2298" s="127"/>
      <c r="FT2298" s="127"/>
      <c r="FU2298" s="127"/>
      <c r="FV2298" s="127"/>
      <c r="FW2298" s="127"/>
      <c r="FX2298" s="127"/>
      <c r="FY2298" s="127"/>
      <c r="FZ2298" s="127"/>
      <c r="GA2298" s="127"/>
      <c r="GB2298" s="127"/>
      <c r="GC2298" s="127"/>
      <c r="GD2298" s="127"/>
      <c r="GE2298" s="127"/>
      <c r="GF2298" s="127"/>
      <c r="GG2298" s="127"/>
      <c r="GH2298" s="127"/>
      <c r="GI2298" s="127"/>
      <c r="GJ2298" s="127"/>
      <c r="GK2298" s="127"/>
      <c r="GL2298" s="127"/>
      <c r="GM2298" s="127"/>
      <c r="GN2298" s="127"/>
      <c r="GO2298" s="127"/>
      <c r="GP2298" s="127"/>
      <c r="GQ2298" s="127"/>
      <c r="GR2298" s="127"/>
      <c r="GS2298" s="127"/>
      <c r="GT2298" s="127"/>
      <c r="GU2298" s="127"/>
      <c r="GV2298" s="127"/>
      <c r="GW2298" s="127"/>
      <c r="GX2298" s="127"/>
      <c r="GY2298" s="127"/>
      <c r="GZ2298" s="127"/>
      <c r="HA2298" s="127"/>
      <c r="HB2298" s="127"/>
      <c r="HC2298" s="127"/>
      <c r="HD2298" s="127"/>
      <c r="HE2298" s="127"/>
      <c r="HF2298" s="127"/>
      <c r="HG2298" s="127"/>
      <c r="HH2298" s="127"/>
      <c r="HI2298" s="127"/>
      <c r="HJ2298" s="127"/>
      <c r="HK2298" s="127"/>
      <c r="HL2298" s="127"/>
      <c r="HM2298" s="127"/>
      <c r="HN2298" s="127"/>
      <c r="HO2298" s="127"/>
      <c r="HP2298" s="127"/>
      <c r="HQ2298" s="127"/>
      <c r="HR2298" s="127"/>
      <c r="HS2298" s="127"/>
      <c r="HT2298" s="127"/>
      <c r="HU2298" s="127"/>
      <c r="HV2298" s="127"/>
      <c r="HW2298" s="127"/>
      <c r="HX2298" s="127"/>
      <c r="HY2298" s="127"/>
      <c r="HZ2298" s="127"/>
      <c r="IA2298" s="127"/>
      <c r="IB2298" s="127"/>
      <c r="IC2298" s="127"/>
      <c r="ID2298" s="127"/>
      <c r="IE2298" s="127"/>
      <c r="IF2298" s="127"/>
      <c r="IG2298" s="127"/>
      <c r="IH2298" s="127"/>
      <c r="II2298" s="127"/>
      <c r="IJ2298" s="127"/>
    </row>
    <row r="2299" spans="1:244">
      <c r="A2299" s="118">
        <v>2298</v>
      </c>
      <c r="B2299" s="128">
        <v>24</v>
      </c>
      <c r="C2299" s="181">
        <v>38869</v>
      </c>
      <c r="D2299" s="157" t="s">
        <v>49</v>
      </c>
      <c r="E2299" s="8">
        <v>2006</v>
      </c>
      <c r="F2299" s="158"/>
      <c r="G2299" s="128"/>
      <c r="H2299" s="172"/>
      <c r="I2299" s="194"/>
      <c r="J2299" s="173"/>
      <c r="K2299" s="173"/>
      <c r="L2299" s="173"/>
      <c r="O2299" s="173"/>
      <c r="P2299" s="170"/>
      <c r="Q2299" s="128"/>
      <c r="R2299" s="128"/>
      <c r="S2299" s="180"/>
      <c r="T2299" s="173"/>
      <c r="U2299" s="171"/>
      <c r="V2299" s="173"/>
      <c r="W2299" s="173"/>
      <c r="X2299" s="127"/>
      <c r="Y2299" s="127"/>
      <c r="Z2299" s="127"/>
      <c r="AA2299" s="127"/>
      <c r="AB2299" s="127"/>
      <c r="AC2299" s="127"/>
      <c r="AD2299" s="127"/>
      <c r="AE2299" s="127"/>
      <c r="AF2299" s="127"/>
      <c r="AG2299" s="127"/>
      <c r="AH2299" s="127"/>
      <c r="AI2299" s="127"/>
      <c r="AJ2299" s="127"/>
      <c r="AK2299" s="127"/>
      <c r="AL2299" s="127"/>
      <c r="AM2299" s="127"/>
      <c r="AN2299" s="127"/>
      <c r="AO2299" s="127"/>
      <c r="AP2299" s="127"/>
      <c r="AQ2299" s="127"/>
      <c r="AR2299" s="127"/>
      <c r="AS2299" s="127"/>
      <c r="AT2299" s="127"/>
      <c r="AU2299" s="127"/>
      <c r="AV2299" s="127"/>
      <c r="AW2299" s="127"/>
      <c r="AX2299" s="127"/>
      <c r="AY2299" s="127"/>
      <c r="AZ2299" s="127"/>
      <c r="BA2299" s="127"/>
      <c r="BB2299" s="127"/>
      <c r="BC2299" s="127"/>
      <c r="BD2299" s="127"/>
      <c r="BE2299" s="127"/>
      <c r="BF2299" s="127"/>
      <c r="BG2299" s="127"/>
      <c r="BH2299" s="127"/>
      <c r="BI2299" s="127"/>
      <c r="BJ2299" s="127"/>
      <c r="BK2299" s="127"/>
      <c r="BL2299" s="127"/>
      <c r="BM2299" s="127"/>
      <c r="BN2299" s="127"/>
      <c r="BO2299" s="127"/>
      <c r="BP2299" s="127"/>
      <c r="BQ2299" s="127"/>
      <c r="BR2299" s="127"/>
      <c r="BS2299" s="127"/>
      <c r="BT2299" s="127"/>
      <c r="BU2299" s="127"/>
      <c r="BV2299" s="127"/>
      <c r="BW2299" s="127"/>
      <c r="BX2299" s="127"/>
      <c r="BY2299" s="127"/>
      <c r="BZ2299" s="127"/>
      <c r="CA2299" s="127"/>
      <c r="CB2299" s="127"/>
      <c r="CC2299" s="127"/>
      <c r="CD2299" s="127"/>
      <c r="CE2299" s="127"/>
      <c r="CF2299" s="127"/>
      <c r="CG2299" s="127"/>
      <c r="CH2299" s="127"/>
      <c r="CI2299" s="127"/>
      <c r="CJ2299" s="127"/>
      <c r="CK2299" s="127"/>
      <c r="CL2299" s="127"/>
      <c r="CM2299" s="127"/>
      <c r="CN2299" s="127"/>
      <c r="CO2299" s="127"/>
      <c r="CP2299" s="127"/>
      <c r="CQ2299" s="127"/>
      <c r="CR2299" s="127"/>
      <c r="CS2299" s="127"/>
      <c r="CT2299" s="127"/>
      <c r="CU2299" s="127"/>
      <c r="CV2299" s="127"/>
      <c r="CW2299" s="127"/>
      <c r="CX2299" s="127"/>
      <c r="CY2299" s="127"/>
      <c r="CZ2299" s="127"/>
      <c r="DA2299" s="127"/>
      <c r="DB2299" s="127"/>
      <c r="DC2299" s="127"/>
      <c r="DD2299" s="127"/>
      <c r="DE2299" s="127"/>
      <c r="DF2299" s="127"/>
      <c r="DG2299" s="127"/>
      <c r="DH2299" s="127"/>
      <c r="DI2299" s="127"/>
      <c r="DJ2299" s="127"/>
      <c r="DK2299" s="127"/>
      <c r="DL2299" s="127"/>
      <c r="DM2299" s="127"/>
      <c r="DN2299" s="127"/>
      <c r="DO2299" s="127"/>
      <c r="DP2299" s="127"/>
      <c r="DQ2299" s="127"/>
      <c r="DR2299" s="127"/>
      <c r="DS2299" s="127"/>
      <c r="DT2299" s="127"/>
      <c r="DU2299" s="127"/>
      <c r="DV2299" s="127"/>
      <c r="DW2299" s="127"/>
      <c r="DX2299" s="127"/>
      <c r="DY2299" s="127"/>
      <c r="DZ2299" s="127"/>
      <c r="EA2299" s="127"/>
      <c r="EB2299" s="127"/>
      <c r="EC2299" s="127"/>
      <c r="ED2299" s="127"/>
      <c r="EE2299" s="127"/>
      <c r="EF2299" s="127"/>
      <c r="EG2299" s="127"/>
      <c r="EH2299" s="127"/>
      <c r="EI2299" s="127"/>
      <c r="EJ2299" s="127"/>
      <c r="EK2299" s="127"/>
      <c r="EL2299" s="127"/>
      <c r="EM2299" s="127"/>
      <c r="EN2299" s="127"/>
      <c r="EO2299" s="127"/>
      <c r="EP2299" s="127"/>
      <c r="EQ2299" s="127"/>
      <c r="ER2299" s="127"/>
      <c r="ES2299" s="127"/>
      <c r="ET2299" s="127"/>
      <c r="EU2299" s="127"/>
      <c r="EV2299" s="127"/>
      <c r="EW2299" s="127"/>
      <c r="EX2299" s="127"/>
      <c r="EY2299" s="127"/>
      <c r="EZ2299" s="127"/>
      <c r="FA2299" s="127"/>
      <c r="FB2299" s="127"/>
      <c r="FC2299" s="127"/>
      <c r="FD2299" s="127"/>
      <c r="FE2299" s="127"/>
      <c r="FF2299" s="127"/>
      <c r="FG2299" s="127"/>
      <c r="FH2299" s="127"/>
      <c r="FI2299" s="127"/>
      <c r="FJ2299" s="127"/>
      <c r="FK2299" s="127"/>
      <c r="FL2299" s="127"/>
      <c r="FM2299" s="127"/>
      <c r="FN2299" s="127"/>
      <c r="FO2299" s="127"/>
      <c r="FP2299" s="127"/>
      <c r="FQ2299" s="127"/>
      <c r="FR2299" s="127"/>
      <c r="FS2299" s="127"/>
      <c r="FT2299" s="127"/>
      <c r="FU2299" s="127"/>
      <c r="FV2299" s="127"/>
      <c r="FW2299" s="127"/>
      <c r="FX2299" s="127"/>
      <c r="FY2299" s="127"/>
      <c r="FZ2299" s="127"/>
      <c r="GA2299" s="127"/>
      <c r="GB2299" s="127"/>
      <c r="GC2299" s="127"/>
      <c r="GD2299" s="127"/>
      <c r="GE2299" s="127"/>
      <c r="GF2299" s="127"/>
      <c r="GG2299" s="127"/>
      <c r="GH2299" s="127"/>
      <c r="GI2299" s="127"/>
      <c r="GJ2299" s="127"/>
      <c r="GK2299" s="127"/>
      <c r="GL2299" s="127"/>
      <c r="GM2299" s="127"/>
      <c r="GN2299" s="127"/>
      <c r="GO2299" s="127"/>
      <c r="GP2299" s="127"/>
      <c r="GQ2299" s="127"/>
      <c r="GR2299" s="127"/>
      <c r="GS2299" s="127"/>
      <c r="GT2299" s="127"/>
      <c r="GU2299" s="127"/>
      <c r="GV2299" s="127"/>
      <c r="GW2299" s="127"/>
      <c r="GX2299" s="127"/>
      <c r="GY2299" s="127"/>
      <c r="GZ2299" s="127"/>
      <c r="HA2299" s="127"/>
      <c r="HB2299" s="127"/>
      <c r="HC2299" s="127"/>
      <c r="HD2299" s="127"/>
      <c r="HE2299" s="127"/>
      <c r="HF2299" s="127"/>
      <c r="HG2299" s="127"/>
      <c r="HH2299" s="127"/>
      <c r="HI2299" s="127"/>
      <c r="HJ2299" s="127"/>
      <c r="HK2299" s="127"/>
      <c r="HL2299" s="127"/>
      <c r="HM2299" s="127"/>
      <c r="HN2299" s="127"/>
      <c r="HO2299" s="127"/>
      <c r="HP2299" s="127"/>
      <c r="HQ2299" s="127"/>
      <c r="HR2299" s="127"/>
      <c r="HS2299" s="127"/>
      <c r="HT2299" s="127"/>
      <c r="HU2299" s="127"/>
      <c r="HV2299" s="127"/>
      <c r="HW2299" s="127"/>
      <c r="HX2299" s="127"/>
      <c r="HY2299" s="127"/>
      <c r="HZ2299" s="127"/>
      <c r="IA2299" s="127"/>
      <c r="IB2299" s="127"/>
      <c r="IC2299" s="127"/>
      <c r="ID2299" s="127"/>
      <c r="IE2299" s="127"/>
      <c r="IF2299" s="127"/>
      <c r="IG2299" s="127"/>
      <c r="IH2299" s="127"/>
      <c r="II2299" s="127"/>
      <c r="IJ2299" s="127"/>
    </row>
    <row r="2300" spans="1:244">
      <c r="A2300" s="118">
        <v>2299</v>
      </c>
      <c r="B2300" s="128">
        <v>24</v>
      </c>
      <c r="C2300" s="156">
        <v>38899</v>
      </c>
      <c r="D2300" s="157" t="s">
        <v>50</v>
      </c>
      <c r="E2300" s="8">
        <v>2006</v>
      </c>
      <c r="F2300" s="158">
        <f t="shared" ref="F2300:F2317" si="581">C2300-H2300</f>
        <v>242</v>
      </c>
      <c r="G2300" s="158">
        <f t="shared" ref="G2300:G2315" si="582">IF(F2300&lt;365,1,2)</f>
        <v>1</v>
      </c>
      <c r="H2300" s="162">
        <v>38657</v>
      </c>
      <c r="I2300" s="194">
        <v>556347</v>
      </c>
      <c r="J2300" s="15">
        <v>2.0499999999999998</v>
      </c>
      <c r="K2300" s="15">
        <v>0.28000000000000003</v>
      </c>
      <c r="L2300" s="15">
        <v>0.03</v>
      </c>
      <c r="O2300" s="15">
        <v>0.05</v>
      </c>
      <c r="Q2300" s="11">
        <v>9</v>
      </c>
      <c r="R2300" s="11">
        <v>31</v>
      </c>
      <c r="S2300" s="155" t="s">
        <v>324</v>
      </c>
      <c r="T2300" s="161">
        <f t="shared" ref="T2300:T2316" si="583">$I2300*K2300</f>
        <v>155777.16</v>
      </c>
      <c r="U2300" s="161">
        <f t="shared" ref="U2300:U2316" si="584">$I2300*L2300</f>
        <v>16690.41</v>
      </c>
      <c r="V2300" s="161">
        <f t="shared" ref="V2300:V2317" si="585">$I2300*O2300</f>
        <v>27817.350000000002</v>
      </c>
      <c r="W2300" s="161">
        <f t="shared" ref="W2300:W2317" si="586">V2300*0.4</f>
        <v>11126.940000000002</v>
      </c>
      <c r="X2300" s="127"/>
      <c r="Y2300" s="127"/>
      <c r="Z2300" s="127"/>
      <c r="AA2300" s="127"/>
      <c r="AB2300" s="127"/>
      <c r="AC2300" s="127"/>
      <c r="AD2300" s="127"/>
      <c r="AE2300" s="127"/>
      <c r="AF2300" s="127"/>
      <c r="AG2300" s="127"/>
      <c r="AH2300" s="127"/>
      <c r="AI2300" s="127"/>
      <c r="AJ2300" s="127"/>
      <c r="AK2300" s="127"/>
      <c r="AL2300" s="127"/>
      <c r="AM2300" s="127"/>
      <c r="AN2300" s="127"/>
      <c r="AO2300" s="127"/>
      <c r="AP2300" s="127"/>
      <c r="AQ2300" s="127"/>
      <c r="AR2300" s="127"/>
      <c r="AS2300" s="127"/>
      <c r="AT2300" s="127"/>
      <c r="AU2300" s="127"/>
      <c r="AV2300" s="127"/>
      <c r="AW2300" s="127"/>
      <c r="AX2300" s="127"/>
      <c r="AY2300" s="127"/>
      <c r="AZ2300" s="127"/>
      <c r="BA2300" s="127"/>
      <c r="BB2300" s="127"/>
      <c r="BC2300" s="127"/>
      <c r="BD2300" s="127"/>
      <c r="BE2300" s="127"/>
      <c r="BF2300" s="127"/>
      <c r="BG2300" s="127"/>
      <c r="BH2300" s="127"/>
      <c r="BI2300" s="127"/>
      <c r="BJ2300" s="127"/>
      <c r="BK2300" s="127"/>
      <c r="BL2300" s="127"/>
      <c r="BM2300" s="127"/>
      <c r="BN2300" s="127"/>
      <c r="BO2300" s="127"/>
      <c r="BP2300" s="127"/>
      <c r="BQ2300" s="127"/>
      <c r="BR2300" s="127"/>
      <c r="BS2300" s="127"/>
      <c r="BT2300" s="127"/>
      <c r="BU2300" s="127"/>
      <c r="BV2300" s="127"/>
      <c r="BW2300" s="127"/>
      <c r="BX2300" s="127"/>
      <c r="BY2300" s="127"/>
      <c r="BZ2300" s="127"/>
      <c r="CA2300" s="127"/>
      <c r="CB2300" s="127"/>
      <c r="CC2300" s="127"/>
      <c r="CD2300" s="127"/>
      <c r="CE2300" s="127"/>
      <c r="CF2300" s="127"/>
      <c r="CG2300" s="127"/>
      <c r="CH2300" s="127"/>
      <c r="CI2300" s="127"/>
      <c r="CJ2300" s="127"/>
      <c r="CK2300" s="127"/>
      <c r="CL2300" s="127"/>
      <c r="CM2300" s="127"/>
      <c r="CN2300" s="127"/>
      <c r="CO2300" s="127"/>
      <c r="CP2300" s="127"/>
      <c r="CQ2300" s="127"/>
      <c r="CR2300" s="127"/>
      <c r="CS2300" s="127"/>
      <c r="CT2300" s="127"/>
      <c r="CU2300" s="127"/>
      <c r="CV2300" s="127"/>
      <c r="CW2300" s="127"/>
      <c r="CX2300" s="127"/>
      <c r="CY2300" s="127"/>
      <c r="CZ2300" s="127"/>
      <c r="DA2300" s="127"/>
      <c r="DB2300" s="127"/>
      <c r="DC2300" s="127"/>
      <c r="DD2300" s="127"/>
      <c r="DE2300" s="127"/>
      <c r="DF2300" s="127"/>
      <c r="DG2300" s="127"/>
      <c r="DH2300" s="127"/>
      <c r="DI2300" s="127"/>
      <c r="DJ2300" s="127"/>
      <c r="DK2300" s="127"/>
      <c r="DL2300" s="127"/>
      <c r="DM2300" s="127"/>
      <c r="DN2300" s="127"/>
      <c r="DO2300" s="127"/>
      <c r="DP2300" s="127"/>
      <c r="DQ2300" s="127"/>
      <c r="DR2300" s="127"/>
      <c r="DS2300" s="127"/>
      <c r="DT2300" s="127"/>
      <c r="DU2300" s="127"/>
      <c r="DV2300" s="127"/>
      <c r="DW2300" s="127"/>
      <c r="DX2300" s="127"/>
      <c r="DY2300" s="127"/>
      <c r="DZ2300" s="127"/>
      <c r="EA2300" s="127"/>
      <c r="EB2300" s="127"/>
      <c r="EC2300" s="127"/>
      <c r="ED2300" s="127"/>
      <c r="EE2300" s="127"/>
      <c r="EF2300" s="127"/>
      <c r="EG2300" s="127"/>
      <c r="EH2300" s="127"/>
      <c r="EI2300" s="127"/>
      <c r="EJ2300" s="127"/>
      <c r="EK2300" s="127"/>
      <c r="EL2300" s="127"/>
      <c r="EM2300" s="127"/>
      <c r="EN2300" s="127"/>
      <c r="EO2300" s="127"/>
      <c r="EP2300" s="127"/>
      <c r="EQ2300" s="127"/>
      <c r="ER2300" s="127"/>
      <c r="ES2300" s="127"/>
      <c r="ET2300" s="127"/>
      <c r="EU2300" s="127"/>
      <c r="EV2300" s="127"/>
      <c r="EW2300" s="127"/>
      <c r="EX2300" s="127"/>
      <c r="EY2300" s="127"/>
      <c r="EZ2300" s="127"/>
      <c r="FA2300" s="127"/>
      <c r="FB2300" s="127"/>
      <c r="FC2300" s="127"/>
      <c r="FD2300" s="127"/>
      <c r="FE2300" s="127"/>
      <c r="FF2300" s="127"/>
      <c r="FG2300" s="127"/>
      <c r="FH2300" s="127"/>
      <c r="FI2300" s="127"/>
      <c r="FJ2300" s="127"/>
      <c r="FK2300" s="127"/>
      <c r="FL2300" s="127"/>
      <c r="FM2300" s="127"/>
      <c r="FN2300" s="127"/>
      <c r="FO2300" s="127"/>
      <c r="FP2300" s="127"/>
      <c r="FQ2300" s="127"/>
      <c r="FR2300" s="127"/>
      <c r="FS2300" s="127"/>
      <c r="FT2300" s="127"/>
      <c r="FU2300" s="127"/>
      <c r="FV2300" s="127"/>
      <c r="FW2300" s="127"/>
      <c r="FX2300" s="127"/>
      <c r="FY2300" s="127"/>
      <c r="FZ2300" s="127"/>
      <c r="GA2300" s="127"/>
      <c r="GB2300" s="127"/>
      <c r="GC2300" s="127"/>
      <c r="GD2300" s="127"/>
      <c r="GE2300" s="127"/>
      <c r="GF2300" s="127"/>
      <c r="GG2300" s="127"/>
      <c r="GH2300" s="127"/>
      <c r="GI2300" s="127"/>
      <c r="GJ2300" s="127"/>
      <c r="GK2300" s="127"/>
      <c r="GL2300" s="127"/>
      <c r="GM2300" s="127"/>
      <c r="GN2300" s="127"/>
      <c r="GO2300" s="127"/>
      <c r="GP2300" s="127"/>
      <c r="GQ2300" s="127"/>
      <c r="GR2300" s="127"/>
      <c r="GS2300" s="127"/>
      <c r="GT2300" s="127"/>
      <c r="GU2300" s="127"/>
      <c r="GV2300" s="127"/>
      <c r="GW2300" s="127"/>
      <c r="GX2300" s="127"/>
      <c r="GY2300" s="127"/>
      <c r="GZ2300" s="127"/>
      <c r="HA2300" s="127"/>
      <c r="HB2300" s="127"/>
      <c r="HC2300" s="127"/>
      <c r="HD2300" s="127"/>
      <c r="HE2300" s="127"/>
      <c r="HF2300" s="127"/>
      <c r="HG2300" s="127"/>
      <c r="HH2300" s="127"/>
      <c r="HI2300" s="127"/>
      <c r="HJ2300" s="127"/>
      <c r="HK2300" s="127"/>
      <c r="HL2300" s="127"/>
      <c r="HM2300" s="127"/>
      <c r="HN2300" s="127"/>
      <c r="HO2300" s="127"/>
      <c r="HP2300" s="127"/>
      <c r="HQ2300" s="127"/>
      <c r="HR2300" s="127"/>
      <c r="HS2300" s="127"/>
      <c r="HT2300" s="127"/>
      <c r="HU2300" s="127"/>
      <c r="HV2300" s="127"/>
      <c r="HW2300" s="127"/>
      <c r="HX2300" s="127"/>
      <c r="HY2300" s="127"/>
      <c r="HZ2300" s="127"/>
      <c r="IA2300" s="127"/>
      <c r="IB2300" s="127"/>
      <c r="IC2300" s="127"/>
      <c r="ID2300" s="127"/>
      <c r="IE2300" s="127"/>
      <c r="IF2300" s="127"/>
      <c r="IG2300" s="127"/>
      <c r="IH2300" s="127"/>
      <c r="II2300" s="127"/>
      <c r="IJ2300" s="127"/>
    </row>
    <row r="2301" spans="1:244">
      <c r="A2301" s="118">
        <v>2300</v>
      </c>
      <c r="B2301" s="128">
        <v>24</v>
      </c>
      <c r="C2301" s="156">
        <v>38930</v>
      </c>
      <c r="D2301" s="157" t="s">
        <v>51</v>
      </c>
      <c r="E2301" s="8">
        <v>2006</v>
      </c>
      <c r="F2301" s="158">
        <f t="shared" si="581"/>
        <v>273</v>
      </c>
      <c r="G2301" s="158">
        <f t="shared" si="582"/>
        <v>1</v>
      </c>
      <c r="H2301" s="162">
        <v>38657</v>
      </c>
      <c r="I2301" s="194">
        <v>578546</v>
      </c>
      <c r="J2301" s="15">
        <v>2.0333332999999998</v>
      </c>
      <c r="K2301" s="15">
        <v>0.26666659999999998</v>
      </c>
      <c r="L2301" s="15">
        <v>1.66666E-2</v>
      </c>
      <c r="M2301" s="174">
        <v>0</v>
      </c>
      <c r="O2301" s="15">
        <v>0.73333329999999997</v>
      </c>
      <c r="Q2301" s="11">
        <v>9</v>
      </c>
      <c r="R2301" s="11">
        <v>31</v>
      </c>
      <c r="T2301" s="161">
        <f t="shared" si="583"/>
        <v>154278.89476359999</v>
      </c>
      <c r="U2301" s="161">
        <f t="shared" si="584"/>
        <v>9642.3947635999994</v>
      </c>
      <c r="V2301" s="161">
        <f t="shared" si="585"/>
        <v>424267.04738179996</v>
      </c>
      <c r="W2301" s="161">
        <f t="shared" si="586"/>
        <v>169706.81895272</v>
      </c>
      <c r="X2301" s="127"/>
      <c r="Y2301" s="127"/>
      <c r="Z2301" s="127"/>
      <c r="AA2301" s="127"/>
      <c r="AB2301" s="127"/>
      <c r="AC2301" s="127"/>
      <c r="AD2301" s="127"/>
      <c r="AE2301" s="127"/>
      <c r="AF2301" s="127"/>
      <c r="AG2301" s="127"/>
      <c r="AH2301" s="127"/>
      <c r="AI2301" s="127"/>
      <c r="AJ2301" s="127"/>
      <c r="AK2301" s="127"/>
      <c r="AL2301" s="127"/>
      <c r="AM2301" s="127"/>
      <c r="AN2301" s="127"/>
      <c r="AO2301" s="127"/>
      <c r="AP2301" s="127"/>
      <c r="AQ2301" s="127"/>
      <c r="AR2301" s="127"/>
      <c r="AS2301" s="127"/>
      <c r="AT2301" s="127"/>
      <c r="AU2301" s="127"/>
      <c r="AV2301" s="127"/>
      <c r="AW2301" s="127"/>
      <c r="AX2301" s="127"/>
      <c r="AY2301" s="127"/>
      <c r="AZ2301" s="127"/>
      <c r="BA2301" s="127"/>
      <c r="BB2301" s="127"/>
      <c r="BC2301" s="127"/>
      <c r="BD2301" s="127"/>
      <c r="BE2301" s="127"/>
      <c r="BF2301" s="127"/>
      <c r="BG2301" s="127"/>
      <c r="BH2301" s="127"/>
      <c r="BI2301" s="127"/>
      <c r="BJ2301" s="127"/>
      <c r="BK2301" s="127"/>
      <c r="BL2301" s="127"/>
      <c r="BM2301" s="127"/>
      <c r="BN2301" s="127"/>
      <c r="BO2301" s="127"/>
      <c r="BP2301" s="127"/>
      <c r="BQ2301" s="127"/>
      <c r="BR2301" s="127"/>
      <c r="BS2301" s="127"/>
      <c r="BT2301" s="127"/>
      <c r="BU2301" s="127"/>
      <c r="BV2301" s="127"/>
      <c r="BW2301" s="127"/>
      <c r="BX2301" s="127"/>
      <c r="BY2301" s="127"/>
      <c r="BZ2301" s="127"/>
      <c r="CA2301" s="127"/>
      <c r="CB2301" s="127"/>
      <c r="CC2301" s="127"/>
      <c r="CD2301" s="127"/>
      <c r="CE2301" s="127"/>
      <c r="CF2301" s="127"/>
      <c r="CG2301" s="127"/>
      <c r="CH2301" s="127"/>
      <c r="CI2301" s="127"/>
      <c r="CJ2301" s="127"/>
      <c r="CK2301" s="127"/>
      <c r="CL2301" s="127"/>
      <c r="CM2301" s="127"/>
      <c r="CN2301" s="127"/>
      <c r="CO2301" s="127"/>
      <c r="CP2301" s="127"/>
      <c r="CQ2301" s="127"/>
      <c r="CR2301" s="127"/>
      <c r="CS2301" s="127"/>
      <c r="CT2301" s="127"/>
      <c r="CU2301" s="127"/>
      <c r="CV2301" s="127"/>
      <c r="CW2301" s="127"/>
      <c r="CX2301" s="127"/>
      <c r="CY2301" s="127"/>
      <c r="CZ2301" s="127"/>
      <c r="DA2301" s="127"/>
      <c r="DB2301" s="127"/>
      <c r="DC2301" s="127"/>
      <c r="DD2301" s="127"/>
      <c r="DE2301" s="127"/>
      <c r="DF2301" s="127"/>
      <c r="DG2301" s="127"/>
      <c r="DH2301" s="127"/>
      <c r="DI2301" s="127"/>
      <c r="DJ2301" s="127"/>
      <c r="DK2301" s="127"/>
      <c r="DL2301" s="127"/>
      <c r="DM2301" s="127"/>
      <c r="DN2301" s="127"/>
      <c r="DO2301" s="127"/>
      <c r="DP2301" s="127"/>
      <c r="DQ2301" s="127"/>
      <c r="DR2301" s="127"/>
      <c r="DS2301" s="127"/>
      <c r="DT2301" s="127"/>
      <c r="DU2301" s="127"/>
      <c r="DV2301" s="127"/>
      <c r="DW2301" s="127"/>
      <c r="DX2301" s="127"/>
      <c r="DY2301" s="127"/>
      <c r="DZ2301" s="127"/>
      <c r="EA2301" s="127"/>
      <c r="EB2301" s="127"/>
      <c r="EC2301" s="127"/>
      <c r="ED2301" s="127"/>
      <c r="EE2301" s="127"/>
      <c r="EF2301" s="127"/>
      <c r="EG2301" s="127"/>
      <c r="EH2301" s="127"/>
      <c r="EI2301" s="127"/>
      <c r="EJ2301" s="127"/>
      <c r="EK2301" s="127"/>
      <c r="EL2301" s="127"/>
      <c r="EM2301" s="127"/>
      <c r="EN2301" s="127"/>
      <c r="EO2301" s="127"/>
      <c r="EP2301" s="127"/>
      <c r="EQ2301" s="127"/>
      <c r="ER2301" s="127"/>
      <c r="ES2301" s="127"/>
      <c r="ET2301" s="127"/>
      <c r="EU2301" s="127"/>
      <c r="EV2301" s="127"/>
      <c r="EW2301" s="127"/>
      <c r="EX2301" s="127"/>
      <c r="EY2301" s="127"/>
      <c r="EZ2301" s="127"/>
      <c r="FA2301" s="127"/>
      <c r="FB2301" s="127"/>
      <c r="FC2301" s="127"/>
      <c r="FD2301" s="127"/>
      <c r="FE2301" s="127"/>
      <c r="FF2301" s="127"/>
      <c r="FG2301" s="127"/>
      <c r="FH2301" s="127"/>
      <c r="FI2301" s="127"/>
      <c r="FJ2301" s="127"/>
      <c r="FK2301" s="127"/>
      <c r="FL2301" s="127"/>
      <c r="FM2301" s="127"/>
      <c r="FN2301" s="127"/>
      <c r="FO2301" s="127"/>
      <c r="FP2301" s="127"/>
      <c r="FQ2301" s="127"/>
      <c r="FR2301" s="127"/>
      <c r="FS2301" s="127"/>
      <c r="FT2301" s="127"/>
      <c r="FU2301" s="127"/>
      <c r="FV2301" s="127"/>
      <c r="FW2301" s="127"/>
      <c r="FX2301" s="127"/>
      <c r="FY2301" s="127"/>
      <c r="FZ2301" s="127"/>
      <c r="GA2301" s="127"/>
      <c r="GB2301" s="127"/>
      <c r="GC2301" s="127"/>
      <c r="GD2301" s="127"/>
      <c r="GE2301" s="127"/>
      <c r="GF2301" s="127"/>
      <c r="GG2301" s="127"/>
      <c r="GH2301" s="127"/>
      <c r="GI2301" s="127"/>
      <c r="GJ2301" s="127"/>
      <c r="GK2301" s="127"/>
      <c r="GL2301" s="127"/>
      <c r="GM2301" s="127"/>
      <c r="GN2301" s="127"/>
      <c r="GO2301" s="127"/>
      <c r="GP2301" s="127"/>
      <c r="GQ2301" s="127"/>
      <c r="GR2301" s="127"/>
      <c r="GS2301" s="127"/>
      <c r="GT2301" s="127"/>
      <c r="GU2301" s="127"/>
      <c r="GV2301" s="127"/>
      <c r="GW2301" s="127"/>
      <c r="GX2301" s="127"/>
      <c r="GY2301" s="127"/>
      <c r="GZ2301" s="127"/>
      <c r="HA2301" s="127"/>
      <c r="HB2301" s="127"/>
      <c r="HC2301" s="127"/>
      <c r="HD2301" s="127"/>
      <c r="HE2301" s="127"/>
      <c r="HF2301" s="127"/>
      <c r="HG2301" s="127"/>
      <c r="HH2301" s="127"/>
      <c r="HI2301" s="127"/>
      <c r="HJ2301" s="127"/>
      <c r="HK2301" s="127"/>
      <c r="HL2301" s="127"/>
      <c r="HM2301" s="127"/>
      <c r="HN2301" s="127"/>
      <c r="HO2301" s="127"/>
      <c r="HP2301" s="127"/>
      <c r="HQ2301" s="127"/>
      <c r="HR2301" s="127"/>
      <c r="HS2301" s="127"/>
      <c r="HT2301" s="127"/>
      <c r="HU2301" s="127"/>
      <c r="HV2301" s="127"/>
      <c r="HW2301" s="127"/>
      <c r="HX2301" s="127"/>
      <c r="HY2301" s="127"/>
      <c r="HZ2301" s="127"/>
      <c r="IA2301" s="127"/>
      <c r="IB2301" s="127"/>
      <c r="IC2301" s="127"/>
      <c r="ID2301" s="127"/>
      <c r="IE2301" s="127"/>
      <c r="IF2301" s="127"/>
      <c r="IG2301" s="127"/>
      <c r="IH2301" s="127"/>
      <c r="II2301" s="127"/>
      <c r="IJ2301" s="127"/>
    </row>
    <row r="2302" spans="1:244" s="127" customFormat="1" ht="12.75" customHeight="1">
      <c r="A2302" s="118">
        <v>2301</v>
      </c>
      <c r="B2302" s="128">
        <v>24</v>
      </c>
      <c r="C2302" s="156">
        <v>38961</v>
      </c>
      <c r="D2302" s="157" t="s">
        <v>52</v>
      </c>
      <c r="E2302" s="8">
        <v>2006</v>
      </c>
      <c r="F2302" s="158">
        <f t="shared" si="581"/>
        <v>304</v>
      </c>
      <c r="G2302" s="158">
        <f t="shared" si="582"/>
        <v>1</v>
      </c>
      <c r="H2302" s="162">
        <v>38657</v>
      </c>
      <c r="I2302" s="194">
        <v>576520</v>
      </c>
      <c r="J2302" s="15">
        <v>32.18</v>
      </c>
      <c r="K2302" s="15">
        <v>2.1800000000000002</v>
      </c>
      <c r="L2302" s="15">
        <v>0.53</v>
      </c>
      <c r="M2302" s="174">
        <v>0</v>
      </c>
      <c r="N2302" s="528"/>
      <c r="O2302" s="15">
        <v>1.23</v>
      </c>
      <c r="P2302" s="8"/>
      <c r="Q2302" s="11">
        <v>9</v>
      </c>
      <c r="R2302" s="11">
        <v>31</v>
      </c>
      <c r="S2302" s="155"/>
      <c r="T2302" s="161">
        <f t="shared" si="583"/>
        <v>1256813.6000000001</v>
      </c>
      <c r="U2302" s="161">
        <f t="shared" si="584"/>
        <v>305555.60000000003</v>
      </c>
      <c r="V2302" s="161">
        <f t="shared" si="585"/>
        <v>709119.6</v>
      </c>
      <c r="W2302" s="161">
        <f t="shared" si="586"/>
        <v>283647.84000000003</v>
      </c>
    </row>
    <row r="2303" spans="1:244" s="127" customFormat="1" ht="12.75" customHeight="1">
      <c r="A2303" s="118">
        <v>2302</v>
      </c>
      <c r="B2303" s="128">
        <v>24</v>
      </c>
      <c r="C2303" s="156">
        <v>38991</v>
      </c>
      <c r="D2303" s="157" t="s">
        <v>53</v>
      </c>
      <c r="E2303" s="8">
        <v>2006</v>
      </c>
      <c r="F2303" s="158">
        <f t="shared" si="581"/>
        <v>334</v>
      </c>
      <c r="G2303" s="158">
        <f t="shared" si="582"/>
        <v>1</v>
      </c>
      <c r="H2303" s="162">
        <v>38657</v>
      </c>
      <c r="I2303" s="194">
        <v>575752</v>
      </c>
      <c r="J2303" s="15">
        <v>19.37</v>
      </c>
      <c r="K2303" s="15">
        <v>3.47</v>
      </c>
      <c r="L2303" s="15">
        <v>1.18</v>
      </c>
      <c r="M2303" s="174">
        <v>0</v>
      </c>
      <c r="N2303" s="528"/>
      <c r="O2303" s="15">
        <v>1.58</v>
      </c>
      <c r="P2303" s="8"/>
      <c r="Q2303" s="11">
        <v>9</v>
      </c>
      <c r="R2303" s="11">
        <v>31</v>
      </c>
      <c r="S2303" s="155"/>
      <c r="T2303" s="161">
        <f t="shared" si="583"/>
        <v>1997859.4400000002</v>
      </c>
      <c r="U2303" s="161">
        <f t="shared" si="584"/>
        <v>679387.36</v>
      </c>
      <c r="V2303" s="161">
        <f t="shared" si="585"/>
        <v>909688.16</v>
      </c>
      <c r="W2303" s="161">
        <f t="shared" si="586"/>
        <v>363875.26400000002</v>
      </c>
    </row>
    <row r="2304" spans="1:244" s="127" customFormat="1" ht="12.75" customHeight="1">
      <c r="A2304" s="118">
        <v>2303</v>
      </c>
      <c r="B2304" s="128">
        <v>24</v>
      </c>
      <c r="C2304" s="156">
        <v>39022</v>
      </c>
      <c r="D2304" s="157" t="s">
        <v>54</v>
      </c>
      <c r="E2304" s="8">
        <v>2006</v>
      </c>
      <c r="F2304" s="158">
        <f t="shared" si="581"/>
        <v>365</v>
      </c>
      <c r="G2304" s="158">
        <f t="shared" si="582"/>
        <v>2</v>
      </c>
      <c r="H2304" s="162">
        <v>38657</v>
      </c>
      <c r="I2304" s="194">
        <v>575227</v>
      </c>
      <c r="J2304" s="15">
        <v>13.55</v>
      </c>
      <c r="K2304" s="15">
        <v>3.2833332999999998</v>
      </c>
      <c r="L2304" s="15">
        <v>1.4166666000000001</v>
      </c>
      <c r="M2304" s="174">
        <v>0</v>
      </c>
      <c r="N2304" s="528"/>
      <c r="O2304" s="15">
        <v>1.6583333</v>
      </c>
      <c r="P2304" s="8"/>
      <c r="Q2304" s="11">
        <v>8</v>
      </c>
      <c r="R2304" s="11">
        <v>32</v>
      </c>
      <c r="S2304" s="155"/>
      <c r="T2304" s="161">
        <f t="shared" si="583"/>
        <v>1888661.9641590999</v>
      </c>
      <c r="U2304" s="161">
        <f t="shared" si="584"/>
        <v>814904.87831820012</v>
      </c>
      <c r="V2304" s="161">
        <f t="shared" si="585"/>
        <v>953918.08915909997</v>
      </c>
      <c r="W2304" s="161">
        <f t="shared" si="586"/>
        <v>381567.23566364002</v>
      </c>
    </row>
    <row r="2305" spans="1:244" s="127" customFormat="1" ht="12.75" customHeight="1">
      <c r="A2305" s="118">
        <v>2304</v>
      </c>
      <c r="B2305" s="128">
        <v>24</v>
      </c>
      <c r="C2305" s="156">
        <v>39052</v>
      </c>
      <c r="D2305" s="157" t="s">
        <v>55</v>
      </c>
      <c r="E2305" s="8">
        <v>2006</v>
      </c>
      <c r="F2305" s="158">
        <f t="shared" si="581"/>
        <v>395</v>
      </c>
      <c r="G2305" s="158">
        <f t="shared" si="582"/>
        <v>2</v>
      </c>
      <c r="H2305" s="162">
        <v>38657</v>
      </c>
      <c r="I2305" s="194">
        <v>574794</v>
      </c>
      <c r="J2305" s="15">
        <v>9.7100000000000009</v>
      </c>
      <c r="K2305" s="15">
        <v>4.72</v>
      </c>
      <c r="L2305" s="15">
        <v>2.29</v>
      </c>
      <c r="M2305" s="174">
        <v>0</v>
      </c>
      <c r="N2305" s="528"/>
      <c r="O2305" s="15">
        <v>2.2599999999999998</v>
      </c>
      <c r="P2305" s="8"/>
      <c r="Q2305" s="11">
        <v>7</v>
      </c>
      <c r="R2305" s="11">
        <v>32</v>
      </c>
      <c r="S2305" s="155"/>
      <c r="T2305" s="161">
        <f t="shared" si="583"/>
        <v>2713027.6799999997</v>
      </c>
      <c r="U2305" s="161">
        <f t="shared" si="584"/>
        <v>1316278.26</v>
      </c>
      <c r="V2305" s="161">
        <f t="shared" si="585"/>
        <v>1299034.44</v>
      </c>
      <c r="W2305" s="161">
        <f t="shared" si="586"/>
        <v>519613.77600000001</v>
      </c>
    </row>
    <row r="2306" spans="1:244" s="127" customFormat="1" ht="12.75" customHeight="1">
      <c r="A2306" s="118">
        <v>2305</v>
      </c>
      <c r="B2306" s="128">
        <v>24</v>
      </c>
      <c r="C2306" s="156">
        <v>39083</v>
      </c>
      <c r="D2306" s="157" t="s">
        <v>44</v>
      </c>
      <c r="E2306" s="8">
        <v>2007</v>
      </c>
      <c r="F2306" s="158">
        <f t="shared" si="581"/>
        <v>426</v>
      </c>
      <c r="G2306" s="158">
        <f t="shared" si="582"/>
        <v>2</v>
      </c>
      <c r="H2306" s="162">
        <v>38657</v>
      </c>
      <c r="I2306" s="194">
        <v>574401</v>
      </c>
      <c r="J2306" s="15">
        <v>8.7833333000000007</v>
      </c>
      <c r="K2306" s="15">
        <v>7.6333333000000003</v>
      </c>
      <c r="L2306" s="15">
        <v>3.5666666</v>
      </c>
      <c r="M2306" s="174">
        <v>2</v>
      </c>
      <c r="N2306" s="528"/>
      <c r="O2306" s="15">
        <v>1.625</v>
      </c>
      <c r="P2306" s="8">
        <v>1</v>
      </c>
      <c r="Q2306" s="11">
        <v>7</v>
      </c>
      <c r="R2306" s="11">
        <v>32</v>
      </c>
      <c r="S2306" s="155"/>
      <c r="T2306" s="161">
        <f t="shared" si="583"/>
        <v>4384594.2808533004</v>
      </c>
      <c r="U2306" s="161">
        <f t="shared" si="584"/>
        <v>2048696.8617066001</v>
      </c>
      <c r="V2306" s="161">
        <f t="shared" si="585"/>
        <v>933401.625</v>
      </c>
      <c r="W2306" s="161">
        <f t="shared" si="586"/>
        <v>373360.65</v>
      </c>
      <c r="X2306" s="118"/>
      <c r="Y2306" s="118"/>
      <c r="Z2306" s="118"/>
      <c r="AA2306" s="118"/>
      <c r="AB2306" s="118"/>
      <c r="AC2306" s="118"/>
      <c r="AD2306" s="118"/>
      <c r="AE2306" s="118"/>
      <c r="AF2306" s="118"/>
      <c r="AG2306" s="118"/>
      <c r="AH2306" s="118"/>
      <c r="AI2306" s="118"/>
      <c r="AJ2306" s="118"/>
      <c r="AK2306" s="118"/>
      <c r="AL2306" s="118"/>
      <c r="AM2306" s="118"/>
      <c r="AN2306" s="118"/>
      <c r="AO2306" s="118"/>
      <c r="AP2306" s="118"/>
      <c r="AQ2306" s="118"/>
      <c r="AR2306" s="118"/>
      <c r="AS2306" s="118"/>
      <c r="AT2306" s="118"/>
      <c r="AU2306" s="118"/>
      <c r="AV2306" s="118"/>
      <c r="AW2306" s="118"/>
      <c r="AX2306" s="118"/>
      <c r="AY2306" s="118"/>
      <c r="AZ2306" s="118"/>
      <c r="BA2306" s="118"/>
      <c r="BB2306" s="118"/>
      <c r="BC2306" s="118"/>
      <c r="BD2306" s="118"/>
      <c r="BE2306" s="118"/>
      <c r="BF2306" s="118"/>
      <c r="BG2306" s="118"/>
      <c r="BH2306" s="118"/>
      <c r="BI2306" s="118"/>
      <c r="BJ2306" s="118"/>
      <c r="BK2306" s="118"/>
      <c r="BL2306" s="118"/>
      <c r="BM2306" s="118"/>
      <c r="BN2306" s="118"/>
      <c r="BO2306" s="118"/>
      <c r="BP2306" s="118"/>
      <c r="BQ2306" s="118"/>
      <c r="BR2306" s="118"/>
      <c r="BS2306" s="118"/>
      <c r="BT2306" s="118"/>
      <c r="BU2306" s="118"/>
      <c r="BV2306" s="118"/>
      <c r="BW2306" s="118"/>
      <c r="BX2306" s="118"/>
      <c r="BY2306" s="118"/>
      <c r="BZ2306" s="118"/>
      <c r="CA2306" s="118"/>
      <c r="CB2306" s="118"/>
      <c r="CC2306" s="118"/>
      <c r="CD2306" s="118"/>
      <c r="CE2306" s="118"/>
      <c r="CF2306" s="118"/>
      <c r="CG2306" s="118"/>
      <c r="CH2306" s="118"/>
      <c r="CI2306" s="118"/>
      <c r="CJ2306" s="118"/>
      <c r="CK2306" s="118"/>
      <c r="CL2306" s="118"/>
      <c r="CM2306" s="118"/>
      <c r="CN2306" s="118"/>
      <c r="CO2306" s="118"/>
      <c r="CP2306" s="118"/>
      <c r="CQ2306" s="118"/>
      <c r="CR2306" s="118"/>
      <c r="CS2306" s="118"/>
      <c r="CT2306" s="118"/>
      <c r="CU2306" s="118"/>
      <c r="CV2306" s="118"/>
      <c r="CW2306" s="118"/>
      <c r="CX2306" s="118"/>
      <c r="CY2306" s="118"/>
      <c r="CZ2306" s="118"/>
      <c r="DA2306" s="118"/>
      <c r="DB2306" s="118"/>
      <c r="DC2306" s="118"/>
      <c r="DD2306" s="118"/>
      <c r="DE2306" s="118"/>
      <c r="DF2306" s="118"/>
      <c r="DG2306" s="118"/>
      <c r="DH2306" s="118"/>
      <c r="DI2306" s="118"/>
      <c r="DJ2306" s="118"/>
      <c r="DK2306" s="118"/>
      <c r="DL2306" s="118"/>
      <c r="DM2306" s="118"/>
      <c r="DN2306" s="118"/>
      <c r="DO2306" s="118"/>
      <c r="DP2306" s="118"/>
      <c r="DQ2306" s="118"/>
      <c r="DR2306" s="118"/>
      <c r="DS2306" s="118"/>
      <c r="DT2306" s="118"/>
      <c r="DU2306" s="118"/>
      <c r="DV2306" s="118"/>
      <c r="DW2306" s="118"/>
      <c r="DX2306" s="118"/>
      <c r="DY2306" s="118"/>
      <c r="DZ2306" s="118"/>
      <c r="EA2306" s="118"/>
      <c r="EB2306" s="118"/>
      <c r="EC2306" s="118"/>
      <c r="ED2306" s="118"/>
      <c r="EE2306" s="118"/>
      <c r="EF2306" s="118"/>
      <c r="EG2306" s="118"/>
      <c r="EH2306" s="118"/>
      <c r="EI2306" s="118"/>
      <c r="EJ2306" s="118"/>
      <c r="EK2306" s="118"/>
      <c r="EL2306" s="118"/>
      <c r="EM2306" s="118"/>
      <c r="EN2306" s="118"/>
      <c r="EO2306" s="118"/>
      <c r="EP2306" s="118"/>
      <c r="EQ2306" s="118"/>
      <c r="ER2306" s="118"/>
      <c r="ES2306" s="118"/>
      <c r="ET2306" s="118"/>
      <c r="EU2306" s="118"/>
      <c r="EV2306" s="118"/>
      <c r="EW2306" s="118"/>
      <c r="EX2306" s="118"/>
      <c r="EY2306" s="118"/>
      <c r="EZ2306" s="118"/>
      <c r="FA2306" s="118"/>
      <c r="FB2306" s="118"/>
      <c r="FC2306" s="118"/>
      <c r="FD2306" s="118"/>
      <c r="FE2306" s="118"/>
      <c r="FF2306" s="118"/>
      <c r="FG2306" s="118"/>
      <c r="FH2306" s="118"/>
      <c r="FI2306" s="118"/>
      <c r="FJ2306" s="118"/>
      <c r="FK2306" s="118"/>
      <c r="FL2306" s="118"/>
      <c r="FM2306" s="118"/>
      <c r="FN2306" s="118"/>
      <c r="FO2306" s="118"/>
      <c r="FP2306" s="118"/>
      <c r="FQ2306" s="118"/>
      <c r="FR2306" s="118"/>
      <c r="FS2306" s="118"/>
      <c r="FT2306" s="118"/>
      <c r="FU2306" s="118"/>
      <c r="FV2306" s="118"/>
      <c r="FW2306" s="118"/>
      <c r="FX2306" s="118"/>
      <c r="FY2306" s="118"/>
      <c r="FZ2306" s="118"/>
      <c r="GA2306" s="118"/>
      <c r="GB2306" s="118"/>
      <c r="GC2306" s="118"/>
      <c r="GD2306" s="118"/>
      <c r="GE2306" s="118"/>
      <c r="GF2306" s="118"/>
      <c r="GG2306" s="118"/>
      <c r="GH2306" s="118"/>
      <c r="GI2306" s="118"/>
      <c r="GJ2306" s="118"/>
      <c r="GK2306" s="118"/>
      <c r="GL2306" s="118"/>
      <c r="GM2306" s="118"/>
      <c r="GN2306" s="118"/>
      <c r="GO2306" s="118"/>
      <c r="GP2306" s="118"/>
      <c r="GQ2306" s="118"/>
      <c r="GR2306" s="118"/>
      <c r="GS2306" s="118"/>
      <c r="GT2306" s="118"/>
      <c r="GU2306" s="118"/>
      <c r="GV2306" s="118"/>
      <c r="GW2306" s="118"/>
      <c r="GX2306" s="118"/>
      <c r="GY2306" s="118"/>
      <c r="GZ2306" s="118"/>
      <c r="HA2306" s="118"/>
      <c r="HB2306" s="118"/>
      <c r="HC2306" s="118"/>
      <c r="HD2306" s="118"/>
      <c r="HE2306" s="118"/>
      <c r="HF2306" s="118"/>
      <c r="HG2306" s="118"/>
      <c r="HH2306" s="118"/>
      <c r="HI2306" s="118"/>
      <c r="HJ2306" s="118"/>
      <c r="HK2306" s="118"/>
      <c r="HL2306" s="118"/>
      <c r="HM2306" s="118"/>
      <c r="HN2306" s="118"/>
      <c r="HO2306" s="118"/>
      <c r="HP2306" s="118"/>
      <c r="HQ2306" s="118"/>
      <c r="HR2306" s="118"/>
      <c r="HS2306" s="118"/>
      <c r="HT2306" s="118"/>
      <c r="HU2306" s="118"/>
      <c r="HV2306" s="118"/>
      <c r="HW2306" s="118"/>
      <c r="HX2306" s="118"/>
      <c r="HY2306" s="118"/>
      <c r="HZ2306" s="118"/>
      <c r="IA2306" s="118"/>
      <c r="IB2306" s="118"/>
      <c r="IC2306" s="118"/>
      <c r="ID2306" s="118"/>
      <c r="IE2306" s="118"/>
      <c r="IF2306" s="118"/>
      <c r="IG2306" s="118"/>
      <c r="IH2306" s="118"/>
      <c r="II2306" s="118"/>
      <c r="IJ2306" s="118"/>
    </row>
    <row r="2307" spans="1:244" s="127" customFormat="1" ht="12.75" customHeight="1">
      <c r="A2307" s="118">
        <v>2306</v>
      </c>
      <c r="B2307" s="128">
        <v>24</v>
      </c>
      <c r="C2307" s="156">
        <v>39114</v>
      </c>
      <c r="D2307" s="157" t="s">
        <v>45</v>
      </c>
      <c r="E2307" s="8">
        <v>2007</v>
      </c>
      <c r="F2307" s="158">
        <f t="shared" si="581"/>
        <v>457</v>
      </c>
      <c r="G2307" s="158">
        <f t="shared" si="582"/>
        <v>2</v>
      </c>
      <c r="H2307" s="162">
        <v>38657</v>
      </c>
      <c r="I2307" s="194">
        <v>574018</v>
      </c>
      <c r="J2307" s="15">
        <v>1.02</v>
      </c>
      <c r="K2307" s="15">
        <v>1.88</v>
      </c>
      <c r="L2307" s="15">
        <v>0.63</v>
      </c>
      <c r="M2307" s="174">
        <v>0</v>
      </c>
      <c r="N2307" s="528"/>
      <c r="O2307" s="15">
        <v>0.23</v>
      </c>
      <c r="P2307" s="8"/>
      <c r="Q2307" s="11">
        <v>7</v>
      </c>
      <c r="R2307" s="11">
        <v>32</v>
      </c>
      <c r="S2307" s="155"/>
      <c r="T2307" s="161">
        <f t="shared" si="583"/>
        <v>1079153.8399999999</v>
      </c>
      <c r="U2307" s="161">
        <f t="shared" si="584"/>
        <v>361631.34</v>
      </c>
      <c r="V2307" s="161">
        <f t="shared" si="585"/>
        <v>132024.14000000001</v>
      </c>
      <c r="W2307" s="161">
        <f t="shared" si="586"/>
        <v>52809.65600000001</v>
      </c>
      <c r="X2307" s="118"/>
      <c r="Y2307" s="118"/>
      <c r="Z2307" s="118"/>
      <c r="AA2307" s="118"/>
      <c r="AB2307" s="118"/>
      <c r="AC2307" s="118"/>
      <c r="AD2307" s="118"/>
      <c r="AE2307" s="118"/>
      <c r="AF2307" s="118"/>
      <c r="AG2307" s="118"/>
      <c r="AH2307" s="118"/>
      <c r="AI2307" s="118"/>
      <c r="AJ2307" s="118"/>
      <c r="AK2307" s="118"/>
      <c r="AL2307" s="118"/>
      <c r="AM2307" s="118"/>
      <c r="AN2307" s="118"/>
      <c r="AO2307" s="118"/>
      <c r="AP2307" s="118"/>
      <c r="AQ2307" s="118"/>
      <c r="AR2307" s="118"/>
      <c r="AS2307" s="118"/>
      <c r="AT2307" s="118"/>
      <c r="AU2307" s="118"/>
      <c r="AV2307" s="118"/>
      <c r="AW2307" s="118"/>
      <c r="AX2307" s="118"/>
      <c r="AY2307" s="118"/>
      <c r="AZ2307" s="118"/>
      <c r="BA2307" s="118"/>
      <c r="BB2307" s="118"/>
      <c r="BC2307" s="118"/>
      <c r="BD2307" s="118"/>
      <c r="BE2307" s="118"/>
      <c r="BF2307" s="118"/>
      <c r="BG2307" s="118"/>
      <c r="BH2307" s="118"/>
      <c r="BI2307" s="118"/>
      <c r="BJ2307" s="118"/>
      <c r="BK2307" s="118"/>
      <c r="BL2307" s="118"/>
      <c r="BM2307" s="118"/>
      <c r="BN2307" s="118"/>
      <c r="BO2307" s="118"/>
      <c r="BP2307" s="118"/>
      <c r="BQ2307" s="118"/>
      <c r="BR2307" s="118"/>
      <c r="BS2307" s="118"/>
      <c r="BT2307" s="118"/>
      <c r="BU2307" s="118"/>
      <c r="BV2307" s="118"/>
      <c r="BW2307" s="118"/>
      <c r="BX2307" s="118"/>
      <c r="BY2307" s="118"/>
      <c r="BZ2307" s="118"/>
      <c r="CA2307" s="118"/>
      <c r="CB2307" s="118"/>
      <c r="CC2307" s="118"/>
      <c r="CD2307" s="118"/>
      <c r="CE2307" s="118"/>
      <c r="CF2307" s="118"/>
      <c r="CG2307" s="118"/>
      <c r="CH2307" s="118"/>
      <c r="CI2307" s="118"/>
      <c r="CJ2307" s="118"/>
      <c r="CK2307" s="118"/>
      <c r="CL2307" s="118"/>
      <c r="CM2307" s="118"/>
      <c r="CN2307" s="118"/>
      <c r="CO2307" s="118"/>
      <c r="CP2307" s="118"/>
      <c r="CQ2307" s="118"/>
      <c r="CR2307" s="118"/>
      <c r="CS2307" s="118"/>
      <c r="CT2307" s="118"/>
      <c r="CU2307" s="118"/>
      <c r="CV2307" s="118"/>
      <c r="CW2307" s="118"/>
      <c r="CX2307" s="118"/>
      <c r="CY2307" s="118"/>
      <c r="CZ2307" s="118"/>
      <c r="DA2307" s="118"/>
      <c r="DB2307" s="118"/>
      <c r="DC2307" s="118"/>
      <c r="DD2307" s="118"/>
      <c r="DE2307" s="118"/>
      <c r="DF2307" s="118"/>
      <c r="DG2307" s="118"/>
      <c r="DH2307" s="118"/>
      <c r="DI2307" s="118"/>
      <c r="DJ2307" s="118"/>
      <c r="DK2307" s="118"/>
      <c r="DL2307" s="118"/>
      <c r="DM2307" s="118"/>
      <c r="DN2307" s="118"/>
      <c r="DO2307" s="118"/>
      <c r="DP2307" s="118"/>
      <c r="DQ2307" s="118"/>
      <c r="DR2307" s="118"/>
      <c r="DS2307" s="118"/>
      <c r="DT2307" s="118"/>
      <c r="DU2307" s="118"/>
      <c r="DV2307" s="118"/>
      <c r="DW2307" s="118"/>
      <c r="DX2307" s="118"/>
      <c r="DY2307" s="118"/>
      <c r="DZ2307" s="118"/>
      <c r="EA2307" s="118"/>
      <c r="EB2307" s="118"/>
      <c r="EC2307" s="118"/>
      <c r="ED2307" s="118"/>
      <c r="EE2307" s="118"/>
      <c r="EF2307" s="118"/>
      <c r="EG2307" s="118"/>
      <c r="EH2307" s="118"/>
      <c r="EI2307" s="118"/>
      <c r="EJ2307" s="118"/>
      <c r="EK2307" s="118"/>
      <c r="EL2307" s="118"/>
      <c r="EM2307" s="118"/>
      <c r="EN2307" s="118"/>
      <c r="EO2307" s="118"/>
      <c r="EP2307" s="118"/>
      <c r="EQ2307" s="118"/>
      <c r="ER2307" s="118"/>
      <c r="ES2307" s="118"/>
      <c r="ET2307" s="118"/>
      <c r="EU2307" s="118"/>
      <c r="EV2307" s="118"/>
      <c r="EW2307" s="118"/>
      <c r="EX2307" s="118"/>
      <c r="EY2307" s="118"/>
      <c r="EZ2307" s="118"/>
      <c r="FA2307" s="118"/>
      <c r="FB2307" s="118"/>
      <c r="FC2307" s="118"/>
      <c r="FD2307" s="118"/>
      <c r="FE2307" s="118"/>
      <c r="FF2307" s="118"/>
      <c r="FG2307" s="118"/>
      <c r="FH2307" s="118"/>
      <c r="FI2307" s="118"/>
      <c r="FJ2307" s="118"/>
      <c r="FK2307" s="118"/>
      <c r="FL2307" s="118"/>
      <c r="FM2307" s="118"/>
      <c r="FN2307" s="118"/>
      <c r="FO2307" s="118"/>
      <c r="FP2307" s="118"/>
      <c r="FQ2307" s="118"/>
      <c r="FR2307" s="118"/>
      <c r="FS2307" s="118"/>
      <c r="FT2307" s="118"/>
      <c r="FU2307" s="118"/>
      <c r="FV2307" s="118"/>
      <c r="FW2307" s="118"/>
      <c r="FX2307" s="118"/>
      <c r="FY2307" s="118"/>
      <c r="FZ2307" s="118"/>
      <c r="GA2307" s="118"/>
      <c r="GB2307" s="118"/>
      <c r="GC2307" s="118"/>
      <c r="GD2307" s="118"/>
      <c r="GE2307" s="118"/>
      <c r="GF2307" s="118"/>
      <c r="GG2307" s="118"/>
      <c r="GH2307" s="118"/>
      <c r="GI2307" s="118"/>
      <c r="GJ2307" s="118"/>
      <c r="GK2307" s="118"/>
      <c r="GL2307" s="118"/>
      <c r="GM2307" s="118"/>
      <c r="GN2307" s="118"/>
      <c r="GO2307" s="118"/>
      <c r="GP2307" s="118"/>
      <c r="GQ2307" s="118"/>
      <c r="GR2307" s="118"/>
      <c r="GS2307" s="118"/>
      <c r="GT2307" s="118"/>
      <c r="GU2307" s="118"/>
      <c r="GV2307" s="118"/>
      <c r="GW2307" s="118"/>
      <c r="GX2307" s="118"/>
      <c r="GY2307" s="118"/>
      <c r="GZ2307" s="118"/>
      <c r="HA2307" s="118"/>
      <c r="HB2307" s="118"/>
      <c r="HC2307" s="118"/>
      <c r="HD2307" s="118"/>
      <c r="HE2307" s="118"/>
      <c r="HF2307" s="118"/>
      <c r="HG2307" s="118"/>
      <c r="HH2307" s="118"/>
      <c r="HI2307" s="118"/>
      <c r="HJ2307" s="118"/>
      <c r="HK2307" s="118"/>
      <c r="HL2307" s="118"/>
      <c r="HM2307" s="118"/>
      <c r="HN2307" s="118"/>
      <c r="HO2307" s="118"/>
      <c r="HP2307" s="118"/>
      <c r="HQ2307" s="118"/>
      <c r="HR2307" s="118"/>
      <c r="HS2307" s="118"/>
      <c r="HT2307" s="118"/>
      <c r="HU2307" s="118"/>
      <c r="HV2307" s="118"/>
      <c r="HW2307" s="118"/>
      <c r="HX2307" s="118"/>
      <c r="HY2307" s="118"/>
      <c r="HZ2307" s="118"/>
      <c r="IA2307" s="118"/>
      <c r="IB2307" s="118"/>
      <c r="IC2307" s="118"/>
      <c r="ID2307" s="118"/>
      <c r="IE2307" s="118"/>
      <c r="IF2307" s="118"/>
      <c r="IG2307" s="118"/>
      <c r="IH2307" s="118"/>
      <c r="II2307" s="118"/>
      <c r="IJ2307" s="118"/>
    </row>
    <row r="2308" spans="1:244" s="127" customFormat="1" ht="12.75" customHeight="1">
      <c r="A2308" s="118">
        <v>2307</v>
      </c>
      <c r="B2308" s="128">
        <v>24</v>
      </c>
      <c r="C2308" s="156">
        <v>39142</v>
      </c>
      <c r="D2308" s="157" t="s">
        <v>46</v>
      </c>
      <c r="E2308" s="8">
        <v>2007</v>
      </c>
      <c r="F2308" s="158">
        <f t="shared" si="581"/>
        <v>485</v>
      </c>
      <c r="G2308" s="158">
        <f t="shared" si="582"/>
        <v>2</v>
      </c>
      <c r="H2308" s="162">
        <v>38657</v>
      </c>
      <c r="I2308" s="194">
        <v>590113</v>
      </c>
      <c r="J2308" s="15">
        <v>0.22</v>
      </c>
      <c r="K2308" s="15">
        <v>0.35</v>
      </c>
      <c r="L2308" s="15">
        <v>0.17</v>
      </c>
      <c r="M2308" s="174">
        <v>0</v>
      </c>
      <c r="N2308" s="528"/>
      <c r="O2308" s="15">
        <v>0.1</v>
      </c>
      <c r="P2308" s="8"/>
      <c r="Q2308" s="11">
        <v>7</v>
      </c>
      <c r="R2308" s="11">
        <v>31</v>
      </c>
      <c r="S2308" s="155"/>
      <c r="T2308" s="161">
        <f t="shared" si="583"/>
        <v>206539.55</v>
      </c>
      <c r="U2308" s="161">
        <f t="shared" si="584"/>
        <v>100319.21</v>
      </c>
      <c r="V2308" s="161">
        <f t="shared" si="585"/>
        <v>59011.3</v>
      </c>
      <c r="W2308" s="161">
        <f t="shared" si="586"/>
        <v>23604.520000000004</v>
      </c>
      <c r="X2308" s="118"/>
      <c r="Y2308" s="118"/>
      <c r="Z2308" s="118"/>
      <c r="AA2308" s="118"/>
      <c r="AB2308" s="118"/>
      <c r="AC2308" s="118"/>
      <c r="AD2308" s="118"/>
      <c r="AE2308" s="118"/>
      <c r="AF2308" s="118"/>
      <c r="AG2308" s="118"/>
      <c r="AH2308" s="118"/>
      <c r="AI2308" s="118"/>
      <c r="AJ2308" s="118"/>
      <c r="AK2308" s="118"/>
      <c r="AL2308" s="118"/>
      <c r="AM2308" s="118"/>
      <c r="AN2308" s="118"/>
      <c r="AO2308" s="118"/>
      <c r="AP2308" s="118"/>
      <c r="AQ2308" s="118"/>
      <c r="AR2308" s="118"/>
      <c r="AS2308" s="118"/>
      <c r="AT2308" s="118"/>
      <c r="AU2308" s="118"/>
      <c r="AV2308" s="118"/>
      <c r="AW2308" s="118"/>
      <c r="AX2308" s="118"/>
      <c r="AY2308" s="118"/>
      <c r="AZ2308" s="118"/>
      <c r="BA2308" s="118"/>
      <c r="BB2308" s="118"/>
      <c r="BC2308" s="118"/>
      <c r="BD2308" s="118"/>
      <c r="BE2308" s="118"/>
      <c r="BF2308" s="118"/>
      <c r="BG2308" s="118"/>
      <c r="BH2308" s="118"/>
      <c r="BI2308" s="118"/>
      <c r="BJ2308" s="118"/>
      <c r="BK2308" s="118"/>
      <c r="BL2308" s="118"/>
      <c r="BM2308" s="118"/>
      <c r="BN2308" s="118"/>
      <c r="BO2308" s="118"/>
      <c r="BP2308" s="118"/>
      <c r="BQ2308" s="118"/>
      <c r="BR2308" s="118"/>
      <c r="BS2308" s="118"/>
      <c r="BT2308" s="118"/>
      <c r="BU2308" s="118"/>
      <c r="BV2308" s="118"/>
      <c r="BW2308" s="118"/>
      <c r="BX2308" s="118"/>
      <c r="BY2308" s="118"/>
      <c r="BZ2308" s="118"/>
      <c r="CA2308" s="118"/>
      <c r="CB2308" s="118"/>
      <c r="CC2308" s="118"/>
      <c r="CD2308" s="118"/>
      <c r="CE2308" s="118"/>
      <c r="CF2308" s="118"/>
      <c r="CG2308" s="118"/>
      <c r="CH2308" s="118"/>
      <c r="CI2308" s="118"/>
      <c r="CJ2308" s="118"/>
      <c r="CK2308" s="118"/>
      <c r="CL2308" s="118"/>
      <c r="CM2308" s="118"/>
      <c r="CN2308" s="118"/>
      <c r="CO2308" s="118"/>
      <c r="CP2308" s="118"/>
      <c r="CQ2308" s="118"/>
      <c r="CR2308" s="118"/>
      <c r="CS2308" s="118"/>
      <c r="CT2308" s="118"/>
      <c r="CU2308" s="118"/>
      <c r="CV2308" s="118"/>
      <c r="CW2308" s="118"/>
      <c r="CX2308" s="118"/>
      <c r="CY2308" s="118"/>
      <c r="CZ2308" s="118"/>
      <c r="DA2308" s="118"/>
      <c r="DB2308" s="118"/>
      <c r="DC2308" s="118"/>
      <c r="DD2308" s="118"/>
      <c r="DE2308" s="118"/>
      <c r="DF2308" s="118"/>
      <c r="DG2308" s="118"/>
      <c r="DH2308" s="118"/>
      <c r="DI2308" s="118"/>
      <c r="DJ2308" s="118"/>
      <c r="DK2308" s="118"/>
      <c r="DL2308" s="118"/>
      <c r="DM2308" s="118"/>
      <c r="DN2308" s="118"/>
      <c r="DO2308" s="118"/>
      <c r="DP2308" s="118"/>
      <c r="DQ2308" s="118"/>
      <c r="DR2308" s="118"/>
      <c r="DS2308" s="118"/>
      <c r="DT2308" s="118"/>
      <c r="DU2308" s="118"/>
      <c r="DV2308" s="118"/>
      <c r="DW2308" s="118"/>
      <c r="DX2308" s="118"/>
      <c r="DY2308" s="118"/>
      <c r="DZ2308" s="118"/>
      <c r="EA2308" s="118"/>
      <c r="EB2308" s="118"/>
      <c r="EC2308" s="118"/>
      <c r="ED2308" s="118"/>
      <c r="EE2308" s="118"/>
      <c r="EF2308" s="118"/>
      <c r="EG2308" s="118"/>
      <c r="EH2308" s="118"/>
      <c r="EI2308" s="118"/>
      <c r="EJ2308" s="118"/>
      <c r="EK2308" s="118"/>
      <c r="EL2308" s="118"/>
      <c r="EM2308" s="118"/>
      <c r="EN2308" s="118"/>
      <c r="EO2308" s="118"/>
      <c r="EP2308" s="118"/>
      <c r="EQ2308" s="118"/>
      <c r="ER2308" s="118"/>
      <c r="ES2308" s="118"/>
      <c r="ET2308" s="118"/>
      <c r="EU2308" s="118"/>
      <c r="EV2308" s="118"/>
      <c r="EW2308" s="118"/>
      <c r="EX2308" s="118"/>
      <c r="EY2308" s="118"/>
      <c r="EZ2308" s="118"/>
      <c r="FA2308" s="118"/>
      <c r="FB2308" s="118"/>
      <c r="FC2308" s="118"/>
      <c r="FD2308" s="118"/>
      <c r="FE2308" s="118"/>
      <c r="FF2308" s="118"/>
      <c r="FG2308" s="118"/>
      <c r="FH2308" s="118"/>
      <c r="FI2308" s="118"/>
      <c r="FJ2308" s="118"/>
      <c r="FK2308" s="118"/>
      <c r="FL2308" s="118"/>
      <c r="FM2308" s="118"/>
      <c r="FN2308" s="118"/>
      <c r="FO2308" s="118"/>
      <c r="FP2308" s="118"/>
      <c r="FQ2308" s="118"/>
      <c r="FR2308" s="118"/>
      <c r="FS2308" s="118"/>
      <c r="FT2308" s="118"/>
      <c r="FU2308" s="118"/>
      <c r="FV2308" s="118"/>
      <c r="FW2308" s="118"/>
      <c r="FX2308" s="118"/>
      <c r="FY2308" s="118"/>
      <c r="FZ2308" s="118"/>
      <c r="GA2308" s="118"/>
      <c r="GB2308" s="118"/>
      <c r="GC2308" s="118"/>
      <c r="GD2308" s="118"/>
      <c r="GE2308" s="118"/>
      <c r="GF2308" s="118"/>
      <c r="GG2308" s="118"/>
      <c r="GH2308" s="118"/>
      <c r="GI2308" s="118"/>
      <c r="GJ2308" s="118"/>
      <c r="GK2308" s="118"/>
      <c r="GL2308" s="118"/>
      <c r="GM2308" s="118"/>
      <c r="GN2308" s="118"/>
      <c r="GO2308" s="118"/>
      <c r="GP2308" s="118"/>
      <c r="GQ2308" s="118"/>
      <c r="GR2308" s="118"/>
      <c r="GS2308" s="118"/>
      <c r="GT2308" s="118"/>
      <c r="GU2308" s="118"/>
      <c r="GV2308" s="118"/>
      <c r="GW2308" s="118"/>
      <c r="GX2308" s="118"/>
      <c r="GY2308" s="118"/>
      <c r="GZ2308" s="118"/>
      <c r="HA2308" s="118"/>
      <c r="HB2308" s="118"/>
      <c r="HC2308" s="118"/>
      <c r="HD2308" s="118"/>
      <c r="HE2308" s="118"/>
      <c r="HF2308" s="118"/>
      <c r="HG2308" s="118"/>
      <c r="HH2308" s="118"/>
      <c r="HI2308" s="118"/>
      <c r="HJ2308" s="118"/>
      <c r="HK2308" s="118"/>
      <c r="HL2308" s="118"/>
      <c r="HM2308" s="118"/>
      <c r="HN2308" s="118"/>
      <c r="HO2308" s="118"/>
      <c r="HP2308" s="118"/>
      <c r="HQ2308" s="118"/>
      <c r="HR2308" s="118"/>
      <c r="HS2308" s="118"/>
      <c r="HT2308" s="118"/>
      <c r="HU2308" s="118"/>
      <c r="HV2308" s="118"/>
      <c r="HW2308" s="118"/>
      <c r="HX2308" s="118"/>
      <c r="HY2308" s="118"/>
      <c r="HZ2308" s="118"/>
      <c r="IA2308" s="118"/>
      <c r="IB2308" s="118"/>
      <c r="IC2308" s="118"/>
      <c r="ID2308" s="118"/>
      <c r="IE2308" s="118"/>
      <c r="IF2308" s="118"/>
      <c r="IG2308" s="118"/>
      <c r="IH2308" s="118"/>
      <c r="II2308" s="118"/>
      <c r="IJ2308" s="118"/>
    </row>
    <row r="2309" spans="1:244" s="127" customFormat="1" ht="12.75" customHeight="1">
      <c r="A2309" s="118">
        <v>2308</v>
      </c>
      <c r="B2309" s="128">
        <v>24</v>
      </c>
      <c r="C2309" s="156">
        <v>39173</v>
      </c>
      <c r="D2309" s="157" t="s">
        <v>47</v>
      </c>
      <c r="E2309" s="8">
        <v>2007</v>
      </c>
      <c r="F2309" s="158">
        <f t="shared" si="581"/>
        <v>516</v>
      </c>
      <c r="G2309" s="158">
        <f t="shared" si="582"/>
        <v>2</v>
      </c>
      <c r="H2309" s="162">
        <v>38657</v>
      </c>
      <c r="I2309" s="194">
        <v>594993</v>
      </c>
      <c r="J2309" s="15">
        <v>0.1</v>
      </c>
      <c r="K2309" s="15">
        <v>0</v>
      </c>
      <c r="L2309" s="15">
        <v>0</v>
      </c>
      <c r="M2309" s="174">
        <v>0</v>
      </c>
      <c r="N2309" s="528"/>
      <c r="O2309" s="15">
        <v>0</v>
      </c>
      <c r="P2309" s="8"/>
      <c r="Q2309" s="11">
        <v>8</v>
      </c>
      <c r="R2309" s="11">
        <v>32</v>
      </c>
      <c r="S2309" s="155"/>
      <c r="T2309" s="161">
        <f t="shared" si="583"/>
        <v>0</v>
      </c>
      <c r="U2309" s="161">
        <f t="shared" si="584"/>
        <v>0</v>
      </c>
      <c r="V2309" s="161">
        <f t="shared" si="585"/>
        <v>0</v>
      </c>
      <c r="W2309" s="161">
        <f t="shared" si="586"/>
        <v>0</v>
      </c>
      <c r="X2309" s="118"/>
      <c r="Y2309" s="118"/>
      <c r="Z2309" s="118"/>
      <c r="AA2309" s="118"/>
      <c r="AB2309" s="118"/>
      <c r="AC2309" s="118"/>
      <c r="AD2309" s="118"/>
      <c r="AE2309" s="118"/>
      <c r="AF2309" s="118"/>
      <c r="AG2309" s="118"/>
      <c r="AH2309" s="118"/>
      <c r="AI2309" s="118"/>
      <c r="AJ2309" s="118"/>
      <c r="AK2309" s="118"/>
      <c r="AL2309" s="118"/>
      <c r="AM2309" s="118"/>
      <c r="AN2309" s="118"/>
      <c r="AO2309" s="118"/>
      <c r="AP2309" s="118"/>
      <c r="AQ2309" s="118"/>
      <c r="AR2309" s="118"/>
      <c r="AS2309" s="118"/>
      <c r="AT2309" s="118"/>
      <c r="AU2309" s="118"/>
      <c r="AV2309" s="118"/>
      <c r="AW2309" s="118"/>
      <c r="AX2309" s="118"/>
      <c r="AY2309" s="118"/>
      <c r="AZ2309" s="118"/>
      <c r="BA2309" s="118"/>
      <c r="BB2309" s="118"/>
      <c r="BC2309" s="118"/>
      <c r="BD2309" s="118"/>
      <c r="BE2309" s="118"/>
      <c r="BF2309" s="118"/>
      <c r="BG2309" s="118"/>
      <c r="BH2309" s="118"/>
      <c r="BI2309" s="118"/>
      <c r="BJ2309" s="118"/>
      <c r="BK2309" s="118"/>
      <c r="BL2309" s="118"/>
      <c r="BM2309" s="118"/>
      <c r="BN2309" s="118"/>
      <c r="BO2309" s="118"/>
      <c r="BP2309" s="118"/>
      <c r="BQ2309" s="118"/>
      <c r="BR2309" s="118"/>
      <c r="BS2309" s="118"/>
      <c r="BT2309" s="118"/>
      <c r="BU2309" s="118"/>
      <c r="BV2309" s="118"/>
      <c r="BW2309" s="118"/>
      <c r="BX2309" s="118"/>
      <c r="BY2309" s="118"/>
      <c r="BZ2309" s="118"/>
      <c r="CA2309" s="118"/>
      <c r="CB2309" s="118"/>
      <c r="CC2309" s="118"/>
      <c r="CD2309" s="118"/>
      <c r="CE2309" s="118"/>
      <c r="CF2309" s="118"/>
      <c r="CG2309" s="118"/>
      <c r="CH2309" s="118"/>
      <c r="CI2309" s="118"/>
      <c r="CJ2309" s="118"/>
      <c r="CK2309" s="118"/>
      <c r="CL2309" s="118"/>
      <c r="CM2309" s="118"/>
      <c r="CN2309" s="118"/>
      <c r="CO2309" s="118"/>
      <c r="CP2309" s="118"/>
      <c r="CQ2309" s="118"/>
      <c r="CR2309" s="118"/>
      <c r="CS2309" s="118"/>
      <c r="CT2309" s="118"/>
      <c r="CU2309" s="118"/>
      <c r="CV2309" s="118"/>
      <c r="CW2309" s="118"/>
      <c r="CX2309" s="118"/>
      <c r="CY2309" s="118"/>
      <c r="CZ2309" s="118"/>
      <c r="DA2309" s="118"/>
      <c r="DB2309" s="118"/>
      <c r="DC2309" s="118"/>
      <c r="DD2309" s="118"/>
      <c r="DE2309" s="118"/>
      <c r="DF2309" s="118"/>
      <c r="DG2309" s="118"/>
      <c r="DH2309" s="118"/>
      <c r="DI2309" s="118"/>
      <c r="DJ2309" s="118"/>
      <c r="DK2309" s="118"/>
      <c r="DL2309" s="118"/>
      <c r="DM2309" s="118"/>
      <c r="DN2309" s="118"/>
      <c r="DO2309" s="118"/>
      <c r="DP2309" s="118"/>
      <c r="DQ2309" s="118"/>
      <c r="DR2309" s="118"/>
      <c r="DS2309" s="118"/>
      <c r="DT2309" s="118"/>
      <c r="DU2309" s="118"/>
      <c r="DV2309" s="118"/>
      <c r="DW2309" s="118"/>
      <c r="DX2309" s="118"/>
      <c r="DY2309" s="118"/>
      <c r="DZ2309" s="118"/>
      <c r="EA2309" s="118"/>
      <c r="EB2309" s="118"/>
      <c r="EC2309" s="118"/>
      <c r="ED2309" s="118"/>
      <c r="EE2309" s="118"/>
      <c r="EF2309" s="118"/>
      <c r="EG2309" s="118"/>
      <c r="EH2309" s="118"/>
      <c r="EI2309" s="118"/>
      <c r="EJ2309" s="118"/>
      <c r="EK2309" s="118"/>
      <c r="EL2309" s="118"/>
      <c r="EM2309" s="118"/>
      <c r="EN2309" s="118"/>
      <c r="EO2309" s="118"/>
      <c r="EP2309" s="118"/>
      <c r="EQ2309" s="118"/>
      <c r="ER2309" s="118"/>
      <c r="ES2309" s="118"/>
      <c r="ET2309" s="118"/>
      <c r="EU2309" s="118"/>
      <c r="EV2309" s="118"/>
      <c r="EW2309" s="118"/>
      <c r="EX2309" s="118"/>
      <c r="EY2309" s="118"/>
      <c r="EZ2309" s="118"/>
      <c r="FA2309" s="118"/>
      <c r="FB2309" s="118"/>
      <c r="FC2309" s="118"/>
      <c r="FD2309" s="118"/>
      <c r="FE2309" s="118"/>
      <c r="FF2309" s="118"/>
      <c r="FG2309" s="118"/>
      <c r="FH2309" s="118"/>
      <c r="FI2309" s="118"/>
      <c r="FJ2309" s="118"/>
      <c r="FK2309" s="118"/>
      <c r="FL2309" s="118"/>
      <c r="FM2309" s="118"/>
      <c r="FN2309" s="118"/>
      <c r="FO2309" s="118"/>
      <c r="FP2309" s="118"/>
      <c r="FQ2309" s="118"/>
      <c r="FR2309" s="118"/>
      <c r="FS2309" s="118"/>
      <c r="FT2309" s="118"/>
      <c r="FU2309" s="118"/>
      <c r="FV2309" s="118"/>
      <c r="FW2309" s="118"/>
      <c r="FX2309" s="118"/>
      <c r="FY2309" s="118"/>
      <c r="FZ2309" s="118"/>
      <c r="GA2309" s="118"/>
      <c r="GB2309" s="118"/>
      <c r="GC2309" s="118"/>
      <c r="GD2309" s="118"/>
      <c r="GE2309" s="118"/>
      <c r="GF2309" s="118"/>
      <c r="GG2309" s="118"/>
      <c r="GH2309" s="118"/>
      <c r="GI2309" s="118"/>
      <c r="GJ2309" s="118"/>
      <c r="GK2309" s="118"/>
      <c r="GL2309" s="118"/>
      <c r="GM2309" s="118"/>
      <c r="GN2309" s="118"/>
      <c r="GO2309" s="118"/>
      <c r="GP2309" s="118"/>
      <c r="GQ2309" s="118"/>
      <c r="GR2309" s="118"/>
      <c r="GS2309" s="118"/>
      <c r="GT2309" s="118"/>
      <c r="GU2309" s="118"/>
      <c r="GV2309" s="118"/>
      <c r="GW2309" s="118"/>
      <c r="GX2309" s="118"/>
      <c r="GY2309" s="118"/>
      <c r="GZ2309" s="118"/>
      <c r="HA2309" s="118"/>
      <c r="HB2309" s="118"/>
      <c r="HC2309" s="118"/>
      <c r="HD2309" s="118"/>
      <c r="HE2309" s="118"/>
      <c r="HF2309" s="118"/>
      <c r="HG2309" s="118"/>
      <c r="HH2309" s="118"/>
      <c r="HI2309" s="118"/>
      <c r="HJ2309" s="118"/>
      <c r="HK2309" s="118"/>
      <c r="HL2309" s="118"/>
      <c r="HM2309" s="118"/>
      <c r="HN2309" s="118"/>
      <c r="HO2309" s="118"/>
      <c r="HP2309" s="118"/>
      <c r="HQ2309" s="118"/>
      <c r="HR2309" s="118"/>
      <c r="HS2309" s="118"/>
      <c r="HT2309" s="118"/>
      <c r="HU2309" s="118"/>
      <c r="HV2309" s="118"/>
      <c r="HW2309" s="118"/>
      <c r="HX2309" s="118"/>
      <c r="HY2309" s="118"/>
      <c r="HZ2309" s="118"/>
      <c r="IA2309" s="118"/>
      <c r="IB2309" s="118"/>
      <c r="IC2309" s="118"/>
      <c r="ID2309" s="118"/>
      <c r="IE2309" s="118"/>
      <c r="IF2309" s="118"/>
      <c r="IG2309" s="118"/>
      <c r="IH2309" s="118"/>
      <c r="II2309" s="118"/>
      <c r="IJ2309" s="118"/>
    </row>
    <row r="2310" spans="1:244" s="127" customFormat="1" ht="12.75" customHeight="1">
      <c r="A2310" s="118">
        <v>2309</v>
      </c>
      <c r="B2310" s="128">
        <v>24</v>
      </c>
      <c r="C2310" s="156">
        <v>39203</v>
      </c>
      <c r="D2310" s="157" t="s">
        <v>48</v>
      </c>
      <c r="E2310" s="8">
        <v>2007</v>
      </c>
      <c r="F2310" s="158">
        <f t="shared" si="581"/>
        <v>546</v>
      </c>
      <c r="G2310" s="158">
        <f t="shared" si="582"/>
        <v>2</v>
      </c>
      <c r="H2310" s="162">
        <v>38657</v>
      </c>
      <c r="I2310" s="194">
        <v>574204</v>
      </c>
      <c r="J2310" s="15">
        <v>2.38</v>
      </c>
      <c r="K2310" s="15">
        <v>0</v>
      </c>
      <c r="L2310" s="15">
        <v>0</v>
      </c>
      <c r="M2310" s="174">
        <v>0</v>
      </c>
      <c r="N2310" s="528"/>
      <c r="O2310" s="15">
        <v>0.12</v>
      </c>
      <c r="P2310" s="8"/>
      <c r="Q2310" s="11">
        <v>8</v>
      </c>
      <c r="R2310" s="11">
        <v>32</v>
      </c>
      <c r="S2310" s="155"/>
      <c r="T2310" s="161">
        <f t="shared" si="583"/>
        <v>0</v>
      </c>
      <c r="U2310" s="161">
        <f t="shared" si="584"/>
        <v>0</v>
      </c>
      <c r="V2310" s="161">
        <f t="shared" si="585"/>
        <v>68904.479999999996</v>
      </c>
      <c r="W2310" s="161">
        <f t="shared" si="586"/>
        <v>27561.792000000001</v>
      </c>
      <c r="X2310" s="118"/>
      <c r="Y2310" s="118"/>
      <c r="Z2310" s="118"/>
      <c r="AA2310" s="118"/>
      <c r="AB2310" s="118"/>
      <c r="AC2310" s="118"/>
      <c r="AD2310" s="118"/>
      <c r="AE2310" s="118"/>
      <c r="AF2310" s="118"/>
      <c r="AG2310" s="118"/>
      <c r="AH2310" s="118"/>
      <c r="AI2310" s="118"/>
      <c r="AJ2310" s="118"/>
      <c r="AK2310" s="118"/>
      <c r="AL2310" s="118"/>
      <c r="AM2310" s="118"/>
      <c r="AN2310" s="118"/>
      <c r="AO2310" s="118"/>
      <c r="AP2310" s="118"/>
      <c r="AQ2310" s="118"/>
      <c r="AR2310" s="118"/>
      <c r="AS2310" s="118"/>
      <c r="AT2310" s="118"/>
      <c r="AU2310" s="118"/>
      <c r="AV2310" s="118"/>
      <c r="AW2310" s="118"/>
      <c r="AX2310" s="118"/>
      <c r="AY2310" s="118"/>
      <c r="AZ2310" s="118"/>
      <c r="BA2310" s="118"/>
      <c r="BB2310" s="118"/>
      <c r="BC2310" s="118"/>
      <c r="BD2310" s="118"/>
      <c r="BE2310" s="118"/>
      <c r="BF2310" s="118"/>
      <c r="BG2310" s="118"/>
      <c r="BH2310" s="118"/>
      <c r="BI2310" s="118"/>
      <c r="BJ2310" s="118"/>
      <c r="BK2310" s="118"/>
      <c r="BL2310" s="118"/>
      <c r="BM2310" s="118"/>
      <c r="BN2310" s="118"/>
      <c r="BO2310" s="118"/>
      <c r="BP2310" s="118"/>
      <c r="BQ2310" s="118"/>
      <c r="BR2310" s="118"/>
      <c r="BS2310" s="118"/>
      <c r="BT2310" s="118"/>
      <c r="BU2310" s="118"/>
      <c r="BV2310" s="118"/>
      <c r="BW2310" s="118"/>
      <c r="BX2310" s="118"/>
      <c r="BY2310" s="118"/>
      <c r="BZ2310" s="118"/>
      <c r="CA2310" s="118"/>
      <c r="CB2310" s="118"/>
      <c r="CC2310" s="118"/>
      <c r="CD2310" s="118"/>
      <c r="CE2310" s="118"/>
      <c r="CF2310" s="118"/>
      <c r="CG2310" s="118"/>
      <c r="CH2310" s="118"/>
      <c r="CI2310" s="118"/>
      <c r="CJ2310" s="118"/>
      <c r="CK2310" s="118"/>
      <c r="CL2310" s="118"/>
      <c r="CM2310" s="118"/>
      <c r="CN2310" s="118"/>
      <c r="CO2310" s="118"/>
      <c r="CP2310" s="118"/>
      <c r="CQ2310" s="118"/>
      <c r="CR2310" s="118"/>
      <c r="CS2310" s="118"/>
      <c r="CT2310" s="118"/>
      <c r="CU2310" s="118"/>
      <c r="CV2310" s="118"/>
      <c r="CW2310" s="118"/>
      <c r="CX2310" s="118"/>
      <c r="CY2310" s="118"/>
      <c r="CZ2310" s="118"/>
      <c r="DA2310" s="118"/>
      <c r="DB2310" s="118"/>
      <c r="DC2310" s="118"/>
      <c r="DD2310" s="118"/>
      <c r="DE2310" s="118"/>
      <c r="DF2310" s="118"/>
      <c r="DG2310" s="118"/>
      <c r="DH2310" s="118"/>
      <c r="DI2310" s="118"/>
      <c r="DJ2310" s="118"/>
      <c r="DK2310" s="118"/>
      <c r="DL2310" s="118"/>
      <c r="DM2310" s="118"/>
      <c r="DN2310" s="118"/>
      <c r="DO2310" s="118"/>
      <c r="DP2310" s="118"/>
      <c r="DQ2310" s="118"/>
      <c r="DR2310" s="118"/>
      <c r="DS2310" s="118"/>
      <c r="DT2310" s="118"/>
      <c r="DU2310" s="118"/>
      <c r="DV2310" s="118"/>
      <c r="DW2310" s="118"/>
      <c r="DX2310" s="118"/>
      <c r="DY2310" s="118"/>
      <c r="DZ2310" s="118"/>
      <c r="EA2310" s="118"/>
      <c r="EB2310" s="118"/>
      <c r="EC2310" s="118"/>
      <c r="ED2310" s="118"/>
      <c r="EE2310" s="118"/>
      <c r="EF2310" s="118"/>
      <c r="EG2310" s="118"/>
      <c r="EH2310" s="118"/>
      <c r="EI2310" s="118"/>
      <c r="EJ2310" s="118"/>
      <c r="EK2310" s="118"/>
      <c r="EL2310" s="118"/>
      <c r="EM2310" s="118"/>
      <c r="EN2310" s="118"/>
      <c r="EO2310" s="118"/>
      <c r="EP2310" s="118"/>
      <c r="EQ2310" s="118"/>
      <c r="ER2310" s="118"/>
      <c r="ES2310" s="118"/>
      <c r="ET2310" s="118"/>
      <c r="EU2310" s="118"/>
      <c r="EV2310" s="118"/>
      <c r="EW2310" s="118"/>
      <c r="EX2310" s="118"/>
      <c r="EY2310" s="118"/>
      <c r="EZ2310" s="118"/>
      <c r="FA2310" s="118"/>
      <c r="FB2310" s="118"/>
      <c r="FC2310" s="118"/>
      <c r="FD2310" s="118"/>
      <c r="FE2310" s="118"/>
      <c r="FF2310" s="118"/>
      <c r="FG2310" s="118"/>
      <c r="FH2310" s="118"/>
      <c r="FI2310" s="118"/>
      <c r="FJ2310" s="118"/>
      <c r="FK2310" s="118"/>
      <c r="FL2310" s="118"/>
      <c r="FM2310" s="118"/>
      <c r="FN2310" s="118"/>
      <c r="FO2310" s="118"/>
      <c r="FP2310" s="118"/>
      <c r="FQ2310" s="118"/>
      <c r="FR2310" s="118"/>
      <c r="FS2310" s="118"/>
      <c r="FT2310" s="118"/>
      <c r="FU2310" s="118"/>
      <c r="FV2310" s="118"/>
      <c r="FW2310" s="118"/>
      <c r="FX2310" s="118"/>
      <c r="FY2310" s="118"/>
      <c r="FZ2310" s="118"/>
      <c r="GA2310" s="118"/>
      <c r="GB2310" s="118"/>
      <c r="GC2310" s="118"/>
      <c r="GD2310" s="118"/>
      <c r="GE2310" s="118"/>
      <c r="GF2310" s="118"/>
      <c r="GG2310" s="118"/>
      <c r="GH2310" s="118"/>
      <c r="GI2310" s="118"/>
      <c r="GJ2310" s="118"/>
      <c r="GK2310" s="118"/>
      <c r="GL2310" s="118"/>
      <c r="GM2310" s="118"/>
      <c r="GN2310" s="118"/>
      <c r="GO2310" s="118"/>
      <c r="GP2310" s="118"/>
      <c r="GQ2310" s="118"/>
      <c r="GR2310" s="118"/>
      <c r="GS2310" s="118"/>
      <c r="GT2310" s="118"/>
      <c r="GU2310" s="118"/>
      <c r="GV2310" s="118"/>
      <c r="GW2310" s="118"/>
      <c r="GX2310" s="118"/>
      <c r="GY2310" s="118"/>
      <c r="GZ2310" s="118"/>
      <c r="HA2310" s="118"/>
      <c r="HB2310" s="118"/>
      <c r="HC2310" s="118"/>
      <c r="HD2310" s="118"/>
      <c r="HE2310" s="118"/>
      <c r="HF2310" s="118"/>
      <c r="HG2310" s="118"/>
      <c r="HH2310" s="118"/>
      <c r="HI2310" s="118"/>
      <c r="HJ2310" s="118"/>
      <c r="HK2310" s="118"/>
      <c r="HL2310" s="118"/>
      <c r="HM2310" s="118"/>
      <c r="HN2310" s="118"/>
      <c r="HO2310" s="118"/>
      <c r="HP2310" s="118"/>
      <c r="HQ2310" s="118"/>
      <c r="HR2310" s="118"/>
      <c r="HS2310" s="118"/>
      <c r="HT2310" s="118"/>
      <c r="HU2310" s="118"/>
      <c r="HV2310" s="118"/>
      <c r="HW2310" s="118"/>
      <c r="HX2310" s="118"/>
      <c r="HY2310" s="118"/>
      <c r="HZ2310" s="118"/>
      <c r="IA2310" s="118"/>
      <c r="IB2310" s="118"/>
      <c r="IC2310" s="118"/>
      <c r="ID2310" s="118"/>
      <c r="IE2310" s="118"/>
      <c r="IF2310" s="118"/>
      <c r="IG2310" s="118"/>
      <c r="IH2310" s="118"/>
      <c r="II2310" s="118"/>
      <c r="IJ2310" s="118"/>
    </row>
    <row r="2311" spans="1:244" s="127" customFormat="1" ht="12.75" customHeight="1">
      <c r="A2311" s="118">
        <v>2310</v>
      </c>
      <c r="B2311" s="128">
        <v>24</v>
      </c>
      <c r="C2311" s="156">
        <v>39234</v>
      </c>
      <c r="D2311" s="157" t="s">
        <v>49</v>
      </c>
      <c r="E2311" s="8">
        <v>2007</v>
      </c>
      <c r="F2311" s="158">
        <f t="shared" si="581"/>
        <v>577</v>
      </c>
      <c r="G2311" s="158">
        <f t="shared" si="582"/>
        <v>2</v>
      </c>
      <c r="H2311" s="162">
        <v>38657</v>
      </c>
      <c r="I2311" s="194">
        <v>572539</v>
      </c>
      <c r="J2311" s="15">
        <v>9.23</v>
      </c>
      <c r="K2311" s="15">
        <v>0.1</v>
      </c>
      <c r="L2311" s="15">
        <v>0.02</v>
      </c>
      <c r="M2311" s="174">
        <v>0</v>
      </c>
      <c r="N2311" s="528"/>
      <c r="O2311" s="15">
        <v>0.75</v>
      </c>
      <c r="P2311" s="8"/>
      <c r="Q2311" s="11">
        <v>8</v>
      </c>
      <c r="R2311" s="11">
        <v>32</v>
      </c>
      <c r="S2311" s="155"/>
      <c r="T2311" s="161">
        <f t="shared" si="583"/>
        <v>57253.9</v>
      </c>
      <c r="U2311" s="161">
        <f t="shared" si="584"/>
        <v>11450.78</v>
      </c>
      <c r="V2311" s="161">
        <f t="shared" si="585"/>
        <v>429404.25</v>
      </c>
      <c r="W2311" s="161">
        <f t="shared" si="586"/>
        <v>171761.7</v>
      </c>
      <c r="X2311" s="118"/>
      <c r="Y2311" s="118"/>
      <c r="Z2311" s="118"/>
      <c r="AA2311" s="118"/>
      <c r="AB2311" s="118"/>
      <c r="AC2311" s="118"/>
      <c r="AD2311" s="118"/>
      <c r="AE2311" s="118"/>
      <c r="AF2311" s="118"/>
      <c r="AG2311" s="118"/>
      <c r="AH2311" s="118"/>
      <c r="AI2311" s="118"/>
      <c r="AJ2311" s="118"/>
      <c r="AK2311" s="118"/>
      <c r="AL2311" s="118"/>
      <c r="AM2311" s="118"/>
      <c r="AN2311" s="118"/>
      <c r="AO2311" s="118"/>
      <c r="AP2311" s="118"/>
      <c r="AQ2311" s="118"/>
      <c r="AR2311" s="118"/>
      <c r="AS2311" s="118"/>
      <c r="AT2311" s="118"/>
      <c r="AU2311" s="118"/>
      <c r="AV2311" s="118"/>
      <c r="AW2311" s="118"/>
      <c r="AX2311" s="118"/>
      <c r="AY2311" s="118"/>
      <c r="AZ2311" s="118"/>
      <c r="BA2311" s="118"/>
      <c r="BB2311" s="118"/>
      <c r="BC2311" s="118"/>
      <c r="BD2311" s="118"/>
      <c r="BE2311" s="118"/>
      <c r="BF2311" s="118"/>
      <c r="BG2311" s="118"/>
      <c r="BH2311" s="118"/>
      <c r="BI2311" s="118"/>
      <c r="BJ2311" s="118"/>
      <c r="BK2311" s="118"/>
      <c r="BL2311" s="118"/>
      <c r="BM2311" s="118"/>
      <c r="BN2311" s="118"/>
      <c r="BO2311" s="118"/>
      <c r="BP2311" s="118"/>
      <c r="BQ2311" s="118"/>
      <c r="BR2311" s="118"/>
      <c r="BS2311" s="118"/>
      <c r="BT2311" s="118"/>
      <c r="BU2311" s="118"/>
      <c r="BV2311" s="118"/>
      <c r="BW2311" s="118"/>
      <c r="BX2311" s="118"/>
      <c r="BY2311" s="118"/>
      <c r="BZ2311" s="118"/>
      <c r="CA2311" s="118"/>
      <c r="CB2311" s="118"/>
      <c r="CC2311" s="118"/>
      <c r="CD2311" s="118"/>
      <c r="CE2311" s="118"/>
      <c r="CF2311" s="118"/>
      <c r="CG2311" s="118"/>
      <c r="CH2311" s="118"/>
      <c r="CI2311" s="118"/>
      <c r="CJ2311" s="118"/>
      <c r="CK2311" s="118"/>
      <c r="CL2311" s="118"/>
      <c r="CM2311" s="118"/>
      <c r="CN2311" s="118"/>
      <c r="CO2311" s="118"/>
      <c r="CP2311" s="118"/>
      <c r="CQ2311" s="118"/>
      <c r="CR2311" s="118"/>
      <c r="CS2311" s="118"/>
      <c r="CT2311" s="118"/>
      <c r="CU2311" s="118"/>
      <c r="CV2311" s="118"/>
      <c r="CW2311" s="118"/>
      <c r="CX2311" s="118"/>
      <c r="CY2311" s="118"/>
      <c r="CZ2311" s="118"/>
      <c r="DA2311" s="118"/>
      <c r="DB2311" s="118"/>
      <c r="DC2311" s="118"/>
      <c r="DD2311" s="118"/>
      <c r="DE2311" s="118"/>
      <c r="DF2311" s="118"/>
      <c r="DG2311" s="118"/>
      <c r="DH2311" s="118"/>
      <c r="DI2311" s="118"/>
      <c r="DJ2311" s="118"/>
      <c r="DK2311" s="118"/>
      <c r="DL2311" s="118"/>
      <c r="DM2311" s="118"/>
      <c r="DN2311" s="118"/>
      <c r="DO2311" s="118"/>
      <c r="DP2311" s="118"/>
      <c r="DQ2311" s="118"/>
      <c r="DR2311" s="118"/>
      <c r="DS2311" s="118"/>
      <c r="DT2311" s="118"/>
      <c r="DU2311" s="118"/>
      <c r="DV2311" s="118"/>
      <c r="DW2311" s="118"/>
      <c r="DX2311" s="118"/>
      <c r="DY2311" s="118"/>
      <c r="DZ2311" s="118"/>
      <c r="EA2311" s="118"/>
      <c r="EB2311" s="118"/>
      <c r="EC2311" s="118"/>
      <c r="ED2311" s="118"/>
      <c r="EE2311" s="118"/>
      <c r="EF2311" s="118"/>
      <c r="EG2311" s="118"/>
      <c r="EH2311" s="118"/>
      <c r="EI2311" s="118"/>
      <c r="EJ2311" s="118"/>
      <c r="EK2311" s="118"/>
      <c r="EL2311" s="118"/>
      <c r="EM2311" s="118"/>
      <c r="EN2311" s="118"/>
      <c r="EO2311" s="118"/>
      <c r="EP2311" s="118"/>
      <c r="EQ2311" s="118"/>
      <c r="ER2311" s="118"/>
      <c r="ES2311" s="118"/>
      <c r="ET2311" s="118"/>
      <c r="EU2311" s="118"/>
      <c r="EV2311" s="118"/>
      <c r="EW2311" s="118"/>
      <c r="EX2311" s="118"/>
      <c r="EY2311" s="118"/>
      <c r="EZ2311" s="118"/>
      <c r="FA2311" s="118"/>
      <c r="FB2311" s="118"/>
      <c r="FC2311" s="118"/>
      <c r="FD2311" s="118"/>
      <c r="FE2311" s="118"/>
      <c r="FF2311" s="118"/>
      <c r="FG2311" s="118"/>
      <c r="FH2311" s="118"/>
      <c r="FI2311" s="118"/>
      <c r="FJ2311" s="118"/>
      <c r="FK2311" s="118"/>
      <c r="FL2311" s="118"/>
      <c r="FM2311" s="118"/>
      <c r="FN2311" s="118"/>
      <c r="FO2311" s="118"/>
      <c r="FP2311" s="118"/>
      <c r="FQ2311" s="118"/>
      <c r="FR2311" s="118"/>
      <c r="FS2311" s="118"/>
      <c r="FT2311" s="118"/>
      <c r="FU2311" s="118"/>
      <c r="FV2311" s="118"/>
      <c r="FW2311" s="118"/>
      <c r="FX2311" s="118"/>
      <c r="FY2311" s="118"/>
      <c r="FZ2311" s="118"/>
      <c r="GA2311" s="118"/>
      <c r="GB2311" s="118"/>
      <c r="GC2311" s="118"/>
      <c r="GD2311" s="118"/>
      <c r="GE2311" s="118"/>
      <c r="GF2311" s="118"/>
      <c r="GG2311" s="118"/>
      <c r="GH2311" s="118"/>
      <c r="GI2311" s="118"/>
      <c r="GJ2311" s="118"/>
      <c r="GK2311" s="118"/>
      <c r="GL2311" s="118"/>
      <c r="GM2311" s="118"/>
      <c r="GN2311" s="118"/>
      <c r="GO2311" s="118"/>
      <c r="GP2311" s="118"/>
      <c r="GQ2311" s="118"/>
      <c r="GR2311" s="118"/>
      <c r="GS2311" s="118"/>
      <c r="GT2311" s="118"/>
      <c r="GU2311" s="118"/>
      <c r="GV2311" s="118"/>
      <c r="GW2311" s="118"/>
      <c r="GX2311" s="118"/>
      <c r="GY2311" s="118"/>
      <c r="GZ2311" s="118"/>
      <c r="HA2311" s="118"/>
      <c r="HB2311" s="118"/>
      <c r="HC2311" s="118"/>
      <c r="HD2311" s="118"/>
      <c r="HE2311" s="118"/>
      <c r="HF2311" s="118"/>
      <c r="HG2311" s="118"/>
      <c r="HH2311" s="118"/>
      <c r="HI2311" s="118"/>
      <c r="HJ2311" s="118"/>
      <c r="HK2311" s="118"/>
      <c r="HL2311" s="118"/>
      <c r="HM2311" s="118"/>
      <c r="HN2311" s="118"/>
      <c r="HO2311" s="118"/>
      <c r="HP2311" s="118"/>
      <c r="HQ2311" s="118"/>
      <c r="HR2311" s="118"/>
      <c r="HS2311" s="118"/>
      <c r="HT2311" s="118"/>
      <c r="HU2311" s="118"/>
      <c r="HV2311" s="118"/>
      <c r="HW2311" s="118"/>
      <c r="HX2311" s="118"/>
      <c r="HY2311" s="118"/>
      <c r="HZ2311" s="118"/>
      <c r="IA2311" s="118"/>
      <c r="IB2311" s="118"/>
      <c r="IC2311" s="118"/>
      <c r="ID2311" s="118"/>
      <c r="IE2311" s="118"/>
      <c r="IF2311" s="118"/>
      <c r="IG2311" s="118"/>
      <c r="IH2311" s="118"/>
      <c r="II2311" s="118"/>
      <c r="IJ2311" s="118"/>
    </row>
    <row r="2312" spans="1:244" s="127" customFormat="1" ht="12.75" customHeight="1">
      <c r="A2312" s="118">
        <v>2311</v>
      </c>
      <c r="B2312" s="128">
        <v>24</v>
      </c>
      <c r="C2312" s="156">
        <v>39264</v>
      </c>
      <c r="D2312" s="157" t="s">
        <v>50</v>
      </c>
      <c r="E2312" s="8">
        <v>2007</v>
      </c>
      <c r="F2312" s="158">
        <f t="shared" si="581"/>
        <v>607</v>
      </c>
      <c r="G2312" s="158">
        <f t="shared" si="582"/>
        <v>2</v>
      </c>
      <c r="H2312" s="162">
        <v>38657</v>
      </c>
      <c r="I2312" s="194">
        <v>571950</v>
      </c>
      <c r="J2312" s="15">
        <v>2.4</v>
      </c>
      <c r="K2312" s="15">
        <v>0.55000000000000004</v>
      </c>
      <c r="L2312" s="15">
        <v>0.17</v>
      </c>
      <c r="M2312" s="174">
        <v>0</v>
      </c>
      <c r="N2312" s="528"/>
      <c r="O2312" s="15">
        <v>0.56999999999999995</v>
      </c>
      <c r="P2312" s="8"/>
      <c r="Q2312" s="11">
        <v>9</v>
      </c>
      <c r="R2312" s="11">
        <v>31</v>
      </c>
      <c r="S2312" s="155"/>
      <c r="T2312" s="161">
        <f t="shared" si="583"/>
        <v>314572.5</v>
      </c>
      <c r="U2312" s="161">
        <f t="shared" si="584"/>
        <v>97231.5</v>
      </c>
      <c r="V2312" s="161">
        <f t="shared" si="585"/>
        <v>326011.5</v>
      </c>
      <c r="W2312" s="161">
        <f t="shared" si="586"/>
        <v>130404.6</v>
      </c>
      <c r="X2312" s="118"/>
      <c r="Y2312" s="118"/>
      <c r="Z2312" s="118"/>
      <c r="AA2312" s="118"/>
      <c r="AB2312" s="118"/>
      <c r="AC2312" s="118"/>
      <c r="AD2312" s="118"/>
      <c r="AE2312" s="118"/>
      <c r="AF2312" s="118"/>
      <c r="AG2312" s="118"/>
      <c r="AH2312" s="118"/>
      <c r="AI2312" s="118"/>
      <c r="AJ2312" s="118"/>
      <c r="AK2312" s="118"/>
      <c r="AL2312" s="118"/>
      <c r="AM2312" s="118"/>
      <c r="AN2312" s="118"/>
      <c r="AO2312" s="118"/>
      <c r="AP2312" s="118"/>
      <c r="AQ2312" s="118"/>
      <c r="AR2312" s="118"/>
      <c r="AS2312" s="118"/>
      <c r="AT2312" s="118"/>
      <c r="AU2312" s="118"/>
      <c r="AV2312" s="118"/>
      <c r="AW2312" s="118"/>
      <c r="AX2312" s="118"/>
      <c r="AY2312" s="118"/>
      <c r="AZ2312" s="118"/>
      <c r="BA2312" s="118"/>
      <c r="BB2312" s="118"/>
      <c r="BC2312" s="118"/>
      <c r="BD2312" s="118"/>
      <c r="BE2312" s="118"/>
      <c r="BF2312" s="118"/>
      <c r="BG2312" s="118"/>
      <c r="BH2312" s="118"/>
      <c r="BI2312" s="118"/>
      <c r="BJ2312" s="118"/>
      <c r="BK2312" s="118"/>
      <c r="BL2312" s="118"/>
      <c r="BM2312" s="118"/>
      <c r="BN2312" s="118"/>
      <c r="BO2312" s="118"/>
      <c r="BP2312" s="118"/>
      <c r="BQ2312" s="118"/>
      <c r="BR2312" s="118"/>
      <c r="BS2312" s="118"/>
      <c r="BT2312" s="118"/>
      <c r="BU2312" s="118"/>
      <c r="BV2312" s="118"/>
      <c r="BW2312" s="118"/>
      <c r="BX2312" s="118"/>
      <c r="BY2312" s="118"/>
      <c r="BZ2312" s="118"/>
      <c r="CA2312" s="118"/>
      <c r="CB2312" s="118"/>
      <c r="CC2312" s="118"/>
      <c r="CD2312" s="118"/>
      <c r="CE2312" s="118"/>
      <c r="CF2312" s="118"/>
      <c r="CG2312" s="118"/>
      <c r="CH2312" s="118"/>
      <c r="CI2312" s="118"/>
      <c r="CJ2312" s="118"/>
      <c r="CK2312" s="118"/>
      <c r="CL2312" s="118"/>
      <c r="CM2312" s="118"/>
      <c r="CN2312" s="118"/>
      <c r="CO2312" s="118"/>
      <c r="CP2312" s="118"/>
      <c r="CQ2312" s="118"/>
      <c r="CR2312" s="118"/>
      <c r="CS2312" s="118"/>
      <c r="CT2312" s="118"/>
      <c r="CU2312" s="118"/>
      <c r="CV2312" s="118"/>
      <c r="CW2312" s="118"/>
      <c r="CX2312" s="118"/>
      <c r="CY2312" s="118"/>
      <c r="CZ2312" s="118"/>
      <c r="DA2312" s="118"/>
      <c r="DB2312" s="118"/>
      <c r="DC2312" s="118"/>
      <c r="DD2312" s="118"/>
      <c r="DE2312" s="118"/>
      <c r="DF2312" s="118"/>
      <c r="DG2312" s="118"/>
      <c r="DH2312" s="118"/>
      <c r="DI2312" s="118"/>
      <c r="DJ2312" s="118"/>
      <c r="DK2312" s="118"/>
      <c r="DL2312" s="118"/>
      <c r="DM2312" s="118"/>
      <c r="DN2312" s="118"/>
      <c r="DO2312" s="118"/>
      <c r="DP2312" s="118"/>
      <c r="DQ2312" s="118"/>
      <c r="DR2312" s="118"/>
      <c r="DS2312" s="118"/>
      <c r="DT2312" s="118"/>
      <c r="DU2312" s="118"/>
      <c r="DV2312" s="118"/>
      <c r="DW2312" s="118"/>
      <c r="DX2312" s="118"/>
      <c r="DY2312" s="118"/>
      <c r="DZ2312" s="118"/>
      <c r="EA2312" s="118"/>
      <c r="EB2312" s="118"/>
      <c r="EC2312" s="118"/>
      <c r="ED2312" s="118"/>
      <c r="EE2312" s="118"/>
      <c r="EF2312" s="118"/>
      <c r="EG2312" s="118"/>
      <c r="EH2312" s="118"/>
      <c r="EI2312" s="118"/>
      <c r="EJ2312" s="118"/>
      <c r="EK2312" s="118"/>
      <c r="EL2312" s="118"/>
      <c r="EM2312" s="118"/>
      <c r="EN2312" s="118"/>
      <c r="EO2312" s="118"/>
      <c r="EP2312" s="118"/>
      <c r="EQ2312" s="118"/>
      <c r="ER2312" s="118"/>
      <c r="ES2312" s="118"/>
      <c r="ET2312" s="118"/>
      <c r="EU2312" s="118"/>
      <c r="EV2312" s="118"/>
      <c r="EW2312" s="118"/>
      <c r="EX2312" s="118"/>
      <c r="EY2312" s="118"/>
      <c r="EZ2312" s="118"/>
      <c r="FA2312" s="118"/>
      <c r="FB2312" s="118"/>
      <c r="FC2312" s="118"/>
      <c r="FD2312" s="118"/>
      <c r="FE2312" s="118"/>
      <c r="FF2312" s="118"/>
      <c r="FG2312" s="118"/>
      <c r="FH2312" s="118"/>
      <c r="FI2312" s="118"/>
      <c r="FJ2312" s="118"/>
      <c r="FK2312" s="118"/>
      <c r="FL2312" s="118"/>
      <c r="FM2312" s="118"/>
      <c r="FN2312" s="118"/>
      <c r="FO2312" s="118"/>
      <c r="FP2312" s="118"/>
      <c r="FQ2312" s="118"/>
      <c r="FR2312" s="118"/>
      <c r="FS2312" s="118"/>
      <c r="FT2312" s="118"/>
      <c r="FU2312" s="118"/>
      <c r="FV2312" s="118"/>
      <c r="FW2312" s="118"/>
      <c r="FX2312" s="118"/>
      <c r="FY2312" s="118"/>
      <c r="FZ2312" s="118"/>
      <c r="GA2312" s="118"/>
      <c r="GB2312" s="118"/>
      <c r="GC2312" s="118"/>
      <c r="GD2312" s="118"/>
      <c r="GE2312" s="118"/>
      <c r="GF2312" s="118"/>
      <c r="GG2312" s="118"/>
      <c r="GH2312" s="118"/>
      <c r="GI2312" s="118"/>
      <c r="GJ2312" s="118"/>
      <c r="GK2312" s="118"/>
      <c r="GL2312" s="118"/>
      <c r="GM2312" s="118"/>
      <c r="GN2312" s="118"/>
      <c r="GO2312" s="118"/>
      <c r="GP2312" s="118"/>
      <c r="GQ2312" s="118"/>
      <c r="GR2312" s="118"/>
      <c r="GS2312" s="118"/>
      <c r="GT2312" s="118"/>
      <c r="GU2312" s="118"/>
      <c r="GV2312" s="118"/>
      <c r="GW2312" s="118"/>
      <c r="GX2312" s="118"/>
      <c r="GY2312" s="118"/>
      <c r="GZ2312" s="118"/>
      <c r="HA2312" s="118"/>
      <c r="HB2312" s="118"/>
      <c r="HC2312" s="118"/>
      <c r="HD2312" s="118"/>
      <c r="HE2312" s="118"/>
      <c r="HF2312" s="118"/>
      <c r="HG2312" s="118"/>
      <c r="HH2312" s="118"/>
      <c r="HI2312" s="118"/>
      <c r="HJ2312" s="118"/>
      <c r="HK2312" s="118"/>
      <c r="HL2312" s="118"/>
      <c r="HM2312" s="118"/>
      <c r="HN2312" s="118"/>
      <c r="HO2312" s="118"/>
      <c r="HP2312" s="118"/>
      <c r="HQ2312" s="118"/>
      <c r="HR2312" s="118"/>
      <c r="HS2312" s="118"/>
      <c r="HT2312" s="118"/>
      <c r="HU2312" s="118"/>
      <c r="HV2312" s="118"/>
      <c r="HW2312" s="118"/>
      <c r="HX2312" s="118"/>
      <c r="HY2312" s="118"/>
      <c r="HZ2312" s="118"/>
      <c r="IA2312" s="118"/>
      <c r="IB2312" s="118"/>
      <c r="IC2312" s="118"/>
      <c r="ID2312" s="118"/>
      <c r="IE2312" s="118"/>
      <c r="IF2312" s="118"/>
      <c r="IG2312" s="118"/>
      <c r="IH2312" s="118"/>
      <c r="II2312" s="118"/>
      <c r="IJ2312" s="118"/>
    </row>
    <row r="2313" spans="1:244" s="127" customFormat="1" ht="12.75" customHeight="1">
      <c r="A2313" s="118">
        <v>2312</v>
      </c>
      <c r="B2313" s="128">
        <v>24</v>
      </c>
      <c r="C2313" s="156">
        <v>39295</v>
      </c>
      <c r="D2313" s="157" t="s">
        <v>51</v>
      </c>
      <c r="E2313" s="8">
        <v>2007</v>
      </c>
      <c r="F2313" s="158">
        <f t="shared" si="581"/>
        <v>638</v>
      </c>
      <c r="G2313" s="158">
        <f t="shared" si="582"/>
        <v>2</v>
      </c>
      <c r="H2313" s="162">
        <v>38657</v>
      </c>
      <c r="I2313" s="194">
        <v>571138</v>
      </c>
      <c r="J2313" s="15">
        <v>1.1000000000000001</v>
      </c>
      <c r="K2313" s="15">
        <v>0.42</v>
      </c>
      <c r="L2313" s="15">
        <v>0.17</v>
      </c>
      <c r="M2313" s="174">
        <v>0</v>
      </c>
      <c r="N2313" s="528"/>
      <c r="O2313" s="15">
        <v>0.6</v>
      </c>
      <c r="P2313" s="8"/>
      <c r="Q2313" s="11">
        <v>9</v>
      </c>
      <c r="R2313" s="11">
        <v>32</v>
      </c>
      <c r="S2313" s="155"/>
      <c r="T2313" s="161">
        <f t="shared" si="583"/>
        <v>239877.96</v>
      </c>
      <c r="U2313" s="161">
        <f t="shared" si="584"/>
        <v>97093.46</v>
      </c>
      <c r="V2313" s="161">
        <f t="shared" si="585"/>
        <v>342682.8</v>
      </c>
      <c r="W2313" s="161">
        <f t="shared" si="586"/>
        <v>137073.12</v>
      </c>
      <c r="X2313" s="118"/>
      <c r="Y2313" s="118"/>
      <c r="Z2313" s="118"/>
      <c r="AA2313" s="118"/>
      <c r="AB2313" s="118"/>
      <c r="AC2313" s="118"/>
      <c r="AD2313" s="118"/>
      <c r="AE2313" s="118"/>
      <c r="AF2313" s="118"/>
      <c r="AG2313" s="118"/>
      <c r="AH2313" s="118"/>
      <c r="AI2313" s="118"/>
      <c r="AJ2313" s="118"/>
      <c r="AK2313" s="118"/>
      <c r="AL2313" s="118"/>
      <c r="AM2313" s="118"/>
      <c r="AN2313" s="118"/>
      <c r="AO2313" s="118"/>
      <c r="AP2313" s="118"/>
      <c r="AQ2313" s="118"/>
      <c r="AR2313" s="118"/>
      <c r="AS2313" s="118"/>
      <c r="AT2313" s="118"/>
      <c r="AU2313" s="118"/>
      <c r="AV2313" s="118"/>
      <c r="AW2313" s="118"/>
      <c r="AX2313" s="118"/>
      <c r="AY2313" s="118"/>
      <c r="AZ2313" s="118"/>
      <c r="BA2313" s="118"/>
      <c r="BB2313" s="118"/>
      <c r="BC2313" s="118"/>
      <c r="BD2313" s="118"/>
      <c r="BE2313" s="118"/>
      <c r="BF2313" s="118"/>
      <c r="BG2313" s="118"/>
      <c r="BH2313" s="118"/>
      <c r="BI2313" s="118"/>
      <c r="BJ2313" s="118"/>
      <c r="BK2313" s="118"/>
      <c r="BL2313" s="118"/>
      <c r="BM2313" s="118"/>
      <c r="BN2313" s="118"/>
      <c r="BO2313" s="118"/>
      <c r="BP2313" s="118"/>
      <c r="BQ2313" s="118"/>
      <c r="BR2313" s="118"/>
      <c r="BS2313" s="118"/>
      <c r="BT2313" s="118"/>
      <c r="BU2313" s="118"/>
      <c r="BV2313" s="118"/>
      <c r="BW2313" s="118"/>
      <c r="BX2313" s="118"/>
      <c r="BY2313" s="118"/>
      <c r="BZ2313" s="118"/>
      <c r="CA2313" s="118"/>
      <c r="CB2313" s="118"/>
      <c r="CC2313" s="118"/>
      <c r="CD2313" s="118"/>
      <c r="CE2313" s="118"/>
      <c r="CF2313" s="118"/>
      <c r="CG2313" s="118"/>
      <c r="CH2313" s="118"/>
      <c r="CI2313" s="118"/>
      <c r="CJ2313" s="118"/>
      <c r="CK2313" s="118"/>
      <c r="CL2313" s="118"/>
      <c r="CM2313" s="118"/>
      <c r="CN2313" s="118"/>
      <c r="CO2313" s="118"/>
      <c r="CP2313" s="118"/>
      <c r="CQ2313" s="118"/>
      <c r="CR2313" s="118"/>
      <c r="CS2313" s="118"/>
      <c r="CT2313" s="118"/>
      <c r="CU2313" s="118"/>
      <c r="CV2313" s="118"/>
      <c r="CW2313" s="118"/>
      <c r="CX2313" s="118"/>
      <c r="CY2313" s="118"/>
      <c r="CZ2313" s="118"/>
      <c r="DA2313" s="118"/>
      <c r="DB2313" s="118"/>
      <c r="DC2313" s="118"/>
      <c r="DD2313" s="118"/>
      <c r="DE2313" s="118"/>
      <c r="DF2313" s="118"/>
      <c r="DG2313" s="118"/>
      <c r="DH2313" s="118"/>
      <c r="DI2313" s="118"/>
      <c r="DJ2313" s="118"/>
      <c r="DK2313" s="118"/>
      <c r="DL2313" s="118"/>
      <c r="DM2313" s="118"/>
      <c r="DN2313" s="118"/>
      <c r="DO2313" s="118"/>
      <c r="DP2313" s="118"/>
      <c r="DQ2313" s="118"/>
      <c r="DR2313" s="118"/>
      <c r="DS2313" s="118"/>
      <c r="DT2313" s="118"/>
      <c r="DU2313" s="118"/>
      <c r="DV2313" s="118"/>
      <c r="DW2313" s="118"/>
      <c r="DX2313" s="118"/>
      <c r="DY2313" s="118"/>
      <c r="DZ2313" s="118"/>
      <c r="EA2313" s="118"/>
      <c r="EB2313" s="118"/>
      <c r="EC2313" s="118"/>
      <c r="ED2313" s="118"/>
      <c r="EE2313" s="118"/>
      <c r="EF2313" s="118"/>
      <c r="EG2313" s="118"/>
      <c r="EH2313" s="118"/>
      <c r="EI2313" s="118"/>
      <c r="EJ2313" s="118"/>
      <c r="EK2313" s="118"/>
      <c r="EL2313" s="118"/>
      <c r="EM2313" s="118"/>
      <c r="EN2313" s="118"/>
      <c r="EO2313" s="118"/>
      <c r="EP2313" s="118"/>
      <c r="EQ2313" s="118"/>
      <c r="ER2313" s="118"/>
      <c r="ES2313" s="118"/>
      <c r="ET2313" s="118"/>
      <c r="EU2313" s="118"/>
      <c r="EV2313" s="118"/>
      <c r="EW2313" s="118"/>
      <c r="EX2313" s="118"/>
      <c r="EY2313" s="118"/>
      <c r="EZ2313" s="118"/>
      <c r="FA2313" s="118"/>
      <c r="FB2313" s="118"/>
      <c r="FC2313" s="118"/>
      <c r="FD2313" s="118"/>
      <c r="FE2313" s="118"/>
      <c r="FF2313" s="118"/>
      <c r="FG2313" s="118"/>
      <c r="FH2313" s="118"/>
      <c r="FI2313" s="118"/>
      <c r="FJ2313" s="118"/>
      <c r="FK2313" s="118"/>
      <c r="FL2313" s="118"/>
      <c r="FM2313" s="118"/>
      <c r="FN2313" s="118"/>
      <c r="FO2313" s="118"/>
      <c r="FP2313" s="118"/>
      <c r="FQ2313" s="118"/>
      <c r="FR2313" s="118"/>
      <c r="FS2313" s="118"/>
      <c r="FT2313" s="118"/>
      <c r="FU2313" s="118"/>
      <c r="FV2313" s="118"/>
      <c r="FW2313" s="118"/>
      <c r="FX2313" s="118"/>
      <c r="FY2313" s="118"/>
      <c r="FZ2313" s="118"/>
      <c r="GA2313" s="118"/>
      <c r="GB2313" s="118"/>
      <c r="GC2313" s="118"/>
      <c r="GD2313" s="118"/>
      <c r="GE2313" s="118"/>
      <c r="GF2313" s="118"/>
      <c r="GG2313" s="118"/>
      <c r="GH2313" s="118"/>
      <c r="GI2313" s="118"/>
      <c r="GJ2313" s="118"/>
      <c r="GK2313" s="118"/>
      <c r="GL2313" s="118"/>
      <c r="GM2313" s="118"/>
      <c r="GN2313" s="118"/>
      <c r="GO2313" s="118"/>
      <c r="GP2313" s="118"/>
      <c r="GQ2313" s="118"/>
      <c r="GR2313" s="118"/>
      <c r="GS2313" s="118"/>
      <c r="GT2313" s="118"/>
      <c r="GU2313" s="118"/>
      <c r="GV2313" s="118"/>
      <c r="GW2313" s="118"/>
      <c r="GX2313" s="118"/>
      <c r="GY2313" s="118"/>
      <c r="GZ2313" s="118"/>
      <c r="HA2313" s="118"/>
      <c r="HB2313" s="118"/>
      <c r="HC2313" s="118"/>
      <c r="HD2313" s="118"/>
      <c r="HE2313" s="118"/>
      <c r="HF2313" s="118"/>
      <c r="HG2313" s="118"/>
      <c r="HH2313" s="118"/>
      <c r="HI2313" s="118"/>
      <c r="HJ2313" s="118"/>
      <c r="HK2313" s="118"/>
      <c r="HL2313" s="118"/>
      <c r="HM2313" s="118"/>
      <c r="HN2313" s="118"/>
      <c r="HO2313" s="118"/>
      <c r="HP2313" s="118"/>
      <c r="HQ2313" s="118"/>
      <c r="HR2313" s="118"/>
      <c r="HS2313" s="118"/>
      <c r="HT2313" s="118"/>
      <c r="HU2313" s="118"/>
      <c r="HV2313" s="118"/>
      <c r="HW2313" s="118"/>
      <c r="HX2313" s="118"/>
      <c r="HY2313" s="118"/>
      <c r="HZ2313" s="118"/>
      <c r="IA2313" s="118"/>
      <c r="IB2313" s="118"/>
      <c r="IC2313" s="118"/>
      <c r="ID2313" s="118"/>
      <c r="IE2313" s="118"/>
      <c r="IF2313" s="118"/>
      <c r="IG2313" s="118"/>
      <c r="IH2313" s="118"/>
      <c r="II2313" s="118"/>
      <c r="IJ2313" s="118"/>
    </row>
    <row r="2314" spans="1:244" s="127" customFormat="1" ht="12.75" customHeight="1">
      <c r="A2314" s="118">
        <v>2313</v>
      </c>
      <c r="B2314" s="128">
        <v>24</v>
      </c>
      <c r="C2314" s="156">
        <v>39326</v>
      </c>
      <c r="D2314" s="157" t="s">
        <v>52</v>
      </c>
      <c r="E2314" s="8">
        <v>2007</v>
      </c>
      <c r="F2314" s="158">
        <f t="shared" si="581"/>
        <v>669</v>
      </c>
      <c r="G2314" s="158">
        <f t="shared" si="582"/>
        <v>2</v>
      </c>
      <c r="H2314" s="162">
        <v>38657</v>
      </c>
      <c r="I2314" s="194">
        <v>569707</v>
      </c>
      <c r="J2314" s="15">
        <v>0.97</v>
      </c>
      <c r="K2314" s="15">
        <v>1.07</v>
      </c>
      <c r="L2314" s="15">
        <v>0.82</v>
      </c>
      <c r="M2314" s="174">
        <v>0</v>
      </c>
      <c r="N2314" s="528"/>
      <c r="O2314" s="15">
        <v>0</v>
      </c>
      <c r="P2314" s="8"/>
      <c r="Q2314" s="11">
        <v>9</v>
      </c>
      <c r="R2314" s="11">
        <v>32</v>
      </c>
      <c r="S2314" s="155"/>
      <c r="T2314" s="161">
        <f t="shared" si="583"/>
        <v>609586.49</v>
      </c>
      <c r="U2314" s="161">
        <f t="shared" si="584"/>
        <v>467159.74</v>
      </c>
      <c r="V2314" s="161">
        <f t="shared" si="585"/>
        <v>0</v>
      </c>
      <c r="W2314" s="161">
        <f t="shared" si="586"/>
        <v>0</v>
      </c>
      <c r="X2314" s="118"/>
      <c r="Y2314" s="118"/>
      <c r="Z2314" s="118"/>
      <c r="AA2314" s="118"/>
      <c r="AB2314" s="118"/>
      <c r="AC2314" s="118"/>
      <c r="AD2314" s="118"/>
      <c r="AE2314" s="118"/>
      <c r="AF2314" s="118"/>
      <c r="AG2314" s="118"/>
      <c r="AH2314" s="118"/>
      <c r="AI2314" s="118"/>
      <c r="AJ2314" s="118"/>
      <c r="AK2314" s="118"/>
      <c r="AL2314" s="118"/>
      <c r="AM2314" s="118"/>
      <c r="AN2314" s="118"/>
      <c r="AO2314" s="118"/>
      <c r="AP2314" s="118"/>
      <c r="AQ2314" s="118"/>
      <c r="AR2314" s="118"/>
      <c r="AS2314" s="118"/>
      <c r="AT2314" s="118"/>
      <c r="AU2314" s="118"/>
      <c r="AV2314" s="118"/>
      <c r="AW2314" s="118"/>
      <c r="AX2314" s="118"/>
      <c r="AY2314" s="118"/>
      <c r="AZ2314" s="118"/>
      <c r="BA2314" s="118"/>
      <c r="BB2314" s="118"/>
      <c r="BC2314" s="118"/>
      <c r="BD2314" s="118"/>
      <c r="BE2314" s="118"/>
      <c r="BF2314" s="118"/>
      <c r="BG2314" s="118"/>
      <c r="BH2314" s="118"/>
      <c r="BI2314" s="118"/>
      <c r="BJ2314" s="118"/>
      <c r="BK2314" s="118"/>
      <c r="BL2314" s="118"/>
      <c r="BM2314" s="118"/>
      <c r="BN2314" s="118"/>
      <c r="BO2314" s="118"/>
      <c r="BP2314" s="118"/>
      <c r="BQ2314" s="118"/>
      <c r="BR2314" s="118"/>
      <c r="BS2314" s="118"/>
      <c r="BT2314" s="118"/>
      <c r="BU2314" s="118"/>
      <c r="BV2314" s="118"/>
      <c r="BW2314" s="118"/>
      <c r="BX2314" s="118"/>
      <c r="BY2314" s="118"/>
      <c r="BZ2314" s="118"/>
      <c r="CA2314" s="118"/>
      <c r="CB2314" s="118"/>
      <c r="CC2314" s="118"/>
      <c r="CD2314" s="118"/>
      <c r="CE2314" s="118"/>
      <c r="CF2314" s="118"/>
      <c r="CG2314" s="118"/>
      <c r="CH2314" s="118"/>
      <c r="CI2314" s="118"/>
      <c r="CJ2314" s="118"/>
      <c r="CK2314" s="118"/>
      <c r="CL2314" s="118"/>
      <c r="CM2314" s="118"/>
      <c r="CN2314" s="118"/>
      <c r="CO2314" s="118"/>
      <c r="CP2314" s="118"/>
      <c r="CQ2314" s="118"/>
      <c r="CR2314" s="118"/>
      <c r="CS2314" s="118"/>
      <c r="CT2314" s="118"/>
      <c r="CU2314" s="118"/>
      <c r="CV2314" s="118"/>
      <c r="CW2314" s="118"/>
      <c r="CX2314" s="118"/>
      <c r="CY2314" s="118"/>
      <c r="CZ2314" s="118"/>
      <c r="DA2314" s="118"/>
      <c r="DB2314" s="118"/>
      <c r="DC2314" s="118"/>
      <c r="DD2314" s="118"/>
      <c r="DE2314" s="118"/>
      <c r="DF2314" s="118"/>
      <c r="DG2314" s="118"/>
      <c r="DH2314" s="118"/>
      <c r="DI2314" s="118"/>
      <c r="DJ2314" s="118"/>
      <c r="DK2314" s="118"/>
      <c r="DL2314" s="118"/>
      <c r="DM2314" s="118"/>
      <c r="DN2314" s="118"/>
      <c r="DO2314" s="118"/>
      <c r="DP2314" s="118"/>
      <c r="DQ2314" s="118"/>
      <c r="DR2314" s="118"/>
      <c r="DS2314" s="118"/>
      <c r="DT2314" s="118"/>
      <c r="DU2314" s="118"/>
      <c r="DV2314" s="118"/>
      <c r="DW2314" s="118"/>
      <c r="DX2314" s="118"/>
      <c r="DY2314" s="118"/>
      <c r="DZ2314" s="118"/>
      <c r="EA2314" s="118"/>
      <c r="EB2314" s="118"/>
      <c r="EC2314" s="118"/>
      <c r="ED2314" s="118"/>
      <c r="EE2314" s="118"/>
      <c r="EF2314" s="118"/>
      <c r="EG2314" s="118"/>
      <c r="EH2314" s="118"/>
      <c r="EI2314" s="118"/>
      <c r="EJ2314" s="118"/>
      <c r="EK2314" s="118"/>
      <c r="EL2314" s="118"/>
      <c r="EM2314" s="118"/>
      <c r="EN2314" s="118"/>
      <c r="EO2314" s="118"/>
      <c r="EP2314" s="118"/>
      <c r="EQ2314" s="118"/>
      <c r="ER2314" s="118"/>
      <c r="ES2314" s="118"/>
      <c r="ET2314" s="118"/>
      <c r="EU2314" s="118"/>
      <c r="EV2314" s="118"/>
      <c r="EW2314" s="118"/>
      <c r="EX2314" s="118"/>
      <c r="EY2314" s="118"/>
      <c r="EZ2314" s="118"/>
      <c r="FA2314" s="118"/>
      <c r="FB2314" s="118"/>
      <c r="FC2314" s="118"/>
      <c r="FD2314" s="118"/>
      <c r="FE2314" s="118"/>
      <c r="FF2314" s="118"/>
      <c r="FG2314" s="118"/>
      <c r="FH2314" s="118"/>
      <c r="FI2314" s="118"/>
      <c r="FJ2314" s="118"/>
      <c r="FK2314" s="118"/>
      <c r="FL2314" s="118"/>
      <c r="FM2314" s="118"/>
      <c r="FN2314" s="118"/>
      <c r="FO2314" s="118"/>
      <c r="FP2314" s="118"/>
      <c r="FQ2314" s="118"/>
      <c r="FR2314" s="118"/>
      <c r="FS2314" s="118"/>
      <c r="FT2314" s="118"/>
      <c r="FU2314" s="118"/>
      <c r="FV2314" s="118"/>
      <c r="FW2314" s="118"/>
      <c r="FX2314" s="118"/>
      <c r="FY2314" s="118"/>
      <c r="FZ2314" s="118"/>
      <c r="GA2314" s="118"/>
      <c r="GB2314" s="118"/>
      <c r="GC2314" s="118"/>
      <c r="GD2314" s="118"/>
      <c r="GE2314" s="118"/>
      <c r="GF2314" s="118"/>
      <c r="GG2314" s="118"/>
      <c r="GH2314" s="118"/>
      <c r="GI2314" s="118"/>
      <c r="GJ2314" s="118"/>
      <c r="GK2314" s="118"/>
      <c r="GL2314" s="118"/>
      <c r="GM2314" s="118"/>
      <c r="GN2314" s="118"/>
      <c r="GO2314" s="118"/>
      <c r="GP2314" s="118"/>
      <c r="GQ2314" s="118"/>
      <c r="GR2314" s="118"/>
      <c r="GS2314" s="118"/>
      <c r="GT2314" s="118"/>
      <c r="GU2314" s="118"/>
      <c r="GV2314" s="118"/>
      <c r="GW2314" s="118"/>
      <c r="GX2314" s="118"/>
      <c r="GY2314" s="118"/>
      <c r="GZ2314" s="118"/>
      <c r="HA2314" s="118"/>
      <c r="HB2314" s="118"/>
      <c r="HC2314" s="118"/>
      <c r="HD2314" s="118"/>
      <c r="HE2314" s="118"/>
      <c r="HF2314" s="118"/>
      <c r="HG2314" s="118"/>
      <c r="HH2314" s="118"/>
      <c r="HI2314" s="118"/>
      <c r="HJ2314" s="118"/>
      <c r="HK2314" s="118"/>
      <c r="HL2314" s="118"/>
      <c r="HM2314" s="118"/>
      <c r="HN2314" s="118"/>
      <c r="HO2314" s="118"/>
      <c r="HP2314" s="118"/>
      <c r="HQ2314" s="118"/>
      <c r="HR2314" s="118"/>
      <c r="HS2314" s="118"/>
      <c r="HT2314" s="118"/>
      <c r="HU2314" s="118"/>
      <c r="HV2314" s="118"/>
      <c r="HW2314" s="118"/>
      <c r="HX2314" s="118"/>
      <c r="HY2314" s="118"/>
      <c r="HZ2314" s="118"/>
      <c r="IA2314" s="118"/>
      <c r="IB2314" s="118"/>
      <c r="IC2314" s="118"/>
      <c r="ID2314" s="118"/>
      <c r="IE2314" s="118"/>
      <c r="IF2314" s="118"/>
      <c r="IG2314" s="118"/>
      <c r="IH2314" s="118"/>
      <c r="II2314" s="118"/>
      <c r="IJ2314" s="118"/>
    </row>
    <row r="2315" spans="1:244" s="127" customFormat="1" ht="12.75" customHeight="1">
      <c r="A2315" s="118">
        <v>2314</v>
      </c>
      <c r="B2315" s="128">
        <v>24</v>
      </c>
      <c r="C2315" s="156">
        <v>39356</v>
      </c>
      <c r="D2315" s="157" t="s">
        <v>53</v>
      </c>
      <c r="E2315" s="8">
        <v>2007</v>
      </c>
      <c r="F2315" s="158">
        <f t="shared" si="581"/>
        <v>699</v>
      </c>
      <c r="G2315" s="158">
        <f t="shared" si="582"/>
        <v>2</v>
      </c>
      <c r="H2315" s="162">
        <v>38657</v>
      </c>
      <c r="I2315" s="194">
        <v>502394</v>
      </c>
      <c r="J2315" s="15">
        <v>0.92</v>
      </c>
      <c r="K2315" s="15">
        <v>1.07</v>
      </c>
      <c r="L2315" s="15">
        <v>0.7</v>
      </c>
      <c r="M2315" s="174">
        <v>0</v>
      </c>
      <c r="N2315" s="528"/>
      <c r="O2315" s="15">
        <v>0.55000000000000004</v>
      </c>
      <c r="P2315" s="8"/>
      <c r="Q2315" s="11">
        <v>8</v>
      </c>
      <c r="R2315" s="11" t="s">
        <v>39</v>
      </c>
      <c r="S2315" s="155"/>
      <c r="T2315" s="161">
        <f t="shared" si="583"/>
        <v>537561.58000000007</v>
      </c>
      <c r="U2315" s="161">
        <f t="shared" si="584"/>
        <v>351675.8</v>
      </c>
      <c r="V2315" s="161">
        <f t="shared" si="585"/>
        <v>276316.7</v>
      </c>
      <c r="W2315" s="161">
        <f t="shared" si="586"/>
        <v>110526.68000000001</v>
      </c>
      <c r="X2315" s="118"/>
      <c r="Y2315" s="118"/>
      <c r="Z2315" s="118"/>
      <c r="AA2315" s="118"/>
      <c r="AB2315" s="118"/>
      <c r="AC2315" s="118"/>
      <c r="AD2315" s="118"/>
      <c r="AE2315" s="118"/>
      <c r="AF2315" s="118"/>
      <c r="AG2315" s="118"/>
      <c r="AH2315" s="118"/>
      <c r="AI2315" s="118"/>
      <c r="AJ2315" s="118"/>
      <c r="AK2315" s="118"/>
      <c r="AL2315" s="118"/>
      <c r="AM2315" s="118"/>
      <c r="AN2315" s="118"/>
      <c r="AO2315" s="118"/>
      <c r="AP2315" s="118"/>
      <c r="AQ2315" s="118"/>
      <c r="AR2315" s="118"/>
      <c r="AS2315" s="118"/>
      <c r="AT2315" s="118"/>
      <c r="AU2315" s="118"/>
      <c r="AV2315" s="118"/>
      <c r="AW2315" s="118"/>
      <c r="AX2315" s="118"/>
      <c r="AY2315" s="118"/>
      <c r="AZ2315" s="118"/>
      <c r="BA2315" s="118"/>
      <c r="BB2315" s="118"/>
      <c r="BC2315" s="118"/>
      <c r="BD2315" s="118"/>
      <c r="BE2315" s="118"/>
      <c r="BF2315" s="118"/>
      <c r="BG2315" s="118"/>
      <c r="BH2315" s="118"/>
      <c r="BI2315" s="118"/>
      <c r="BJ2315" s="118"/>
      <c r="BK2315" s="118"/>
      <c r="BL2315" s="118"/>
      <c r="BM2315" s="118"/>
      <c r="BN2315" s="118"/>
      <c r="BO2315" s="118"/>
      <c r="BP2315" s="118"/>
      <c r="BQ2315" s="118"/>
      <c r="BR2315" s="118"/>
      <c r="BS2315" s="118"/>
      <c r="BT2315" s="118"/>
      <c r="BU2315" s="118"/>
      <c r="BV2315" s="118"/>
      <c r="BW2315" s="118"/>
      <c r="BX2315" s="118"/>
      <c r="BY2315" s="118"/>
      <c r="BZ2315" s="118"/>
      <c r="CA2315" s="118"/>
      <c r="CB2315" s="118"/>
      <c r="CC2315" s="118"/>
      <c r="CD2315" s="118"/>
      <c r="CE2315" s="118"/>
      <c r="CF2315" s="118"/>
      <c r="CG2315" s="118"/>
      <c r="CH2315" s="118"/>
      <c r="CI2315" s="118"/>
      <c r="CJ2315" s="118"/>
      <c r="CK2315" s="118"/>
      <c r="CL2315" s="118"/>
      <c r="CM2315" s="118"/>
      <c r="CN2315" s="118"/>
      <c r="CO2315" s="118"/>
      <c r="CP2315" s="118"/>
      <c r="CQ2315" s="118"/>
      <c r="CR2315" s="118"/>
      <c r="CS2315" s="118"/>
      <c r="CT2315" s="118"/>
      <c r="CU2315" s="118"/>
      <c r="CV2315" s="118"/>
      <c r="CW2315" s="118"/>
      <c r="CX2315" s="118"/>
      <c r="CY2315" s="118"/>
      <c r="CZ2315" s="118"/>
      <c r="DA2315" s="118"/>
      <c r="DB2315" s="118"/>
      <c r="DC2315" s="118"/>
      <c r="DD2315" s="118"/>
      <c r="DE2315" s="118"/>
      <c r="DF2315" s="118"/>
      <c r="DG2315" s="118"/>
      <c r="DH2315" s="118"/>
      <c r="DI2315" s="118"/>
      <c r="DJ2315" s="118"/>
      <c r="DK2315" s="118"/>
      <c r="DL2315" s="118"/>
      <c r="DM2315" s="118"/>
      <c r="DN2315" s="118"/>
      <c r="DO2315" s="118"/>
      <c r="DP2315" s="118"/>
      <c r="DQ2315" s="118"/>
      <c r="DR2315" s="118"/>
      <c r="DS2315" s="118"/>
      <c r="DT2315" s="118"/>
      <c r="DU2315" s="118"/>
      <c r="DV2315" s="118"/>
      <c r="DW2315" s="118"/>
      <c r="DX2315" s="118"/>
      <c r="DY2315" s="118"/>
      <c r="DZ2315" s="118"/>
      <c r="EA2315" s="118"/>
      <c r="EB2315" s="118"/>
      <c r="EC2315" s="118"/>
      <c r="ED2315" s="118"/>
      <c r="EE2315" s="118"/>
      <c r="EF2315" s="118"/>
      <c r="EG2315" s="118"/>
      <c r="EH2315" s="118"/>
      <c r="EI2315" s="118"/>
      <c r="EJ2315" s="118"/>
      <c r="EK2315" s="118"/>
      <c r="EL2315" s="118"/>
      <c r="EM2315" s="118"/>
      <c r="EN2315" s="118"/>
      <c r="EO2315" s="118"/>
      <c r="EP2315" s="118"/>
      <c r="EQ2315" s="118"/>
      <c r="ER2315" s="118"/>
      <c r="ES2315" s="118"/>
      <c r="ET2315" s="118"/>
      <c r="EU2315" s="118"/>
      <c r="EV2315" s="118"/>
      <c r="EW2315" s="118"/>
      <c r="EX2315" s="118"/>
      <c r="EY2315" s="118"/>
      <c r="EZ2315" s="118"/>
      <c r="FA2315" s="118"/>
      <c r="FB2315" s="118"/>
      <c r="FC2315" s="118"/>
      <c r="FD2315" s="118"/>
      <c r="FE2315" s="118"/>
      <c r="FF2315" s="118"/>
      <c r="FG2315" s="118"/>
      <c r="FH2315" s="118"/>
      <c r="FI2315" s="118"/>
      <c r="FJ2315" s="118"/>
      <c r="FK2315" s="118"/>
      <c r="FL2315" s="118"/>
      <c r="FM2315" s="118"/>
      <c r="FN2315" s="118"/>
      <c r="FO2315" s="118"/>
      <c r="FP2315" s="118"/>
      <c r="FQ2315" s="118"/>
      <c r="FR2315" s="118"/>
      <c r="FS2315" s="118"/>
      <c r="FT2315" s="118"/>
      <c r="FU2315" s="118"/>
      <c r="FV2315" s="118"/>
      <c r="FW2315" s="118"/>
      <c r="FX2315" s="118"/>
      <c r="FY2315" s="118"/>
      <c r="FZ2315" s="118"/>
      <c r="GA2315" s="118"/>
      <c r="GB2315" s="118"/>
      <c r="GC2315" s="118"/>
      <c r="GD2315" s="118"/>
      <c r="GE2315" s="118"/>
      <c r="GF2315" s="118"/>
      <c r="GG2315" s="118"/>
      <c r="GH2315" s="118"/>
      <c r="GI2315" s="118"/>
      <c r="GJ2315" s="118"/>
      <c r="GK2315" s="118"/>
      <c r="GL2315" s="118"/>
      <c r="GM2315" s="118"/>
      <c r="GN2315" s="118"/>
      <c r="GO2315" s="118"/>
      <c r="GP2315" s="118"/>
      <c r="GQ2315" s="118"/>
      <c r="GR2315" s="118"/>
      <c r="GS2315" s="118"/>
      <c r="GT2315" s="118"/>
      <c r="GU2315" s="118"/>
      <c r="GV2315" s="118"/>
      <c r="GW2315" s="118"/>
      <c r="GX2315" s="118"/>
      <c r="GY2315" s="118"/>
      <c r="GZ2315" s="118"/>
      <c r="HA2315" s="118"/>
      <c r="HB2315" s="118"/>
      <c r="HC2315" s="118"/>
      <c r="HD2315" s="118"/>
      <c r="HE2315" s="118"/>
      <c r="HF2315" s="118"/>
      <c r="HG2315" s="118"/>
      <c r="HH2315" s="118"/>
      <c r="HI2315" s="118"/>
      <c r="HJ2315" s="118"/>
      <c r="HK2315" s="118"/>
      <c r="HL2315" s="118"/>
      <c r="HM2315" s="118"/>
      <c r="HN2315" s="118"/>
      <c r="HO2315" s="118"/>
      <c r="HP2315" s="118"/>
      <c r="HQ2315" s="118"/>
      <c r="HR2315" s="118"/>
      <c r="HS2315" s="118"/>
      <c r="HT2315" s="118"/>
      <c r="HU2315" s="118"/>
      <c r="HV2315" s="118"/>
      <c r="HW2315" s="118"/>
      <c r="HX2315" s="118"/>
      <c r="HY2315" s="118"/>
      <c r="HZ2315" s="118"/>
      <c r="IA2315" s="118"/>
      <c r="IB2315" s="118"/>
      <c r="IC2315" s="118"/>
      <c r="ID2315" s="118"/>
      <c r="IE2315" s="118"/>
      <c r="IF2315" s="118"/>
      <c r="IG2315" s="118"/>
      <c r="IH2315" s="118"/>
      <c r="II2315" s="118"/>
      <c r="IJ2315" s="118"/>
    </row>
    <row r="2316" spans="1:244" s="127" customFormat="1" ht="12.75" customHeight="1">
      <c r="A2316" s="118">
        <v>2315</v>
      </c>
      <c r="B2316" s="128">
        <v>24</v>
      </c>
      <c r="C2316" s="156">
        <v>39387</v>
      </c>
      <c r="D2316" s="157" t="s">
        <v>54</v>
      </c>
      <c r="E2316" s="8">
        <v>2007</v>
      </c>
      <c r="F2316" s="158">
        <f t="shared" si="581"/>
        <v>730</v>
      </c>
      <c r="G2316" s="158">
        <f>IF(F2316&lt;730,2,3)</f>
        <v>3</v>
      </c>
      <c r="H2316" s="162">
        <v>38657</v>
      </c>
      <c r="I2316" s="194">
        <v>279776</v>
      </c>
      <c r="J2316" s="15">
        <v>0.67</v>
      </c>
      <c r="K2316" s="15">
        <v>1.1200000000000001</v>
      </c>
      <c r="L2316" s="15">
        <v>0.72</v>
      </c>
      <c r="M2316" s="174"/>
      <c r="N2316" s="528"/>
      <c r="O2316" s="15">
        <v>0.18</v>
      </c>
      <c r="P2316" s="8"/>
      <c r="Q2316" s="11">
        <v>7</v>
      </c>
      <c r="R2316" s="11" t="s">
        <v>39</v>
      </c>
      <c r="S2316" s="155"/>
      <c r="T2316" s="161">
        <f t="shared" si="583"/>
        <v>313349.12000000005</v>
      </c>
      <c r="U2316" s="161">
        <f t="shared" si="584"/>
        <v>201438.72</v>
      </c>
      <c r="V2316" s="161">
        <f t="shared" si="585"/>
        <v>50359.68</v>
      </c>
      <c r="W2316" s="161">
        <f t="shared" si="586"/>
        <v>20143.872000000003</v>
      </c>
      <c r="X2316" s="118"/>
      <c r="Y2316" s="118"/>
      <c r="Z2316" s="118"/>
      <c r="AA2316" s="118"/>
      <c r="AB2316" s="118"/>
      <c r="AC2316" s="118"/>
      <c r="AD2316" s="118"/>
      <c r="AE2316" s="118"/>
      <c r="AF2316" s="118"/>
      <c r="AG2316" s="118"/>
      <c r="AH2316" s="118"/>
      <c r="AI2316" s="118"/>
      <c r="AJ2316" s="118"/>
      <c r="AK2316" s="118"/>
      <c r="AL2316" s="118"/>
      <c r="AM2316" s="118"/>
      <c r="AN2316" s="118"/>
      <c r="AO2316" s="118"/>
      <c r="AP2316" s="118"/>
      <c r="AQ2316" s="118"/>
      <c r="AR2316" s="118"/>
      <c r="AS2316" s="118"/>
      <c r="AT2316" s="118"/>
      <c r="AU2316" s="118"/>
      <c r="AV2316" s="118"/>
      <c r="AW2316" s="118"/>
      <c r="AX2316" s="118"/>
      <c r="AY2316" s="118"/>
      <c r="AZ2316" s="118"/>
      <c r="BA2316" s="118"/>
      <c r="BB2316" s="118"/>
      <c r="BC2316" s="118"/>
      <c r="BD2316" s="118"/>
      <c r="BE2316" s="118"/>
      <c r="BF2316" s="118"/>
      <c r="BG2316" s="118"/>
      <c r="BH2316" s="118"/>
      <c r="BI2316" s="118"/>
      <c r="BJ2316" s="118"/>
      <c r="BK2316" s="118"/>
      <c r="BL2316" s="118"/>
      <c r="BM2316" s="118"/>
      <c r="BN2316" s="118"/>
      <c r="BO2316" s="118"/>
      <c r="BP2316" s="118"/>
      <c r="BQ2316" s="118"/>
      <c r="BR2316" s="118"/>
      <c r="BS2316" s="118"/>
      <c r="BT2316" s="118"/>
      <c r="BU2316" s="118"/>
      <c r="BV2316" s="118"/>
      <c r="BW2316" s="118"/>
      <c r="BX2316" s="118"/>
      <c r="BY2316" s="118"/>
      <c r="BZ2316" s="118"/>
      <c r="CA2316" s="118"/>
      <c r="CB2316" s="118"/>
      <c r="CC2316" s="118"/>
      <c r="CD2316" s="118"/>
      <c r="CE2316" s="118"/>
      <c r="CF2316" s="118"/>
      <c r="CG2316" s="118"/>
      <c r="CH2316" s="118"/>
      <c r="CI2316" s="118"/>
      <c r="CJ2316" s="118"/>
      <c r="CK2316" s="118"/>
      <c r="CL2316" s="118"/>
      <c r="CM2316" s="118"/>
      <c r="CN2316" s="118"/>
      <c r="CO2316" s="118"/>
      <c r="CP2316" s="118"/>
      <c r="CQ2316" s="118"/>
      <c r="CR2316" s="118"/>
      <c r="CS2316" s="118"/>
      <c r="CT2316" s="118"/>
      <c r="CU2316" s="118"/>
      <c r="CV2316" s="118"/>
      <c r="CW2316" s="118"/>
      <c r="CX2316" s="118"/>
      <c r="CY2316" s="118"/>
      <c r="CZ2316" s="118"/>
      <c r="DA2316" s="118"/>
      <c r="DB2316" s="118"/>
      <c r="DC2316" s="118"/>
      <c r="DD2316" s="118"/>
      <c r="DE2316" s="118"/>
      <c r="DF2316" s="118"/>
      <c r="DG2316" s="118"/>
      <c r="DH2316" s="118"/>
      <c r="DI2316" s="118"/>
      <c r="DJ2316" s="118"/>
      <c r="DK2316" s="118"/>
      <c r="DL2316" s="118"/>
      <c r="DM2316" s="118"/>
      <c r="DN2316" s="118"/>
      <c r="DO2316" s="118"/>
      <c r="DP2316" s="118"/>
      <c r="DQ2316" s="118"/>
      <c r="DR2316" s="118"/>
      <c r="DS2316" s="118"/>
      <c r="DT2316" s="118"/>
      <c r="DU2316" s="118"/>
      <c r="DV2316" s="118"/>
      <c r="DW2316" s="118"/>
      <c r="DX2316" s="118"/>
      <c r="DY2316" s="118"/>
      <c r="DZ2316" s="118"/>
      <c r="EA2316" s="118"/>
      <c r="EB2316" s="118"/>
      <c r="EC2316" s="118"/>
      <c r="ED2316" s="118"/>
      <c r="EE2316" s="118"/>
      <c r="EF2316" s="118"/>
      <c r="EG2316" s="118"/>
      <c r="EH2316" s="118"/>
      <c r="EI2316" s="118"/>
      <c r="EJ2316" s="118"/>
      <c r="EK2316" s="118"/>
      <c r="EL2316" s="118"/>
      <c r="EM2316" s="118"/>
      <c r="EN2316" s="118"/>
      <c r="EO2316" s="118"/>
      <c r="EP2316" s="118"/>
      <c r="EQ2316" s="118"/>
      <c r="ER2316" s="118"/>
      <c r="ES2316" s="118"/>
      <c r="ET2316" s="118"/>
      <c r="EU2316" s="118"/>
      <c r="EV2316" s="118"/>
      <c r="EW2316" s="118"/>
      <c r="EX2316" s="118"/>
      <c r="EY2316" s="118"/>
      <c r="EZ2316" s="118"/>
      <c r="FA2316" s="118"/>
      <c r="FB2316" s="118"/>
      <c r="FC2316" s="118"/>
      <c r="FD2316" s="118"/>
      <c r="FE2316" s="118"/>
      <c r="FF2316" s="118"/>
      <c r="FG2316" s="118"/>
      <c r="FH2316" s="118"/>
      <c r="FI2316" s="118"/>
      <c r="FJ2316" s="118"/>
      <c r="FK2316" s="118"/>
      <c r="FL2316" s="118"/>
      <c r="FM2316" s="118"/>
      <c r="FN2316" s="118"/>
      <c r="FO2316" s="118"/>
      <c r="FP2316" s="118"/>
      <c r="FQ2316" s="118"/>
      <c r="FR2316" s="118"/>
      <c r="FS2316" s="118"/>
      <c r="FT2316" s="118"/>
      <c r="FU2316" s="118"/>
      <c r="FV2316" s="118"/>
      <c r="FW2316" s="118"/>
      <c r="FX2316" s="118"/>
      <c r="FY2316" s="118"/>
      <c r="FZ2316" s="118"/>
      <c r="GA2316" s="118"/>
      <c r="GB2316" s="118"/>
      <c r="GC2316" s="118"/>
      <c r="GD2316" s="118"/>
      <c r="GE2316" s="118"/>
      <c r="GF2316" s="118"/>
      <c r="GG2316" s="118"/>
      <c r="GH2316" s="118"/>
      <c r="GI2316" s="118"/>
      <c r="GJ2316" s="118"/>
      <c r="GK2316" s="118"/>
      <c r="GL2316" s="118"/>
      <c r="GM2316" s="118"/>
      <c r="GN2316" s="118"/>
      <c r="GO2316" s="118"/>
      <c r="GP2316" s="118"/>
      <c r="GQ2316" s="118"/>
      <c r="GR2316" s="118"/>
      <c r="GS2316" s="118"/>
      <c r="GT2316" s="118"/>
      <c r="GU2316" s="118"/>
      <c r="GV2316" s="118"/>
      <c r="GW2316" s="118"/>
      <c r="GX2316" s="118"/>
      <c r="GY2316" s="118"/>
      <c r="GZ2316" s="118"/>
      <c r="HA2316" s="118"/>
      <c r="HB2316" s="118"/>
      <c r="HC2316" s="118"/>
      <c r="HD2316" s="118"/>
      <c r="HE2316" s="118"/>
      <c r="HF2316" s="118"/>
      <c r="HG2316" s="118"/>
      <c r="HH2316" s="118"/>
      <c r="HI2316" s="118"/>
      <c r="HJ2316" s="118"/>
      <c r="HK2316" s="118"/>
      <c r="HL2316" s="118"/>
      <c r="HM2316" s="118"/>
      <c r="HN2316" s="118"/>
      <c r="HO2316" s="118"/>
      <c r="HP2316" s="118"/>
      <c r="HQ2316" s="118"/>
      <c r="HR2316" s="118"/>
      <c r="HS2316" s="118"/>
      <c r="HT2316" s="118"/>
      <c r="HU2316" s="118"/>
      <c r="HV2316" s="118"/>
      <c r="HW2316" s="118"/>
      <c r="HX2316" s="118"/>
      <c r="HY2316" s="118"/>
      <c r="HZ2316" s="118"/>
      <c r="IA2316" s="118"/>
      <c r="IB2316" s="118"/>
      <c r="IC2316" s="118"/>
      <c r="ID2316" s="118"/>
      <c r="IE2316" s="118"/>
      <c r="IF2316" s="118"/>
      <c r="IG2316" s="118"/>
      <c r="IH2316" s="118"/>
      <c r="II2316" s="118"/>
      <c r="IJ2316" s="118"/>
    </row>
    <row r="2317" spans="1:244" s="127" customFormat="1" ht="12.75" customHeight="1">
      <c r="A2317" s="118">
        <v>2316</v>
      </c>
      <c r="B2317" s="128">
        <v>24</v>
      </c>
      <c r="C2317" s="156">
        <v>39417</v>
      </c>
      <c r="D2317" s="157" t="s">
        <v>55</v>
      </c>
      <c r="E2317" s="8">
        <v>2007</v>
      </c>
      <c r="F2317" s="158">
        <f t="shared" si="581"/>
        <v>760</v>
      </c>
      <c r="G2317" s="158">
        <f>IF(F2317&lt;730,2,3)</f>
        <v>3</v>
      </c>
      <c r="H2317" s="162">
        <v>38657</v>
      </c>
      <c r="I2317" s="194">
        <v>127937</v>
      </c>
      <c r="J2317" s="15"/>
      <c r="K2317" s="15"/>
      <c r="L2317" s="165">
        <v>0.8</v>
      </c>
      <c r="M2317" s="174"/>
      <c r="N2317" s="528" t="s">
        <v>795</v>
      </c>
      <c r="O2317" s="165">
        <v>0.18</v>
      </c>
      <c r="P2317" s="8"/>
      <c r="Q2317" s="11"/>
      <c r="R2317" s="11"/>
      <c r="S2317" s="155"/>
      <c r="T2317" s="15"/>
      <c r="U2317" s="161">
        <f>$I2317*L2317</f>
        <v>102349.6</v>
      </c>
      <c r="V2317" s="161">
        <f t="shared" si="585"/>
        <v>23028.66</v>
      </c>
      <c r="W2317" s="161">
        <f t="shared" si="586"/>
        <v>9211.4639999999999</v>
      </c>
      <c r="X2317" s="118"/>
      <c r="Y2317" s="118"/>
      <c r="Z2317" s="118"/>
      <c r="AA2317" s="118"/>
      <c r="AB2317" s="118"/>
      <c r="AC2317" s="118"/>
      <c r="AD2317" s="118"/>
      <c r="AE2317" s="118"/>
      <c r="AF2317" s="118"/>
      <c r="AG2317" s="118"/>
      <c r="AH2317" s="118"/>
      <c r="AI2317" s="118"/>
      <c r="AJ2317" s="118"/>
      <c r="AK2317" s="118"/>
      <c r="AL2317" s="118"/>
      <c r="AM2317" s="118"/>
      <c r="AN2317" s="118"/>
      <c r="AO2317" s="118"/>
      <c r="AP2317" s="118"/>
      <c r="AQ2317" s="118"/>
      <c r="AR2317" s="118"/>
      <c r="AS2317" s="118"/>
      <c r="AT2317" s="118"/>
      <c r="AU2317" s="118"/>
      <c r="AV2317" s="118"/>
      <c r="AW2317" s="118"/>
      <c r="AX2317" s="118"/>
      <c r="AY2317" s="118"/>
      <c r="AZ2317" s="118"/>
      <c r="BA2317" s="118"/>
      <c r="BB2317" s="118"/>
      <c r="BC2317" s="118"/>
      <c r="BD2317" s="118"/>
      <c r="BE2317" s="118"/>
      <c r="BF2317" s="118"/>
      <c r="BG2317" s="118"/>
      <c r="BH2317" s="118"/>
      <c r="BI2317" s="118"/>
      <c r="BJ2317" s="118"/>
      <c r="BK2317" s="118"/>
      <c r="BL2317" s="118"/>
      <c r="BM2317" s="118"/>
      <c r="BN2317" s="118"/>
      <c r="BO2317" s="118"/>
      <c r="BP2317" s="118"/>
      <c r="BQ2317" s="118"/>
      <c r="BR2317" s="118"/>
      <c r="BS2317" s="118"/>
      <c r="BT2317" s="118"/>
      <c r="BU2317" s="118"/>
      <c r="BV2317" s="118"/>
      <c r="BW2317" s="118"/>
      <c r="BX2317" s="118"/>
      <c r="BY2317" s="118"/>
      <c r="BZ2317" s="118"/>
      <c r="CA2317" s="118"/>
      <c r="CB2317" s="118"/>
      <c r="CC2317" s="118"/>
      <c r="CD2317" s="118"/>
      <c r="CE2317" s="118"/>
      <c r="CF2317" s="118"/>
      <c r="CG2317" s="118"/>
      <c r="CH2317" s="118"/>
      <c r="CI2317" s="118"/>
      <c r="CJ2317" s="118"/>
      <c r="CK2317" s="118"/>
      <c r="CL2317" s="118"/>
      <c r="CM2317" s="118"/>
      <c r="CN2317" s="118"/>
      <c r="CO2317" s="118"/>
      <c r="CP2317" s="118"/>
      <c r="CQ2317" s="118"/>
      <c r="CR2317" s="118"/>
      <c r="CS2317" s="118"/>
      <c r="CT2317" s="118"/>
      <c r="CU2317" s="118"/>
      <c r="CV2317" s="118"/>
      <c r="CW2317" s="118"/>
      <c r="CX2317" s="118"/>
      <c r="CY2317" s="118"/>
      <c r="CZ2317" s="118"/>
      <c r="DA2317" s="118"/>
      <c r="DB2317" s="118"/>
      <c r="DC2317" s="118"/>
      <c r="DD2317" s="118"/>
      <c r="DE2317" s="118"/>
      <c r="DF2317" s="118"/>
      <c r="DG2317" s="118"/>
      <c r="DH2317" s="118"/>
      <c r="DI2317" s="118"/>
      <c r="DJ2317" s="118"/>
      <c r="DK2317" s="118"/>
      <c r="DL2317" s="118"/>
      <c r="DM2317" s="118"/>
      <c r="DN2317" s="118"/>
      <c r="DO2317" s="118"/>
      <c r="DP2317" s="118"/>
      <c r="DQ2317" s="118"/>
      <c r="DR2317" s="118"/>
      <c r="DS2317" s="118"/>
      <c r="DT2317" s="118"/>
      <c r="DU2317" s="118"/>
      <c r="DV2317" s="118"/>
      <c r="DW2317" s="118"/>
      <c r="DX2317" s="118"/>
      <c r="DY2317" s="118"/>
      <c r="DZ2317" s="118"/>
      <c r="EA2317" s="118"/>
      <c r="EB2317" s="118"/>
      <c r="EC2317" s="118"/>
      <c r="ED2317" s="118"/>
      <c r="EE2317" s="118"/>
      <c r="EF2317" s="118"/>
      <c r="EG2317" s="118"/>
      <c r="EH2317" s="118"/>
      <c r="EI2317" s="118"/>
      <c r="EJ2317" s="118"/>
      <c r="EK2317" s="118"/>
      <c r="EL2317" s="118"/>
      <c r="EM2317" s="118"/>
      <c r="EN2317" s="118"/>
      <c r="EO2317" s="118"/>
      <c r="EP2317" s="118"/>
      <c r="EQ2317" s="118"/>
      <c r="ER2317" s="118"/>
      <c r="ES2317" s="118"/>
      <c r="ET2317" s="118"/>
      <c r="EU2317" s="118"/>
      <c r="EV2317" s="118"/>
      <c r="EW2317" s="118"/>
      <c r="EX2317" s="118"/>
      <c r="EY2317" s="118"/>
      <c r="EZ2317" s="118"/>
      <c r="FA2317" s="118"/>
      <c r="FB2317" s="118"/>
      <c r="FC2317" s="118"/>
      <c r="FD2317" s="118"/>
      <c r="FE2317" s="118"/>
      <c r="FF2317" s="118"/>
      <c r="FG2317" s="118"/>
      <c r="FH2317" s="118"/>
      <c r="FI2317" s="118"/>
      <c r="FJ2317" s="118"/>
      <c r="FK2317" s="118"/>
      <c r="FL2317" s="118"/>
      <c r="FM2317" s="118"/>
      <c r="FN2317" s="118"/>
      <c r="FO2317" s="118"/>
      <c r="FP2317" s="118"/>
      <c r="FQ2317" s="118"/>
      <c r="FR2317" s="118"/>
      <c r="FS2317" s="118"/>
      <c r="FT2317" s="118"/>
      <c r="FU2317" s="118"/>
      <c r="FV2317" s="118"/>
      <c r="FW2317" s="118"/>
      <c r="FX2317" s="118"/>
      <c r="FY2317" s="118"/>
      <c r="FZ2317" s="118"/>
      <c r="GA2317" s="118"/>
      <c r="GB2317" s="118"/>
      <c r="GC2317" s="118"/>
      <c r="GD2317" s="118"/>
      <c r="GE2317" s="118"/>
      <c r="GF2317" s="118"/>
      <c r="GG2317" s="118"/>
      <c r="GH2317" s="118"/>
      <c r="GI2317" s="118"/>
      <c r="GJ2317" s="118"/>
      <c r="GK2317" s="118"/>
      <c r="GL2317" s="118"/>
      <c r="GM2317" s="118"/>
      <c r="GN2317" s="118"/>
      <c r="GO2317" s="118"/>
      <c r="GP2317" s="118"/>
      <c r="GQ2317" s="118"/>
      <c r="GR2317" s="118"/>
      <c r="GS2317" s="118"/>
      <c r="GT2317" s="118"/>
      <c r="GU2317" s="118"/>
      <c r="GV2317" s="118"/>
      <c r="GW2317" s="118"/>
      <c r="GX2317" s="118"/>
      <c r="GY2317" s="118"/>
      <c r="GZ2317" s="118"/>
      <c r="HA2317" s="118"/>
      <c r="HB2317" s="118"/>
      <c r="HC2317" s="118"/>
      <c r="HD2317" s="118"/>
      <c r="HE2317" s="118"/>
      <c r="HF2317" s="118"/>
      <c r="HG2317" s="118"/>
      <c r="HH2317" s="118"/>
      <c r="HI2317" s="118"/>
      <c r="HJ2317" s="118"/>
      <c r="HK2317" s="118"/>
      <c r="HL2317" s="118"/>
      <c r="HM2317" s="118"/>
      <c r="HN2317" s="118"/>
      <c r="HO2317" s="118"/>
      <c r="HP2317" s="118"/>
      <c r="HQ2317" s="118"/>
      <c r="HR2317" s="118"/>
      <c r="HS2317" s="118"/>
      <c r="HT2317" s="118"/>
      <c r="HU2317" s="118"/>
      <c r="HV2317" s="118"/>
      <c r="HW2317" s="118"/>
      <c r="HX2317" s="118"/>
      <c r="HY2317" s="118"/>
      <c r="HZ2317" s="118"/>
      <c r="IA2317" s="118"/>
      <c r="IB2317" s="118"/>
      <c r="IC2317" s="118"/>
      <c r="ID2317" s="118"/>
      <c r="IE2317" s="118"/>
      <c r="IF2317" s="118"/>
      <c r="IG2317" s="118"/>
      <c r="IH2317" s="118"/>
      <c r="II2317" s="118"/>
      <c r="IJ2317" s="118"/>
    </row>
    <row r="2318" spans="1:244" s="128" customFormat="1" ht="12.75" customHeight="1">
      <c r="A2318" s="118">
        <v>2317</v>
      </c>
      <c r="B2318" s="128">
        <v>24</v>
      </c>
      <c r="C2318" s="156">
        <v>39448</v>
      </c>
      <c r="D2318" s="157" t="s">
        <v>44</v>
      </c>
      <c r="E2318" s="127">
        <v>2008</v>
      </c>
      <c r="F2318" s="127"/>
      <c r="G2318" s="127"/>
      <c r="H2318" s="162"/>
      <c r="I2318" s="194"/>
      <c r="J2318" s="15"/>
      <c r="K2318" s="15"/>
      <c r="L2318" s="15"/>
      <c r="M2318" s="174"/>
      <c r="N2318" s="528"/>
      <c r="O2318" s="15"/>
      <c r="P2318" s="8"/>
      <c r="Q2318" s="158"/>
      <c r="R2318" s="158"/>
      <c r="S2318" s="155"/>
      <c r="U2318" s="118"/>
      <c r="V2318" s="118"/>
      <c r="W2318" s="118"/>
      <c r="X2318" s="127"/>
      <c r="Y2318" s="127"/>
      <c r="Z2318" s="127"/>
      <c r="AA2318" s="127"/>
      <c r="AB2318" s="127"/>
      <c r="AC2318" s="127"/>
      <c r="AD2318" s="127"/>
      <c r="AE2318" s="127"/>
      <c r="AF2318" s="127"/>
      <c r="AG2318" s="127"/>
      <c r="AH2318" s="127"/>
      <c r="AI2318" s="127"/>
      <c r="AJ2318" s="127"/>
      <c r="AK2318" s="127"/>
      <c r="AL2318" s="127"/>
      <c r="AM2318" s="127"/>
      <c r="AN2318" s="127"/>
      <c r="AO2318" s="127"/>
      <c r="AP2318" s="127"/>
      <c r="AQ2318" s="127"/>
      <c r="AR2318" s="127"/>
      <c r="AS2318" s="127"/>
      <c r="AT2318" s="127"/>
      <c r="AU2318" s="127"/>
      <c r="AV2318" s="127"/>
      <c r="AW2318" s="127"/>
      <c r="AX2318" s="127"/>
      <c r="AY2318" s="127"/>
      <c r="AZ2318" s="127"/>
      <c r="BA2318" s="127"/>
      <c r="BB2318" s="127"/>
      <c r="BC2318" s="127"/>
      <c r="BD2318" s="127"/>
      <c r="BE2318" s="127"/>
      <c r="BF2318" s="127"/>
      <c r="BG2318" s="127"/>
      <c r="BH2318" s="127"/>
      <c r="BI2318" s="127"/>
      <c r="BJ2318" s="127"/>
      <c r="BK2318" s="127"/>
      <c r="BL2318" s="127"/>
      <c r="BM2318" s="127"/>
      <c r="BN2318" s="127"/>
      <c r="BO2318" s="127"/>
      <c r="BP2318" s="127"/>
      <c r="BQ2318" s="127"/>
      <c r="BR2318" s="127"/>
      <c r="BS2318" s="127"/>
      <c r="BT2318" s="127"/>
      <c r="BU2318" s="127"/>
      <c r="BV2318" s="127"/>
      <c r="BW2318" s="127"/>
      <c r="BX2318" s="127"/>
      <c r="BY2318" s="127"/>
      <c r="BZ2318" s="127"/>
      <c r="CA2318" s="127"/>
      <c r="CB2318" s="127"/>
      <c r="CC2318" s="127"/>
      <c r="CD2318" s="127"/>
      <c r="CE2318" s="127"/>
      <c r="CF2318" s="127"/>
      <c r="CG2318" s="127"/>
      <c r="CH2318" s="127"/>
      <c r="CI2318" s="127"/>
      <c r="CJ2318" s="127"/>
      <c r="CK2318" s="127"/>
      <c r="CL2318" s="127"/>
      <c r="CM2318" s="127"/>
      <c r="CN2318" s="127"/>
      <c r="CO2318" s="127"/>
      <c r="CP2318" s="127"/>
      <c r="CQ2318" s="127"/>
      <c r="CR2318" s="127"/>
      <c r="CS2318" s="127"/>
      <c r="CT2318" s="127"/>
      <c r="CU2318" s="127"/>
      <c r="CV2318" s="127"/>
      <c r="CW2318" s="127"/>
      <c r="CX2318" s="127"/>
      <c r="CY2318" s="127"/>
      <c r="CZ2318" s="127"/>
      <c r="DA2318" s="127"/>
      <c r="DB2318" s="127"/>
      <c r="DC2318" s="127"/>
      <c r="DD2318" s="127"/>
      <c r="DE2318" s="127"/>
      <c r="DF2318" s="127"/>
      <c r="DG2318" s="127"/>
      <c r="DH2318" s="127"/>
      <c r="DI2318" s="127"/>
      <c r="DJ2318" s="127"/>
      <c r="DK2318" s="127"/>
      <c r="DL2318" s="127"/>
      <c r="DM2318" s="127"/>
      <c r="DN2318" s="127"/>
      <c r="DO2318" s="127"/>
      <c r="DP2318" s="127"/>
      <c r="DQ2318" s="127"/>
      <c r="DR2318" s="127"/>
      <c r="DS2318" s="127"/>
      <c r="DT2318" s="127"/>
      <c r="DU2318" s="127"/>
      <c r="DV2318" s="127"/>
      <c r="DW2318" s="127"/>
      <c r="DX2318" s="127"/>
      <c r="DY2318" s="127"/>
      <c r="DZ2318" s="127"/>
      <c r="EA2318" s="127"/>
      <c r="EB2318" s="127"/>
      <c r="EC2318" s="127"/>
      <c r="ED2318" s="127"/>
      <c r="EE2318" s="127"/>
      <c r="EF2318" s="127"/>
      <c r="EG2318" s="127"/>
      <c r="EH2318" s="127"/>
      <c r="EI2318" s="127"/>
      <c r="EJ2318" s="127"/>
      <c r="EK2318" s="127"/>
      <c r="EL2318" s="127"/>
      <c r="EM2318" s="127"/>
      <c r="EN2318" s="127"/>
      <c r="EO2318" s="127"/>
      <c r="EP2318" s="127"/>
      <c r="EQ2318" s="127"/>
      <c r="ER2318" s="127"/>
      <c r="ES2318" s="127"/>
      <c r="ET2318" s="127"/>
      <c r="EU2318" s="127"/>
      <c r="EV2318" s="127"/>
      <c r="EW2318" s="127"/>
      <c r="EX2318" s="127"/>
      <c r="EY2318" s="127"/>
      <c r="EZ2318" s="127"/>
      <c r="FA2318" s="127"/>
      <c r="FB2318" s="127"/>
      <c r="FC2318" s="127"/>
      <c r="FD2318" s="127"/>
      <c r="FE2318" s="127"/>
      <c r="FF2318" s="127"/>
      <c r="FG2318" s="127"/>
      <c r="FH2318" s="127"/>
      <c r="FI2318" s="127"/>
      <c r="FJ2318" s="127"/>
      <c r="FK2318" s="127"/>
      <c r="FL2318" s="127"/>
      <c r="FM2318" s="127"/>
      <c r="FN2318" s="127"/>
      <c r="FO2318" s="127"/>
      <c r="FP2318" s="127"/>
      <c r="FQ2318" s="127"/>
      <c r="FR2318" s="127"/>
      <c r="FS2318" s="127"/>
      <c r="FT2318" s="127"/>
      <c r="FU2318" s="127"/>
      <c r="FV2318" s="127"/>
      <c r="FW2318" s="127"/>
      <c r="FX2318" s="127"/>
      <c r="FY2318" s="127"/>
      <c r="FZ2318" s="127"/>
      <c r="GA2318" s="127"/>
      <c r="GB2318" s="127"/>
      <c r="GC2318" s="127"/>
      <c r="GD2318" s="127"/>
      <c r="GE2318" s="127"/>
      <c r="GF2318" s="127"/>
      <c r="GG2318" s="127"/>
      <c r="GH2318" s="127"/>
      <c r="GI2318" s="127"/>
      <c r="GJ2318" s="127"/>
      <c r="GK2318" s="127"/>
      <c r="GL2318" s="127"/>
      <c r="GM2318" s="127"/>
      <c r="GN2318" s="127"/>
      <c r="GO2318" s="127"/>
      <c r="GP2318" s="127"/>
      <c r="GQ2318" s="127"/>
      <c r="GR2318" s="127"/>
      <c r="GS2318" s="127"/>
      <c r="GT2318" s="127"/>
      <c r="GU2318" s="127"/>
      <c r="GV2318" s="127"/>
      <c r="GW2318" s="127"/>
      <c r="GX2318" s="127"/>
      <c r="GY2318" s="127"/>
      <c r="GZ2318" s="127"/>
      <c r="HA2318" s="127"/>
      <c r="HB2318" s="127"/>
      <c r="HC2318" s="127"/>
      <c r="HD2318" s="127"/>
      <c r="HE2318" s="127"/>
      <c r="HF2318" s="127"/>
      <c r="HG2318" s="127"/>
      <c r="HH2318" s="127"/>
      <c r="HI2318" s="127"/>
      <c r="HJ2318" s="127"/>
      <c r="HK2318" s="127"/>
      <c r="HL2318" s="127"/>
      <c r="HM2318" s="127"/>
      <c r="HN2318" s="127"/>
      <c r="HO2318" s="127"/>
      <c r="HP2318" s="127"/>
      <c r="HQ2318" s="127"/>
      <c r="HR2318" s="127"/>
      <c r="HS2318" s="127"/>
      <c r="HT2318" s="127"/>
      <c r="HU2318" s="127"/>
      <c r="HV2318" s="127"/>
      <c r="HW2318" s="127"/>
      <c r="HX2318" s="127"/>
      <c r="HY2318" s="127"/>
      <c r="HZ2318" s="127"/>
      <c r="IA2318" s="127"/>
      <c r="IB2318" s="127"/>
      <c r="IC2318" s="127"/>
      <c r="ID2318" s="127"/>
      <c r="IE2318" s="127"/>
      <c r="IF2318" s="127"/>
      <c r="IG2318" s="127"/>
      <c r="IH2318" s="127"/>
      <c r="II2318" s="127"/>
      <c r="IJ2318" s="127"/>
    </row>
    <row r="2319" spans="1:244" s="128" customFormat="1" ht="12.75" customHeight="1">
      <c r="A2319" s="118">
        <v>2318</v>
      </c>
      <c r="B2319" s="128">
        <v>24</v>
      </c>
      <c r="C2319" s="156">
        <v>39479</v>
      </c>
      <c r="D2319" s="157" t="s">
        <v>45</v>
      </c>
      <c r="E2319" s="127">
        <v>2008</v>
      </c>
      <c r="F2319" s="127"/>
      <c r="G2319" s="127"/>
      <c r="H2319" s="162"/>
      <c r="I2319" s="194"/>
      <c r="J2319" s="15"/>
      <c r="K2319" s="15"/>
      <c r="L2319" s="15"/>
      <c r="M2319" s="174"/>
      <c r="N2319" s="528"/>
      <c r="O2319" s="15"/>
      <c r="P2319" s="8"/>
      <c r="Q2319" s="158"/>
      <c r="R2319" s="158"/>
      <c r="S2319" s="155"/>
      <c r="U2319" s="118"/>
      <c r="V2319" s="118"/>
      <c r="W2319" s="118"/>
      <c r="X2319" s="127"/>
      <c r="Y2319" s="127"/>
      <c r="Z2319" s="127"/>
      <c r="AA2319" s="127"/>
      <c r="AB2319" s="127"/>
      <c r="AC2319" s="127"/>
      <c r="AD2319" s="127"/>
      <c r="AE2319" s="127"/>
      <c r="AF2319" s="127"/>
      <c r="AG2319" s="127"/>
      <c r="AH2319" s="127"/>
      <c r="AI2319" s="127"/>
      <c r="AJ2319" s="127"/>
      <c r="AK2319" s="127"/>
      <c r="AL2319" s="127"/>
      <c r="AM2319" s="127"/>
      <c r="AN2319" s="127"/>
      <c r="AO2319" s="127"/>
      <c r="AP2319" s="127"/>
      <c r="AQ2319" s="127"/>
      <c r="AR2319" s="127"/>
      <c r="AS2319" s="127"/>
      <c r="AT2319" s="127"/>
      <c r="AU2319" s="127"/>
      <c r="AV2319" s="127"/>
      <c r="AW2319" s="127"/>
      <c r="AX2319" s="127"/>
      <c r="AY2319" s="127"/>
      <c r="AZ2319" s="127"/>
      <c r="BA2319" s="127"/>
      <c r="BB2319" s="127"/>
      <c r="BC2319" s="127"/>
      <c r="BD2319" s="127"/>
      <c r="BE2319" s="127"/>
      <c r="BF2319" s="127"/>
      <c r="BG2319" s="127"/>
      <c r="BH2319" s="127"/>
      <c r="BI2319" s="127"/>
      <c r="BJ2319" s="127"/>
      <c r="BK2319" s="127"/>
      <c r="BL2319" s="127"/>
      <c r="BM2319" s="127"/>
      <c r="BN2319" s="127"/>
      <c r="BO2319" s="127"/>
      <c r="BP2319" s="127"/>
      <c r="BQ2319" s="127"/>
      <c r="BR2319" s="127"/>
      <c r="BS2319" s="127"/>
      <c r="BT2319" s="127"/>
      <c r="BU2319" s="127"/>
      <c r="BV2319" s="127"/>
      <c r="BW2319" s="127"/>
      <c r="BX2319" s="127"/>
      <c r="BY2319" s="127"/>
      <c r="BZ2319" s="127"/>
      <c r="CA2319" s="127"/>
      <c r="CB2319" s="127"/>
      <c r="CC2319" s="127"/>
      <c r="CD2319" s="127"/>
      <c r="CE2319" s="127"/>
      <c r="CF2319" s="127"/>
      <c r="CG2319" s="127"/>
      <c r="CH2319" s="127"/>
      <c r="CI2319" s="127"/>
      <c r="CJ2319" s="127"/>
      <c r="CK2319" s="127"/>
      <c r="CL2319" s="127"/>
      <c r="CM2319" s="127"/>
      <c r="CN2319" s="127"/>
      <c r="CO2319" s="127"/>
      <c r="CP2319" s="127"/>
      <c r="CQ2319" s="127"/>
      <c r="CR2319" s="127"/>
      <c r="CS2319" s="127"/>
      <c r="CT2319" s="127"/>
      <c r="CU2319" s="127"/>
      <c r="CV2319" s="127"/>
      <c r="CW2319" s="127"/>
      <c r="CX2319" s="127"/>
      <c r="CY2319" s="127"/>
      <c r="CZ2319" s="127"/>
      <c r="DA2319" s="127"/>
      <c r="DB2319" s="127"/>
      <c r="DC2319" s="127"/>
      <c r="DD2319" s="127"/>
      <c r="DE2319" s="127"/>
      <c r="DF2319" s="127"/>
      <c r="DG2319" s="127"/>
      <c r="DH2319" s="127"/>
      <c r="DI2319" s="127"/>
      <c r="DJ2319" s="127"/>
      <c r="DK2319" s="127"/>
      <c r="DL2319" s="127"/>
      <c r="DM2319" s="127"/>
      <c r="DN2319" s="127"/>
      <c r="DO2319" s="127"/>
      <c r="DP2319" s="127"/>
      <c r="DQ2319" s="127"/>
      <c r="DR2319" s="127"/>
      <c r="DS2319" s="127"/>
      <c r="DT2319" s="127"/>
      <c r="DU2319" s="127"/>
      <c r="DV2319" s="127"/>
      <c r="DW2319" s="127"/>
      <c r="DX2319" s="127"/>
      <c r="DY2319" s="127"/>
      <c r="DZ2319" s="127"/>
      <c r="EA2319" s="127"/>
      <c r="EB2319" s="127"/>
      <c r="EC2319" s="127"/>
      <c r="ED2319" s="127"/>
      <c r="EE2319" s="127"/>
      <c r="EF2319" s="127"/>
      <c r="EG2319" s="127"/>
      <c r="EH2319" s="127"/>
      <c r="EI2319" s="127"/>
      <c r="EJ2319" s="127"/>
      <c r="EK2319" s="127"/>
      <c r="EL2319" s="127"/>
      <c r="EM2319" s="127"/>
      <c r="EN2319" s="127"/>
      <c r="EO2319" s="127"/>
      <c r="EP2319" s="127"/>
      <c r="EQ2319" s="127"/>
      <c r="ER2319" s="127"/>
      <c r="ES2319" s="127"/>
      <c r="ET2319" s="127"/>
      <c r="EU2319" s="127"/>
      <c r="EV2319" s="127"/>
      <c r="EW2319" s="127"/>
      <c r="EX2319" s="127"/>
      <c r="EY2319" s="127"/>
      <c r="EZ2319" s="127"/>
      <c r="FA2319" s="127"/>
      <c r="FB2319" s="127"/>
      <c r="FC2319" s="127"/>
      <c r="FD2319" s="127"/>
      <c r="FE2319" s="127"/>
      <c r="FF2319" s="127"/>
      <c r="FG2319" s="127"/>
      <c r="FH2319" s="127"/>
      <c r="FI2319" s="127"/>
      <c r="FJ2319" s="127"/>
      <c r="FK2319" s="127"/>
      <c r="FL2319" s="127"/>
      <c r="FM2319" s="127"/>
      <c r="FN2319" s="127"/>
      <c r="FO2319" s="127"/>
      <c r="FP2319" s="127"/>
      <c r="FQ2319" s="127"/>
      <c r="FR2319" s="127"/>
      <c r="FS2319" s="127"/>
      <c r="FT2319" s="127"/>
      <c r="FU2319" s="127"/>
      <c r="FV2319" s="127"/>
      <c r="FW2319" s="127"/>
      <c r="FX2319" s="127"/>
      <c r="FY2319" s="127"/>
      <c r="FZ2319" s="127"/>
      <c r="GA2319" s="127"/>
      <c r="GB2319" s="127"/>
      <c r="GC2319" s="127"/>
      <c r="GD2319" s="127"/>
      <c r="GE2319" s="127"/>
      <c r="GF2319" s="127"/>
      <c r="GG2319" s="127"/>
      <c r="GH2319" s="127"/>
      <c r="GI2319" s="127"/>
      <c r="GJ2319" s="127"/>
      <c r="GK2319" s="127"/>
      <c r="GL2319" s="127"/>
      <c r="GM2319" s="127"/>
      <c r="GN2319" s="127"/>
      <c r="GO2319" s="127"/>
      <c r="GP2319" s="127"/>
      <c r="GQ2319" s="127"/>
      <c r="GR2319" s="127"/>
      <c r="GS2319" s="127"/>
      <c r="GT2319" s="127"/>
      <c r="GU2319" s="127"/>
      <c r="GV2319" s="127"/>
      <c r="GW2319" s="127"/>
      <c r="GX2319" s="127"/>
      <c r="GY2319" s="127"/>
      <c r="GZ2319" s="127"/>
      <c r="HA2319" s="127"/>
      <c r="HB2319" s="127"/>
      <c r="HC2319" s="127"/>
      <c r="HD2319" s="127"/>
      <c r="HE2319" s="127"/>
      <c r="HF2319" s="127"/>
      <c r="HG2319" s="127"/>
      <c r="HH2319" s="127"/>
      <c r="HI2319" s="127"/>
      <c r="HJ2319" s="127"/>
      <c r="HK2319" s="127"/>
      <c r="HL2319" s="127"/>
      <c r="HM2319" s="127"/>
      <c r="HN2319" s="127"/>
      <c r="HO2319" s="127"/>
      <c r="HP2319" s="127"/>
      <c r="HQ2319" s="127"/>
      <c r="HR2319" s="127"/>
      <c r="HS2319" s="127"/>
      <c r="HT2319" s="127"/>
      <c r="HU2319" s="127"/>
      <c r="HV2319" s="127"/>
      <c r="HW2319" s="127"/>
      <c r="HX2319" s="127"/>
      <c r="HY2319" s="127"/>
      <c r="HZ2319" s="127"/>
      <c r="IA2319" s="127"/>
      <c r="IB2319" s="127"/>
      <c r="IC2319" s="127"/>
      <c r="ID2319" s="127"/>
      <c r="IE2319" s="127"/>
      <c r="IF2319" s="127"/>
      <c r="IG2319" s="127"/>
      <c r="IH2319" s="127"/>
      <c r="II2319" s="127"/>
      <c r="IJ2319" s="127"/>
    </row>
    <row r="2320" spans="1:244" s="128" customFormat="1" ht="12.75" customHeight="1">
      <c r="A2320" s="118">
        <v>2319</v>
      </c>
      <c r="B2320" s="128">
        <v>24</v>
      </c>
      <c r="C2320" s="156">
        <v>39508</v>
      </c>
      <c r="D2320" s="157" t="s">
        <v>46</v>
      </c>
      <c r="E2320" s="127">
        <v>2008</v>
      </c>
      <c r="F2320" s="127"/>
      <c r="G2320" s="127"/>
      <c r="H2320" s="162"/>
      <c r="I2320" s="194"/>
      <c r="J2320" s="15"/>
      <c r="K2320" s="15"/>
      <c r="L2320" s="15"/>
      <c r="M2320" s="174"/>
      <c r="N2320" s="528"/>
      <c r="O2320" s="15"/>
      <c r="P2320" s="8"/>
      <c r="Q2320" s="158"/>
      <c r="R2320" s="158"/>
      <c r="S2320" s="155"/>
      <c r="U2320" s="118"/>
      <c r="V2320" s="118"/>
      <c r="W2320" s="118"/>
      <c r="X2320" s="127"/>
      <c r="Y2320" s="127"/>
      <c r="Z2320" s="127"/>
      <c r="AA2320" s="127"/>
      <c r="AB2320" s="127"/>
      <c r="AC2320" s="127"/>
      <c r="AD2320" s="127"/>
      <c r="AE2320" s="127"/>
      <c r="AF2320" s="127"/>
      <c r="AG2320" s="127"/>
      <c r="AH2320" s="127"/>
      <c r="AI2320" s="127"/>
      <c r="AJ2320" s="127"/>
      <c r="AK2320" s="127"/>
      <c r="AL2320" s="127"/>
      <c r="AM2320" s="127"/>
      <c r="AN2320" s="127"/>
      <c r="AO2320" s="127"/>
      <c r="AP2320" s="127"/>
      <c r="AQ2320" s="127"/>
      <c r="AR2320" s="127"/>
      <c r="AS2320" s="127"/>
      <c r="AT2320" s="127"/>
      <c r="AU2320" s="127"/>
      <c r="AV2320" s="127"/>
      <c r="AW2320" s="127"/>
      <c r="AX2320" s="127"/>
      <c r="AY2320" s="127"/>
      <c r="AZ2320" s="127"/>
      <c r="BA2320" s="127"/>
      <c r="BB2320" s="127"/>
      <c r="BC2320" s="127"/>
      <c r="BD2320" s="127"/>
      <c r="BE2320" s="127"/>
      <c r="BF2320" s="127"/>
      <c r="BG2320" s="127"/>
      <c r="BH2320" s="127"/>
      <c r="BI2320" s="127"/>
      <c r="BJ2320" s="127"/>
      <c r="BK2320" s="127"/>
      <c r="BL2320" s="127"/>
      <c r="BM2320" s="127"/>
      <c r="BN2320" s="127"/>
      <c r="BO2320" s="127"/>
      <c r="BP2320" s="127"/>
      <c r="BQ2320" s="127"/>
      <c r="BR2320" s="127"/>
      <c r="BS2320" s="127"/>
      <c r="BT2320" s="127"/>
      <c r="BU2320" s="127"/>
      <c r="BV2320" s="127"/>
      <c r="BW2320" s="127"/>
      <c r="BX2320" s="127"/>
      <c r="BY2320" s="127"/>
      <c r="BZ2320" s="127"/>
      <c r="CA2320" s="127"/>
      <c r="CB2320" s="127"/>
      <c r="CC2320" s="127"/>
      <c r="CD2320" s="127"/>
      <c r="CE2320" s="127"/>
      <c r="CF2320" s="127"/>
      <c r="CG2320" s="127"/>
      <c r="CH2320" s="127"/>
      <c r="CI2320" s="127"/>
      <c r="CJ2320" s="127"/>
      <c r="CK2320" s="127"/>
      <c r="CL2320" s="127"/>
      <c r="CM2320" s="127"/>
      <c r="CN2320" s="127"/>
      <c r="CO2320" s="127"/>
      <c r="CP2320" s="127"/>
      <c r="CQ2320" s="127"/>
      <c r="CR2320" s="127"/>
      <c r="CS2320" s="127"/>
      <c r="CT2320" s="127"/>
      <c r="CU2320" s="127"/>
      <c r="CV2320" s="127"/>
      <c r="CW2320" s="127"/>
      <c r="CX2320" s="127"/>
      <c r="CY2320" s="127"/>
      <c r="CZ2320" s="127"/>
      <c r="DA2320" s="127"/>
      <c r="DB2320" s="127"/>
      <c r="DC2320" s="127"/>
      <c r="DD2320" s="127"/>
      <c r="DE2320" s="127"/>
      <c r="DF2320" s="127"/>
      <c r="DG2320" s="127"/>
      <c r="DH2320" s="127"/>
      <c r="DI2320" s="127"/>
      <c r="DJ2320" s="127"/>
      <c r="DK2320" s="127"/>
      <c r="DL2320" s="127"/>
      <c r="DM2320" s="127"/>
      <c r="DN2320" s="127"/>
      <c r="DO2320" s="127"/>
      <c r="DP2320" s="127"/>
      <c r="DQ2320" s="127"/>
      <c r="DR2320" s="127"/>
      <c r="DS2320" s="127"/>
      <c r="DT2320" s="127"/>
      <c r="DU2320" s="127"/>
      <c r="DV2320" s="127"/>
      <c r="DW2320" s="127"/>
      <c r="DX2320" s="127"/>
      <c r="DY2320" s="127"/>
      <c r="DZ2320" s="127"/>
      <c r="EA2320" s="127"/>
      <c r="EB2320" s="127"/>
      <c r="EC2320" s="127"/>
      <c r="ED2320" s="127"/>
      <c r="EE2320" s="127"/>
      <c r="EF2320" s="127"/>
      <c r="EG2320" s="127"/>
      <c r="EH2320" s="127"/>
      <c r="EI2320" s="127"/>
      <c r="EJ2320" s="127"/>
      <c r="EK2320" s="127"/>
      <c r="EL2320" s="127"/>
      <c r="EM2320" s="127"/>
      <c r="EN2320" s="127"/>
      <c r="EO2320" s="127"/>
      <c r="EP2320" s="127"/>
      <c r="EQ2320" s="127"/>
      <c r="ER2320" s="127"/>
      <c r="ES2320" s="127"/>
      <c r="ET2320" s="127"/>
      <c r="EU2320" s="127"/>
      <c r="EV2320" s="127"/>
      <c r="EW2320" s="127"/>
      <c r="EX2320" s="127"/>
      <c r="EY2320" s="127"/>
      <c r="EZ2320" s="127"/>
      <c r="FA2320" s="127"/>
      <c r="FB2320" s="127"/>
      <c r="FC2320" s="127"/>
      <c r="FD2320" s="127"/>
      <c r="FE2320" s="127"/>
      <c r="FF2320" s="127"/>
      <c r="FG2320" s="127"/>
      <c r="FH2320" s="127"/>
      <c r="FI2320" s="127"/>
      <c r="FJ2320" s="127"/>
      <c r="FK2320" s="127"/>
      <c r="FL2320" s="127"/>
      <c r="FM2320" s="127"/>
      <c r="FN2320" s="127"/>
      <c r="FO2320" s="127"/>
      <c r="FP2320" s="127"/>
      <c r="FQ2320" s="127"/>
      <c r="FR2320" s="127"/>
      <c r="FS2320" s="127"/>
      <c r="FT2320" s="127"/>
      <c r="FU2320" s="127"/>
      <c r="FV2320" s="127"/>
      <c r="FW2320" s="127"/>
      <c r="FX2320" s="127"/>
      <c r="FY2320" s="127"/>
      <c r="FZ2320" s="127"/>
      <c r="GA2320" s="127"/>
      <c r="GB2320" s="127"/>
      <c r="GC2320" s="127"/>
      <c r="GD2320" s="127"/>
      <c r="GE2320" s="127"/>
      <c r="GF2320" s="127"/>
      <c r="GG2320" s="127"/>
      <c r="GH2320" s="127"/>
      <c r="GI2320" s="127"/>
      <c r="GJ2320" s="127"/>
      <c r="GK2320" s="127"/>
      <c r="GL2320" s="127"/>
      <c r="GM2320" s="127"/>
      <c r="GN2320" s="127"/>
      <c r="GO2320" s="127"/>
      <c r="GP2320" s="127"/>
      <c r="GQ2320" s="127"/>
      <c r="GR2320" s="127"/>
      <c r="GS2320" s="127"/>
      <c r="GT2320" s="127"/>
      <c r="GU2320" s="127"/>
      <c r="GV2320" s="127"/>
      <c r="GW2320" s="127"/>
      <c r="GX2320" s="127"/>
      <c r="GY2320" s="127"/>
      <c r="GZ2320" s="127"/>
      <c r="HA2320" s="127"/>
      <c r="HB2320" s="127"/>
      <c r="HC2320" s="127"/>
      <c r="HD2320" s="127"/>
      <c r="HE2320" s="127"/>
      <c r="HF2320" s="127"/>
      <c r="HG2320" s="127"/>
      <c r="HH2320" s="127"/>
      <c r="HI2320" s="127"/>
      <c r="HJ2320" s="127"/>
      <c r="HK2320" s="127"/>
      <c r="HL2320" s="127"/>
      <c r="HM2320" s="127"/>
      <c r="HN2320" s="127"/>
      <c r="HO2320" s="127"/>
      <c r="HP2320" s="127"/>
      <c r="HQ2320" s="127"/>
      <c r="HR2320" s="127"/>
      <c r="HS2320" s="127"/>
      <c r="HT2320" s="127"/>
      <c r="HU2320" s="127"/>
      <c r="HV2320" s="127"/>
      <c r="HW2320" s="127"/>
      <c r="HX2320" s="127"/>
      <c r="HY2320" s="127"/>
      <c r="HZ2320" s="127"/>
      <c r="IA2320" s="127"/>
      <c r="IB2320" s="127"/>
      <c r="IC2320" s="127"/>
      <c r="ID2320" s="127"/>
      <c r="IE2320" s="127"/>
      <c r="IF2320" s="127"/>
      <c r="IG2320" s="127"/>
      <c r="IH2320" s="127"/>
      <c r="II2320" s="127"/>
      <c r="IJ2320" s="127"/>
    </row>
    <row r="2321" spans="1:244" s="128" customFormat="1" ht="12.75" customHeight="1">
      <c r="A2321" s="118">
        <v>2320</v>
      </c>
      <c r="B2321" s="128">
        <v>24</v>
      </c>
      <c r="C2321" s="156">
        <v>39539</v>
      </c>
      <c r="D2321" s="157" t="s">
        <v>47</v>
      </c>
      <c r="E2321" s="127">
        <v>2008</v>
      </c>
      <c r="F2321" s="127"/>
      <c r="G2321" s="127"/>
      <c r="H2321" s="162"/>
      <c r="I2321" s="194"/>
      <c r="J2321" s="15"/>
      <c r="K2321" s="15"/>
      <c r="L2321" s="15"/>
      <c r="M2321" s="174"/>
      <c r="N2321" s="528"/>
      <c r="O2321" s="15"/>
      <c r="P2321" s="8"/>
      <c r="Q2321" s="158"/>
      <c r="R2321" s="158"/>
      <c r="S2321" s="155"/>
      <c r="U2321" s="118"/>
      <c r="V2321" s="118"/>
      <c r="W2321" s="118"/>
      <c r="X2321" s="127"/>
      <c r="Y2321" s="127"/>
      <c r="Z2321" s="127"/>
      <c r="AA2321" s="127"/>
      <c r="AB2321" s="127"/>
      <c r="AC2321" s="127"/>
      <c r="AD2321" s="127"/>
      <c r="AE2321" s="127"/>
      <c r="AF2321" s="127"/>
      <c r="AG2321" s="127"/>
      <c r="AH2321" s="127"/>
      <c r="AI2321" s="127"/>
      <c r="AJ2321" s="127"/>
      <c r="AK2321" s="127"/>
      <c r="AL2321" s="127"/>
      <c r="AM2321" s="127"/>
      <c r="AN2321" s="127"/>
      <c r="AO2321" s="127"/>
      <c r="AP2321" s="127"/>
      <c r="AQ2321" s="127"/>
      <c r="AR2321" s="127"/>
      <c r="AS2321" s="127"/>
      <c r="AT2321" s="127"/>
      <c r="AU2321" s="127"/>
      <c r="AV2321" s="127"/>
      <c r="AW2321" s="127"/>
      <c r="AX2321" s="127"/>
      <c r="AY2321" s="127"/>
      <c r="AZ2321" s="127"/>
      <c r="BA2321" s="127"/>
      <c r="BB2321" s="127"/>
      <c r="BC2321" s="127"/>
      <c r="BD2321" s="127"/>
      <c r="BE2321" s="127"/>
      <c r="BF2321" s="127"/>
      <c r="BG2321" s="127"/>
      <c r="BH2321" s="127"/>
      <c r="BI2321" s="127"/>
      <c r="BJ2321" s="127"/>
      <c r="BK2321" s="127"/>
      <c r="BL2321" s="127"/>
      <c r="BM2321" s="127"/>
      <c r="BN2321" s="127"/>
      <c r="BO2321" s="127"/>
      <c r="BP2321" s="127"/>
      <c r="BQ2321" s="127"/>
      <c r="BR2321" s="127"/>
      <c r="BS2321" s="127"/>
      <c r="BT2321" s="127"/>
      <c r="BU2321" s="127"/>
      <c r="BV2321" s="127"/>
      <c r="BW2321" s="127"/>
      <c r="BX2321" s="127"/>
      <c r="BY2321" s="127"/>
      <c r="BZ2321" s="127"/>
      <c r="CA2321" s="127"/>
      <c r="CB2321" s="127"/>
      <c r="CC2321" s="127"/>
      <c r="CD2321" s="127"/>
      <c r="CE2321" s="127"/>
      <c r="CF2321" s="127"/>
      <c r="CG2321" s="127"/>
      <c r="CH2321" s="127"/>
      <c r="CI2321" s="127"/>
      <c r="CJ2321" s="127"/>
      <c r="CK2321" s="127"/>
      <c r="CL2321" s="127"/>
      <c r="CM2321" s="127"/>
      <c r="CN2321" s="127"/>
      <c r="CO2321" s="127"/>
      <c r="CP2321" s="127"/>
      <c r="CQ2321" s="127"/>
      <c r="CR2321" s="127"/>
      <c r="CS2321" s="127"/>
      <c r="CT2321" s="127"/>
      <c r="CU2321" s="127"/>
      <c r="CV2321" s="127"/>
      <c r="CW2321" s="127"/>
      <c r="CX2321" s="127"/>
      <c r="CY2321" s="127"/>
      <c r="CZ2321" s="127"/>
      <c r="DA2321" s="127"/>
      <c r="DB2321" s="127"/>
      <c r="DC2321" s="127"/>
      <c r="DD2321" s="127"/>
      <c r="DE2321" s="127"/>
      <c r="DF2321" s="127"/>
      <c r="DG2321" s="127"/>
      <c r="DH2321" s="127"/>
      <c r="DI2321" s="127"/>
      <c r="DJ2321" s="127"/>
      <c r="DK2321" s="127"/>
      <c r="DL2321" s="127"/>
      <c r="DM2321" s="127"/>
      <c r="DN2321" s="127"/>
      <c r="DO2321" s="127"/>
      <c r="DP2321" s="127"/>
      <c r="DQ2321" s="127"/>
      <c r="DR2321" s="127"/>
      <c r="DS2321" s="127"/>
      <c r="DT2321" s="127"/>
      <c r="DU2321" s="127"/>
      <c r="DV2321" s="127"/>
      <c r="DW2321" s="127"/>
      <c r="DX2321" s="127"/>
      <c r="DY2321" s="127"/>
      <c r="DZ2321" s="127"/>
      <c r="EA2321" s="127"/>
      <c r="EB2321" s="127"/>
      <c r="EC2321" s="127"/>
      <c r="ED2321" s="127"/>
      <c r="EE2321" s="127"/>
      <c r="EF2321" s="127"/>
      <c r="EG2321" s="127"/>
      <c r="EH2321" s="127"/>
      <c r="EI2321" s="127"/>
      <c r="EJ2321" s="127"/>
      <c r="EK2321" s="127"/>
      <c r="EL2321" s="127"/>
      <c r="EM2321" s="127"/>
      <c r="EN2321" s="127"/>
      <c r="EO2321" s="127"/>
      <c r="EP2321" s="127"/>
      <c r="EQ2321" s="127"/>
      <c r="ER2321" s="127"/>
      <c r="ES2321" s="127"/>
      <c r="ET2321" s="127"/>
      <c r="EU2321" s="127"/>
      <c r="EV2321" s="127"/>
      <c r="EW2321" s="127"/>
      <c r="EX2321" s="127"/>
      <c r="EY2321" s="127"/>
      <c r="EZ2321" s="127"/>
      <c r="FA2321" s="127"/>
      <c r="FB2321" s="127"/>
      <c r="FC2321" s="127"/>
      <c r="FD2321" s="127"/>
      <c r="FE2321" s="127"/>
      <c r="FF2321" s="127"/>
      <c r="FG2321" s="127"/>
      <c r="FH2321" s="127"/>
      <c r="FI2321" s="127"/>
      <c r="FJ2321" s="127"/>
      <c r="FK2321" s="127"/>
      <c r="FL2321" s="127"/>
      <c r="FM2321" s="127"/>
      <c r="FN2321" s="127"/>
      <c r="FO2321" s="127"/>
      <c r="FP2321" s="127"/>
      <c r="FQ2321" s="127"/>
      <c r="FR2321" s="127"/>
      <c r="FS2321" s="127"/>
      <c r="FT2321" s="127"/>
      <c r="FU2321" s="127"/>
      <c r="FV2321" s="127"/>
      <c r="FW2321" s="127"/>
      <c r="FX2321" s="127"/>
      <c r="FY2321" s="127"/>
      <c r="FZ2321" s="127"/>
      <c r="GA2321" s="127"/>
      <c r="GB2321" s="127"/>
      <c r="GC2321" s="127"/>
      <c r="GD2321" s="127"/>
      <c r="GE2321" s="127"/>
      <c r="GF2321" s="127"/>
      <c r="GG2321" s="127"/>
      <c r="GH2321" s="127"/>
      <c r="GI2321" s="127"/>
      <c r="GJ2321" s="127"/>
      <c r="GK2321" s="127"/>
      <c r="GL2321" s="127"/>
      <c r="GM2321" s="127"/>
      <c r="GN2321" s="127"/>
      <c r="GO2321" s="127"/>
      <c r="GP2321" s="127"/>
      <c r="GQ2321" s="127"/>
      <c r="GR2321" s="127"/>
      <c r="GS2321" s="127"/>
      <c r="GT2321" s="127"/>
      <c r="GU2321" s="127"/>
      <c r="GV2321" s="127"/>
      <c r="GW2321" s="127"/>
      <c r="GX2321" s="127"/>
      <c r="GY2321" s="127"/>
      <c r="GZ2321" s="127"/>
      <c r="HA2321" s="127"/>
      <c r="HB2321" s="127"/>
      <c r="HC2321" s="127"/>
      <c r="HD2321" s="127"/>
      <c r="HE2321" s="127"/>
      <c r="HF2321" s="127"/>
      <c r="HG2321" s="127"/>
      <c r="HH2321" s="127"/>
      <c r="HI2321" s="127"/>
      <c r="HJ2321" s="127"/>
      <c r="HK2321" s="127"/>
      <c r="HL2321" s="127"/>
      <c r="HM2321" s="127"/>
      <c r="HN2321" s="127"/>
      <c r="HO2321" s="127"/>
      <c r="HP2321" s="127"/>
      <c r="HQ2321" s="127"/>
      <c r="HR2321" s="127"/>
      <c r="HS2321" s="127"/>
      <c r="HT2321" s="127"/>
      <c r="HU2321" s="127"/>
      <c r="HV2321" s="127"/>
      <c r="HW2321" s="127"/>
      <c r="HX2321" s="127"/>
      <c r="HY2321" s="127"/>
      <c r="HZ2321" s="127"/>
      <c r="IA2321" s="127"/>
      <c r="IB2321" s="127"/>
      <c r="IC2321" s="127"/>
      <c r="ID2321" s="127"/>
      <c r="IE2321" s="127"/>
      <c r="IF2321" s="127"/>
      <c r="IG2321" s="127"/>
      <c r="IH2321" s="127"/>
      <c r="II2321" s="127"/>
      <c r="IJ2321" s="127"/>
    </row>
    <row r="2322" spans="1:244" s="128" customFormat="1" ht="12.75" customHeight="1">
      <c r="A2322" s="118">
        <v>2321</v>
      </c>
      <c r="B2322" s="128">
        <v>24</v>
      </c>
      <c r="C2322" s="156">
        <v>39569</v>
      </c>
      <c r="D2322" s="157" t="s">
        <v>48</v>
      </c>
      <c r="E2322" s="127">
        <v>2008</v>
      </c>
      <c r="F2322" s="127"/>
      <c r="G2322" s="127"/>
      <c r="H2322" s="162"/>
      <c r="I2322" s="194"/>
      <c r="J2322" s="15"/>
      <c r="K2322" s="15"/>
      <c r="L2322" s="15"/>
      <c r="M2322" s="174"/>
      <c r="N2322" s="528"/>
      <c r="O2322" s="15"/>
      <c r="P2322" s="8"/>
      <c r="Q2322" s="158"/>
      <c r="R2322" s="158"/>
      <c r="S2322" s="155"/>
      <c r="U2322" s="118"/>
      <c r="V2322" s="118"/>
      <c r="W2322" s="118"/>
      <c r="X2322" s="127"/>
      <c r="Y2322" s="127"/>
      <c r="Z2322" s="127"/>
      <c r="AA2322" s="127"/>
      <c r="AB2322" s="127"/>
      <c r="AC2322" s="127"/>
      <c r="AD2322" s="127"/>
      <c r="AE2322" s="127"/>
      <c r="AF2322" s="127"/>
      <c r="AG2322" s="127"/>
      <c r="AH2322" s="127"/>
      <c r="AI2322" s="127"/>
      <c r="AJ2322" s="127"/>
      <c r="AK2322" s="127"/>
      <c r="AL2322" s="127"/>
      <c r="AM2322" s="127"/>
      <c r="AN2322" s="127"/>
      <c r="AO2322" s="127"/>
      <c r="AP2322" s="127"/>
      <c r="AQ2322" s="127"/>
      <c r="AR2322" s="127"/>
      <c r="AS2322" s="127"/>
      <c r="AT2322" s="127"/>
      <c r="AU2322" s="127"/>
      <c r="AV2322" s="127"/>
      <c r="AW2322" s="127"/>
      <c r="AX2322" s="127"/>
      <c r="AY2322" s="127"/>
      <c r="AZ2322" s="127"/>
      <c r="BA2322" s="127"/>
      <c r="BB2322" s="127"/>
      <c r="BC2322" s="127"/>
      <c r="BD2322" s="127"/>
      <c r="BE2322" s="127"/>
      <c r="BF2322" s="127"/>
      <c r="BG2322" s="127"/>
      <c r="BH2322" s="127"/>
      <c r="BI2322" s="127"/>
      <c r="BJ2322" s="127"/>
      <c r="BK2322" s="127"/>
      <c r="BL2322" s="127"/>
      <c r="BM2322" s="127"/>
      <c r="BN2322" s="127"/>
      <c r="BO2322" s="127"/>
      <c r="BP2322" s="127"/>
      <c r="BQ2322" s="127"/>
      <c r="BR2322" s="127"/>
      <c r="BS2322" s="127"/>
      <c r="BT2322" s="127"/>
      <c r="BU2322" s="127"/>
      <c r="BV2322" s="127"/>
      <c r="BW2322" s="127"/>
      <c r="BX2322" s="127"/>
      <c r="BY2322" s="127"/>
      <c r="BZ2322" s="127"/>
      <c r="CA2322" s="127"/>
      <c r="CB2322" s="127"/>
      <c r="CC2322" s="127"/>
      <c r="CD2322" s="127"/>
      <c r="CE2322" s="127"/>
      <c r="CF2322" s="127"/>
      <c r="CG2322" s="127"/>
      <c r="CH2322" s="127"/>
      <c r="CI2322" s="127"/>
      <c r="CJ2322" s="127"/>
      <c r="CK2322" s="127"/>
      <c r="CL2322" s="127"/>
      <c r="CM2322" s="127"/>
      <c r="CN2322" s="127"/>
      <c r="CO2322" s="127"/>
      <c r="CP2322" s="127"/>
      <c r="CQ2322" s="127"/>
      <c r="CR2322" s="127"/>
      <c r="CS2322" s="127"/>
      <c r="CT2322" s="127"/>
      <c r="CU2322" s="127"/>
      <c r="CV2322" s="127"/>
      <c r="CW2322" s="127"/>
      <c r="CX2322" s="127"/>
      <c r="CY2322" s="127"/>
      <c r="CZ2322" s="127"/>
      <c r="DA2322" s="127"/>
      <c r="DB2322" s="127"/>
      <c r="DC2322" s="127"/>
      <c r="DD2322" s="127"/>
      <c r="DE2322" s="127"/>
      <c r="DF2322" s="127"/>
      <c r="DG2322" s="127"/>
      <c r="DH2322" s="127"/>
      <c r="DI2322" s="127"/>
      <c r="DJ2322" s="127"/>
      <c r="DK2322" s="127"/>
      <c r="DL2322" s="127"/>
      <c r="DM2322" s="127"/>
      <c r="DN2322" s="127"/>
      <c r="DO2322" s="127"/>
      <c r="DP2322" s="127"/>
      <c r="DQ2322" s="127"/>
      <c r="DR2322" s="127"/>
      <c r="DS2322" s="127"/>
      <c r="DT2322" s="127"/>
      <c r="DU2322" s="127"/>
      <c r="DV2322" s="127"/>
      <c r="DW2322" s="127"/>
      <c r="DX2322" s="127"/>
      <c r="DY2322" s="127"/>
      <c r="DZ2322" s="127"/>
      <c r="EA2322" s="127"/>
      <c r="EB2322" s="127"/>
      <c r="EC2322" s="127"/>
      <c r="ED2322" s="127"/>
      <c r="EE2322" s="127"/>
      <c r="EF2322" s="127"/>
      <c r="EG2322" s="127"/>
      <c r="EH2322" s="127"/>
      <c r="EI2322" s="127"/>
      <c r="EJ2322" s="127"/>
      <c r="EK2322" s="127"/>
      <c r="EL2322" s="127"/>
      <c r="EM2322" s="127"/>
      <c r="EN2322" s="127"/>
      <c r="EO2322" s="127"/>
      <c r="EP2322" s="127"/>
      <c r="EQ2322" s="127"/>
      <c r="ER2322" s="127"/>
      <c r="ES2322" s="127"/>
      <c r="ET2322" s="127"/>
      <c r="EU2322" s="127"/>
      <c r="EV2322" s="127"/>
      <c r="EW2322" s="127"/>
      <c r="EX2322" s="127"/>
      <c r="EY2322" s="127"/>
      <c r="EZ2322" s="127"/>
      <c r="FA2322" s="127"/>
      <c r="FB2322" s="127"/>
      <c r="FC2322" s="127"/>
      <c r="FD2322" s="127"/>
      <c r="FE2322" s="127"/>
      <c r="FF2322" s="127"/>
      <c r="FG2322" s="127"/>
      <c r="FH2322" s="127"/>
      <c r="FI2322" s="127"/>
      <c r="FJ2322" s="127"/>
      <c r="FK2322" s="127"/>
      <c r="FL2322" s="127"/>
      <c r="FM2322" s="127"/>
      <c r="FN2322" s="127"/>
      <c r="FO2322" s="127"/>
      <c r="FP2322" s="127"/>
      <c r="FQ2322" s="127"/>
      <c r="FR2322" s="127"/>
      <c r="FS2322" s="127"/>
      <c r="FT2322" s="127"/>
      <c r="FU2322" s="127"/>
      <c r="FV2322" s="127"/>
      <c r="FW2322" s="127"/>
      <c r="FX2322" s="127"/>
      <c r="FY2322" s="127"/>
      <c r="FZ2322" s="127"/>
      <c r="GA2322" s="127"/>
      <c r="GB2322" s="127"/>
      <c r="GC2322" s="127"/>
      <c r="GD2322" s="127"/>
      <c r="GE2322" s="127"/>
      <c r="GF2322" s="127"/>
      <c r="GG2322" s="127"/>
      <c r="GH2322" s="127"/>
      <c r="GI2322" s="127"/>
      <c r="GJ2322" s="127"/>
      <c r="GK2322" s="127"/>
      <c r="GL2322" s="127"/>
      <c r="GM2322" s="127"/>
      <c r="GN2322" s="127"/>
      <c r="GO2322" s="127"/>
      <c r="GP2322" s="127"/>
      <c r="GQ2322" s="127"/>
      <c r="GR2322" s="127"/>
      <c r="GS2322" s="127"/>
      <c r="GT2322" s="127"/>
      <c r="GU2322" s="127"/>
      <c r="GV2322" s="127"/>
      <c r="GW2322" s="127"/>
      <c r="GX2322" s="127"/>
      <c r="GY2322" s="127"/>
      <c r="GZ2322" s="127"/>
      <c r="HA2322" s="127"/>
      <c r="HB2322" s="127"/>
      <c r="HC2322" s="127"/>
      <c r="HD2322" s="127"/>
      <c r="HE2322" s="127"/>
      <c r="HF2322" s="127"/>
      <c r="HG2322" s="127"/>
      <c r="HH2322" s="127"/>
      <c r="HI2322" s="127"/>
      <c r="HJ2322" s="127"/>
      <c r="HK2322" s="127"/>
      <c r="HL2322" s="127"/>
      <c r="HM2322" s="127"/>
      <c r="HN2322" s="127"/>
      <c r="HO2322" s="127"/>
      <c r="HP2322" s="127"/>
      <c r="HQ2322" s="127"/>
      <c r="HR2322" s="127"/>
      <c r="HS2322" s="127"/>
      <c r="HT2322" s="127"/>
      <c r="HU2322" s="127"/>
      <c r="HV2322" s="127"/>
      <c r="HW2322" s="127"/>
      <c r="HX2322" s="127"/>
      <c r="HY2322" s="127"/>
      <c r="HZ2322" s="127"/>
      <c r="IA2322" s="127"/>
      <c r="IB2322" s="127"/>
      <c r="IC2322" s="127"/>
      <c r="ID2322" s="127"/>
      <c r="IE2322" s="127"/>
      <c r="IF2322" s="127"/>
      <c r="IG2322" s="127"/>
      <c r="IH2322" s="127"/>
      <c r="II2322" s="127"/>
      <c r="IJ2322" s="127"/>
    </row>
    <row r="2323" spans="1:244" s="128" customFormat="1" ht="12.75" customHeight="1">
      <c r="A2323" s="118">
        <v>2322</v>
      </c>
      <c r="B2323" s="128">
        <v>24</v>
      </c>
      <c r="C2323" s="156">
        <v>39600</v>
      </c>
      <c r="D2323" s="157" t="s">
        <v>49</v>
      </c>
      <c r="E2323" s="127">
        <v>2008</v>
      </c>
      <c r="F2323" s="127"/>
      <c r="G2323" s="127"/>
      <c r="H2323" s="162"/>
      <c r="I2323" s="194"/>
      <c r="J2323" s="15"/>
      <c r="K2323" s="15"/>
      <c r="L2323" s="15"/>
      <c r="M2323" s="174"/>
      <c r="N2323" s="528"/>
      <c r="O2323" s="15"/>
      <c r="P2323" s="8"/>
      <c r="Q2323" s="158"/>
      <c r="R2323" s="158"/>
      <c r="S2323" s="155"/>
      <c r="U2323" s="118"/>
      <c r="V2323" s="118"/>
      <c r="W2323" s="118"/>
      <c r="X2323" s="127"/>
      <c r="Y2323" s="127"/>
      <c r="Z2323" s="127"/>
      <c r="AA2323" s="127"/>
      <c r="AB2323" s="127"/>
      <c r="AC2323" s="127"/>
      <c r="AD2323" s="127"/>
      <c r="AE2323" s="127"/>
      <c r="AF2323" s="127"/>
      <c r="AG2323" s="127"/>
      <c r="AH2323" s="127"/>
      <c r="AI2323" s="127"/>
      <c r="AJ2323" s="127"/>
      <c r="AK2323" s="127"/>
      <c r="AL2323" s="127"/>
      <c r="AM2323" s="127"/>
      <c r="AN2323" s="127"/>
      <c r="AO2323" s="127"/>
      <c r="AP2323" s="127"/>
      <c r="AQ2323" s="127"/>
      <c r="AR2323" s="127"/>
      <c r="AS2323" s="127"/>
      <c r="AT2323" s="127"/>
      <c r="AU2323" s="127"/>
      <c r="AV2323" s="127"/>
      <c r="AW2323" s="127"/>
      <c r="AX2323" s="127"/>
      <c r="AY2323" s="127"/>
      <c r="AZ2323" s="127"/>
      <c r="BA2323" s="127"/>
      <c r="BB2323" s="127"/>
      <c r="BC2323" s="127"/>
      <c r="BD2323" s="127"/>
      <c r="BE2323" s="127"/>
      <c r="BF2323" s="127"/>
      <c r="BG2323" s="127"/>
      <c r="BH2323" s="127"/>
      <c r="BI2323" s="127"/>
      <c r="BJ2323" s="127"/>
      <c r="BK2323" s="127"/>
      <c r="BL2323" s="127"/>
      <c r="BM2323" s="127"/>
      <c r="BN2323" s="127"/>
      <c r="BO2323" s="127"/>
      <c r="BP2323" s="127"/>
      <c r="BQ2323" s="127"/>
      <c r="BR2323" s="127"/>
      <c r="BS2323" s="127"/>
      <c r="BT2323" s="127"/>
      <c r="BU2323" s="127"/>
      <c r="BV2323" s="127"/>
      <c r="BW2323" s="127"/>
      <c r="BX2323" s="127"/>
      <c r="BY2323" s="127"/>
      <c r="BZ2323" s="127"/>
      <c r="CA2323" s="127"/>
      <c r="CB2323" s="127"/>
      <c r="CC2323" s="127"/>
      <c r="CD2323" s="127"/>
      <c r="CE2323" s="127"/>
      <c r="CF2323" s="127"/>
      <c r="CG2323" s="127"/>
      <c r="CH2323" s="127"/>
      <c r="CI2323" s="127"/>
      <c r="CJ2323" s="127"/>
      <c r="CK2323" s="127"/>
      <c r="CL2323" s="127"/>
      <c r="CM2323" s="127"/>
      <c r="CN2323" s="127"/>
      <c r="CO2323" s="127"/>
      <c r="CP2323" s="127"/>
      <c r="CQ2323" s="127"/>
      <c r="CR2323" s="127"/>
      <c r="CS2323" s="127"/>
      <c r="CT2323" s="127"/>
      <c r="CU2323" s="127"/>
      <c r="CV2323" s="127"/>
      <c r="CW2323" s="127"/>
      <c r="CX2323" s="127"/>
      <c r="CY2323" s="127"/>
      <c r="CZ2323" s="127"/>
      <c r="DA2323" s="127"/>
      <c r="DB2323" s="127"/>
      <c r="DC2323" s="127"/>
      <c r="DD2323" s="127"/>
      <c r="DE2323" s="127"/>
      <c r="DF2323" s="127"/>
      <c r="DG2323" s="127"/>
      <c r="DH2323" s="127"/>
      <c r="DI2323" s="127"/>
      <c r="DJ2323" s="127"/>
      <c r="DK2323" s="127"/>
      <c r="DL2323" s="127"/>
      <c r="DM2323" s="127"/>
      <c r="DN2323" s="127"/>
      <c r="DO2323" s="127"/>
      <c r="DP2323" s="127"/>
      <c r="DQ2323" s="127"/>
      <c r="DR2323" s="127"/>
      <c r="DS2323" s="127"/>
      <c r="DT2323" s="127"/>
      <c r="DU2323" s="127"/>
      <c r="DV2323" s="127"/>
      <c r="DW2323" s="127"/>
      <c r="DX2323" s="127"/>
      <c r="DY2323" s="127"/>
      <c r="DZ2323" s="127"/>
      <c r="EA2323" s="127"/>
      <c r="EB2323" s="127"/>
      <c r="EC2323" s="127"/>
      <c r="ED2323" s="127"/>
      <c r="EE2323" s="127"/>
      <c r="EF2323" s="127"/>
      <c r="EG2323" s="127"/>
      <c r="EH2323" s="127"/>
      <c r="EI2323" s="127"/>
      <c r="EJ2323" s="127"/>
      <c r="EK2323" s="127"/>
      <c r="EL2323" s="127"/>
      <c r="EM2323" s="127"/>
      <c r="EN2323" s="127"/>
      <c r="EO2323" s="127"/>
      <c r="EP2323" s="127"/>
      <c r="EQ2323" s="127"/>
      <c r="ER2323" s="127"/>
      <c r="ES2323" s="127"/>
      <c r="ET2323" s="127"/>
      <c r="EU2323" s="127"/>
      <c r="EV2323" s="127"/>
      <c r="EW2323" s="127"/>
      <c r="EX2323" s="127"/>
      <c r="EY2323" s="127"/>
      <c r="EZ2323" s="127"/>
      <c r="FA2323" s="127"/>
      <c r="FB2323" s="127"/>
      <c r="FC2323" s="127"/>
      <c r="FD2323" s="127"/>
      <c r="FE2323" s="127"/>
      <c r="FF2323" s="127"/>
      <c r="FG2323" s="127"/>
      <c r="FH2323" s="127"/>
      <c r="FI2323" s="127"/>
      <c r="FJ2323" s="127"/>
      <c r="FK2323" s="127"/>
      <c r="FL2323" s="127"/>
      <c r="FM2323" s="127"/>
      <c r="FN2323" s="127"/>
      <c r="FO2323" s="127"/>
      <c r="FP2323" s="127"/>
      <c r="FQ2323" s="127"/>
      <c r="FR2323" s="127"/>
      <c r="FS2323" s="127"/>
      <c r="FT2323" s="127"/>
      <c r="FU2323" s="127"/>
      <c r="FV2323" s="127"/>
      <c r="FW2323" s="127"/>
      <c r="FX2323" s="127"/>
      <c r="FY2323" s="127"/>
      <c r="FZ2323" s="127"/>
      <c r="GA2323" s="127"/>
      <c r="GB2323" s="127"/>
      <c r="GC2323" s="127"/>
      <c r="GD2323" s="127"/>
      <c r="GE2323" s="127"/>
      <c r="GF2323" s="127"/>
      <c r="GG2323" s="127"/>
      <c r="GH2323" s="127"/>
      <c r="GI2323" s="127"/>
      <c r="GJ2323" s="127"/>
      <c r="GK2323" s="127"/>
      <c r="GL2323" s="127"/>
      <c r="GM2323" s="127"/>
      <c r="GN2323" s="127"/>
      <c r="GO2323" s="127"/>
      <c r="GP2323" s="127"/>
      <c r="GQ2323" s="127"/>
      <c r="GR2323" s="127"/>
      <c r="GS2323" s="127"/>
      <c r="GT2323" s="127"/>
      <c r="GU2323" s="127"/>
      <c r="GV2323" s="127"/>
      <c r="GW2323" s="127"/>
      <c r="GX2323" s="127"/>
      <c r="GY2323" s="127"/>
      <c r="GZ2323" s="127"/>
      <c r="HA2323" s="127"/>
      <c r="HB2323" s="127"/>
      <c r="HC2323" s="127"/>
      <c r="HD2323" s="127"/>
      <c r="HE2323" s="127"/>
      <c r="HF2323" s="127"/>
      <c r="HG2323" s="127"/>
      <c r="HH2323" s="127"/>
      <c r="HI2323" s="127"/>
      <c r="HJ2323" s="127"/>
      <c r="HK2323" s="127"/>
      <c r="HL2323" s="127"/>
      <c r="HM2323" s="127"/>
      <c r="HN2323" s="127"/>
      <c r="HO2323" s="127"/>
      <c r="HP2323" s="127"/>
      <c r="HQ2323" s="127"/>
      <c r="HR2323" s="127"/>
      <c r="HS2323" s="127"/>
      <c r="HT2323" s="127"/>
      <c r="HU2323" s="127"/>
      <c r="HV2323" s="127"/>
      <c r="HW2323" s="127"/>
      <c r="HX2323" s="127"/>
      <c r="HY2323" s="127"/>
      <c r="HZ2323" s="127"/>
      <c r="IA2323" s="127"/>
      <c r="IB2323" s="127"/>
      <c r="IC2323" s="127"/>
      <c r="ID2323" s="127"/>
      <c r="IE2323" s="127"/>
      <c r="IF2323" s="127"/>
      <c r="IG2323" s="127"/>
      <c r="IH2323" s="127"/>
      <c r="II2323" s="127"/>
      <c r="IJ2323" s="127"/>
    </row>
    <row r="2324" spans="1:244" s="128" customFormat="1" ht="12.75" customHeight="1">
      <c r="A2324" s="118">
        <v>2323</v>
      </c>
      <c r="B2324" s="128">
        <v>24</v>
      </c>
      <c r="C2324" s="156">
        <v>39630</v>
      </c>
      <c r="D2324" s="176" t="s">
        <v>50</v>
      </c>
      <c r="E2324" s="127">
        <v>2008</v>
      </c>
      <c r="F2324" s="127"/>
      <c r="G2324" s="127"/>
      <c r="H2324" s="162"/>
      <c r="I2324" s="194"/>
      <c r="J2324" s="164"/>
      <c r="K2324" s="164"/>
      <c r="L2324" s="164"/>
      <c r="M2324" s="193"/>
      <c r="N2324" s="529"/>
      <c r="O2324" s="164"/>
      <c r="P2324" s="8"/>
      <c r="Q2324" s="11"/>
      <c r="R2324" s="158"/>
      <c r="S2324" s="239"/>
      <c r="V2324" s="118"/>
      <c r="W2324" s="118"/>
      <c r="X2324" s="127"/>
      <c r="Y2324" s="127"/>
      <c r="Z2324" s="127"/>
      <c r="AA2324" s="127"/>
      <c r="AB2324" s="127"/>
      <c r="AC2324" s="127"/>
      <c r="AD2324" s="127"/>
      <c r="AE2324" s="127"/>
      <c r="AF2324" s="127"/>
      <c r="AG2324" s="127"/>
      <c r="AH2324" s="127"/>
      <c r="AI2324" s="127"/>
      <c r="AJ2324" s="127"/>
      <c r="AK2324" s="127"/>
      <c r="AL2324" s="127"/>
      <c r="AM2324" s="127"/>
      <c r="AN2324" s="127"/>
      <c r="AO2324" s="127"/>
      <c r="AP2324" s="127"/>
      <c r="AQ2324" s="127"/>
      <c r="AR2324" s="127"/>
      <c r="AS2324" s="127"/>
      <c r="AT2324" s="127"/>
      <c r="AU2324" s="127"/>
      <c r="AV2324" s="127"/>
      <c r="AW2324" s="127"/>
      <c r="AX2324" s="127"/>
      <c r="AY2324" s="127"/>
      <c r="AZ2324" s="127"/>
      <c r="BA2324" s="127"/>
      <c r="BB2324" s="127"/>
      <c r="BC2324" s="127"/>
      <c r="BD2324" s="127"/>
      <c r="BE2324" s="127"/>
      <c r="BF2324" s="127"/>
      <c r="BG2324" s="127"/>
      <c r="BH2324" s="127"/>
      <c r="BI2324" s="127"/>
      <c r="BJ2324" s="127"/>
      <c r="BK2324" s="127"/>
      <c r="BL2324" s="127"/>
      <c r="BM2324" s="127"/>
      <c r="BN2324" s="127"/>
      <c r="BO2324" s="127"/>
      <c r="BP2324" s="127"/>
      <c r="BQ2324" s="127"/>
      <c r="BR2324" s="127"/>
      <c r="BS2324" s="127"/>
      <c r="BT2324" s="127"/>
      <c r="BU2324" s="127"/>
      <c r="BV2324" s="127"/>
      <c r="BW2324" s="127"/>
      <c r="BX2324" s="127"/>
      <c r="BY2324" s="127"/>
      <c r="BZ2324" s="127"/>
      <c r="CA2324" s="127"/>
      <c r="CB2324" s="127"/>
      <c r="CC2324" s="127"/>
      <c r="CD2324" s="127"/>
      <c r="CE2324" s="127"/>
      <c r="CF2324" s="127"/>
      <c r="CG2324" s="127"/>
      <c r="CH2324" s="127"/>
      <c r="CI2324" s="127"/>
      <c r="CJ2324" s="127"/>
      <c r="CK2324" s="127"/>
      <c r="CL2324" s="127"/>
      <c r="CM2324" s="127"/>
      <c r="CN2324" s="127"/>
      <c r="CO2324" s="127"/>
      <c r="CP2324" s="127"/>
      <c r="CQ2324" s="127"/>
      <c r="CR2324" s="127"/>
      <c r="CS2324" s="127"/>
      <c r="CT2324" s="127"/>
      <c r="CU2324" s="127"/>
      <c r="CV2324" s="127"/>
      <c r="CW2324" s="127"/>
      <c r="CX2324" s="127"/>
      <c r="CY2324" s="127"/>
      <c r="CZ2324" s="127"/>
      <c r="DA2324" s="127"/>
      <c r="DB2324" s="127"/>
      <c r="DC2324" s="127"/>
      <c r="DD2324" s="127"/>
      <c r="DE2324" s="127"/>
      <c r="DF2324" s="127"/>
      <c r="DG2324" s="127"/>
      <c r="DH2324" s="127"/>
      <c r="DI2324" s="127"/>
      <c r="DJ2324" s="127"/>
      <c r="DK2324" s="127"/>
      <c r="DL2324" s="127"/>
      <c r="DM2324" s="127"/>
      <c r="DN2324" s="127"/>
      <c r="DO2324" s="127"/>
      <c r="DP2324" s="127"/>
      <c r="DQ2324" s="127"/>
      <c r="DR2324" s="127"/>
      <c r="DS2324" s="127"/>
      <c r="DT2324" s="127"/>
      <c r="DU2324" s="127"/>
      <c r="DV2324" s="127"/>
      <c r="DW2324" s="127"/>
      <c r="DX2324" s="127"/>
      <c r="DY2324" s="127"/>
      <c r="DZ2324" s="127"/>
      <c r="EA2324" s="127"/>
      <c r="EB2324" s="127"/>
      <c r="EC2324" s="127"/>
      <c r="ED2324" s="127"/>
      <c r="EE2324" s="127"/>
      <c r="EF2324" s="127"/>
      <c r="EG2324" s="127"/>
      <c r="EH2324" s="127"/>
      <c r="EI2324" s="127"/>
      <c r="EJ2324" s="127"/>
      <c r="EK2324" s="127"/>
      <c r="EL2324" s="127"/>
      <c r="EM2324" s="127"/>
      <c r="EN2324" s="127"/>
      <c r="EO2324" s="127"/>
      <c r="EP2324" s="127"/>
      <c r="EQ2324" s="127"/>
      <c r="ER2324" s="127"/>
      <c r="ES2324" s="127"/>
      <c r="ET2324" s="127"/>
      <c r="EU2324" s="127"/>
      <c r="EV2324" s="127"/>
      <c r="EW2324" s="127"/>
      <c r="EX2324" s="127"/>
      <c r="EY2324" s="127"/>
      <c r="EZ2324" s="127"/>
      <c r="FA2324" s="127"/>
      <c r="FB2324" s="127"/>
      <c r="FC2324" s="127"/>
      <c r="FD2324" s="127"/>
      <c r="FE2324" s="127"/>
      <c r="FF2324" s="127"/>
      <c r="FG2324" s="127"/>
      <c r="FH2324" s="127"/>
      <c r="FI2324" s="127"/>
      <c r="FJ2324" s="127"/>
      <c r="FK2324" s="127"/>
      <c r="FL2324" s="127"/>
      <c r="FM2324" s="127"/>
      <c r="FN2324" s="127"/>
      <c r="FO2324" s="127"/>
      <c r="FP2324" s="127"/>
      <c r="FQ2324" s="127"/>
      <c r="FR2324" s="127"/>
      <c r="FS2324" s="127"/>
      <c r="FT2324" s="127"/>
      <c r="FU2324" s="127"/>
      <c r="FV2324" s="127"/>
      <c r="FW2324" s="127"/>
      <c r="FX2324" s="127"/>
      <c r="FY2324" s="127"/>
      <c r="FZ2324" s="127"/>
      <c r="GA2324" s="127"/>
      <c r="GB2324" s="127"/>
      <c r="GC2324" s="127"/>
      <c r="GD2324" s="127"/>
      <c r="GE2324" s="127"/>
      <c r="GF2324" s="127"/>
      <c r="GG2324" s="127"/>
      <c r="GH2324" s="127"/>
      <c r="GI2324" s="127"/>
      <c r="GJ2324" s="127"/>
      <c r="GK2324" s="127"/>
      <c r="GL2324" s="127"/>
      <c r="GM2324" s="127"/>
      <c r="GN2324" s="127"/>
      <c r="GO2324" s="127"/>
      <c r="GP2324" s="127"/>
      <c r="GQ2324" s="127"/>
      <c r="GR2324" s="127"/>
      <c r="GS2324" s="127"/>
      <c r="GT2324" s="127"/>
      <c r="GU2324" s="127"/>
      <c r="GV2324" s="127"/>
      <c r="GW2324" s="127"/>
      <c r="GX2324" s="127"/>
      <c r="GY2324" s="127"/>
      <c r="GZ2324" s="127"/>
      <c r="HA2324" s="127"/>
      <c r="HB2324" s="127"/>
      <c r="HC2324" s="127"/>
      <c r="HD2324" s="127"/>
      <c r="HE2324" s="127"/>
      <c r="HF2324" s="127"/>
      <c r="HG2324" s="127"/>
      <c r="HH2324" s="127"/>
      <c r="HI2324" s="127"/>
      <c r="HJ2324" s="127"/>
      <c r="HK2324" s="127"/>
      <c r="HL2324" s="127"/>
      <c r="HM2324" s="127"/>
      <c r="HN2324" s="127"/>
      <c r="HO2324" s="127"/>
      <c r="HP2324" s="127"/>
      <c r="HQ2324" s="127"/>
      <c r="HR2324" s="127"/>
      <c r="HS2324" s="127"/>
      <c r="HT2324" s="127"/>
      <c r="HU2324" s="127"/>
      <c r="HV2324" s="127"/>
      <c r="HW2324" s="127"/>
      <c r="HX2324" s="127"/>
      <c r="HY2324" s="127"/>
      <c r="HZ2324" s="127"/>
      <c r="IA2324" s="127"/>
      <c r="IB2324" s="127"/>
      <c r="IC2324" s="127"/>
      <c r="ID2324" s="127"/>
      <c r="IE2324" s="127"/>
      <c r="IF2324" s="127"/>
      <c r="IG2324" s="127"/>
      <c r="IH2324" s="127"/>
      <c r="II2324" s="127"/>
      <c r="IJ2324" s="127"/>
    </row>
    <row r="2325" spans="1:244" s="128" customFormat="1" ht="12.75" customHeight="1">
      <c r="A2325" s="118">
        <v>2324</v>
      </c>
      <c r="B2325" s="128">
        <v>24</v>
      </c>
      <c r="C2325" s="156">
        <v>39661</v>
      </c>
      <c r="D2325" s="176" t="s">
        <v>51</v>
      </c>
      <c r="E2325" s="127">
        <v>2008</v>
      </c>
      <c r="F2325" s="158">
        <f t="shared" ref="F2325:F2345" si="587">C2325-H2325</f>
        <v>274</v>
      </c>
      <c r="G2325" s="158">
        <f t="shared" ref="G2325:G2342" si="588">IF(F2325&lt;365,1,2)</f>
        <v>1</v>
      </c>
      <c r="H2325" s="175">
        <v>39387</v>
      </c>
      <c r="I2325" s="250">
        <v>623000</v>
      </c>
      <c r="J2325" s="173"/>
      <c r="K2325" s="203">
        <v>0.48499999999999999</v>
      </c>
      <c r="L2325" s="203">
        <v>6.5000000000000002E-2</v>
      </c>
      <c r="M2325" s="174"/>
      <c r="N2325" s="528" t="s">
        <v>446</v>
      </c>
      <c r="O2325" s="203">
        <v>0</v>
      </c>
      <c r="P2325" s="8"/>
      <c r="Q2325" s="11"/>
      <c r="R2325" s="158"/>
      <c r="S2325" s="239" t="s">
        <v>329</v>
      </c>
      <c r="T2325" s="161">
        <f t="shared" ref="T2325:T2335" si="589">$I2325*K2325</f>
        <v>302155</v>
      </c>
      <c r="U2325" s="161">
        <f t="shared" ref="U2325:U2335" si="590">$I2325*L2325</f>
        <v>40495</v>
      </c>
      <c r="V2325" s="161">
        <f t="shared" ref="V2325:V2335" si="591">$I2325*O2325</f>
        <v>0</v>
      </c>
      <c r="W2325" s="161">
        <f t="shared" ref="W2325:W2341" si="592">V2325*0.4</f>
        <v>0</v>
      </c>
      <c r="X2325" s="127"/>
      <c r="Y2325" s="127"/>
      <c r="Z2325" s="127"/>
      <c r="AA2325" s="127"/>
      <c r="AB2325" s="127"/>
      <c r="AC2325" s="127"/>
      <c r="AD2325" s="127"/>
      <c r="AE2325" s="127"/>
      <c r="AF2325" s="127"/>
      <c r="AG2325" s="127"/>
      <c r="AH2325" s="127"/>
      <c r="AI2325" s="127"/>
      <c r="AJ2325" s="127"/>
      <c r="AK2325" s="127"/>
      <c r="AL2325" s="127"/>
      <c r="AM2325" s="127"/>
      <c r="AN2325" s="127"/>
      <c r="AO2325" s="127"/>
      <c r="AP2325" s="127"/>
      <c r="AQ2325" s="127"/>
      <c r="AR2325" s="127"/>
      <c r="AS2325" s="127"/>
      <c r="AT2325" s="127"/>
      <c r="AU2325" s="127"/>
      <c r="AV2325" s="127"/>
      <c r="AW2325" s="127"/>
      <c r="AX2325" s="127"/>
      <c r="AY2325" s="127"/>
      <c r="AZ2325" s="127"/>
      <c r="BA2325" s="127"/>
      <c r="BB2325" s="127"/>
      <c r="BC2325" s="127"/>
      <c r="BD2325" s="127"/>
      <c r="BE2325" s="127"/>
      <c r="BF2325" s="127"/>
      <c r="BG2325" s="127"/>
      <c r="BH2325" s="127"/>
      <c r="BI2325" s="127"/>
      <c r="BJ2325" s="127"/>
      <c r="BK2325" s="127"/>
      <c r="BL2325" s="127"/>
      <c r="BM2325" s="127"/>
      <c r="BN2325" s="127"/>
      <c r="BO2325" s="127"/>
      <c r="BP2325" s="127"/>
      <c r="BQ2325" s="127"/>
      <c r="BR2325" s="127"/>
      <c r="BS2325" s="127"/>
      <c r="BT2325" s="127"/>
      <c r="BU2325" s="127"/>
      <c r="BV2325" s="127"/>
      <c r="BW2325" s="127"/>
      <c r="BX2325" s="127"/>
      <c r="BY2325" s="127"/>
      <c r="BZ2325" s="127"/>
      <c r="CA2325" s="127"/>
      <c r="CB2325" s="127"/>
      <c r="CC2325" s="127"/>
      <c r="CD2325" s="127"/>
      <c r="CE2325" s="127"/>
      <c r="CF2325" s="127"/>
      <c r="CG2325" s="127"/>
      <c r="CH2325" s="127"/>
      <c r="CI2325" s="127"/>
      <c r="CJ2325" s="127"/>
      <c r="CK2325" s="127"/>
      <c r="CL2325" s="127"/>
      <c r="CM2325" s="127"/>
      <c r="CN2325" s="127"/>
      <c r="CO2325" s="127"/>
      <c r="CP2325" s="127"/>
      <c r="CQ2325" s="127"/>
      <c r="CR2325" s="127"/>
      <c r="CS2325" s="127"/>
      <c r="CT2325" s="127"/>
      <c r="CU2325" s="127"/>
      <c r="CV2325" s="127"/>
      <c r="CW2325" s="127"/>
      <c r="CX2325" s="127"/>
      <c r="CY2325" s="127"/>
      <c r="CZ2325" s="127"/>
      <c r="DA2325" s="127"/>
      <c r="DB2325" s="127"/>
      <c r="DC2325" s="127"/>
      <c r="DD2325" s="127"/>
      <c r="DE2325" s="127"/>
      <c r="DF2325" s="127"/>
      <c r="DG2325" s="127"/>
      <c r="DH2325" s="127"/>
      <c r="DI2325" s="127"/>
      <c r="DJ2325" s="127"/>
      <c r="DK2325" s="127"/>
      <c r="DL2325" s="127"/>
      <c r="DM2325" s="127"/>
      <c r="DN2325" s="127"/>
      <c r="DO2325" s="127"/>
      <c r="DP2325" s="127"/>
      <c r="DQ2325" s="127"/>
      <c r="DR2325" s="127"/>
      <c r="DS2325" s="127"/>
      <c r="DT2325" s="127"/>
      <c r="DU2325" s="127"/>
      <c r="DV2325" s="127"/>
      <c r="DW2325" s="127"/>
      <c r="DX2325" s="127"/>
      <c r="DY2325" s="127"/>
      <c r="DZ2325" s="127"/>
      <c r="EA2325" s="127"/>
      <c r="EB2325" s="127"/>
      <c r="EC2325" s="127"/>
      <c r="ED2325" s="127"/>
      <c r="EE2325" s="127"/>
      <c r="EF2325" s="127"/>
      <c r="EG2325" s="127"/>
      <c r="EH2325" s="127"/>
      <c r="EI2325" s="127"/>
      <c r="EJ2325" s="127"/>
      <c r="EK2325" s="127"/>
      <c r="EL2325" s="127"/>
      <c r="EM2325" s="127"/>
      <c r="EN2325" s="127"/>
      <c r="EO2325" s="127"/>
      <c r="EP2325" s="127"/>
      <c r="EQ2325" s="127"/>
      <c r="ER2325" s="127"/>
      <c r="ES2325" s="127"/>
      <c r="ET2325" s="127"/>
      <c r="EU2325" s="127"/>
      <c r="EV2325" s="127"/>
      <c r="EW2325" s="127"/>
      <c r="EX2325" s="127"/>
      <c r="EY2325" s="127"/>
      <c r="EZ2325" s="127"/>
      <c r="FA2325" s="127"/>
      <c r="FB2325" s="127"/>
      <c r="FC2325" s="127"/>
      <c r="FD2325" s="127"/>
      <c r="FE2325" s="127"/>
      <c r="FF2325" s="127"/>
      <c r="FG2325" s="127"/>
      <c r="FH2325" s="127"/>
      <c r="FI2325" s="127"/>
      <c r="FJ2325" s="127"/>
      <c r="FK2325" s="127"/>
      <c r="FL2325" s="127"/>
      <c r="FM2325" s="127"/>
      <c r="FN2325" s="127"/>
      <c r="FO2325" s="127"/>
      <c r="FP2325" s="127"/>
      <c r="FQ2325" s="127"/>
      <c r="FR2325" s="127"/>
      <c r="FS2325" s="127"/>
      <c r="FT2325" s="127"/>
      <c r="FU2325" s="127"/>
      <c r="FV2325" s="127"/>
      <c r="FW2325" s="127"/>
      <c r="FX2325" s="127"/>
      <c r="FY2325" s="127"/>
      <c r="FZ2325" s="127"/>
      <c r="GA2325" s="127"/>
      <c r="GB2325" s="127"/>
      <c r="GC2325" s="127"/>
      <c r="GD2325" s="127"/>
      <c r="GE2325" s="127"/>
      <c r="GF2325" s="127"/>
      <c r="GG2325" s="127"/>
      <c r="GH2325" s="127"/>
      <c r="GI2325" s="127"/>
      <c r="GJ2325" s="127"/>
      <c r="GK2325" s="127"/>
      <c r="GL2325" s="127"/>
      <c r="GM2325" s="127"/>
      <c r="GN2325" s="127"/>
      <c r="GO2325" s="127"/>
      <c r="GP2325" s="127"/>
      <c r="GQ2325" s="127"/>
      <c r="GR2325" s="127"/>
      <c r="GS2325" s="127"/>
      <c r="GT2325" s="127"/>
      <c r="GU2325" s="127"/>
      <c r="GV2325" s="127"/>
      <c r="GW2325" s="127"/>
      <c r="GX2325" s="127"/>
      <c r="GY2325" s="127"/>
      <c r="GZ2325" s="127"/>
      <c r="HA2325" s="127"/>
      <c r="HB2325" s="127"/>
      <c r="HC2325" s="127"/>
      <c r="HD2325" s="127"/>
      <c r="HE2325" s="127"/>
      <c r="HF2325" s="127"/>
      <c r="HG2325" s="127"/>
      <c r="HH2325" s="127"/>
      <c r="HI2325" s="127"/>
      <c r="HJ2325" s="127"/>
      <c r="HK2325" s="127"/>
      <c r="HL2325" s="127"/>
      <c r="HM2325" s="127"/>
      <c r="HN2325" s="127"/>
      <c r="HO2325" s="127"/>
      <c r="HP2325" s="127"/>
      <c r="HQ2325" s="127"/>
      <c r="HR2325" s="127"/>
      <c r="HS2325" s="127"/>
      <c r="HT2325" s="127"/>
      <c r="HU2325" s="127"/>
      <c r="HV2325" s="127"/>
      <c r="HW2325" s="127"/>
      <c r="HX2325" s="127"/>
      <c r="HY2325" s="127"/>
      <c r="HZ2325" s="127"/>
      <c r="IA2325" s="127"/>
      <c r="IB2325" s="127"/>
      <c r="IC2325" s="127"/>
      <c r="ID2325" s="127"/>
      <c r="IE2325" s="127"/>
      <c r="IF2325" s="127"/>
      <c r="IG2325" s="127"/>
      <c r="IH2325" s="127"/>
      <c r="II2325" s="127"/>
      <c r="IJ2325" s="127"/>
    </row>
    <row r="2326" spans="1:244" s="128" customFormat="1" ht="12.75" customHeight="1">
      <c r="A2326" s="118">
        <v>2325</v>
      </c>
      <c r="B2326" s="128">
        <v>24</v>
      </c>
      <c r="C2326" s="156">
        <v>39692</v>
      </c>
      <c r="D2326" s="176" t="s">
        <v>52</v>
      </c>
      <c r="E2326" s="127">
        <v>2008</v>
      </c>
      <c r="F2326" s="158">
        <f t="shared" si="587"/>
        <v>305</v>
      </c>
      <c r="G2326" s="158">
        <f t="shared" si="588"/>
        <v>1</v>
      </c>
      <c r="H2326" s="175">
        <v>39387</v>
      </c>
      <c r="I2326" s="194">
        <v>622000</v>
      </c>
      <c r="J2326" s="15">
        <v>2.5</v>
      </c>
      <c r="K2326" s="15">
        <v>0.9</v>
      </c>
      <c r="L2326" s="15">
        <v>0.1</v>
      </c>
      <c r="M2326" s="174"/>
      <c r="N2326" s="528"/>
      <c r="O2326" s="15">
        <v>0</v>
      </c>
      <c r="P2326" s="8"/>
      <c r="Q2326" s="11"/>
      <c r="R2326" s="158"/>
      <c r="S2326" s="155"/>
      <c r="T2326" s="161">
        <f t="shared" si="589"/>
        <v>559800</v>
      </c>
      <c r="U2326" s="161">
        <f t="shared" si="590"/>
        <v>62200</v>
      </c>
      <c r="V2326" s="161">
        <f t="shared" si="591"/>
        <v>0</v>
      </c>
      <c r="W2326" s="161">
        <f t="shared" si="592"/>
        <v>0</v>
      </c>
      <c r="X2326" s="127"/>
      <c r="Y2326" s="127"/>
      <c r="Z2326" s="127"/>
      <c r="AA2326" s="127"/>
      <c r="AB2326" s="127"/>
      <c r="AC2326" s="127"/>
      <c r="AD2326" s="127"/>
      <c r="AE2326" s="127"/>
      <c r="AF2326" s="127"/>
      <c r="AG2326" s="127"/>
      <c r="AH2326" s="127"/>
      <c r="AI2326" s="127"/>
      <c r="AJ2326" s="127"/>
      <c r="AK2326" s="127"/>
      <c r="AL2326" s="127"/>
      <c r="AM2326" s="127"/>
      <c r="AN2326" s="127"/>
      <c r="AO2326" s="127"/>
      <c r="AP2326" s="127"/>
      <c r="AQ2326" s="127"/>
      <c r="AR2326" s="127"/>
      <c r="AS2326" s="127"/>
      <c r="AT2326" s="127"/>
      <c r="AU2326" s="127"/>
      <c r="AV2326" s="127"/>
      <c r="AW2326" s="127"/>
      <c r="AX2326" s="127"/>
      <c r="AY2326" s="127"/>
      <c r="AZ2326" s="127"/>
      <c r="BA2326" s="127"/>
      <c r="BB2326" s="127"/>
      <c r="BC2326" s="127"/>
      <c r="BD2326" s="127"/>
      <c r="BE2326" s="127"/>
      <c r="BF2326" s="127"/>
      <c r="BG2326" s="127"/>
      <c r="BH2326" s="127"/>
      <c r="BI2326" s="127"/>
      <c r="BJ2326" s="127"/>
      <c r="BK2326" s="127"/>
      <c r="BL2326" s="127"/>
      <c r="BM2326" s="127"/>
      <c r="BN2326" s="127"/>
      <c r="BO2326" s="127"/>
      <c r="BP2326" s="127"/>
      <c r="BQ2326" s="127"/>
      <c r="BR2326" s="127"/>
      <c r="BS2326" s="127"/>
      <c r="BT2326" s="127"/>
      <c r="BU2326" s="127"/>
      <c r="BV2326" s="127"/>
      <c r="BW2326" s="127"/>
      <c r="BX2326" s="127"/>
      <c r="BY2326" s="127"/>
      <c r="BZ2326" s="127"/>
      <c r="CA2326" s="127"/>
      <c r="CB2326" s="127"/>
      <c r="CC2326" s="127"/>
      <c r="CD2326" s="127"/>
      <c r="CE2326" s="127"/>
      <c r="CF2326" s="127"/>
      <c r="CG2326" s="127"/>
      <c r="CH2326" s="127"/>
      <c r="CI2326" s="127"/>
      <c r="CJ2326" s="127"/>
      <c r="CK2326" s="127"/>
      <c r="CL2326" s="127"/>
      <c r="CM2326" s="127"/>
      <c r="CN2326" s="127"/>
      <c r="CO2326" s="127"/>
      <c r="CP2326" s="127"/>
      <c r="CQ2326" s="127"/>
      <c r="CR2326" s="127"/>
      <c r="CS2326" s="127"/>
      <c r="CT2326" s="127"/>
      <c r="CU2326" s="127"/>
      <c r="CV2326" s="127"/>
      <c r="CW2326" s="127"/>
      <c r="CX2326" s="127"/>
      <c r="CY2326" s="127"/>
      <c r="CZ2326" s="127"/>
      <c r="DA2326" s="127"/>
      <c r="DB2326" s="127"/>
      <c r="DC2326" s="127"/>
      <c r="DD2326" s="127"/>
      <c r="DE2326" s="127"/>
      <c r="DF2326" s="127"/>
      <c r="DG2326" s="127"/>
      <c r="DH2326" s="127"/>
      <c r="DI2326" s="127"/>
      <c r="DJ2326" s="127"/>
      <c r="DK2326" s="127"/>
      <c r="DL2326" s="127"/>
      <c r="DM2326" s="127"/>
      <c r="DN2326" s="127"/>
      <c r="DO2326" s="127"/>
      <c r="DP2326" s="127"/>
      <c r="DQ2326" s="127"/>
      <c r="DR2326" s="127"/>
      <c r="DS2326" s="127"/>
      <c r="DT2326" s="127"/>
      <c r="DU2326" s="127"/>
      <c r="DV2326" s="127"/>
      <c r="DW2326" s="127"/>
      <c r="DX2326" s="127"/>
      <c r="DY2326" s="127"/>
      <c r="DZ2326" s="127"/>
      <c r="EA2326" s="127"/>
      <c r="EB2326" s="127"/>
      <c r="EC2326" s="127"/>
      <c r="ED2326" s="127"/>
      <c r="EE2326" s="127"/>
      <c r="EF2326" s="127"/>
      <c r="EG2326" s="127"/>
      <c r="EH2326" s="127"/>
      <c r="EI2326" s="127"/>
      <c r="EJ2326" s="127"/>
      <c r="EK2326" s="127"/>
      <c r="EL2326" s="127"/>
      <c r="EM2326" s="127"/>
      <c r="EN2326" s="127"/>
      <c r="EO2326" s="127"/>
      <c r="EP2326" s="127"/>
      <c r="EQ2326" s="127"/>
      <c r="ER2326" s="127"/>
      <c r="ES2326" s="127"/>
      <c r="ET2326" s="127"/>
      <c r="EU2326" s="127"/>
      <c r="EV2326" s="127"/>
      <c r="EW2326" s="127"/>
      <c r="EX2326" s="127"/>
      <c r="EY2326" s="127"/>
      <c r="EZ2326" s="127"/>
      <c r="FA2326" s="127"/>
      <c r="FB2326" s="127"/>
      <c r="FC2326" s="127"/>
      <c r="FD2326" s="127"/>
      <c r="FE2326" s="127"/>
      <c r="FF2326" s="127"/>
      <c r="FG2326" s="127"/>
      <c r="FH2326" s="127"/>
      <c r="FI2326" s="127"/>
      <c r="FJ2326" s="127"/>
      <c r="FK2326" s="127"/>
      <c r="FL2326" s="127"/>
      <c r="FM2326" s="127"/>
      <c r="FN2326" s="127"/>
      <c r="FO2326" s="127"/>
      <c r="FP2326" s="127"/>
      <c r="FQ2326" s="127"/>
      <c r="FR2326" s="127"/>
      <c r="FS2326" s="127"/>
      <c r="FT2326" s="127"/>
      <c r="FU2326" s="127"/>
      <c r="FV2326" s="127"/>
      <c r="FW2326" s="127"/>
      <c r="FX2326" s="127"/>
      <c r="FY2326" s="127"/>
      <c r="FZ2326" s="127"/>
      <c r="GA2326" s="127"/>
      <c r="GB2326" s="127"/>
      <c r="GC2326" s="127"/>
      <c r="GD2326" s="127"/>
      <c r="GE2326" s="127"/>
      <c r="GF2326" s="127"/>
      <c r="GG2326" s="127"/>
      <c r="GH2326" s="127"/>
      <c r="GI2326" s="127"/>
      <c r="GJ2326" s="127"/>
      <c r="GK2326" s="127"/>
      <c r="GL2326" s="127"/>
      <c r="GM2326" s="127"/>
      <c r="GN2326" s="127"/>
      <c r="GO2326" s="127"/>
      <c r="GP2326" s="127"/>
      <c r="GQ2326" s="127"/>
      <c r="GR2326" s="127"/>
      <c r="GS2326" s="127"/>
      <c r="GT2326" s="127"/>
      <c r="GU2326" s="127"/>
      <c r="GV2326" s="127"/>
      <c r="GW2326" s="127"/>
      <c r="GX2326" s="127"/>
      <c r="GY2326" s="127"/>
      <c r="GZ2326" s="127"/>
      <c r="HA2326" s="127"/>
      <c r="HB2326" s="127"/>
      <c r="HC2326" s="127"/>
      <c r="HD2326" s="127"/>
      <c r="HE2326" s="127"/>
      <c r="HF2326" s="127"/>
      <c r="HG2326" s="127"/>
      <c r="HH2326" s="127"/>
      <c r="HI2326" s="127"/>
      <c r="HJ2326" s="127"/>
      <c r="HK2326" s="127"/>
      <c r="HL2326" s="127"/>
      <c r="HM2326" s="127"/>
      <c r="HN2326" s="127"/>
      <c r="HO2326" s="127"/>
      <c r="HP2326" s="127"/>
      <c r="HQ2326" s="127"/>
      <c r="HR2326" s="127"/>
      <c r="HS2326" s="127"/>
      <c r="HT2326" s="127"/>
      <c r="HU2326" s="127"/>
      <c r="HV2326" s="127"/>
      <c r="HW2326" s="127"/>
      <c r="HX2326" s="127"/>
      <c r="HY2326" s="127"/>
      <c r="HZ2326" s="127"/>
      <c r="IA2326" s="127"/>
      <c r="IB2326" s="127"/>
      <c r="IC2326" s="127"/>
      <c r="ID2326" s="127"/>
      <c r="IE2326" s="127"/>
      <c r="IF2326" s="127"/>
      <c r="IG2326" s="127"/>
      <c r="IH2326" s="127"/>
      <c r="II2326" s="127"/>
      <c r="IJ2326" s="127"/>
    </row>
    <row r="2327" spans="1:244" s="128" customFormat="1" ht="12.75" customHeight="1">
      <c r="A2327" s="118">
        <v>2326</v>
      </c>
      <c r="B2327" s="128">
        <v>24</v>
      </c>
      <c r="C2327" s="156">
        <v>39722</v>
      </c>
      <c r="D2327" s="176" t="s">
        <v>53</v>
      </c>
      <c r="E2327" s="127">
        <v>2008</v>
      </c>
      <c r="F2327" s="158">
        <f t="shared" si="587"/>
        <v>335</v>
      </c>
      <c r="G2327" s="158">
        <f t="shared" si="588"/>
        <v>1</v>
      </c>
      <c r="H2327" s="175">
        <v>39387</v>
      </c>
      <c r="I2327" s="194">
        <v>621000</v>
      </c>
      <c r="J2327" s="15">
        <v>8.6999999999999993</v>
      </c>
      <c r="K2327" s="15">
        <v>1.27</v>
      </c>
      <c r="L2327" s="15">
        <v>0.23</v>
      </c>
      <c r="M2327" s="174">
        <v>0</v>
      </c>
      <c r="N2327" s="528"/>
      <c r="O2327" s="15">
        <v>0.25</v>
      </c>
      <c r="P2327" s="8"/>
      <c r="Q2327" s="11"/>
      <c r="R2327" s="158"/>
      <c r="S2327" s="239"/>
      <c r="T2327" s="161">
        <f t="shared" si="589"/>
        <v>788670</v>
      </c>
      <c r="U2327" s="161">
        <f t="shared" si="590"/>
        <v>142830</v>
      </c>
      <c r="V2327" s="161">
        <f t="shared" si="591"/>
        <v>155250</v>
      </c>
      <c r="W2327" s="161">
        <f t="shared" si="592"/>
        <v>62100</v>
      </c>
      <c r="X2327" s="127"/>
      <c r="Y2327" s="127"/>
      <c r="Z2327" s="127"/>
      <c r="AA2327" s="127"/>
      <c r="AB2327" s="127"/>
      <c r="AC2327" s="127"/>
      <c r="AD2327" s="127"/>
      <c r="AE2327" s="127"/>
      <c r="AF2327" s="127"/>
      <c r="AG2327" s="127"/>
      <c r="AH2327" s="127"/>
      <c r="AI2327" s="127"/>
      <c r="AJ2327" s="127"/>
      <c r="AK2327" s="127"/>
      <c r="AL2327" s="127"/>
      <c r="AM2327" s="127"/>
      <c r="AN2327" s="127"/>
      <c r="AO2327" s="127"/>
      <c r="AP2327" s="127"/>
      <c r="AQ2327" s="127"/>
      <c r="AR2327" s="127"/>
      <c r="AS2327" s="127"/>
      <c r="AT2327" s="127"/>
      <c r="AU2327" s="127"/>
      <c r="AV2327" s="127"/>
      <c r="AW2327" s="127"/>
      <c r="AX2327" s="127"/>
      <c r="AY2327" s="127"/>
      <c r="AZ2327" s="127"/>
      <c r="BA2327" s="127"/>
      <c r="BB2327" s="127"/>
      <c r="BC2327" s="127"/>
      <c r="BD2327" s="127"/>
      <c r="BE2327" s="127"/>
      <c r="BF2327" s="127"/>
      <c r="BG2327" s="127"/>
      <c r="BH2327" s="127"/>
      <c r="BI2327" s="127"/>
      <c r="BJ2327" s="127"/>
      <c r="BK2327" s="127"/>
      <c r="BL2327" s="127"/>
      <c r="BM2327" s="127"/>
      <c r="BN2327" s="127"/>
      <c r="BO2327" s="127"/>
      <c r="BP2327" s="127"/>
      <c r="BQ2327" s="127"/>
      <c r="BR2327" s="127"/>
      <c r="BS2327" s="127"/>
      <c r="BT2327" s="127"/>
      <c r="BU2327" s="127"/>
      <c r="BV2327" s="127"/>
      <c r="BW2327" s="127"/>
      <c r="BX2327" s="127"/>
      <c r="BY2327" s="127"/>
      <c r="BZ2327" s="127"/>
      <c r="CA2327" s="127"/>
      <c r="CB2327" s="127"/>
      <c r="CC2327" s="127"/>
      <c r="CD2327" s="127"/>
      <c r="CE2327" s="127"/>
      <c r="CF2327" s="127"/>
      <c r="CG2327" s="127"/>
      <c r="CH2327" s="127"/>
      <c r="CI2327" s="127"/>
      <c r="CJ2327" s="127"/>
      <c r="CK2327" s="127"/>
      <c r="CL2327" s="127"/>
      <c r="CM2327" s="127"/>
      <c r="CN2327" s="127"/>
      <c r="CO2327" s="127"/>
      <c r="CP2327" s="127"/>
      <c r="CQ2327" s="127"/>
      <c r="CR2327" s="127"/>
      <c r="CS2327" s="127"/>
      <c r="CT2327" s="127"/>
      <c r="CU2327" s="127"/>
      <c r="CV2327" s="127"/>
      <c r="CW2327" s="127"/>
      <c r="CX2327" s="127"/>
      <c r="CY2327" s="127"/>
      <c r="CZ2327" s="127"/>
      <c r="DA2327" s="127"/>
      <c r="DB2327" s="127"/>
      <c r="DC2327" s="127"/>
      <c r="DD2327" s="127"/>
      <c r="DE2327" s="127"/>
      <c r="DF2327" s="127"/>
      <c r="DG2327" s="127"/>
      <c r="DH2327" s="127"/>
      <c r="DI2327" s="127"/>
      <c r="DJ2327" s="127"/>
      <c r="DK2327" s="127"/>
      <c r="DL2327" s="127"/>
      <c r="DM2327" s="127"/>
      <c r="DN2327" s="127"/>
      <c r="DO2327" s="127"/>
      <c r="DP2327" s="127"/>
      <c r="DQ2327" s="127"/>
      <c r="DR2327" s="127"/>
      <c r="DS2327" s="127"/>
      <c r="DT2327" s="127"/>
      <c r="DU2327" s="127"/>
      <c r="DV2327" s="127"/>
      <c r="DW2327" s="127"/>
      <c r="DX2327" s="127"/>
      <c r="DY2327" s="127"/>
      <c r="DZ2327" s="127"/>
      <c r="EA2327" s="127"/>
      <c r="EB2327" s="127"/>
      <c r="EC2327" s="127"/>
      <c r="ED2327" s="127"/>
      <c r="EE2327" s="127"/>
      <c r="EF2327" s="127"/>
      <c r="EG2327" s="127"/>
      <c r="EH2327" s="127"/>
      <c r="EI2327" s="127"/>
      <c r="EJ2327" s="127"/>
      <c r="EK2327" s="127"/>
      <c r="EL2327" s="127"/>
      <c r="EM2327" s="127"/>
      <c r="EN2327" s="127"/>
      <c r="EO2327" s="127"/>
      <c r="EP2327" s="127"/>
      <c r="EQ2327" s="127"/>
      <c r="ER2327" s="127"/>
      <c r="ES2327" s="127"/>
      <c r="ET2327" s="127"/>
      <c r="EU2327" s="127"/>
      <c r="EV2327" s="127"/>
      <c r="EW2327" s="127"/>
      <c r="EX2327" s="127"/>
      <c r="EY2327" s="127"/>
      <c r="EZ2327" s="127"/>
      <c r="FA2327" s="127"/>
      <c r="FB2327" s="127"/>
      <c r="FC2327" s="127"/>
      <c r="FD2327" s="127"/>
      <c r="FE2327" s="127"/>
      <c r="FF2327" s="127"/>
      <c r="FG2327" s="127"/>
      <c r="FH2327" s="127"/>
      <c r="FI2327" s="127"/>
      <c r="FJ2327" s="127"/>
      <c r="FK2327" s="127"/>
      <c r="FL2327" s="127"/>
      <c r="FM2327" s="127"/>
      <c r="FN2327" s="127"/>
      <c r="FO2327" s="127"/>
      <c r="FP2327" s="127"/>
      <c r="FQ2327" s="127"/>
      <c r="FR2327" s="127"/>
      <c r="FS2327" s="127"/>
      <c r="FT2327" s="127"/>
      <c r="FU2327" s="127"/>
      <c r="FV2327" s="127"/>
      <c r="FW2327" s="127"/>
      <c r="FX2327" s="127"/>
      <c r="FY2327" s="127"/>
      <c r="FZ2327" s="127"/>
      <c r="GA2327" s="127"/>
      <c r="GB2327" s="127"/>
      <c r="GC2327" s="127"/>
      <c r="GD2327" s="127"/>
      <c r="GE2327" s="127"/>
      <c r="GF2327" s="127"/>
      <c r="GG2327" s="127"/>
      <c r="GH2327" s="127"/>
      <c r="GI2327" s="127"/>
      <c r="GJ2327" s="127"/>
      <c r="GK2327" s="127"/>
      <c r="GL2327" s="127"/>
      <c r="GM2327" s="127"/>
      <c r="GN2327" s="127"/>
      <c r="GO2327" s="127"/>
      <c r="GP2327" s="127"/>
      <c r="GQ2327" s="127"/>
      <c r="GR2327" s="127"/>
      <c r="GS2327" s="127"/>
      <c r="GT2327" s="127"/>
      <c r="GU2327" s="127"/>
      <c r="GV2327" s="127"/>
      <c r="GW2327" s="127"/>
      <c r="GX2327" s="127"/>
      <c r="GY2327" s="127"/>
      <c r="GZ2327" s="127"/>
      <c r="HA2327" s="127"/>
      <c r="HB2327" s="127"/>
      <c r="HC2327" s="127"/>
      <c r="HD2327" s="127"/>
      <c r="HE2327" s="127"/>
      <c r="HF2327" s="127"/>
      <c r="HG2327" s="127"/>
      <c r="HH2327" s="127"/>
      <c r="HI2327" s="127"/>
      <c r="HJ2327" s="127"/>
      <c r="HK2327" s="127"/>
      <c r="HL2327" s="127"/>
      <c r="HM2327" s="127"/>
      <c r="HN2327" s="127"/>
      <c r="HO2327" s="127"/>
      <c r="HP2327" s="127"/>
      <c r="HQ2327" s="127"/>
      <c r="HR2327" s="127"/>
      <c r="HS2327" s="127"/>
      <c r="HT2327" s="127"/>
      <c r="HU2327" s="127"/>
      <c r="HV2327" s="127"/>
      <c r="HW2327" s="127"/>
      <c r="HX2327" s="127"/>
      <c r="HY2327" s="127"/>
      <c r="HZ2327" s="127"/>
      <c r="IA2327" s="127"/>
      <c r="IB2327" s="127"/>
      <c r="IC2327" s="127"/>
      <c r="ID2327" s="127"/>
      <c r="IE2327" s="127"/>
      <c r="IF2327" s="127"/>
      <c r="IG2327" s="127"/>
      <c r="IH2327" s="127"/>
      <c r="II2327" s="127"/>
      <c r="IJ2327" s="127"/>
    </row>
    <row r="2328" spans="1:244" s="128" customFormat="1" ht="12.75" customHeight="1">
      <c r="A2328" s="118">
        <v>2327</v>
      </c>
      <c r="B2328" s="128">
        <v>24</v>
      </c>
      <c r="C2328" s="156">
        <v>39753</v>
      </c>
      <c r="D2328" s="176" t="s">
        <v>54</v>
      </c>
      <c r="E2328" s="127">
        <v>2008</v>
      </c>
      <c r="F2328" s="158">
        <f t="shared" si="587"/>
        <v>366</v>
      </c>
      <c r="G2328" s="158">
        <f t="shared" si="588"/>
        <v>2</v>
      </c>
      <c r="H2328" s="175">
        <v>39387</v>
      </c>
      <c r="I2328" s="194">
        <v>621000</v>
      </c>
      <c r="J2328" s="15">
        <v>10.98</v>
      </c>
      <c r="K2328" s="15">
        <v>3.08</v>
      </c>
      <c r="L2328" s="15">
        <v>1.08</v>
      </c>
      <c r="M2328" s="174">
        <v>0</v>
      </c>
      <c r="N2328" s="528"/>
      <c r="O2328" s="15">
        <v>0.03</v>
      </c>
      <c r="P2328" s="8"/>
      <c r="Q2328" s="11"/>
      <c r="R2328" s="158"/>
      <c r="S2328" s="239"/>
      <c r="T2328" s="161">
        <f t="shared" si="589"/>
        <v>1912680</v>
      </c>
      <c r="U2328" s="161">
        <f t="shared" si="590"/>
        <v>670680</v>
      </c>
      <c r="V2328" s="161">
        <f t="shared" si="591"/>
        <v>18630</v>
      </c>
      <c r="W2328" s="161">
        <f t="shared" si="592"/>
        <v>7452</v>
      </c>
      <c r="X2328" s="127"/>
      <c r="Y2328" s="127"/>
      <c r="Z2328" s="127"/>
      <c r="AA2328" s="127"/>
      <c r="AB2328" s="127"/>
      <c r="AC2328" s="127"/>
      <c r="AD2328" s="127"/>
      <c r="AE2328" s="127"/>
      <c r="AF2328" s="127"/>
      <c r="AG2328" s="127"/>
      <c r="AH2328" s="127"/>
      <c r="AI2328" s="127"/>
      <c r="AJ2328" s="127"/>
      <c r="AK2328" s="127"/>
      <c r="AL2328" s="127"/>
      <c r="AM2328" s="127"/>
      <c r="AN2328" s="127"/>
      <c r="AO2328" s="127"/>
      <c r="AP2328" s="127"/>
      <c r="AQ2328" s="127"/>
      <c r="AR2328" s="127"/>
      <c r="AS2328" s="127"/>
      <c r="AT2328" s="127"/>
      <c r="AU2328" s="127"/>
      <c r="AV2328" s="127"/>
      <c r="AW2328" s="127"/>
      <c r="AX2328" s="127"/>
      <c r="AY2328" s="127"/>
      <c r="AZ2328" s="127"/>
      <c r="BA2328" s="127"/>
      <c r="BB2328" s="127"/>
      <c r="BC2328" s="127"/>
      <c r="BD2328" s="127"/>
      <c r="BE2328" s="127"/>
      <c r="BF2328" s="127"/>
      <c r="BG2328" s="127"/>
      <c r="BH2328" s="127"/>
      <c r="BI2328" s="127"/>
      <c r="BJ2328" s="127"/>
      <c r="BK2328" s="127"/>
      <c r="BL2328" s="127"/>
      <c r="BM2328" s="127"/>
      <c r="BN2328" s="127"/>
      <c r="BO2328" s="127"/>
      <c r="BP2328" s="127"/>
      <c r="BQ2328" s="127"/>
      <c r="BR2328" s="127"/>
      <c r="BS2328" s="127"/>
      <c r="BT2328" s="127"/>
      <c r="BU2328" s="127"/>
      <c r="BV2328" s="127"/>
      <c r="BW2328" s="127"/>
      <c r="BX2328" s="127"/>
      <c r="BY2328" s="127"/>
      <c r="BZ2328" s="127"/>
      <c r="CA2328" s="127"/>
      <c r="CB2328" s="127"/>
      <c r="CC2328" s="127"/>
      <c r="CD2328" s="127"/>
      <c r="CE2328" s="127"/>
      <c r="CF2328" s="127"/>
      <c r="CG2328" s="127"/>
      <c r="CH2328" s="127"/>
      <c r="CI2328" s="127"/>
      <c r="CJ2328" s="127"/>
      <c r="CK2328" s="127"/>
      <c r="CL2328" s="127"/>
      <c r="CM2328" s="127"/>
      <c r="CN2328" s="127"/>
      <c r="CO2328" s="127"/>
      <c r="CP2328" s="127"/>
      <c r="CQ2328" s="127"/>
      <c r="CR2328" s="127"/>
      <c r="CS2328" s="127"/>
      <c r="CT2328" s="127"/>
      <c r="CU2328" s="127"/>
      <c r="CV2328" s="127"/>
      <c r="CW2328" s="127"/>
      <c r="CX2328" s="127"/>
      <c r="CY2328" s="127"/>
      <c r="CZ2328" s="127"/>
      <c r="DA2328" s="127"/>
      <c r="DB2328" s="127"/>
      <c r="DC2328" s="127"/>
      <c r="DD2328" s="127"/>
      <c r="DE2328" s="127"/>
      <c r="DF2328" s="127"/>
      <c r="DG2328" s="127"/>
      <c r="DH2328" s="127"/>
      <c r="DI2328" s="127"/>
      <c r="DJ2328" s="127"/>
      <c r="DK2328" s="127"/>
      <c r="DL2328" s="127"/>
      <c r="DM2328" s="127"/>
      <c r="DN2328" s="127"/>
      <c r="DO2328" s="127"/>
      <c r="DP2328" s="127"/>
      <c r="DQ2328" s="127"/>
      <c r="DR2328" s="127"/>
      <c r="DS2328" s="127"/>
      <c r="DT2328" s="127"/>
      <c r="DU2328" s="127"/>
      <c r="DV2328" s="127"/>
      <c r="DW2328" s="127"/>
      <c r="DX2328" s="127"/>
      <c r="DY2328" s="127"/>
      <c r="DZ2328" s="127"/>
      <c r="EA2328" s="127"/>
      <c r="EB2328" s="127"/>
      <c r="EC2328" s="127"/>
      <c r="ED2328" s="127"/>
      <c r="EE2328" s="127"/>
      <c r="EF2328" s="127"/>
      <c r="EG2328" s="127"/>
      <c r="EH2328" s="127"/>
      <c r="EI2328" s="127"/>
      <c r="EJ2328" s="127"/>
      <c r="EK2328" s="127"/>
      <c r="EL2328" s="127"/>
      <c r="EM2328" s="127"/>
      <c r="EN2328" s="127"/>
      <c r="EO2328" s="127"/>
      <c r="EP2328" s="127"/>
      <c r="EQ2328" s="127"/>
      <c r="ER2328" s="127"/>
      <c r="ES2328" s="127"/>
      <c r="ET2328" s="127"/>
      <c r="EU2328" s="127"/>
      <c r="EV2328" s="127"/>
      <c r="EW2328" s="127"/>
      <c r="EX2328" s="127"/>
      <c r="EY2328" s="127"/>
      <c r="EZ2328" s="127"/>
      <c r="FA2328" s="127"/>
      <c r="FB2328" s="127"/>
      <c r="FC2328" s="127"/>
      <c r="FD2328" s="127"/>
      <c r="FE2328" s="127"/>
      <c r="FF2328" s="127"/>
      <c r="FG2328" s="127"/>
      <c r="FH2328" s="127"/>
      <c r="FI2328" s="127"/>
      <c r="FJ2328" s="127"/>
      <c r="FK2328" s="127"/>
      <c r="FL2328" s="127"/>
      <c r="FM2328" s="127"/>
      <c r="FN2328" s="127"/>
      <c r="FO2328" s="127"/>
      <c r="FP2328" s="127"/>
      <c r="FQ2328" s="127"/>
      <c r="FR2328" s="127"/>
      <c r="FS2328" s="127"/>
      <c r="FT2328" s="127"/>
      <c r="FU2328" s="127"/>
      <c r="FV2328" s="127"/>
      <c r="FW2328" s="127"/>
      <c r="FX2328" s="127"/>
      <c r="FY2328" s="127"/>
      <c r="FZ2328" s="127"/>
      <c r="GA2328" s="127"/>
      <c r="GB2328" s="127"/>
      <c r="GC2328" s="127"/>
      <c r="GD2328" s="127"/>
      <c r="GE2328" s="127"/>
      <c r="GF2328" s="127"/>
      <c r="GG2328" s="127"/>
      <c r="GH2328" s="127"/>
      <c r="GI2328" s="127"/>
      <c r="GJ2328" s="127"/>
      <c r="GK2328" s="127"/>
      <c r="GL2328" s="127"/>
      <c r="GM2328" s="127"/>
      <c r="GN2328" s="127"/>
      <c r="GO2328" s="127"/>
      <c r="GP2328" s="127"/>
      <c r="GQ2328" s="127"/>
      <c r="GR2328" s="127"/>
      <c r="GS2328" s="127"/>
      <c r="GT2328" s="127"/>
      <c r="GU2328" s="127"/>
      <c r="GV2328" s="127"/>
      <c r="GW2328" s="127"/>
      <c r="GX2328" s="127"/>
      <c r="GY2328" s="127"/>
      <c r="GZ2328" s="127"/>
      <c r="HA2328" s="127"/>
      <c r="HB2328" s="127"/>
      <c r="HC2328" s="127"/>
      <c r="HD2328" s="127"/>
      <c r="HE2328" s="127"/>
      <c r="HF2328" s="127"/>
      <c r="HG2328" s="127"/>
      <c r="HH2328" s="127"/>
      <c r="HI2328" s="127"/>
      <c r="HJ2328" s="127"/>
      <c r="HK2328" s="127"/>
      <c r="HL2328" s="127"/>
      <c r="HM2328" s="127"/>
      <c r="HN2328" s="127"/>
      <c r="HO2328" s="127"/>
      <c r="HP2328" s="127"/>
      <c r="HQ2328" s="127"/>
      <c r="HR2328" s="127"/>
      <c r="HS2328" s="127"/>
      <c r="HT2328" s="127"/>
      <c r="HU2328" s="127"/>
      <c r="HV2328" s="127"/>
      <c r="HW2328" s="127"/>
      <c r="HX2328" s="127"/>
      <c r="HY2328" s="127"/>
      <c r="HZ2328" s="127"/>
      <c r="IA2328" s="127"/>
      <c r="IB2328" s="127"/>
      <c r="IC2328" s="127"/>
      <c r="ID2328" s="127"/>
      <c r="IE2328" s="127"/>
      <c r="IF2328" s="127"/>
      <c r="IG2328" s="127"/>
      <c r="IH2328" s="127"/>
      <c r="II2328" s="127"/>
      <c r="IJ2328" s="127"/>
    </row>
    <row r="2329" spans="1:244" s="128" customFormat="1" ht="12.75" customHeight="1">
      <c r="A2329" s="118">
        <v>2328</v>
      </c>
      <c r="B2329" s="128">
        <v>24</v>
      </c>
      <c r="C2329" s="156">
        <v>39783</v>
      </c>
      <c r="D2329" s="176" t="s">
        <v>55</v>
      </c>
      <c r="E2329" s="127">
        <v>2008</v>
      </c>
      <c r="F2329" s="158">
        <f t="shared" si="587"/>
        <v>396</v>
      </c>
      <c r="G2329" s="158">
        <f t="shared" si="588"/>
        <v>2</v>
      </c>
      <c r="H2329" s="175">
        <v>39387</v>
      </c>
      <c r="I2329" s="194">
        <v>620000</v>
      </c>
      <c r="J2329" s="15">
        <v>11.95</v>
      </c>
      <c r="K2329" s="15">
        <v>3.41</v>
      </c>
      <c r="L2329" s="15">
        <v>0.9</v>
      </c>
      <c r="M2329" s="174">
        <v>1</v>
      </c>
      <c r="N2329" s="528"/>
      <c r="O2329" s="15">
        <v>0</v>
      </c>
      <c r="P2329" s="127">
        <v>1</v>
      </c>
      <c r="Q2329" s="11"/>
      <c r="R2329" s="158"/>
      <c r="S2329" s="239"/>
      <c r="T2329" s="161">
        <f t="shared" si="589"/>
        <v>2114200</v>
      </c>
      <c r="U2329" s="161">
        <f t="shared" si="590"/>
        <v>558000</v>
      </c>
      <c r="V2329" s="161">
        <f t="shared" si="591"/>
        <v>0</v>
      </c>
      <c r="W2329" s="161">
        <f t="shared" si="592"/>
        <v>0</v>
      </c>
      <c r="X2329" s="127"/>
      <c r="Y2329" s="127"/>
      <c r="Z2329" s="127"/>
      <c r="AA2329" s="127"/>
      <c r="AB2329" s="127"/>
      <c r="AC2329" s="127"/>
      <c r="AD2329" s="127"/>
      <c r="AE2329" s="127"/>
      <c r="AF2329" s="127"/>
      <c r="AG2329" s="127"/>
      <c r="AH2329" s="127"/>
      <c r="AI2329" s="127"/>
      <c r="AJ2329" s="127"/>
      <c r="AK2329" s="127"/>
      <c r="AL2329" s="127"/>
      <c r="AM2329" s="127"/>
      <c r="AN2329" s="127"/>
      <c r="AO2329" s="127"/>
      <c r="AP2329" s="127"/>
      <c r="AQ2329" s="127"/>
      <c r="AR2329" s="127"/>
      <c r="AS2329" s="127"/>
      <c r="AT2329" s="127"/>
      <c r="AU2329" s="127"/>
      <c r="AV2329" s="127"/>
      <c r="AW2329" s="127"/>
      <c r="AX2329" s="127"/>
      <c r="AY2329" s="127"/>
      <c r="AZ2329" s="127"/>
      <c r="BA2329" s="127"/>
      <c r="BB2329" s="127"/>
      <c r="BC2329" s="127"/>
      <c r="BD2329" s="127"/>
      <c r="BE2329" s="127"/>
      <c r="BF2329" s="127"/>
      <c r="BG2329" s="127"/>
      <c r="BH2329" s="127"/>
      <c r="BI2329" s="127"/>
      <c r="BJ2329" s="127"/>
      <c r="BK2329" s="127"/>
      <c r="BL2329" s="127"/>
      <c r="BM2329" s="127"/>
      <c r="BN2329" s="127"/>
      <c r="BO2329" s="127"/>
      <c r="BP2329" s="127"/>
      <c r="BQ2329" s="127"/>
      <c r="BR2329" s="127"/>
      <c r="BS2329" s="127"/>
      <c r="BT2329" s="127"/>
      <c r="BU2329" s="127"/>
      <c r="BV2329" s="127"/>
      <c r="BW2329" s="127"/>
      <c r="BX2329" s="127"/>
      <c r="BY2329" s="127"/>
      <c r="BZ2329" s="127"/>
      <c r="CA2329" s="127"/>
      <c r="CB2329" s="127"/>
      <c r="CC2329" s="127"/>
      <c r="CD2329" s="127"/>
      <c r="CE2329" s="127"/>
      <c r="CF2329" s="127"/>
      <c r="CG2329" s="127"/>
      <c r="CH2329" s="127"/>
      <c r="CI2329" s="127"/>
      <c r="CJ2329" s="127"/>
      <c r="CK2329" s="127"/>
      <c r="CL2329" s="127"/>
      <c r="CM2329" s="127"/>
      <c r="CN2329" s="127"/>
      <c r="CO2329" s="127"/>
      <c r="CP2329" s="127"/>
      <c r="CQ2329" s="127"/>
      <c r="CR2329" s="127"/>
      <c r="CS2329" s="127"/>
      <c r="CT2329" s="127"/>
      <c r="CU2329" s="127"/>
      <c r="CV2329" s="127"/>
      <c r="CW2329" s="127"/>
      <c r="CX2329" s="127"/>
      <c r="CY2329" s="127"/>
      <c r="CZ2329" s="127"/>
      <c r="DA2329" s="127"/>
      <c r="DB2329" s="127"/>
      <c r="DC2329" s="127"/>
      <c r="DD2329" s="127"/>
      <c r="DE2329" s="127"/>
      <c r="DF2329" s="127"/>
      <c r="DG2329" s="127"/>
      <c r="DH2329" s="127"/>
      <c r="DI2329" s="127"/>
      <c r="DJ2329" s="127"/>
      <c r="DK2329" s="127"/>
      <c r="DL2329" s="127"/>
      <c r="DM2329" s="127"/>
      <c r="DN2329" s="127"/>
      <c r="DO2329" s="127"/>
      <c r="DP2329" s="127"/>
      <c r="DQ2329" s="127"/>
      <c r="DR2329" s="127"/>
      <c r="DS2329" s="127"/>
      <c r="DT2329" s="127"/>
      <c r="DU2329" s="127"/>
      <c r="DV2329" s="127"/>
      <c r="DW2329" s="127"/>
      <c r="DX2329" s="127"/>
      <c r="DY2329" s="127"/>
      <c r="DZ2329" s="127"/>
      <c r="EA2329" s="127"/>
      <c r="EB2329" s="127"/>
      <c r="EC2329" s="127"/>
      <c r="ED2329" s="127"/>
      <c r="EE2329" s="127"/>
      <c r="EF2329" s="127"/>
      <c r="EG2329" s="127"/>
      <c r="EH2329" s="127"/>
      <c r="EI2329" s="127"/>
      <c r="EJ2329" s="127"/>
      <c r="EK2329" s="127"/>
      <c r="EL2329" s="127"/>
      <c r="EM2329" s="127"/>
      <c r="EN2329" s="127"/>
      <c r="EO2329" s="127"/>
      <c r="EP2329" s="127"/>
      <c r="EQ2329" s="127"/>
      <c r="ER2329" s="127"/>
      <c r="ES2329" s="127"/>
      <c r="ET2329" s="127"/>
      <c r="EU2329" s="127"/>
      <c r="EV2329" s="127"/>
      <c r="EW2329" s="127"/>
      <c r="EX2329" s="127"/>
      <c r="EY2329" s="127"/>
      <c r="EZ2329" s="127"/>
      <c r="FA2329" s="127"/>
      <c r="FB2329" s="127"/>
      <c r="FC2329" s="127"/>
      <c r="FD2329" s="127"/>
      <c r="FE2329" s="127"/>
      <c r="FF2329" s="127"/>
      <c r="FG2329" s="127"/>
      <c r="FH2329" s="127"/>
      <c r="FI2329" s="127"/>
      <c r="FJ2329" s="127"/>
      <c r="FK2329" s="127"/>
      <c r="FL2329" s="127"/>
      <c r="FM2329" s="127"/>
      <c r="FN2329" s="127"/>
      <c r="FO2329" s="127"/>
      <c r="FP2329" s="127"/>
      <c r="FQ2329" s="127"/>
      <c r="FR2329" s="127"/>
      <c r="FS2329" s="127"/>
      <c r="FT2329" s="127"/>
      <c r="FU2329" s="127"/>
      <c r="FV2329" s="127"/>
      <c r="FW2329" s="127"/>
      <c r="FX2329" s="127"/>
      <c r="FY2329" s="127"/>
      <c r="FZ2329" s="127"/>
      <c r="GA2329" s="127"/>
      <c r="GB2329" s="127"/>
      <c r="GC2329" s="127"/>
      <c r="GD2329" s="127"/>
      <c r="GE2329" s="127"/>
      <c r="GF2329" s="127"/>
      <c r="GG2329" s="127"/>
      <c r="GH2329" s="127"/>
      <c r="GI2329" s="127"/>
      <c r="GJ2329" s="127"/>
      <c r="GK2329" s="127"/>
      <c r="GL2329" s="127"/>
      <c r="GM2329" s="127"/>
      <c r="GN2329" s="127"/>
      <c r="GO2329" s="127"/>
      <c r="GP2329" s="127"/>
      <c r="GQ2329" s="127"/>
      <c r="GR2329" s="127"/>
      <c r="GS2329" s="127"/>
      <c r="GT2329" s="127"/>
      <c r="GU2329" s="127"/>
      <c r="GV2329" s="127"/>
      <c r="GW2329" s="127"/>
      <c r="GX2329" s="127"/>
      <c r="GY2329" s="127"/>
      <c r="GZ2329" s="127"/>
      <c r="HA2329" s="127"/>
      <c r="HB2329" s="127"/>
      <c r="HC2329" s="127"/>
      <c r="HD2329" s="127"/>
      <c r="HE2329" s="127"/>
      <c r="HF2329" s="127"/>
      <c r="HG2329" s="127"/>
      <c r="HH2329" s="127"/>
      <c r="HI2329" s="127"/>
      <c r="HJ2329" s="127"/>
      <c r="HK2329" s="127"/>
      <c r="HL2329" s="127"/>
      <c r="HM2329" s="127"/>
      <c r="HN2329" s="127"/>
      <c r="HO2329" s="127"/>
      <c r="HP2329" s="127"/>
      <c r="HQ2329" s="127"/>
      <c r="HR2329" s="127"/>
      <c r="HS2329" s="127"/>
      <c r="HT2329" s="127"/>
      <c r="HU2329" s="127"/>
      <c r="HV2329" s="127"/>
      <c r="HW2329" s="127"/>
      <c r="HX2329" s="127"/>
      <c r="HY2329" s="127"/>
      <c r="HZ2329" s="127"/>
      <c r="IA2329" s="127"/>
      <c r="IB2329" s="127"/>
      <c r="IC2329" s="127"/>
      <c r="ID2329" s="127"/>
      <c r="IE2329" s="127"/>
      <c r="IF2329" s="127"/>
      <c r="IG2329" s="127"/>
      <c r="IH2329" s="127"/>
      <c r="II2329" s="127"/>
      <c r="IJ2329" s="127"/>
    </row>
    <row r="2330" spans="1:244">
      <c r="A2330" s="118">
        <v>2329</v>
      </c>
      <c r="B2330" s="128">
        <v>24</v>
      </c>
      <c r="C2330" s="156">
        <v>39814</v>
      </c>
      <c r="D2330" s="157" t="s">
        <v>44</v>
      </c>
      <c r="E2330" s="127">
        <v>2009</v>
      </c>
      <c r="F2330" s="158">
        <f t="shared" si="587"/>
        <v>427</v>
      </c>
      <c r="G2330" s="158">
        <f t="shared" si="588"/>
        <v>2</v>
      </c>
      <c r="H2330" s="178">
        <v>39387</v>
      </c>
      <c r="I2330" s="125">
        <v>619570</v>
      </c>
      <c r="J2330" s="164">
        <v>0.93</v>
      </c>
      <c r="K2330" s="164">
        <v>1.55</v>
      </c>
      <c r="L2330" s="164">
        <v>1.44</v>
      </c>
      <c r="M2330" s="193">
        <v>2</v>
      </c>
      <c r="N2330" s="529"/>
      <c r="O2330" s="164">
        <v>0.55000000000000004</v>
      </c>
      <c r="P2330" s="118"/>
      <c r="Q2330" s="118"/>
      <c r="R2330" s="118"/>
      <c r="S2330" s="247"/>
      <c r="T2330" s="161">
        <f t="shared" si="589"/>
        <v>960333.5</v>
      </c>
      <c r="U2330" s="161">
        <f t="shared" si="590"/>
        <v>892180.79999999993</v>
      </c>
      <c r="V2330" s="161">
        <f t="shared" si="591"/>
        <v>340763.5</v>
      </c>
      <c r="W2330" s="161">
        <f t="shared" si="592"/>
        <v>136305.4</v>
      </c>
      <c r="X2330" s="127"/>
      <c r="Y2330" s="127"/>
      <c r="Z2330" s="127"/>
      <c r="AA2330" s="127"/>
      <c r="AB2330" s="127"/>
      <c r="AC2330" s="127"/>
      <c r="AD2330" s="127"/>
      <c r="AE2330" s="127"/>
      <c r="AF2330" s="127"/>
      <c r="AG2330" s="127"/>
      <c r="AH2330" s="127"/>
      <c r="AI2330" s="127"/>
      <c r="AJ2330" s="127"/>
      <c r="AK2330" s="127"/>
      <c r="AL2330" s="127"/>
      <c r="AM2330" s="127"/>
      <c r="AN2330" s="127"/>
      <c r="AO2330" s="127"/>
      <c r="AP2330" s="127"/>
      <c r="AQ2330" s="127"/>
      <c r="AR2330" s="127"/>
      <c r="AS2330" s="127"/>
      <c r="AT2330" s="127"/>
      <c r="AU2330" s="127"/>
      <c r="AV2330" s="127"/>
      <c r="AW2330" s="127"/>
      <c r="AX2330" s="127"/>
      <c r="AY2330" s="127"/>
      <c r="AZ2330" s="127"/>
      <c r="BA2330" s="127"/>
      <c r="BB2330" s="127"/>
      <c r="BC2330" s="127"/>
      <c r="BD2330" s="127"/>
      <c r="BE2330" s="127"/>
      <c r="BF2330" s="127"/>
      <c r="BG2330" s="127"/>
      <c r="BH2330" s="127"/>
      <c r="BI2330" s="127"/>
      <c r="BJ2330" s="127"/>
      <c r="BK2330" s="127"/>
      <c r="BL2330" s="127"/>
      <c r="BM2330" s="127"/>
      <c r="BN2330" s="127"/>
      <c r="BO2330" s="127"/>
      <c r="BP2330" s="127"/>
      <c r="BQ2330" s="127"/>
      <c r="BR2330" s="127"/>
      <c r="BS2330" s="127"/>
      <c r="BT2330" s="127"/>
      <c r="BU2330" s="127"/>
      <c r="BV2330" s="127"/>
      <c r="BW2330" s="127"/>
      <c r="BX2330" s="127"/>
      <c r="BY2330" s="127"/>
      <c r="BZ2330" s="127"/>
      <c r="CA2330" s="127"/>
      <c r="CB2330" s="127"/>
      <c r="CC2330" s="127"/>
      <c r="CD2330" s="127"/>
      <c r="CE2330" s="127"/>
      <c r="CF2330" s="127"/>
      <c r="CG2330" s="127"/>
      <c r="CH2330" s="127"/>
      <c r="CI2330" s="127"/>
      <c r="CJ2330" s="127"/>
      <c r="CK2330" s="127"/>
      <c r="CL2330" s="127"/>
      <c r="CM2330" s="127"/>
      <c r="CN2330" s="127"/>
      <c r="CO2330" s="127"/>
      <c r="CP2330" s="127"/>
      <c r="CQ2330" s="127"/>
      <c r="CR2330" s="127"/>
      <c r="CS2330" s="127"/>
      <c r="CT2330" s="127"/>
      <c r="CU2330" s="127"/>
      <c r="CV2330" s="127"/>
      <c r="CW2330" s="127"/>
      <c r="CX2330" s="127"/>
      <c r="CY2330" s="127"/>
      <c r="CZ2330" s="127"/>
      <c r="DA2330" s="127"/>
      <c r="DB2330" s="127"/>
      <c r="DC2330" s="127"/>
      <c r="DD2330" s="127"/>
      <c r="DE2330" s="127"/>
      <c r="DF2330" s="127"/>
      <c r="DG2330" s="127"/>
      <c r="DH2330" s="127"/>
      <c r="DI2330" s="127"/>
      <c r="DJ2330" s="127"/>
      <c r="DK2330" s="127"/>
      <c r="DL2330" s="127"/>
      <c r="DM2330" s="127"/>
      <c r="DN2330" s="127"/>
      <c r="DO2330" s="127"/>
      <c r="DP2330" s="127"/>
      <c r="DQ2330" s="127"/>
      <c r="DR2330" s="127"/>
      <c r="DS2330" s="127"/>
      <c r="DT2330" s="127"/>
      <c r="DU2330" s="127"/>
      <c r="DV2330" s="127"/>
      <c r="DW2330" s="127"/>
      <c r="DX2330" s="127"/>
      <c r="DY2330" s="127"/>
      <c r="DZ2330" s="127"/>
      <c r="EA2330" s="127"/>
      <c r="EB2330" s="127"/>
      <c r="EC2330" s="127"/>
      <c r="ED2330" s="127"/>
      <c r="EE2330" s="127"/>
      <c r="EF2330" s="127"/>
      <c r="EG2330" s="127"/>
      <c r="EH2330" s="127"/>
      <c r="EI2330" s="127"/>
      <c r="EJ2330" s="127"/>
      <c r="EK2330" s="127"/>
      <c r="EL2330" s="127"/>
      <c r="EM2330" s="127"/>
      <c r="EN2330" s="127"/>
      <c r="EO2330" s="127"/>
      <c r="EP2330" s="127"/>
      <c r="EQ2330" s="127"/>
      <c r="ER2330" s="127"/>
      <c r="ES2330" s="127"/>
      <c r="ET2330" s="127"/>
      <c r="EU2330" s="127"/>
      <c r="EV2330" s="127"/>
      <c r="EW2330" s="127"/>
      <c r="EX2330" s="127"/>
      <c r="EY2330" s="127"/>
      <c r="EZ2330" s="127"/>
      <c r="FA2330" s="127"/>
      <c r="FB2330" s="127"/>
      <c r="FC2330" s="127"/>
      <c r="FD2330" s="127"/>
      <c r="FE2330" s="127"/>
      <c r="FF2330" s="127"/>
      <c r="FG2330" s="127"/>
      <c r="FH2330" s="127"/>
      <c r="FI2330" s="127"/>
      <c r="FJ2330" s="127"/>
      <c r="FK2330" s="127"/>
      <c r="FL2330" s="127"/>
      <c r="FM2330" s="127"/>
      <c r="FN2330" s="127"/>
      <c r="FO2330" s="127"/>
      <c r="FP2330" s="127"/>
      <c r="FQ2330" s="127"/>
      <c r="FR2330" s="127"/>
      <c r="FS2330" s="127"/>
      <c r="FT2330" s="127"/>
      <c r="FU2330" s="127"/>
      <c r="FV2330" s="127"/>
      <c r="FW2330" s="127"/>
      <c r="FX2330" s="127"/>
      <c r="FY2330" s="127"/>
      <c r="FZ2330" s="127"/>
      <c r="GA2330" s="127"/>
      <c r="GB2330" s="127"/>
      <c r="GC2330" s="127"/>
      <c r="GD2330" s="127"/>
      <c r="GE2330" s="127"/>
      <c r="GF2330" s="127"/>
      <c r="GG2330" s="127"/>
      <c r="GH2330" s="127"/>
      <c r="GI2330" s="127"/>
      <c r="GJ2330" s="127"/>
      <c r="GK2330" s="127"/>
      <c r="GL2330" s="127"/>
      <c r="GM2330" s="127"/>
      <c r="GN2330" s="127"/>
      <c r="GO2330" s="127"/>
      <c r="GP2330" s="127"/>
      <c r="GQ2330" s="127"/>
      <c r="GR2330" s="127"/>
      <c r="GS2330" s="127"/>
      <c r="GT2330" s="127"/>
      <c r="GU2330" s="127"/>
      <c r="GV2330" s="127"/>
      <c r="GW2330" s="127"/>
      <c r="GX2330" s="127"/>
      <c r="GY2330" s="127"/>
      <c r="GZ2330" s="127"/>
      <c r="HA2330" s="127"/>
      <c r="HB2330" s="127"/>
      <c r="HC2330" s="127"/>
      <c r="HD2330" s="127"/>
      <c r="HE2330" s="127"/>
      <c r="HF2330" s="127"/>
      <c r="HG2330" s="127"/>
      <c r="HH2330" s="127"/>
      <c r="HI2330" s="127"/>
      <c r="HJ2330" s="127"/>
      <c r="HK2330" s="127"/>
      <c r="HL2330" s="127"/>
      <c r="HM2330" s="127"/>
      <c r="HN2330" s="127"/>
      <c r="HO2330" s="127"/>
      <c r="HP2330" s="127"/>
      <c r="HQ2330" s="127"/>
      <c r="HR2330" s="127"/>
      <c r="HS2330" s="127"/>
      <c r="HT2330" s="127"/>
      <c r="HU2330" s="127"/>
      <c r="HV2330" s="127"/>
      <c r="HW2330" s="127"/>
      <c r="HX2330" s="127"/>
      <c r="HY2330" s="127"/>
      <c r="HZ2330" s="127"/>
      <c r="IA2330" s="127"/>
      <c r="IB2330" s="127"/>
      <c r="IC2330" s="127"/>
      <c r="ID2330" s="127"/>
      <c r="IE2330" s="127"/>
      <c r="IF2330" s="127"/>
      <c r="IG2330" s="127"/>
      <c r="IH2330" s="127"/>
      <c r="II2330" s="127"/>
      <c r="IJ2330" s="127"/>
    </row>
    <row r="2331" spans="1:244">
      <c r="A2331" s="118">
        <v>2330</v>
      </c>
      <c r="B2331" s="128">
        <v>24</v>
      </c>
      <c r="C2331" s="156">
        <v>39845</v>
      </c>
      <c r="D2331" s="157" t="s">
        <v>45</v>
      </c>
      <c r="E2331" s="127">
        <v>2009</v>
      </c>
      <c r="F2331" s="158">
        <f t="shared" si="587"/>
        <v>458</v>
      </c>
      <c r="G2331" s="158">
        <f t="shared" si="588"/>
        <v>2</v>
      </c>
      <c r="H2331" s="178">
        <v>39387</v>
      </c>
      <c r="I2331" s="125">
        <v>619373</v>
      </c>
      <c r="J2331" s="164">
        <v>0.1</v>
      </c>
      <c r="K2331" s="164">
        <v>0.77</v>
      </c>
      <c r="L2331" s="164">
        <v>0.41</v>
      </c>
      <c r="M2331" s="193">
        <v>0</v>
      </c>
      <c r="N2331" s="529"/>
      <c r="O2331" s="164">
        <v>0.03</v>
      </c>
      <c r="P2331" s="118"/>
      <c r="Q2331" s="118"/>
      <c r="R2331" s="118"/>
      <c r="S2331" s="221"/>
      <c r="T2331" s="161">
        <f t="shared" si="589"/>
        <v>476917.21</v>
      </c>
      <c r="U2331" s="161">
        <f t="shared" si="590"/>
        <v>253942.93</v>
      </c>
      <c r="V2331" s="161">
        <f t="shared" si="591"/>
        <v>18581.189999999999</v>
      </c>
      <c r="W2331" s="161">
        <f t="shared" si="592"/>
        <v>7432.4759999999997</v>
      </c>
      <c r="X2331" s="127"/>
      <c r="Y2331" s="127"/>
      <c r="Z2331" s="127"/>
      <c r="AA2331" s="127"/>
      <c r="AB2331" s="127"/>
      <c r="AC2331" s="127"/>
      <c r="AD2331" s="127"/>
      <c r="AE2331" s="127"/>
      <c r="AF2331" s="127"/>
      <c r="AG2331" s="127"/>
      <c r="AH2331" s="127"/>
      <c r="AI2331" s="127"/>
      <c r="AJ2331" s="127"/>
      <c r="AK2331" s="127"/>
      <c r="AL2331" s="127"/>
      <c r="AM2331" s="127"/>
      <c r="AN2331" s="127"/>
      <c r="AO2331" s="127"/>
      <c r="AP2331" s="127"/>
      <c r="AQ2331" s="127"/>
      <c r="AR2331" s="127"/>
      <c r="AS2331" s="127"/>
      <c r="AT2331" s="127"/>
      <c r="AU2331" s="127"/>
      <c r="AV2331" s="127"/>
      <c r="AW2331" s="127"/>
      <c r="AX2331" s="127"/>
      <c r="AY2331" s="127"/>
      <c r="AZ2331" s="127"/>
      <c r="BA2331" s="127"/>
      <c r="BB2331" s="127"/>
      <c r="BC2331" s="127"/>
      <c r="BD2331" s="127"/>
      <c r="BE2331" s="127"/>
      <c r="BF2331" s="127"/>
      <c r="BG2331" s="127"/>
      <c r="BH2331" s="127"/>
      <c r="BI2331" s="127"/>
      <c r="BJ2331" s="127"/>
      <c r="BK2331" s="127"/>
      <c r="BL2331" s="127"/>
      <c r="BM2331" s="127"/>
      <c r="BN2331" s="127"/>
      <c r="BO2331" s="127"/>
      <c r="BP2331" s="127"/>
      <c r="BQ2331" s="127"/>
      <c r="BR2331" s="127"/>
      <c r="BS2331" s="127"/>
      <c r="BT2331" s="127"/>
      <c r="BU2331" s="127"/>
      <c r="BV2331" s="127"/>
      <c r="BW2331" s="127"/>
      <c r="BX2331" s="127"/>
      <c r="BY2331" s="127"/>
      <c r="BZ2331" s="127"/>
      <c r="CA2331" s="127"/>
      <c r="CB2331" s="127"/>
      <c r="CC2331" s="127"/>
      <c r="CD2331" s="127"/>
      <c r="CE2331" s="127"/>
      <c r="CF2331" s="127"/>
      <c r="CG2331" s="127"/>
      <c r="CH2331" s="127"/>
      <c r="CI2331" s="127"/>
      <c r="CJ2331" s="127"/>
      <c r="CK2331" s="127"/>
      <c r="CL2331" s="127"/>
      <c r="CM2331" s="127"/>
      <c r="CN2331" s="127"/>
      <c r="CO2331" s="127"/>
      <c r="CP2331" s="127"/>
      <c r="CQ2331" s="127"/>
      <c r="CR2331" s="127"/>
      <c r="CS2331" s="127"/>
      <c r="CT2331" s="127"/>
      <c r="CU2331" s="127"/>
      <c r="CV2331" s="127"/>
      <c r="CW2331" s="127"/>
      <c r="CX2331" s="127"/>
      <c r="CY2331" s="127"/>
      <c r="CZ2331" s="127"/>
      <c r="DA2331" s="127"/>
      <c r="DB2331" s="127"/>
      <c r="DC2331" s="127"/>
      <c r="DD2331" s="127"/>
      <c r="DE2331" s="127"/>
      <c r="DF2331" s="127"/>
      <c r="DG2331" s="127"/>
      <c r="DH2331" s="127"/>
      <c r="DI2331" s="127"/>
      <c r="DJ2331" s="127"/>
      <c r="DK2331" s="127"/>
      <c r="DL2331" s="127"/>
      <c r="DM2331" s="127"/>
      <c r="DN2331" s="127"/>
      <c r="DO2331" s="127"/>
      <c r="DP2331" s="127"/>
      <c r="DQ2331" s="127"/>
      <c r="DR2331" s="127"/>
      <c r="DS2331" s="127"/>
      <c r="DT2331" s="127"/>
      <c r="DU2331" s="127"/>
      <c r="DV2331" s="127"/>
      <c r="DW2331" s="127"/>
      <c r="DX2331" s="127"/>
      <c r="DY2331" s="127"/>
      <c r="DZ2331" s="127"/>
      <c r="EA2331" s="127"/>
      <c r="EB2331" s="127"/>
      <c r="EC2331" s="127"/>
      <c r="ED2331" s="127"/>
      <c r="EE2331" s="127"/>
      <c r="EF2331" s="127"/>
      <c r="EG2331" s="127"/>
      <c r="EH2331" s="127"/>
      <c r="EI2331" s="127"/>
      <c r="EJ2331" s="127"/>
      <c r="EK2331" s="127"/>
      <c r="EL2331" s="127"/>
      <c r="EM2331" s="127"/>
      <c r="EN2331" s="127"/>
      <c r="EO2331" s="127"/>
      <c r="EP2331" s="127"/>
      <c r="EQ2331" s="127"/>
      <c r="ER2331" s="127"/>
      <c r="ES2331" s="127"/>
      <c r="ET2331" s="127"/>
      <c r="EU2331" s="127"/>
      <c r="EV2331" s="127"/>
      <c r="EW2331" s="127"/>
      <c r="EX2331" s="127"/>
      <c r="EY2331" s="127"/>
      <c r="EZ2331" s="127"/>
      <c r="FA2331" s="127"/>
      <c r="FB2331" s="127"/>
      <c r="FC2331" s="127"/>
      <c r="FD2331" s="127"/>
      <c r="FE2331" s="127"/>
      <c r="FF2331" s="127"/>
      <c r="FG2331" s="127"/>
      <c r="FH2331" s="127"/>
      <c r="FI2331" s="127"/>
      <c r="FJ2331" s="127"/>
      <c r="FK2331" s="127"/>
      <c r="FL2331" s="127"/>
      <c r="FM2331" s="127"/>
      <c r="FN2331" s="127"/>
      <c r="FO2331" s="127"/>
      <c r="FP2331" s="127"/>
      <c r="FQ2331" s="127"/>
      <c r="FR2331" s="127"/>
      <c r="FS2331" s="127"/>
      <c r="FT2331" s="127"/>
      <c r="FU2331" s="127"/>
      <c r="FV2331" s="127"/>
      <c r="FW2331" s="127"/>
      <c r="FX2331" s="127"/>
      <c r="FY2331" s="127"/>
      <c r="FZ2331" s="127"/>
      <c r="GA2331" s="127"/>
      <c r="GB2331" s="127"/>
      <c r="GC2331" s="127"/>
      <c r="GD2331" s="127"/>
      <c r="GE2331" s="127"/>
      <c r="GF2331" s="127"/>
      <c r="GG2331" s="127"/>
      <c r="GH2331" s="127"/>
      <c r="GI2331" s="127"/>
      <c r="GJ2331" s="127"/>
      <c r="GK2331" s="127"/>
      <c r="GL2331" s="127"/>
      <c r="GM2331" s="127"/>
      <c r="GN2331" s="127"/>
      <c r="GO2331" s="127"/>
      <c r="GP2331" s="127"/>
      <c r="GQ2331" s="127"/>
      <c r="GR2331" s="127"/>
      <c r="GS2331" s="127"/>
      <c r="GT2331" s="127"/>
      <c r="GU2331" s="127"/>
      <c r="GV2331" s="127"/>
      <c r="GW2331" s="127"/>
      <c r="GX2331" s="127"/>
      <c r="GY2331" s="127"/>
      <c r="GZ2331" s="127"/>
      <c r="HA2331" s="127"/>
      <c r="HB2331" s="127"/>
      <c r="HC2331" s="127"/>
      <c r="HD2331" s="127"/>
      <c r="HE2331" s="127"/>
      <c r="HF2331" s="127"/>
      <c r="HG2331" s="127"/>
      <c r="HH2331" s="127"/>
      <c r="HI2331" s="127"/>
      <c r="HJ2331" s="127"/>
      <c r="HK2331" s="127"/>
      <c r="HL2331" s="127"/>
      <c r="HM2331" s="127"/>
      <c r="HN2331" s="127"/>
      <c r="HO2331" s="127"/>
      <c r="HP2331" s="127"/>
      <c r="HQ2331" s="127"/>
      <c r="HR2331" s="127"/>
      <c r="HS2331" s="127"/>
      <c r="HT2331" s="127"/>
      <c r="HU2331" s="127"/>
      <c r="HV2331" s="127"/>
      <c r="HW2331" s="127"/>
      <c r="HX2331" s="127"/>
      <c r="HY2331" s="127"/>
      <c r="HZ2331" s="127"/>
      <c r="IA2331" s="127"/>
      <c r="IB2331" s="127"/>
      <c r="IC2331" s="127"/>
      <c r="ID2331" s="127"/>
      <c r="IE2331" s="127"/>
      <c r="IF2331" s="127"/>
      <c r="IG2331" s="127"/>
      <c r="IH2331" s="127"/>
      <c r="II2331" s="127"/>
      <c r="IJ2331" s="127"/>
    </row>
    <row r="2332" spans="1:244">
      <c r="A2332" s="118">
        <v>2331</v>
      </c>
      <c r="B2332" s="128">
        <v>24</v>
      </c>
      <c r="C2332" s="156">
        <v>39873</v>
      </c>
      <c r="D2332" s="157" t="s">
        <v>46</v>
      </c>
      <c r="E2332" s="127">
        <v>2009</v>
      </c>
      <c r="F2332" s="158">
        <f t="shared" si="587"/>
        <v>486</v>
      </c>
      <c r="G2332" s="158">
        <f t="shared" si="588"/>
        <v>2</v>
      </c>
      <c r="H2332" s="178">
        <v>39387</v>
      </c>
      <c r="I2332" s="125">
        <v>618827</v>
      </c>
      <c r="J2332" s="164">
        <v>0.25</v>
      </c>
      <c r="K2332" s="164">
        <v>0.57999999999999996</v>
      </c>
      <c r="L2332" s="164">
        <v>0.28999999999999998</v>
      </c>
      <c r="M2332" s="193">
        <v>0</v>
      </c>
      <c r="N2332" s="529"/>
      <c r="O2332" s="164">
        <v>0.03</v>
      </c>
      <c r="P2332" s="118"/>
      <c r="Q2332" s="118"/>
      <c r="R2332" s="118"/>
      <c r="S2332" s="221"/>
      <c r="T2332" s="161">
        <f t="shared" si="589"/>
        <v>358919.66</v>
      </c>
      <c r="U2332" s="161">
        <f t="shared" si="590"/>
        <v>179459.83</v>
      </c>
      <c r="V2332" s="161">
        <f t="shared" si="591"/>
        <v>18564.809999999998</v>
      </c>
      <c r="W2332" s="161">
        <f t="shared" si="592"/>
        <v>7425.9239999999991</v>
      </c>
      <c r="X2332" s="127"/>
      <c r="Y2332" s="127"/>
      <c r="Z2332" s="127"/>
      <c r="AA2332" s="127"/>
      <c r="AB2332" s="127"/>
      <c r="AC2332" s="127"/>
      <c r="AD2332" s="127"/>
      <c r="AE2332" s="127"/>
      <c r="AF2332" s="127"/>
      <c r="AG2332" s="127"/>
      <c r="AH2332" s="127"/>
      <c r="AI2332" s="127"/>
      <c r="AJ2332" s="127"/>
      <c r="AK2332" s="127"/>
      <c r="AL2332" s="127"/>
      <c r="AM2332" s="127"/>
      <c r="AN2332" s="127"/>
      <c r="AO2332" s="127"/>
      <c r="AP2332" s="127"/>
      <c r="AQ2332" s="127"/>
      <c r="AR2332" s="127"/>
      <c r="AS2332" s="127"/>
      <c r="AT2332" s="127"/>
      <c r="AU2332" s="127"/>
      <c r="AV2332" s="127"/>
      <c r="AW2332" s="127"/>
      <c r="AX2332" s="127"/>
      <c r="AY2332" s="127"/>
      <c r="AZ2332" s="127"/>
      <c r="BA2332" s="127"/>
      <c r="BB2332" s="127"/>
      <c r="BC2332" s="127"/>
      <c r="BD2332" s="127"/>
      <c r="BE2332" s="127"/>
      <c r="BF2332" s="127"/>
      <c r="BG2332" s="127"/>
      <c r="BH2332" s="127"/>
      <c r="BI2332" s="127"/>
      <c r="BJ2332" s="127"/>
      <c r="BK2332" s="127"/>
      <c r="BL2332" s="127"/>
      <c r="BM2332" s="127"/>
      <c r="BN2332" s="127"/>
      <c r="BO2332" s="127"/>
      <c r="BP2332" s="127"/>
      <c r="BQ2332" s="127"/>
      <c r="BR2332" s="127"/>
      <c r="BS2332" s="127"/>
      <c r="BT2332" s="127"/>
      <c r="BU2332" s="127"/>
      <c r="BV2332" s="127"/>
      <c r="BW2332" s="127"/>
      <c r="BX2332" s="127"/>
      <c r="BY2332" s="127"/>
      <c r="BZ2332" s="127"/>
      <c r="CA2332" s="127"/>
      <c r="CB2332" s="127"/>
      <c r="CC2332" s="127"/>
      <c r="CD2332" s="127"/>
      <c r="CE2332" s="127"/>
      <c r="CF2332" s="127"/>
      <c r="CG2332" s="127"/>
      <c r="CH2332" s="127"/>
      <c r="CI2332" s="127"/>
      <c r="CJ2332" s="127"/>
      <c r="CK2332" s="127"/>
      <c r="CL2332" s="127"/>
      <c r="CM2332" s="127"/>
      <c r="CN2332" s="127"/>
      <c r="CO2332" s="127"/>
      <c r="CP2332" s="127"/>
      <c r="CQ2332" s="127"/>
      <c r="CR2332" s="127"/>
      <c r="CS2332" s="127"/>
      <c r="CT2332" s="127"/>
      <c r="CU2332" s="127"/>
      <c r="CV2332" s="127"/>
      <c r="CW2332" s="127"/>
      <c r="CX2332" s="127"/>
      <c r="CY2332" s="127"/>
      <c r="CZ2332" s="127"/>
      <c r="DA2332" s="127"/>
      <c r="DB2332" s="127"/>
      <c r="DC2332" s="127"/>
      <c r="DD2332" s="127"/>
      <c r="DE2332" s="127"/>
      <c r="DF2332" s="127"/>
      <c r="DG2332" s="127"/>
      <c r="DH2332" s="127"/>
      <c r="DI2332" s="127"/>
      <c r="DJ2332" s="127"/>
      <c r="DK2332" s="127"/>
      <c r="DL2332" s="127"/>
      <c r="DM2332" s="127"/>
      <c r="DN2332" s="127"/>
      <c r="DO2332" s="127"/>
      <c r="DP2332" s="127"/>
      <c r="DQ2332" s="127"/>
      <c r="DR2332" s="127"/>
      <c r="DS2332" s="127"/>
      <c r="DT2332" s="127"/>
      <c r="DU2332" s="127"/>
      <c r="DV2332" s="127"/>
      <c r="DW2332" s="127"/>
      <c r="DX2332" s="127"/>
      <c r="DY2332" s="127"/>
      <c r="DZ2332" s="127"/>
      <c r="EA2332" s="127"/>
      <c r="EB2332" s="127"/>
      <c r="EC2332" s="127"/>
      <c r="ED2332" s="127"/>
      <c r="EE2332" s="127"/>
      <c r="EF2332" s="127"/>
      <c r="EG2332" s="127"/>
      <c r="EH2332" s="127"/>
      <c r="EI2332" s="127"/>
      <c r="EJ2332" s="127"/>
      <c r="EK2332" s="127"/>
      <c r="EL2332" s="127"/>
      <c r="EM2332" s="127"/>
      <c r="EN2332" s="127"/>
      <c r="EO2332" s="127"/>
      <c r="EP2332" s="127"/>
      <c r="EQ2332" s="127"/>
      <c r="ER2332" s="127"/>
      <c r="ES2332" s="127"/>
      <c r="ET2332" s="127"/>
      <c r="EU2332" s="127"/>
      <c r="EV2332" s="127"/>
      <c r="EW2332" s="127"/>
      <c r="EX2332" s="127"/>
      <c r="EY2332" s="127"/>
      <c r="EZ2332" s="127"/>
      <c r="FA2332" s="127"/>
      <c r="FB2332" s="127"/>
      <c r="FC2332" s="127"/>
      <c r="FD2332" s="127"/>
      <c r="FE2332" s="127"/>
      <c r="FF2332" s="127"/>
      <c r="FG2332" s="127"/>
      <c r="FH2332" s="127"/>
      <c r="FI2332" s="127"/>
      <c r="FJ2332" s="127"/>
      <c r="FK2332" s="127"/>
      <c r="FL2332" s="127"/>
      <c r="FM2332" s="127"/>
      <c r="FN2332" s="127"/>
      <c r="FO2332" s="127"/>
      <c r="FP2332" s="127"/>
      <c r="FQ2332" s="127"/>
      <c r="FR2332" s="127"/>
      <c r="FS2332" s="127"/>
      <c r="FT2332" s="127"/>
      <c r="FU2332" s="127"/>
      <c r="FV2332" s="127"/>
      <c r="FW2332" s="127"/>
      <c r="FX2332" s="127"/>
      <c r="FY2332" s="127"/>
      <c r="FZ2332" s="127"/>
      <c r="GA2332" s="127"/>
      <c r="GB2332" s="127"/>
      <c r="GC2332" s="127"/>
      <c r="GD2332" s="127"/>
      <c r="GE2332" s="127"/>
      <c r="GF2332" s="127"/>
      <c r="GG2332" s="127"/>
      <c r="GH2332" s="127"/>
      <c r="GI2332" s="127"/>
      <c r="GJ2332" s="127"/>
      <c r="GK2332" s="127"/>
      <c r="GL2332" s="127"/>
      <c r="GM2332" s="127"/>
      <c r="GN2332" s="127"/>
      <c r="GO2332" s="127"/>
      <c r="GP2332" s="127"/>
      <c r="GQ2332" s="127"/>
      <c r="GR2332" s="127"/>
      <c r="GS2332" s="127"/>
      <c r="GT2332" s="127"/>
      <c r="GU2332" s="127"/>
      <c r="GV2332" s="127"/>
      <c r="GW2332" s="127"/>
      <c r="GX2332" s="127"/>
      <c r="GY2332" s="127"/>
      <c r="GZ2332" s="127"/>
      <c r="HA2332" s="127"/>
      <c r="HB2332" s="127"/>
      <c r="HC2332" s="127"/>
      <c r="HD2332" s="127"/>
      <c r="HE2332" s="127"/>
      <c r="HF2332" s="127"/>
      <c r="HG2332" s="127"/>
      <c r="HH2332" s="127"/>
      <c r="HI2332" s="127"/>
      <c r="HJ2332" s="127"/>
      <c r="HK2332" s="127"/>
      <c r="HL2332" s="127"/>
      <c r="HM2332" s="127"/>
      <c r="HN2332" s="127"/>
      <c r="HO2332" s="127"/>
      <c r="HP2332" s="127"/>
      <c r="HQ2332" s="127"/>
      <c r="HR2332" s="127"/>
      <c r="HS2332" s="127"/>
      <c r="HT2332" s="127"/>
      <c r="HU2332" s="127"/>
      <c r="HV2332" s="127"/>
      <c r="HW2332" s="127"/>
      <c r="HX2332" s="127"/>
      <c r="HY2332" s="127"/>
      <c r="HZ2332" s="127"/>
      <c r="IA2332" s="127"/>
      <c r="IB2332" s="127"/>
      <c r="IC2332" s="127"/>
      <c r="ID2332" s="127"/>
      <c r="IE2332" s="127"/>
      <c r="IF2332" s="127"/>
      <c r="IG2332" s="127"/>
      <c r="IH2332" s="127"/>
      <c r="II2332" s="127"/>
      <c r="IJ2332" s="127"/>
    </row>
    <row r="2333" spans="1:244">
      <c r="A2333" s="118">
        <v>2332</v>
      </c>
      <c r="B2333" s="128">
        <v>24</v>
      </c>
      <c r="C2333" s="156">
        <v>39904</v>
      </c>
      <c r="D2333" s="157" t="s">
        <v>47</v>
      </c>
      <c r="E2333" s="127">
        <v>2009</v>
      </c>
      <c r="F2333" s="158">
        <f t="shared" si="587"/>
        <v>517</v>
      </c>
      <c r="G2333" s="158">
        <f t="shared" si="588"/>
        <v>2</v>
      </c>
      <c r="H2333" s="178">
        <v>39387</v>
      </c>
      <c r="I2333" s="125">
        <v>618562</v>
      </c>
      <c r="J2333" s="164">
        <v>0.72</v>
      </c>
      <c r="K2333" s="164">
        <v>0.05</v>
      </c>
      <c r="L2333" s="164">
        <v>0</v>
      </c>
      <c r="M2333" s="193">
        <v>0</v>
      </c>
      <c r="N2333" s="529"/>
      <c r="O2333" s="164">
        <v>0</v>
      </c>
      <c r="P2333" s="118"/>
      <c r="Q2333" s="118"/>
      <c r="R2333" s="118"/>
      <c r="S2333" s="221"/>
      <c r="T2333" s="161">
        <f t="shared" si="589"/>
        <v>30928.100000000002</v>
      </c>
      <c r="U2333" s="161">
        <f t="shared" si="590"/>
        <v>0</v>
      </c>
      <c r="V2333" s="161">
        <f t="shared" si="591"/>
        <v>0</v>
      </c>
      <c r="W2333" s="161">
        <f t="shared" si="592"/>
        <v>0</v>
      </c>
      <c r="X2333" s="127"/>
      <c r="Y2333" s="127"/>
      <c r="Z2333" s="127"/>
      <c r="AA2333" s="127"/>
      <c r="AB2333" s="127"/>
      <c r="AC2333" s="127"/>
      <c r="AD2333" s="127"/>
      <c r="AE2333" s="127"/>
      <c r="AF2333" s="127"/>
      <c r="AG2333" s="127"/>
      <c r="AH2333" s="127"/>
      <c r="AI2333" s="127"/>
      <c r="AJ2333" s="127"/>
      <c r="AK2333" s="127"/>
      <c r="AL2333" s="127"/>
      <c r="AM2333" s="127"/>
      <c r="AN2333" s="127"/>
      <c r="AO2333" s="127"/>
      <c r="AP2333" s="127"/>
      <c r="AQ2333" s="127"/>
      <c r="AR2333" s="127"/>
      <c r="AS2333" s="127"/>
      <c r="AT2333" s="127"/>
      <c r="AU2333" s="127"/>
      <c r="AV2333" s="127"/>
      <c r="AW2333" s="127"/>
      <c r="AX2333" s="127"/>
      <c r="AY2333" s="127"/>
      <c r="AZ2333" s="127"/>
      <c r="BA2333" s="127"/>
      <c r="BB2333" s="127"/>
      <c r="BC2333" s="127"/>
      <c r="BD2333" s="127"/>
      <c r="BE2333" s="127"/>
      <c r="BF2333" s="127"/>
      <c r="BG2333" s="127"/>
      <c r="BH2333" s="127"/>
      <c r="BI2333" s="127"/>
      <c r="BJ2333" s="127"/>
      <c r="BK2333" s="127"/>
      <c r="BL2333" s="127"/>
      <c r="BM2333" s="127"/>
      <c r="BN2333" s="127"/>
      <c r="BO2333" s="127"/>
      <c r="BP2333" s="127"/>
      <c r="BQ2333" s="127"/>
      <c r="BR2333" s="127"/>
      <c r="BS2333" s="127"/>
      <c r="BT2333" s="127"/>
      <c r="BU2333" s="127"/>
      <c r="BV2333" s="127"/>
      <c r="BW2333" s="127"/>
      <c r="BX2333" s="127"/>
      <c r="BY2333" s="127"/>
      <c r="BZ2333" s="127"/>
      <c r="CA2333" s="127"/>
      <c r="CB2333" s="127"/>
      <c r="CC2333" s="127"/>
      <c r="CD2333" s="127"/>
      <c r="CE2333" s="127"/>
      <c r="CF2333" s="127"/>
      <c r="CG2333" s="127"/>
      <c r="CH2333" s="127"/>
      <c r="CI2333" s="127"/>
      <c r="CJ2333" s="127"/>
      <c r="CK2333" s="127"/>
      <c r="CL2333" s="127"/>
      <c r="CM2333" s="127"/>
      <c r="CN2333" s="127"/>
      <c r="CO2333" s="127"/>
      <c r="CP2333" s="127"/>
      <c r="CQ2333" s="127"/>
      <c r="CR2333" s="127"/>
      <c r="CS2333" s="127"/>
      <c r="CT2333" s="127"/>
      <c r="CU2333" s="127"/>
      <c r="CV2333" s="127"/>
      <c r="CW2333" s="127"/>
      <c r="CX2333" s="127"/>
      <c r="CY2333" s="127"/>
      <c r="CZ2333" s="127"/>
      <c r="DA2333" s="127"/>
      <c r="DB2333" s="127"/>
      <c r="DC2333" s="127"/>
      <c r="DD2333" s="127"/>
      <c r="DE2333" s="127"/>
      <c r="DF2333" s="127"/>
      <c r="DG2333" s="127"/>
      <c r="DH2333" s="127"/>
      <c r="DI2333" s="127"/>
      <c r="DJ2333" s="127"/>
      <c r="DK2333" s="127"/>
      <c r="DL2333" s="127"/>
      <c r="DM2333" s="127"/>
      <c r="DN2333" s="127"/>
      <c r="DO2333" s="127"/>
      <c r="DP2333" s="127"/>
      <c r="DQ2333" s="127"/>
      <c r="DR2333" s="127"/>
      <c r="DS2333" s="127"/>
      <c r="DT2333" s="127"/>
      <c r="DU2333" s="127"/>
      <c r="DV2333" s="127"/>
      <c r="DW2333" s="127"/>
      <c r="DX2333" s="127"/>
      <c r="DY2333" s="127"/>
      <c r="DZ2333" s="127"/>
      <c r="EA2333" s="127"/>
      <c r="EB2333" s="127"/>
      <c r="EC2333" s="127"/>
      <c r="ED2333" s="127"/>
      <c r="EE2333" s="127"/>
      <c r="EF2333" s="127"/>
      <c r="EG2333" s="127"/>
      <c r="EH2333" s="127"/>
      <c r="EI2333" s="127"/>
      <c r="EJ2333" s="127"/>
      <c r="EK2333" s="127"/>
      <c r="EL2333" s="127"/>
      <c r="EM2333" s="127"/>
      <c r="EN2333" s="127"/>
      <c r="EO2333" s="127"/>
      <c r="EP2333" s="127"/>
      <c r="EQ2333" s="127"/>
      <c r="ER2333" s="127"/>
      <c r="ES2333" s="127"/>
      <c r="ET2333" s="127"/>
      <c r="EU2333" s="127"/>
      <c r="EV2333" s="127"/>
      <c r="EW2333" s="127"/>
      <c r="EX2333" s="127"/>
      <c r="EY2333" s="127"/>
      <c r="EZ2333" s="127"/>
      <c r="FA2333" s="127"/>
      <c r="FB2333" s="127"/>
      <c r="FC2333" s="127"/>
      <c r="FD2333" s="127"/>
      <c r="FE2333" s="127"/>
      <c r="FF2333" s="127"/>
      <c r="FG2333" s="127"/>
      <c r="FH2333" s="127"/>
      <c r="FI2333" s="127"/>
      <c r="FJ2333" s="127"/>
      <c r="FK2333" s="127"/>
      <c r="FL2333" s="127"/>
      <c r="FM2333" s="127"/>
      <c r="FN2333" s="127"/>
      <c r="FO2333" s="127"/>
      <c r="FP2333" s="127"/>
      <c r="FQ2333" s="127"/>
      <c r="FR2333" s="127"/>
      <c r="FS2333" s="127"/>
      <c r="FT2333" s="127"/>
      <c r="FU2333" s="127"/>
      <c r="FV2333" s="127"/>
      <c r="FW2333" s="127"/>
      <c r="FX2333" s="127"/>
      <c r="FY2333" s="127"/>
      <c r="FZ2333" s="127"/>
      <c r="GA2333" s="127"/>
      <c r="GB2333" s="127"/>
      <c r="GC2333" s="127"/>
      <c r="GD2333" s="127"/>
      <c r="GE2333" s="127"/>
      <c r="GF2333" s="127"/>
      <c r="GG2333" s="127"/>
      <c r="GH2333" s="127"/>
      <c r="GI2333" s="127"/>
      <c r="GJ2333" s="127"/>
      <c r="GK2333" s="127"/>
      <c r="GL2333" s="127"/>
      <c r="GM2333" s="127"/>
      <c r="GN2333" s="127"/>
      <c r="GO2333" s="127"/>
      <c r="GP2333" s="127"/>
      <c r="GQ2333" s="127"/>
      <c r="GR2333" s="127"/>
      <c r="GS2333" s="127"/>
      <c r="GT2333" s="127"/>
      <c r="GU2333" s="127"/>
      <c r="GV2333" s="127"/>
      <c r="GW2333" s="127"/>
      <c r="GX2333" s="127"/>
      <c r="GY2333" s="127"/>
      <c r="GZ2333" s="127"/>
      <c r="HA2333" s="127"/>
      <c r="HB2333" s="127"/>
      <c r="HC2333" s="127"/>
      <c r="HD2333" s="127"/>
      <c r="HE2333" s="127"/>
      <c r="HF2333" s="127"/>
      <c r="HG2333" s="127"/>
      <c r="HH2333" s="127"/>
      <c r="HI2333" s="127"/>
      <c r="HJ2333" s="127"/>
      <c r="HK2333" s="127"/>
      <c r="HL2333" s="127"/>
      <c r="HM2333" s="127"/>
      <c r="HN2333" s="127"/>
      <c r="HO2333" s="127"/>
      <c r="HP2333" s="127"/>
      <c r="HQ2333" s="127"/>
      <c r="HR2333" s="127"/>
      <c r="HS2333" s="127"/>
      <c r="HT2333" s="127"/>
      <c r="HU2333" s="127"/>
      <c r="HV2333" s="127"/>
      <c r="HW2333" s="127"/>
      <c r="HX2333" s="127"/>
      <c r="HY2333" s="127"/>
      <c r="HZ2333" s="127"/>
      <c r="IA2333" s="127"/>
      <c r="IB2333" s="127"/>
      <c r="IC2333" s="127"/>
      <c r="ID2333" s="127"/>
      <c r="IE2333" s="127"/>
      <c r="IF2333" s="127"/>
      <c r="IG2333" s="127"/>
      <c r="IH2333" s="127"/>
      <c r="II2333" s="127"/>
      <c r="IJ2333" s="127"/>
    </row>
    <row r="2334" spans="1:244">
      <c r="A2334" s="118">
        <v>2333</v>
      </c>
      <c r="B2334" s="128">
        <v>24</v>
      </c>
      <c r="C2334" s="156">
        <v>39934</v>
      </c>
      <c r="D2334" s="157" t="s">
        <v>48</v>
      </c>
      <c r="E2334" s="127">
        <v>2009</v>
      </c>
      <c r="F2334" s="158">
        <f t="shared" si="587"/>
        <v>547</v>
      </c>
      <c r="G2334" s="158">
        <f t="shared" si="588"/>
        <v>2</v>
      </c>
      <c r="H2334" s="178">
        <v>39387</v>
      </c>
      <c r="I2334" s="125">
        <v>618228</v>
      </c>
      <c r="J2334" s="164">
        <v>3.36</v>
      </c>
      <c r="K2334" s="164">
        <v>0.38</v>
      </c>
      <c r="L2334" s="164">
        <v>0.05</v>
      </c>
      <c r="M2334" s="193">
        <v>0</v>
      </c>
      <c r="N2334" s="529"/>
      <c r="O2334" s="164">
        <v>0.8</v>
      </c>
      <c r="P2334" s="118"/>
      <c r="Q2334" s="118"/>
      <c r="R2334" s="118"/>
      <c r="S2334" s="221"/>
      <c r="T2334" s="161">
        <f t="shared" si="589"/>
        <v>234926.64</v>
      </c>
      <c r="U2334" s="161">
        <f t="shared" si="590"/>
        <v>30911.4</v>
      </c>
      <c r="V2334" s="161">
        <f t="shared" si="591"/>
        <v>494582.4</v>
      </c>
      <c r="W2334" s="161">
        <f t="shared" si="592"/>
        <v>197832.96000000002</v>
      </c>
      <c r="X2334" s="127"/>
      <c r="Y2334" s="127"/>
      <c r="Z2334" s="127"/>
      <c r="AA2334" s="127"/>
      <c r="AB2334" s="127"/>
      <c r="AC2334" s="127"/>
      <c r="AD2334" s="127"/>
      <c r="AE2334" s="127"/>
      <c r="AF2334" s="127"/>
      <c r="AG2334" s="127"/>
      <c r="AH2334" s="127"/>
      <c r="AI2334" s="127"/>
      <c r="AJ2334" s="127"/>
      <c r="AK2334" s="127"/>
      <c r="AL2334" s="127"/>
      <c r="AM2334" s="127"/>
      <c r="AN2334" s="127"/>
      <c r="AO2334" s="127"/>
      <c r="AP2334" s="127"/>
      <c r="AQ2334" s="127"/>
      <c r="AR2334" s="127"/>
      <c r="AS2334" s="127"/>
      <c r="AT2334" s="127"/>
      <c r="AU2334" s="127"/>
      <c r="AV2334" s="127"/>
      <c r="AW2334" s="127"/>
      <c r="AX2334" s="127"/>
      <c r="AY2334" s="127"/>
      <c r="AZ2334" s="127"/>
      <c r="BA2334" s="127"/>
      <c r="BB2334" s="127"/>
      <c r="BC2334" s="127"/>
      <c r="BD2334" s="127"/>
      <c r="BE2334" s="127"/>
      <c r="BF2334" s="127"/>
      <c r="BG2334" s="127"/>
      <c r="BH2334" s="127"/>
      <c r="BI2334" s="127"/>
      <c r="BJ2334" s="127"/>
      <c r="BK2334" s="127"/>
      <c r="BL2334" s="127"/>
      <c r="BM2334" s="127"/>
      <c r="BN2334" s="127"/>
      <c r="BO2334" s="127"/>
      <c r="BP2334" s="127"/>
      <c r="BQ2334" s="127"/>
      <c r="BR2334" s="127"/>
      <c r="BS2334" s="127"/>
      <c r="BT2334" s="127"/>
      <c r="BU2334" s="127"/>
      <c r="BV2334" s="127"/>
      <c r="BW2334" s="127"/>
      <c r="BX2334" s="127"/>
      <c r="BY2334" s="127"/>
      <c r="BZ2334" s="127"/>
      <c r="CA2334" s="127"/>
      <c r="CB2334" s="127"/>
      <c r="CC2334" s="127"/>
      <c r="CD2334" s="127"/>
      <c r="CE2334" s="127"/>
      <c r="CF2334" s="127"/>
      <c r="CG2334" s="127"/>
      <c r="CH2334" s="127"/>
      <c r="CI2334" s="127"/>
      <c r="CJ2334" s="127"/>
      <c r="CK2334" s="127"/>
      <c r="CL2334" s="127"/>
      <c r="CM2334" s="127"/>
      <c r="CN2334" s="127"/>
      <c r="CO2334" s="127"/>
      <c r="CP2334" s="127"/>
      <c r="CQ2334" s="127"/>
      <c r="CR2334" s="127"/>
      <c r="CS2334" s="127"/>
      <c r="CT2334" s="127"/>
      <c r="CU2334" s="127"/>
      <c r="CV2334" s="127"/>
      <c r="CW2334" s="127"/>
      <c r="CX2334" s="127"/>
      <c r="CY2334" s="127"/>
      <c r="CZ2334" s="127"/>
      <c r="DA2334" s="127"/>
      <c r="DB2334" s="127"/>
      <c r="DC2334" s="127"/>
      <c r="DD2334" s="127"/>
      <c r="DE2334" s="127"/>
      <c r="DF2334" s="127"/>
      <c r="DG2334" s="127"/>
      <c r="DH2334" s="127"/>
      <c r="DI2334" s="127"/>
      <c r="DJ2334" s="127"/>
      <c r="DK2334" s="127"/>
      <c r="DL2334" s="127"/>
      <c r="DM2334" s="127"/>
      <c r="DN2334" s="127"/>
      <c r="DO2334" s="127"/>
      <c r="DP2334" s="127"/>
      <c r="DQ2334" s="127"/>
      <c r="DR2334" s="127"/>
      <c r="DS2334" s="127"/>
      <c r="DT2334" s="127"/>
      <c r="DU2334" s="127"/>
      <c r="DV2334" s="127"/>
      <c r="DW2334" s="127"/>
      <c r="DX2334" s="127"/>
      <c r="DY2334" s="127"/>
      <c r="DZ2334" s="127"/>
      <c r="EA2334" s="127"/>
      <c r="EB2334" s="127"/>
      <c r="EC2334" s="127"/>
      <c r="ED2334" s="127"/>
      <c r="EE2334" s="127"/>
      <c r="EF2334" s="127"/>
      <c r="EG2334" s="127"/>
      <c r="EH2334" s="127"/>
      <c r="EI2334" s="127"/>
      <c r="EJ2334" s="127"/>
      <c r="EK2334" s="127"/>
      <c r="EL2334" s="127"/>
      <c r="EM2334" s="127"/>
      <c r="EN2334" s="127"/>
      <c r="EO2334" s="127"/>
      <c r="EP2334" s="127"/>
      <c r="EQ2334" s="127"/>
      <c r="ER2334" s="127"/>
      <c r="ES2334" s="127"/>
      <c r="ET2334" s="127"/>
      <c r="EU2334" s="127"/>
      <c r="EV2334" s="127"/>
      <c r="EW2334" s="127"/>
      <c r="EX2334" s="127"/>
      <c r="EY2334" s="127"/>
      <c r="EZ2334" s="127"/>
      <c r="FA2334" s="127"/>
      <c r="FB2334" s="127"/>
      <c r="FC2334" s="127"/>
      <c r="FD2334" s="127"/>
      <c r="FE2334" s="127"/>
      <c r="FF2334" s="127"/>
      <c r="FG2334" s="127"/>
      <c r="FH2334" s="127"/>
      <c r="FI2334" s="127"/>
      <c r="FJ2334" s="127"/>
      <c r="FK2334" s="127"/>
      <c r="FL2334" s="127"/>
      <c r="FM2334" s="127"/>
      <c r="FN2334" s="127"/>
      <c r="FO2334" s="127"/>
      <c r="FP2334" s="127"/>
      <c r="FQ2334" s="127"/>
      <c r="FR2334" s="127"/>
      <c r="FS2334" s="127"/>
      <c r="FT2334" s="127"/>
      <c r="FU2334" s="127"/>
      <c r="FV2334" s="127"/>
      <c r="FW2334" s="127"/>
      <c r="FX2334" s="127"/>
      <c r="FY2334" s="127"/>
      <c r="FZ2334" s="127"/>
      <c r="GA2334" s="127"/>
      <c r="GB2334" s="127"/>
      <c r="GC2334" s="127"/>
      <c r="GD2334" s="127"/>
      <c r="GE2334" s="127"/>
      <c r="GF2334" s="127"/>
      <c r="GG2334" s="127"/>
      <c r="GH2334" s="127"/>
      <c r="GI2334" s="127"/>
      <c r="GJ2334" s="127"/>
      <c r="GK2334" s="127"/>
      <c r="GL2334" s="127"/>
      <c r="GM2334" s="127"/>
      <c r="GN2334" s="127"/>
      <c r="GO2334" s="127"/>
      <c r="GP2334" s="127"/>
      <c r="GQ2334" s="127"/>
      <c r="GR2334" s="127"/>
      <c r="GS2334" s="127"/>
      <c r="GT2334" s="127"/>
      <c r="GU2334" s="127"/>
      <c r="GV2334" s="127"/>
      <c r="GW2334" s="127"/>
      <c r="GX2334" s="127"/>
      <c r="GY2334" s="127"/>
      <c r="GZ2334" s="127"/>
      <c r="HA2334" s="127"/>
      <c r="HB2334" s="127"/>
      <c r="HC2334" s="127"/>
      <c r="HD2334" s="127"/>
      <c r="HE2334" s="127"/>
      <c r="HF2334" s="127"/>
      <c r="HG2334" s="127"/>
      <c r="HH2334" s="127"/>
      <c r="HI2334" s="127"/>
      <c r="HJ2334" s="127"/>
      <c r="HK2334" s="127"/>
      <c r="HL2334" s="127"/>
      <c r="HM2334" s="127"/>
      <c r="HN2334" s="127"/>
      <c r="HO2334" s="127"/>
      <c r="HP2334" s="127"/>
      <c r="HQ2334" s="127"/>
      <c r="HR2334" s="127"/>
      <c r="HS2334" s="127"/>
      <c r="HT2334" s="127"/>
      <c r="HU2334" s="127"/>
      <c r="HV2334" s="127"/>
      <c r="HW2334" s="127"/>
      <c r="HX2334" s="127"/>
      <c r="HY2334" s="127"/>
      <c r="HZ2334" s="127"/>
      <c r="IA2334" s="127"/>
      <c r="IB2334" s="127"/>
      <c r="IC2334" s="127"/>
      <c r="ID2334" s="127"/>
      <c r="IE2334" s="127"/>
      <c r="IF2334" s="127"/>
      <c r="IG2334" s="127"/>
      <c r="IH2334" s="127"/>
      <c r="II2334" s="127"/>
      <c r="IJ2334" s="127"/>
    </row>
    <row r="2335" spans="1:244">
      <c r="A2335" s="118">
        <v>2334</v>
      </c>
      <c r="B2335" s="128">
        <v>24</v>
      </c>
      <c r="C2335" s="156">
        <v>39965</v>
      </c>
      <c r="D2335" s="157" t="s">
        <v>49</v>
      </c>
      <c r="E2335" s="127">
        <v>2009</v>
      </c>
      <c r="F2335" s="158">
        <f t="shared" si="587"/>
        <v>578</v>
      </c>
      <c r="G2335" s="158">
        <f t="shared" si="588"/>
        <v>2</v>
      </c>
      <c r="H2335" s="178">
        <v>39387</v>
      </c>
      <c r="I2335" s="168">
        <v>617976</v>
      </c>
      <c r="J2335" s="164">
        <v>5.15</v>
      </c>
      <c r="K2335" s="164">
        <v>7.0000000000000007E-2</v>
      </c>
      <c r="L2335" s="164">
        <v>0.03</v>
      </c>
      <c r="M2335" s="193">
        <v>0</v>
      </c>
      <c r="N2335" s="529"/>
      <c r="O2335" s="164">
        <v>1.2</v>
      </c>
      <c r="P2335" s="118"/>
      <c r="Q2335" s="118"/>
      <c r="R2335" s="118"/>
      <c r="S2335" s="221"/>
      <c r="T2335" s="171">
        <f t="shared" si="589"/>
        <v>43258.320000000007</v>
      </c>
      <c r="U2335" s="171">
        <f t="shared" si="590"/>
        <v>18539.28</v>
      </c>
      <c r="V2335" s="171">
        <f t="shared" si="591"/>
        <v>741571.2</v>
      </c>
      <c r="W2335" s="171">
        <f t="shared" si="592"/>
        <v>296628.47999999998</v>
      </c>
      <c r="X2335" s="127"/>
      <c r="Y2335" s="127"/>
      <c r="Z2335" s="127"/>
      <c r="AA2335" s="127"/>
      <c r="AB2335" s="127"/>
      <c r="AC2335" s="127"/>
      <c r="AD2335" s="127"/>
      <c r="AE2335" s="127"/>
      <c r="AF2335" s="127"/>
      <c r="AG2335" s="127"/>
      <c r="AH2335" s="127"/>
      <c r="AI2335" s="127"/>
      <c r="AJ2335" s="127"/>
      <c r="AK2335" s="127"/>
      <c r="AL2335" s="127"/>
      <c r="AM2335" s="127"/>
      <c r="AN2335" s="127"/>
      <c r="AO2335" s="127"/>
      <c r="AP2335" s="127"/>
      <c r="AQ2335" s="127"/>
      <c r="AR2335" s="127"/>
      <c r="AS2335" s="127"/>
      <c r="AT2335" s="127"/>
      <c r="AU2335" s="127"/>
      <c r="AV2335" s="127"/>
      <c r="AW2335" s="127"/>
      <c r="AX2335" s="127"/>
      <c r="AY2335" s="127"/>
      <c r="AZ2335" s="127"/>
      <c r="BA2335" s="127"/>
      <c r="BB2335" s="127"/>
      <c r="BC2335" s="127"/>
      <c r="BD2335" s="127"/>
      <c r="BE2335" s="127"/>
      <c r="BF2335" s="127"/>
      <c r="BG2335" s="127"/>
      <c r="BH2335" s="127"/>
      <c r="BI2335" s="127"/>
      <c r="BJ2335" s="127"/>
      <c r="BK2335" s="127"/>
      <c r="BL2335" s="127"/>
      <c r="BM2335" s="127"/>
      <c r="BN2335" s="127"/>
      <c r="BO2335" s="127"/>
      <c r="BP2335" s="127"/>
      <c r="BQ2335" s="127"/>
      <c r="BR2335" s="127"/>
      <c r="BS2335" s="127"/>
      <c r="BT2335" s="127"/>
      <c r="BU2335" s="127"/>
      <c r="BV2335" s="127"/>
      <c r="BW2335" s="127"/>
      <c r="BX2335" s="127"/>
      <c r="BY2335" s="127"/>
      <c r="BZ2335" s="127"/>
      <c r="CA2335" s="127"/>
      <c r="CB2335" s="127"/>
      <c r="CC2335" s="127"/>
      <c r="CD2335" s="127"/>
      <c r="CE2335" s="127"/>
      <c r="CF2335" s="127"/>
      <c r="CG2335" s="127"/>
      <c r="CH2335" s="127"/>
      <c r="CI2335" s="127"/>
      <c r="CJ2335" s="127"/>
      <c r="CK2335" s="127"/>
      <c r="CL2335" s="127"/>
      <c r="CM2335" s="127"/>
      <c r="CN2335" s="127"/>
      <c r="CO2335" s="127"/>
      <c r="CP2335" s="127"/>
      <c r="CQ2335" s="127"/>
      <c r="CR2335" s="127"/>
      <c r="CS2335" s="127"/>
      <c r="CT2335" s="127"/>
      <c r="CU2335" s="127"/>
      <c r="CV2335" s="127"/>
      <c r="CW2335" s="127"/>
      <c r="CX2335" s="127"/>
      <c r="CY2335" s="127"/>
      <c r="CZ2335" s="127"/>
      <c r="DA2335" s="127"/>
      <c r="DB2335" s="127"/>
      <c r="DC2335" s="127"/>
      <c r="DD2335" s="127"/>
      <c r="DE2335" s="127"/>
      <c r="DF2335" s="127"/>
      <c r="DG2335" s="127"/>
      <c r="DH2335" s="127"/>
      <c r="DI2335" s="127"/>
      <c r="DJ2335" s="127"/>
      <c r="DK2335" s="127"/>
      <c r="DL2335" s="127"/>
      <c r="DM2335" s="127"/>
      <c r="DN2335" s="127"/>
      <c r="DO2335" s="127"/>
      <c r="DP2335" s="127"/>
      <c r="DQ2335" s="127"/>
      <c r="DR2335" s="127"/>
      <c r="DS2335" s="127"/>
      <c r="DT2335" s="127"/>
      <c r="DU2335" s="127"/>
      <c r="DV2335" s="127"/>
      <c r="DW2335" s="127"/>
      <c r="DX2335" s="127"/>
      <c r="DY2335" s="127"/>
      <c r="DZ2335" s="127"/>
      <c r="EA2335" s="127"/>
      <c r="EB2335" s="127"/>
      <c r="EC2335" s="127"/>
      <c r="ED2335" s="127"/>
      <c r="EE2335" s="127"/>
      <c r="EF2335" s="127"/>
      <c r="EG2335" s="127"/>
      <c r="EH2335" s="127"/>
      <c r="EI2335" s="127"/>
      <c r="EJ2335" s="127"/>
      <c r="EK2335" s="127"/>
      <c r="EL2335" s="127"/>
      <c r="EM2335" s="127"/>
      <c r="EN2335" s="127"/>
      <c r="EO2335" s="127"/>
      <c r="EP2335" s="127"/>
      <c r="EQ2335" s="127"/>
      <c r="ER2335" s="127"/>
      <c r="ES2335" s="127"/>
      <c r="ET2335" s="127"/>
      <c r="EU2335" s="127"/>
      <c r="EV2335" s="127"/>
      <c r="EW2335" s="127"/>
      <c r="EX2335" s="127"/>
      <c r="EY2335" s="127"/>
      <c r="EZ2335" s="127"/>
      <c r="FA2335" s="127"/>
      <c r="FB2335" s="127"/>
      <c r="FC2335" s="127"/>
      <c r="FD2335" s="127"/>
      <c r="FE2335" s="127"/>
      <c r="FF2335" s="127"/>
      <c r="FG2335" s="127"/>
      <c r="FH2335" s="127"/>
      <c r="FI2335" s="127"/>
      <c r="FJ2335" s="127"/>
      <c r="FK2335" s="127"/>
      <c r="FL2335" s="127"/>
      <c r="FM2335" s="127"/>
      <c r="FN2335" s="127"/>
      <c r="FO2335" s="127"/>
      <c r="FP2335" s="127"/>
      <c r="FQ2335" s="127"/>
      <c r="FR2335" s="127"/>
      <c r="FS2335" s="127"/>
      <c r="FT2335" s="127"/>
      <c r="FU2335" s="127"/>
      <c r="FV2335" s="127"/>
      <c r="FW2335" s="127"/>
      <c r="FX2335" s="127"/>
      <c r="FY2335" s="127"/>
      <c r="FZ2335" s="127"/>
      <c r="GA2335" s="127"/>
      <c r="GB2335" s="127"/>
      <c r="GC2335" s="127"/>
      <c r="GD2335" s="127"/>
      <c r="GE2335" s="127"/>
      <c r="GF2335" s="127"/>
      <c r="GG2335" s="127"/>
      <c r="GH2335" s="127"/>
      <c r="GI2335" s="127"/>
      <c r="GJ2335" s="127"/>
      <c r="GK2335" s="127"/>
      <c r="GL2335" s="127"/>
      <c r="GM2335" s="127"/>
      <c r="GN2335" s="127"/>
      <c r="GO2335" s="127"/>
      <c r="GP2335" s="127"/>
      <c r="GQ2335" s="127"/>
      <c r="GR2335" s="127"/>
      <c r="GS2335" s="127"/>
      <c r="GT2335" s="127"/>
      <c r="GU2335" s="127"/>
      <c r="GV2335" s="127"/>
      <c r="GW2335" s="127"/>
      <c r="GX2335" s="127"/>
      <c r="GY2335" s="127"/>
      <c r="GZ2335" s="127"/>
      <c r="HA2335" s="127"/>
      <c r="HB2335" s="127"/>
      <c r="HC2335" s="127"/>
      <c r="HD2335" s="127"/>
      <c r="HE2335" s="127"/>
      <c r="HF2335" s="127"/>
      <c r="HG2335" s="127"/>
      <c r="HH2335" s="127"/>
      <c r="HI2335" s="127"/>
      <c r="HJ2335" s="127"/>
      <c r="HK2335" s="127"/>
      <c r="HL2335" s="127"/>
      <c r="HM2335" s="127"/>
      <c r="HN2335" s="127"/>
      <c r="HO2335" s="127"/>
      <c r="HP2335" s="127"/>
      <c r="HQ2335" s="127"/>
      <c r="HR2335" s="127"/>
      <c r="HS2335" s="127"/>
      <c r="HT2335" s="127"/>
      <c r="HU2335" s="127"/>
      <c r="HV2335" s="127"/>
      <c r="HW2335" s="127"/>
      <c r="HX2335" s="127"/>
      <c r="HY2335" s="127"/>
      <c r="HZ2335" s="127"/>
      <c r="IA2335" s="127"/>
      <c r="IB2335" s="127"/>
      <c r="IC2335" s="127"/>
      <c r="ID2335" s="127"/>
      <c r="IE2335" s="127"/>
      <c r="IF2335" s="127"/>
      <c r="IG2335" s="127"/>
      <c r="IH2335" s="127"/>
      <c r="II2335" s="127"/>
      <c r="IJ2335" s="127"/>
    </row>
    <row r="2336" spans="1:244" s="11" customFormat="1" ht="12.75" customHeight="1">
      <c r="A2336" s="118">
        <v>2335</v>
      </c>
      <c r="B2336" s="128">
        <v>24</v>
      </c>
      <c r="C2336" s="156">
        <v>39995</v>
      </c>
      <c r="D2336" s="157" t="s">
        <v>50</v>
      </c>
      <c r="E2336" s="127">
        <v>2009</v>
      </c>
      <c r="F2336" s="158">
        <f t="shared" ref="F2336:F2341" si="593">C2336-H2336</f>
        <v>602</v>
      </c>
      <c r="G2336" s="158">
        <f t="shared" ref="G2336:G2341" si="594">IF(F2336&lt;365,1,2)</f>
        <v>2</v>
      </c>
      <c r="H2336" s="175">
        <v>39393</v>
      </c>
      <c r="I2336" s="125">
        <v>617709</v>
      </c>
      <c r="J2336" s="191">
        <v>2.4700000000000002</v>
      </c>
      <c r="K2336" s="191">
        <v>0.03</v>
      </c>
      <c r="L2336" s="191">
        <v>0.02</v>
      </c>
      <c r="M2336" s="193">
        <v>0</v>
      </c>
      <c r="N2336" s="529"/>
      <c r="O2336" s="191">
        <v>1.7</v>
      </c>
      <c r="P2336" s="127"/>
      <c r="Q2336" s="127"/>
      <c r="R2336" s="127"/>
      <c r="S2336" s="222"/>
      <c r="T2336" s="171">
        <f t="shared" ref="T2336:T2341" si="595">$I2336*K2336</f>
        <v>18531.27</v>
      </c>
      <c r="U2336" s="171">
        <f t="shared" ref="U2336:U2341" si="596">$I2336*L2336</f>
        <v>12354.18</v>
      </c>
      <c r="V2336" s="171">
        <f t="shared" ref="V2336:V2341" si="597">$I2336*O2336</f>
        <v>1050105.3</v>
      </c>
      <c r="W2336" s="171">
        <f t="shared" si="592"/>
        <v>420042.12000000005</v>
      </c>
      <c r="X2336" s="118"/>
      <c r="Y2336" s="118"/>
      <c r="Z2336" s="118"/>
      <c r="AA2336" s="118"/>
      <c r="AB2336" s="118"/>
      <c r="AC2336" s="118"/>
      <c r="AD2336" s="118"/>
      <c r="AE2336" s="118"/>
      <c r="AF2336" s="118"/>
      <c r="AG2336" s="118"/>
      <c r="AH2336" s="118"/>
      <c r="AI2336" s="118"/>
      <c r="AJ2336" s="118"/>
      <c r="AK2336" s="118"/>
      <c r="AL2336" s="118"/>
      <c r="AM2336" s="118"/>
      <c r="AN2336" s="118"/>
      <c r="AO2336" s="118"/>
      <c r="AP2336" s="118"/>
      <c r="AQ2336" s="118"/>
      <c r="AR2336" s="118"/>
      <c r="AS2336" s="118"/>
      <c r="AT2336" s="118"/>
      <c r="AU2336" s="118"/>
      <c r="AV2336" s="118"/>
      <c r="AW2336" s="118"/>
      <c r="AX2336" s="118"/>
      <c r="AY2336" s="118"/>
      <c r="AZ2336" s="118"/>
      <c r="BA2336" s="118"/>
      <c r="BB2336" s="118"/>
      <c r="BC2336" s="118"/>
      <c r="BD2336" s="118"/>
      <c r="BE2336" s="118"/>
      <c r="BF2336" s="118"/>
      <c r="BG2336" s="118"/>
      <c r="BH2336" s="118"/>
      <c r="BI2336" s="118"/>
      <c r="BJ2336" s="118"/>
      <c r="BK2336" s="118"/>
      <c r="BL2336" s="118"/>
      <c r="BM2336" s="118"/>
      <c r="BN2336" s="118"/>
      <c r="BO2336" s="118"/>
      <c r="BP2336" s="118"/>
      <c r="BQ2336" s="118"/>
      <c r="BR2336" s="118"/>
      <c r="BS2336" s="118"/>
      <c r="BT2336" s="118"/>
      <c r="BU2336" s="118"/>
      <c r="BV2336" s="118"/>
      <c r="BW2336" s="118"/>
      <c r="BX2336" s="118"/>
      <c r="BY2336" s="118"/>
      <c r="BZ2336" s="118"/>
      <c r="CA2336" s="118"/>
      <c r="CB2336" s="118"/>
      <c r="CC2336" s="118"/>
      <c r="CD2336" s="118"/>
      <c r="CE2336" s="118"/>
      <c r="CF2336" s="118"/>
      <c r="CG2336" s="118"/>
      <c r="CH2336" s="118"/>
      <c r="CI2336" s="118"/>
      <c r="CJ2336" s="118"/>
      <c r="CK2336" s="118"/>
      <c r="CL2336" s="118"/>
      <c r="CM2336" s="118"/>
      <c r="CN2336" s="118"/>
      <c r="CO2336" s="118"/>
      <c r="CP2336" s="118"/>
      <c r="CQ2336" s="118"/>
      <c r="CR2336" s="118"/>
      <c r="CS2336" s="118"/>
      <c r="CT2336" s="118"/>
      <c r="CU2336" s="118"/>
      <c r="CV2336" s="118"/>
      <c r="CW2336" s="118"/>
      <c r="CX2336" s="118"/>
      <c r="CY2336" s="118"/>
      <c r="CZ2336" s="118"/>
      <c r="DA2336" s="118"/>
      <c r="DB2336" s="118"/>
      <c r="DC2336" s="118"/>
      <c r="DD2336" s="118"/>
      <c r="DE2336" s="118"/>
      <c r="DF2336" s="118"/>
      <c r="DG2336" s="118"/>
      <c r="DH2336" s="118"/>
      <c r="DI2336" s="118"/>
      <c r="DJ2336" s="118"/>
      <c r="DK2336" s="118"/>
      <c r="DL2336" s="118"/>
      <c r="DM2336" s="118"/>
      <c r="DN2336" s="118"/>
      <c r="DO2336" s="118"/>
      <c r="DP2336" s="118"/>
      <c r="DQ2336" s="118"/>
      <c r="DR2336" s="118"/>
      <c r="DS2336" s="118"/>
      <c r="DT2336" s="118"/>
      <c r="DU2336" s="118"/>
      <c r="DV2336" s="118"/>
      <c r="DW2336" s="118"/>
      <c r="DX2336" s="118"/>
      <c r="DY2336" s="118"/>
      <c r="DZ2336" s="118"/>
      <c r="EA2336" s="118"/>
      <c r="EB2336" s="118"/>
      <c r="EC2336" s="118"/>
      <c r="ED2336" s="118"/>
      <c r="EE2336" s="118"/>
      <c r="EF2336" s="118"/>
      <c r="EG2336" s="118"/>
      <c r="EH2336" s="118"/>
      <c r="EI2336" s="118"/>
      <c r="EJ2336" s="118"/>
      <c r="EK2336" s="118"/>
      <c r="EL2336" s="118"/>
      <c r="EM2336" s="118"/>
      <c r="EN2336" s="118"/>
      <c r="EO2336" s="118"/>
      <c r="EP2336" s="118"/>
      <c r="EQ2336" s="118"/>
      <c r="ER2336" s="118"/>
      <c r="ES2336" s="118"/>
      <c r="ET2336" s="118"/>
      <c r="EU2336" s="118"/>
      <c r="EV2336" s="118"/>
      <c r="EW2336" s="118"/>
      <c r="EX2336" s="118"/>
      <c r="EY2336" s="118"/>
      <c r="EZ2336" s="118"/>
      <c r="FA2336" s="118"/>
      <c r="FB2336" s="118"/>
      <c r="FC2336" s="118"/>
      <c r="FD2336" s="118"/>
      <c r="FE2336" s="118"/>
      <c r="FF2336" s="118"/>
      <c r="FG2336" s="118"/>
      <c r="FH2336" s="118"/>
      <c r="FI2336" s="118"/>
      <c r="FJ2336" s="118"/>
      <c r="FK2336" s="118"/>
      <c r="FL2336" s="118"/>
      <c r="FM2336" s="118"/>
      <c r="FN2336" s="118"/>
      <c r="FO2336" s="118"/>
      <c r="FP2336" s="118"/>
      <c r="FQ2336" s="118"/>
      <c r="FR2336" s="118"/>
      <c r="FS2336" s="118"/>
      <c r="FT2336" s="118"/>
      <c r="FU2336" s="118"/>
      <c r="FV2336" s="118"/>
      <c r="FW2336" s="118"/>
      <c r="FX2336" s="118"/>
      <c r="FY2336" s="118"/>
      <c r="FZ2336" s="118"/>
      <c r="GA2336" s="118"/>
      <c r="GB2336" s="118"/>
      <c r="GC2336" s="118"/>
      <c r="GD2336" s="118"/>
      <c r="GE2336" s="118"/>
      <c r="GF2336" s="118"/>
      <c r="GG2336" s="118"/>
      <c r="GH2336" s="118"/>
      <c r="GI2336" s="118"/>
      <c r="GJ2336" s="118"/>
      <c r="GK2336" s="118"/>
      <c r="GL2336" s="118"/>
      <c r="GM2336" s="118"/>
      <c r="GN2336" s="118"/>
      <c r="GO2336" s="118"/>
      <c r="GP2336" s="118"/>
      <c r="GQ2336" s="118"/>
      <c r="GR2336" s="118"/>
      <c r="GS2336" s="118"/>
      <c r="GT2336" s="118"/>
      <c r="GU2336" s="118"/>
      <c r="GV2336" s="118"/>
      <c r="GW2336" s="118"/>
      <c r="GX2336" s="118"/>
      <c r="GY2336" s="118"/>
      <c r="GZ2336" s="118"/>
      <c r="HA2336" s="118"/>
      <c r="HB2336" s="118"/>
      <c r="HC2336" s="118"/>
      <c r="HD2336" s="118"/>
      <c r="HE2336" s="118"/>
      <c r="HF2336" s="118"/>
      <c r="HG2336" s="118"/>
      <c r="HH2336" s="118"/>
      <c r="HI2336" s="118"/>
      <c r="HJ2336" s="118"/>
      <c r="HK2336" s="118"/>
      <c r="HL2336" s="118"/>
      <c r="HM2336" s="118"/>
      <c r="HN2336" s="118"/>
      <c r="HO2336" s="118"/>
      <c r="HP2336" s="118"/>
      <c r="HQ2336" s="118"/>
      <c r="HR2336" s="118"/>
      <c r="HS2336" s="118"/>
      <c r="HT2336" s="118"/>
      <c r="HU2336" s="118"/>
      <c r="HV2336" s="118"/>
      <c r="HW2336" s="118"/>
      <c r="HX2336" s="118"/>
      <c r="HY2336" s="118"/>
      <c r="HZ2336" s="118"/>
      <c r="IA2336" s="118"/>
      <c r="IB2336" s="118"/>
      <c r="IC2336" s="118"/>
      <c r="ID2336" s="118"/>
      <c r="IE2336" s="118"/>
      <c r="IF2336" s="118"/>
      <c r="IG2336" s="118"/>
      <c r="IH2336" s="118"/>
      <c r="II2336" s="118"/>
      <c r="IJ2336" s="118"/>
    </row>
    <row r="2337" spans="1:244" s="11" customFormat="1" ht="12.75" customHeight="1">
      <c r="A2337" s="118">
        <v>2336</v>
      </c>
      <c r="B2337" s="128">
        <v>24</v>
      </c>
      <c r="C2337" s="156">
        <v>40026</v>
      </c>
      <c r="D2337" s="157" t="s">
        <v>51</v>
      </c>
      <c r="E2337" s="127">
        <v>2009</v>
      </c>
      <c r="F2337" s="158">
        <f t="shared" si="593"/>
        <v>633</v>
      </c>
      <c r="G2337" s="158">
        <f t="shared" si="594"/>
        <v>2</v>
      </c>
      <c r="H2337" s="175">
        <v>39393</v>
      </c>
      <c r="I2337" s="125">
        <v>617120</v>
      </c>
      <c r="J2337" s="191">
        <v>1.5169999999999999</v>
      </c>
      <c r="K2337" s="191">
        <v>0.46700000000000003</v>
      </c>
      <c r="L2337" s="191">
        <v>0.15</v>
      </c>
      <c r="M2337" s="193">
        <v>0</v>
      </c>
      <c r="N2337" s="529"/>
      <c r="O2337" s="191">
        <v>0.25</v>
      </c>
      <c r="P2337" s="127"/>
      <c r="Q2337" s="127"/>
      <c r="R2337" s="127"/>
      <c r="S2337" s="140"/>
      <c r="T2337" s="171">
        <f t="shared" si="595"/>
        <v>288195.04000000004</v>
      </c>
      <c r="U2337" s="171">
        <f t="shared" si="596"/>
        <v>92568</v>
      </c>
      <c r="V2337" s="171">
        <f t="shared" si="597"/>
        <v>154280</v>
      </c>
      <c r="W2337" s="171">
        <f t="shared" si="592"/>
        <v>61712</v>
      </c>
      <c r="X2337" s="118"/>
      <c r="Y2337" s="118"/>
      <c r="Z2337" s="118"/>
      <c r="AA2337" s="118"/>
      <c r="AB2337" s="118"/>
      <c r="AC2337" s="118"/>
      <c r="AD2337" s="118"/>
      <c r="AE2337" s="118"/>
      <c r="AF2337" s="118"/>
      <c r="AG2337" s="118"/>
      <c r="AH2337" s="118"/>
      <c r="AI2337" s="118"/>
      <c r="AJ2337" s="118"/>
      <c r="AK2337" s="118"/>
      <c r="AL2337" s="118"/>
      <c r="AM2337" s="118"/>
      <c r="AN2337" s="118"/>
      <c r="AO2337" s="118"/>
      <c r="AP2337" s="118"/>
      <c r="AQ2337" s="118"/>
      <c r="AR2337" s="118"/>
      <c r="AS2337" s="118"/>
      <c r="AT2337" s="118"/>
      <c r="AU2337" s="118"/>
      <c r="AV2337" s="118"/>
      <c r="AW2337" s="118"/>
      <c r="AX2337" s="118"/>
      <c r="AY2337" s="118"/>
      <c r="AZ2337" s="118"/>
      <c r="BA2337" s="118"/>
      <c r="BB2337" s="118"/>
      <c r="BC2337" s="118"/>
      <c r="BD2337" s="118"/>
      <c r="BE2337" s="118"/>
      <c r="BF2337" s="118"/>
      <c r="BG2337" s="118"/>
      <c r="BH2337" s="118"/>
      <c r="BI2337" s="118"/>
      <c r="BJ2337" s="118"/>
      <c r="BK2337" s="118"/>
      <c r="BL2337" s="118"/>
      <c r="BM2337" s="118"/>
      <c r="BN2337" s="118"/>
      <c r="BO2337" s="118"/>
      <c r="BP2337" s="118"/>
      <c r="BQ2337" s="118"/>
      <c r="BR2337" s="118"/>
      <c r="BS2337" s="118"/>
      <c r="BT2337" s="118"/>
      <c r="BU2337" s="118"/>
      <c r="BV2337" s="118"/>
      <c r="BW2337" s="118"/>
      <c r="BX2337" s="118"/>
      <c r="BY2337" s="118"/>
      <c r="BZ2337" s="118"/>
      <c r="CA2337" s="118"/>
      <c r="CB2337" s="118"/>
      <c r="CC2337" s="118"/>
      <c r="CD2337" s="118"/>
      <c r="CE2337" s="118"/>
      <c r="CF2337" s="118"/>
      <c r="CG2337" s="118"/>
      <c r="CH2337" s="118"/>
      <c r="CI2337" s="118"/>
      <c r="CJ2337" s="118"/>
      <c r="CK2337" s="118"/>
      <c r="CL2337" s="118"/>
      <c r="CM2337" s="118"/>
      <c r="CN2337" s="118"/>
      <c r="CO2337" s="118"/>
      <c r="CP2337" s="118"/>
      <c r="CQ2337" s="118"/>
      <c r="CR2337" s="118"/>
      <c r="CS2337" s="118"/>
      <c r="CT2337" s="118"/>
      <c r="CU2337" s="118"/>
      <c r="CV2337" s="118"/>
      <c r="CW2337" s="118"/>
      <c r="CX2337" s="118"/>
      <c r="CY2337" s="118"/>
      <c r="CZ2337" s="118"/>
      <c r="DA2337" s="118"/>
      <c r="DB2337" s="118"/>
      <c r="DC2337" s="118"/>
      <c r="DD2337" s="118"/>
      <c r="DE2337" s="118"/>
      <c r="DF2337" s="118"/>
      <c r="DG2337" s="118"/>
      <c r="DH2337" s="118"/>
      <c r="DI2337" s="118"/>
      <c r="DJ2337" s="118"/>
      <c r="DK2337" s="118"/>
      <c r="DL2337" s="118"/>
      <c r="DM2337" s="118"/>
      <c r="DN2337" s="118"/>
      <c r="DO2337" s="118"/>
      <c r="DP2337" s="118"/>
      <c r="DQ2337" s="118"/>
      <c r="DR2337" s="118"/>
      <c r="DS2337" s="118"/>
      <c r="DT2337" s="118"/>
      <c r="DU2337" s="118"/>
      <c r="DV2337" s="118"/>
      <c r="DW2337" s="118"/>
      <c r="DX2337" s="118"/>
      <c r="DY2337" s="118"/>
      <c r="DZ2337" s="118"/>
      <c r="EA2337" s="118"/>
      <c r="EB2337" s="118"/>
      <c r="EC2337" s="118"/>
      <c r="ED2337" s="118"/>
      <c r="EE2337" s="118"/>
      <c r="EF2337" s="118"/>
      <c r="EG2337" s="118"/>
      <c r="EH2337" s="118"/>
      <c r="EI2337" s="118"/>
      <c r="EJ2337" s="118"/>
      <c r="EK2337" s="118"/>
      <c r="EL2337" s="118"/>
      <c r="EM2337" s="118"/>
      <c r="EN2337" s="118"/>
      <c r="EO2337" s="118"/>
      <c r="EP2337" s="118"/>
      <c r="EQ2337" s="118"/>
      <c r="ER2337" s="118"/>
      <c r="ES2337" s="118"/>
      <c r="ET2337" s="118"/>
      <c r="EU2337" s="118"/>
      <c r="EV2337" s="118"/>
      <c r="EW2337" s="118"/>
      <c r="EX2337" s="118"/>
      <c r="EY2337" s="118"/>
      <c r="EZ2337" s="118"/>
      <c r="FA2337" s="118"/>
      <c r="FB2337" s="118"/>
      <c r="FC2337" s="118"/>
      <c r="FD2337" s="118"/>
      <c r="FE2337" s="118"/>
      <c r="FF2337" s="118"/>
      <c r="FG2337" s="118"/>
      <c r="FH2337" s="118"/>
      <c r="FI2337" s="118"/>
      <c r="FJ2337" s="118"/>
      <c r="FK2337" s="118"/>
      <c r="FL2337" s="118"/>
      <c r="FM2337" s="118"/>
      <c r="FN2337" s="118"/>
      <c r="FO2337" s="118"/>
      <c r="FP2337" s="118"/>
      <c r="FQ2337" s="118"/>
      <c r="FR2337" s="118"/>
      <c r="FS2337" s="118"/>
      <c r="FT2337" s="118"/>
      <c r="FU2337" s="118"/>
      <c r="FV2337" s="118"/>
      <c r="FW2337" s="118"/>
      <c r="FX2337" s="118"/>
      <c r="FY2337" s="118"/>
      <c r="FZ2337" s="118"/>
      <c r="GA2337" s="118"/>
      <c r="GB2337" s="118"/>
      <c r="GC2337" s="118"/>
      <c r="GD2337" s="118"/>
      <c r="GE2337" s="118"/>
      <c r="GF2337" s="118"/>
      <c r="GG2337" s="118"/>
      <c r="GH2337" s="118"/>
      <c r="GI2337" s="118"/>
      <c r="GJ2337" s="118"/>
      <c r="GK2337" s="118"/>
      <c r="GL2337" s="118"/>
      <c r="GM2337" s="118"/>
      <c r="GN2337" s="118"/>
      <c r="GO2337" s="118"/>
      <c r="GP2337" s="118"/>
      <c r="GQ2337" s="118"/>
      <c r="GR2337" s="118"/>
      <c r="GS2337" s="118"/>
      <c r="GT2337" s="118"/>
      <c r="GU2337" s="118"/>
      <c r="GV2337" s="118"/>
      <c r="GW2337" s="118"/>
      <c r="GX2337" s="118"/>
      <c r="GY2337" s="118"/>
      <c r="GZ2337" s="118"/>
      <c r="HA2337" s="118"/>
      <c r="HB2337" s="118"/>
      <c r="HC2337" s="118"/>
      <c r="HD2337" s="118"/>
      <c r="HE2337" s="118"/>
      <c r="HF2337" s="118"/>
      <c r="HG2337" s="118"/>
      <c r="HH2337" s="118"/>
      <c r="HI2337" s="118"/>
      <c r="HJ2337" s="118"/>
      <c r="HK2337" s="118"/>
      <c r="HL2337" s="118"/>
      <c r="HM2337" s="118"/>
      <c r="HN2337" s="118"/>
      <c r="HO2337" s="118"/>
      <c r="HP2337" s="118"/>
      <c r="HQ2337" s="118"/>
      <c r="HR2337" s="118"/>
      <c r="HS2337" s="118"/>
      <c r="HT2337" s="118"/>
      <c r="HU2337" s="118"/>
      <c r="HV2337" s="118"/>
      <c r="HW2337" s="118"/>
      <c r="HX2337" s="118"/>
      <c r="HY2337" s="118"/>
      <c r="HZ2337" s="118"/>
      <c r="IA2337" s="118"/>
      <c r="IB2337" s="118"/>
      <c r="IC2337" s="118"/>
      <c r="ID2337" s="118"/>
      <c r="IE2337" s="118"/>
      <c r="IF2337" s="118"/>
      <c r="IG2337" s="118"/>
      <c r="IH2337" s="118"/>
      <c r="II2337" s="118"/>
      <c r="IJ2337" s="118"/>
    </row>
    <row r="2338" spans="1:244" s="11" customFormat="1" ht="12.75" customHeight="1">
      <c r="A2338" s="118">
        <v>2337</v>
      </c>
      <c r="B2338" s="128">
        <v>24</v>
      </c>
      <c r="C2338" s="156">
        <v>40057</v>
      </c>
      <c r="D2338" s="157" t="s">
        <v>52</v>
      </c>
      <c r="E2338" s="127">
        <v>2009</v>
      </c>
      <c r="F2338" s="158">
        <f t="shared" si="593"/>
        <v>664</v>
      </c>
      <c r="G2338" s="158">
        <f t="shared" si="594"/>
        <v>2</v>
      </c>
      <c r="H2338" s="175">
        <v>39393</v>
      </c>
      <c r="I2338" s="125">
        <v>616492</v>
      </c>
      <c r="J2338" s="191">
        <v>1.4</v>
      </c>
      <c r="K2338" s="191">
        <v>1.65</v>
      </c>
      <c r="L2338" s="191">
        <v>1.22</v>
      </c>
      <c r="M2338" s="193">
        <v>0</v>
      </c>
      <c r="N2338" s="529"/>
      <c r="O2338" s="191">
        <v>0</v>
      </c>
      <c r="P2338" s="127"/>
      <c r="Q2338" s="127"/>
      <c r="R2338" s="127"/>
      <c r="S2338" s="140"/>
      <c r="T2338" s="171">
        <f t="shared" si="595"/>
        <v>1017211.7999999999</v>
      </c>
      <c r="U2338" s="171">
        <f t="shared" si="596"/>
        <v>752120.24</v>
      </c>
      <c r="V2338" s="171">
        <f t="shared" si="597"/>
        <v>0</v>
      </c>
      <c r="W2338" s="171">
        <f t="shared" si="592"/>
        <v>0</v>
      </c>
      <c r="X2338" s="118"/>
      <c r="Y2338" s="118"/>
      <c r="Z2338" s="118"/>
      <c r="AA2338" s="118"/>
      <c r="AB2338" s="118"/>
      <c r="AC2338" s="118"/>
      <c r="AD2338" s="118"/>
      <c r="AE2338" s="118"/>
      <c r="AF2338" s="118"/>
      <c r="AG2338" s="118"/>
      <c r="AH2338" s="118"/>
      <c r="AI2338" s="118"/>
      <c r="AJ2338" s="118"/>
      <c r="AK2338" s="118"/>
      <c r="AL2338" s="118"/>
      <c r="AM2338" s="118"/>
      <c r="AN2338" s="118"/>
      <c r="AO2338" s="118"/>
      <c r="AP2338" s="118"/>
      <c r="AQ2338" s="118"/>
      <c r="AR2338" s="118"/>
      <c r="AS2338" s="118"/>
      <c r="AT2338" s="118"/>
      <c r="AU2338" s="118"/>
      <c r="AV2338" s="118"/>
      <c r="AW2338" s="118"/>
      <c r="AX2338" s="118"/>
      <c r="AY2338" s="118"/>
      <c r="AZ2338" s="118"/>
      <c r="BA2338" s="118"/>
      <c r="BB2338" s="118"/>
      <c r="BC2338" s="118"/>
      <c r="BD2338" s="118"/>
      <c r="BE2338" s="118"/>
      <c r="BF2338" s="118"/>
      <c r="BG2338" s="118"/>
      <c r="BH2338" s="118"/>
      <c r="BI2338" s="118"/>
      <c r="BJ2338" s="118"/>
      <c r="BK2338" s="118"/>
      <c r="BL2338" s="118"/>
      <c r="BM2338" s="118"/>
      <c r="BN2338" s="118"/>
      <c r="BO2338" s="118"/>
      <c r="BP2338" s="118"/>
      <c r="BQ2338" s="118"/>
      <c r="BR2338" s="118"/>
      <c r="BS2338" s="118"/>
      <c r="BT2338" s="118"/>
      <c r="BU2338" s="118"/>
      <c r="BV2338" s="118"/>
      <c r="BW2338" s="118"/>
      <c r="BX2338" s="118"/>
      <c r="BY2338" s="118"/>
      <c r="BZ2338" s="118"/>
      <c r="CA2338" s="118"/>
      <c r="CB2338" s="118"/>
      <c r="CC2338" s="118"/>
      <c r="CD2338" s="118"/>
      <c r="CE2338" s="118"/>
      <c r="CF2338" s="118"/>
      <c r="CG2338" s="118"/>
      <c r="CH2338" s="118"/>
      <c r="CI2338" s="118"/>
      <c r="CJ2338" s="118"/>
      <c r="CK2338" s="118"/>
      <c r="CL2338" s="118"/>
      <c r="CM2338" s="118"/>
      <c r="CN2338" s="118"/>
      <c r="CO2338" s="118"/>
      <c r="CP2338" s="118"/>
      <c r="CQ2338" s="118"/>
      <c r="CR2338" s="118"/>
      <c r="CS2338" s="118"/>
      <c r="CT2338" s="118"/>
      <c r="CU2338" s="118"/>
      <c r="CV2338" s="118"/>
      <c r="CW2338" s="118"/>
      <c r="CX2338" s="118"/>
      <c r="CY2338" s="118"/>
      <c r="CZ2338" s="118"/>
      <c r="DA2338" s="118"/>
      <c r="DB2338" s="118"/>
      <c r="DC2338" s="118"/>
      <c r="DD2338" s="118"/>
      <c r="DE2338" s="118"/>
      <c r="DF2338" s="118"/>
      <c r="DG2338" s="118"/>
      <c r="DH2338" s="118"/>
      <c r="DI2338" s="118"/>
      <c r="DJ2338" s="118"/>
      <c r="DK2338" s="118"/>
      <c r="DL2338" s="118"/>
      <c r="DM2338" s="118"/>
      <c r="DN2338" s="118"/>
      <c r="DO2338" s="118"/>
      <c r="DP2338" s="118"/>
      <c r="DQ2338" s="118"/>
      <c r="DR2338" s="118"/>
      <c r="DS2338" s="118"/>
      <c r="DT2338" s="118"/>
      <c r="DU2338" s="118"/>
      <c r="DV2338" s="118"/>
      <c r="DW2338" s="118"/>
      <c r="DX2338" s="118"/>
      <c r="DY2338" s="118"/>
      <c r="DZ2338" s="118"/>
      <c r="EA2338" s="118"/>
      <c r="EB2338" s="118"/>
      <c r="EC2338" s="118"/>
      <c r="ED2338" s="118"/>
      <c r="EE2338" s="118"/>
      <c r="EF2338" s="118"/>
      <c r="EG2338" s="118"/>
      <c r="EH2338" s="118"/>
      <c r="EI2338" s="118"/>
      <c r="EJ2338" s="118"/>
      <c r="EK2338" s="118"/>
      <c r="EL2338" s="118"/>
      <c r="EM2338" s="118"/>
      <c r="EN2338" s="118"/>
      <c r="EO2338" s="118"/>
      <c r="EP2338" s="118"/>
      <c r="EQ2338" s="118"/>
      <c r="ER2338" s="118"/>
      <c r="ES2338" s="118"/>
      <c r="ET2338" s="118"/>
      <c r="EU2338" s="118"/>
      <c r="EV2338" s="118"/>
      <c r="EW2338" s="118"/>
      <c r="EX2338" s="118"/>
      <c r="EY2338" s="118"/>
      <c r="EZ2338" s="118"/>
      <c r="FA2338" s="118"/>
      <c r="FB2338" s="118"/>
      <c r="FC2338" s="118"/>
      <c r="FD2338" s="118"/>
      <c r="FE2338" s="118"/>
      <c r="FF2338" s="118"/>
      <c r="FG2338" s="118"/>
      <c r="FH2338" s="118"/>
      <c r="FI2338" s="118"/>
      <c r="FJ2338" s="118"/>
      <c r="FK2338" s="118"/>
      <c r="FL2338" s="118"/>
      <c r="FM2338" s="118"/>
      <c r="FN2338" s="118"/>
      <c r="FO2338" s="118"/>
      <c r="FP2338" s="118"/>
      <c r="FQ2338" s="118"/>
      <c r="FR2338" s="118"/>
      <c r="FS2338" s="118"/>
      <c r="FT2338" s="118"/>
      <c r="FU2338" s="118"/>
      <c r="FV2338" s="118"/>
      <c r="FW2338" s="118"/>
      <c r="FX2338" s="118"/>
      <c r="FY2338" s="118"/>
      <c r="FZ2338" s="118"/>
      <c r="GA2338" s="118"/>
      <c r="GB2338" s="118"/>
      <c r="GC2338" s="118"/>
      <c r="GD2338" s="118"/>
      <c r="GE2338" s="118"/>
      <c r="GF2338" s="118"/>
      <c r="GG2338" s="118"/>
      <c r="GH2338" s="118"/>
      <c r="GI2338" s="118"/>
      <c r="GJ2338" s="118"/>
      <c r="GK2338" s="118"/>
      <c r="GL2338" s="118"/>
      <c r="GM2338" s="118"/>
      <c r="GN2338" s="118"/>
      <c r="GO2338" s="118"/>
      <c r="GP2338" s="118"/>
      <c r="GQ2338" s="118"/>
      <c r="GR2338" s="118"/>
      <c r="GS2338" s="118"/>
      <c r="GT2338" s="118"/>
      <c r="GU2338" s="118"/>
      <c r="GV2338" s="118"/>
      <c r="GW2338" s="118"/>
      <c r="GX2338" s="118"/>
      <c r="GY2338" s="118"/>
      <c r="GZ2338" s="118"/>
      <c r="HA2338" s="118"/>
      <c r="HB2338" s="118"/>
      <c r="HC2338" s="118"/>
      <c r="HD2338" s="118"/>
      <c r="HE2338" s="118"/>
      <c r="HF2338" s="118"/>
      <c r="HG2338" s="118"/>
      <c r="HH2338" s="118"/>
      <c r="HI2338" s="118"/>
      <c r="HJ2338" s="118"/>
      <c r="HK2338" s="118"/>
      <c r="HL2338" s="118"/>
      <c r="HM2338" s="118"/>
      <c r="HN2338" s="118"/>
      <c r="HO2338" s="118"/>
      <c r="HP2338" s="118"/>
      <c r="HQ2338" s="118"/>
      <c r="HR2338" s="118"/>
      <c r="HS2338" s="118"/>
      <c r="HT2338" s="118"/>
      <c r="HU2338" s="118"/>
      <c r="HV2338" s="118"/>
      <c r="HW2338" s="118"/>
      <c r="HX2338" s="118"/>
      <c r="HY2338" s="118"/>
      <c r="HZ2338" s="118"/>
      <c r="IA2338" s="118"/>
      <c r="IB2338" s="118"/>
      <c r="IC2338" s="118"/>
      <c r="ID2338" s="118"/>
      <c r="IE2338" s="118"/>
      <c r="IF2338" s="118"/>
      <c r="IG2338" s="118"/>
      <c r="IH2338" s="118"/>
      <c r="II2338" s="118"/>
      <c r="IJ2338" s="118"/>
    </row>
    <row r="2339" spans="1:244" s="11" customFormat="1" ht="12.75" customHeight="1">
      <c r="A2339" s="118">
        <v>2338</v>
      </c>
      <c r="B2339" s="128">
        <v>24</v>
      </c>
      <c r="C2339" s="156">
        <v>40087</v>
      </c>
      <c r="D2339" s="157" t="s">
        <v>53</v>
      </c>
      <c r="E2339" s="127">
        <v>2009</v>
      </c>
      <c r="F2339" s="158">
        <f t="shared" si="593"/>
        <v>694</v>
      </c>
      <c r="G2339" s="158">
        <f t="shared" si="594"/>
        <v>2</v>
      </c>
      <c r="H2339" s="175">
        <v>39393</v>
      </c>
      <c r="I2339" s="125">
        <v>616468</v>
      </c>
      <c r="J2339" s="191">
        <v>2.9</v>
      </c>
      <c r="K2339" s="191">
        <v>3.97</v>
      </c>
      <c r="L2339" s="191">
        <v>2.5</v>
      </c>
      <c r="M2339" s="193">
        <v>0</v>
      </c>
      <c r="N2339" s="529"/>
      <c r="O2339" s="191">
        <v>0</v>
      </c>
      <c r="P2339" s="127"/>
      <c r="Q2339" s="127"/>
      <c r="R2339" s="127"/>
      <c r="S2339" s="140"/>
      <c r="T2339" s="171">
        <f t="shared" si="595"/>
        <v>2447377.96</v>
      </c>
      <c r="U2339" s="171">
        <f t="shared" si="596"/>
        <v>1541170</v>
      </c>
      <c r="V2339" s="171">
        <f t="shared" si="597"/>
        <v>0</v>
      </c>
      <c r="W2339" s="171">
        <f t="shared" si="592"/>
        <v>0</v>
      </c>
      <c r="X2339" s="118"/>
      <c r="Y2339" s="118"/>
      <c r="Z2339" s="118"/>
      <c r="AA2339" s="118"/>
      <c r="AB2339" s="118"/>
      <c r="AC2339" s="118"/>
      <c r="AD2339" s="118"/>
      <c r="AE2339" s="118"/>
      <c r="AF2339" s="118"/>
      <c r="AG2339" s="118"/>
      <c r="AH2339" s="118"/>
      <c r="AI2339" s="118"/>
      <c r="AJ2339" s="118"/>
      <c r="AK2339" s="118"/>
      <c r="AL2339" s="118"/>
      <c r="AM2339" s="118"/>
      <c r="AN2339" s="118"/>
      <c r="AO2339" s="118"/>
      <c r="AP2339" s="118"/>
      <c r="AQ2339" s="118"/>
      <c r="AR2339" s="118"/>
      <c r="AS2339" s="118"/>
      <c r="AT2339" s="118"/>
      <c r="AU2339" s="118"/>
      <c r="AV2339" s="118"/>
      <c r="AW2339" s="118"/>
      <c r="AX2339" s="118"/>
      <c r="AY2339" s="118"/>
      <c r="AZ2339" s="118"/>
      <c r="BA2339" s="118"/>
      <c r="BB2339" s="118"/>
      <c r="BC2339" s="118"/>
      <c r="BD2339" s="118"/>
      <c r="BE2339" s="118"/>
      <c r="BF2339" s="118"/>
      <c r="BG2339" s="118"/>
      <c r="BH2339" s="118"/>
      <c r="BI2339" s="118"/>
      <c r="BJ2339" s="118"/>
      <c r="BK2339" s="118"/>
      <c r="BL2339" s="118"/>
      <c r="BM2339" s="118"/>
      <c r="BN2339" s="118"/>
      <c r="BO2339" s="118"/>
      <c r="BP2339" s="118"/>
      <c r="BQ2339" s="118"/>
      <c r="BR2339" s="118"/>
      <c r="BS2339" s="118"/>
      <c r="BT2339" s="118"/>
      <c r="BU2339" s="118"/>
      <c r="BV2339" s="118"/>
      <c r="BW2339" s="118"/>
      <c r="BX2339" s="118"/>
      <c r="BY2339" s="118"/>
      <c r="BZ2339" s="118"/>
      <c r="CA2339" s="118"/>
      <c r="CB2339" s="118"/>
      <c r="CC2339" s="118"/>
      <c r="CD2339" s="118"/>
      <c r="CE2339" s="118"/>
      <c r="CF2339" s="118"/>
      <c r="CG2339" s="118"/>
      <c r="CH2339" s="118"/>
      <c r="CI2339" s="118"/>
      <c r="CJ2339" s="118"/>
      <c r="CK2339" s="118"/>
      <c r="CL2339" s="118"/>
      <c r="CM2339" s="118"/>
      <c r="CN2339" s="118"/>
      <c r="CO2339" s="118"/>
      <c r="CP2339" s="118"/>
      <c r="CQ2339" s="118"/>
      <c r="CR2339" s="118"/>
      <c r="CS2339" s="118"/>
      <c r="CT2339" s="118"/>
      <c r="CU2339" s="118"/>
      <c r="CV2339" s="118"/>
      <c r="CW2339" s="118"/>
      <c r="CX2339" s="118"/>
      <c r="CY2339" s="118"/>
      <c r="CZ2339" s="118"/>
      <c r="DA2339" s="118"/>
      <c r="DB2339" s="118"/>
      <c r="DC2339" s="118"/>
      <c r="DD2339" s="118"/>
      <c r="DE2339" s="118"/>
      <c r="DF2339" s="118"/>
      <c r="DG2339" s="118"/>
      <c r="DH2339" s="118"/>
      <c r="DI2339" s="118"/>
      <c r="DJ2339" s="118"/>
      <c r="DK2339" s="118"/>
      <c r="DL2339" s="118"/>
      <c r="DM2339" s="118"/>
      <c r="DN2339" s="118"/>
      <c r="DO2339" s="118"/>
      <c r="DP2339" s="118"/>
      <c r="DQ2339" s="118"/>
      <c r="DR2339" s="118"/>
      <c r="DS2339" s="118"/>
      <c r="DT2339" s="118"/>
      <c r="DU2339" s="118"/>
      <c r="DV2339" s="118"/>
      <c r="DW2339" s="118"/>
      <c r="DX2339" s="118"/>
      <c r="DY2339" s="118"/>
      <c r="DZ2339" s="118"/>
      <c r="EA2339" s="118"/>
      <c r="EB2339" s="118"/>
      <c r="EC2339" s="118"/>
      <c r="ED2339" s="118"/>
      <c r="EE2339" s="118"/>
      <c r="EF2339" s="118"/>
      <c r="EG2339" s="118"/>
      <c r="EH2339" s="118"/>
      <c r="EI2339" s="118"/>
      <c r="EJ2339" s="118"/>
      <c r="EK2339" s="118"/>
      <c r="EL2339" s="118"/>
      <c r="EM2339" s="118"/>
      <c r="EN2339" s="118"/>
      <c r="EO2339" s="118"/>
      <c r="EP2339" s="118"/>
      <c r="EQ2339" s="118"/>
      <c r="ER2339" s="118"/>
      <c r="ES2339" s="118"/>
      <c r="ET2339" s="118"/>
      <c r="EU2339" s="118"/>
      <c r="EV2339" s="118"/>
      <c r="EW2339" s="118"/>
      <c r="EX2339" s="118"/>
      <c r="EY2339" s="118"/>
      <c r="EZ2339" s="118"/>
      <c r="FA2339" s="118"/>
      <c r="FB2339" s="118"/>
      <c r="FC2339" s="118"/>
      <c r="FD2339" s="118"/>
      <c r="FE2339" s="118"/>
      <c r="FF2339" s="118"/>
      <c r="FG2339" s="118"/>
      <c r="FH2339" s="118"/>
      <c r="FI2339" s="118"/>
      <c r="FJ2339" s="118"/>
      <c r="FK2339" s="118"/>
      <c r="FL2339" s="118"/>
      <c r="FM2339" s="118"/>
      <c r="FN2339" s="118"/>
      <c r="FO2339" s="118"/>
      <c r="FP2339" s="118"/>
      <c r="FQ2339" s="118"/>
      <c r="FR2339" s="118"/>
      <c r="FS2339" s="118"/>
      <c r="FT2339" s="118"/>
      <c r="FU2339" s="118"/>
      <c r="FV2339" s="118"/>
      <c r="FW2339" s="118"/>
      <c r="FX2339" s="118"/>
      <c r="FY2339" s="118"/>
      <c r="FZ2339" s="118"/>
      <c r="GA2339" s="118"/>
      <c r="GB2339" s="118"/>
      <c r="GC2339" s="118"/>
      <c r="GD2339" s="118"/>
      <c r="GE2339" s="118"/>
      <c r="GF2339" s="118"/>
      <c r="GG2339" s="118"/>
      <c r="GH2339" s="118"/>
      <c r="GI2339" s="118"/>
      <c r="GJ2339" s="118"/>
      <c r="GK2339" s="118"/>
      <c r="GL2339" s="118"/>
      <c r="GM2339" s="118"/>
      <c r="GN2339" s="118"/>
      <c r="GO2339" s="118"/>
      <c r="GP2339" s="118"/>
      <c r="GQ2339" s="118"/>
      <c r="GR2339" s="118"/>
      <c r="GS2339" s="118"/>
      <c r="GT2339" s="118"/>
      <c r="GU2339" s="118"/>
      <c r="GV2339" s="118"/>
      <c r="GW2339" s="118"/>
      <c r="GX2339" s="118"/>
      <c r="GY2339" s="118"/>
      <c r="GZ2339" s="118"/>
      <c r="HA2339" s="118"/>
      <c r="HB2339" s="118"/>
      <c r="HC2339" s="118"/>
      <c r="HD2339" s="118"/>
      <c r="HE2339" s="118"/>
      <c r="HF2339" s="118"/>
      <c r="HG2339" s="118"/>
      <c r="HH2339" s="118"/>
      <c r="HI2339" s="118"/>
      <c r="HJ2339" s="118"/>
      <c r="HK2339" s="118"/>
      <c r="HL2339" s="118"/>
      <c r="HM2339" s="118"/>
      <c r="HN2339" s="118"/>
      <c r="HO2339" s="118"/>
      <c r="HP2339" s="118"/>
      <c r="HQ2339" s="118"/>
      <c r="HR2339" s="118"/>
      <c r="HS2339" s="118"/>
      <c r="HT2339" s="118"/>
      <c r="HU2339" s="118"/>
      <c r="HV2339" s="118"/>
      <c r="HW2339" s="118"/>
      <c r="HX2339" s="118"/>
      <c r="HY2339" s="118"/>
      <c r="HZ2339" s="118"/>
      <c r="IA2339" s="118"/>
      <c r="IB2339" s="118"/>
      <c r="IC2339" s="118"/>
      <c r="ID2339" s="118"/>
      <c r="IE2339" s="118"/>
      <c r="IF2339" s="118"/>
      <c r="IG2339" s="118"/>
      <c r="IH2339" s="118"/>
      <c r="II2339" s="118"/>
      <c r="IJ2339" s="118"/>
    </row>
    <row r="2340" spans="1:244" s="11" customFormat="1" ht="12.75" customHeight="1">
      <c r="A2340" s="118">
        <v>2339</v>
      </c>
      <c r="B2340" s="128">
        <v>24</v>
      </c>
      <c r="C2340" s="156">
        <v>40118</v>
      </c>
      <c r="D2340" s="157" t="s">
        <v>54</v>
      </c>
      <c r="E2340" s="127">
        <v>2009</v>
      </c>
      <c r="F2340" s="158">
        <f t="shared" si="593"/>
        <v>725</v>
      </c>
      <c r="G2340" s="158">
        <f t="shared" si="594"/>
        <v>2</v>
      </c>
      <c r="H2340" s="175">
        <v>39393</v>
      </c>
      <c r="I2340" s="125">
        <v>616232</v>
      </c>
      <c r="J2340" s="191">
        <v>1.67</v>
      </c>
      <c r="K2340" s="191">
        <v>5.38</v>
      </c>
      <c r="L2340" s="191">
        <v>2.5</v>
      </c>
      <c r="M2340" s="193">
        <v>0</v>
      </c>
      <c r="N2340" s="529"/>
      <c r="O2340" s="191">
        <v>2.75</v>
      </c>
      <c r="P2340" s="127">
        <v>1</v>
      </c>
      <c r="Q2340" s="127"/>
      <c r="R2340" s="127"/>
      <c r="S2340" s="244"/>
      <c r="T2340" s="171">
        <f t="shared" si="595"/>
        <v>3315328.16</v>
      </c>
      <c r="U2340" s="171">
        <f t="shared" si="596"/>
        <v>1540580</v>
      </c>
      <c r="V2340" s="171">
        <f t="shared" si="597"/>
        <v>1694638</v>
      </c>
      <c r="W2340" s="171">
        <f t="shared" si="592"/>
        <v>677855.20000000007</v>
      </c>
      <c r="X2340" s="118"/>
      <c r="Y2340" s="118"/>
      <c r="Z2340" s="118"/>
      <c r="AA2340" s="118"/>
      <c r="AB2340" s="118"/>
      <c r="AC2340" s="118"/>
      <c r="AD2340" s="118"/>
      <c r="AE2340" s="118"/>
      <c r="AF2340" s="118"/>
      <c r="AG2340" s="118"/>
      <c r="AH2340" s="118"/>
      <c r="AI2340" s="118"/>
      <c r="AJ2340" s="118"/>
      <c r="AK2340" s="118"/>
      <c r="AL2340" s="118"/>
      <c r="AM2340" s="118"/>
      <c r="AN2340" s="118"/>
      <c r="AO2340" s="118"/>
      <c r="AP2340" s="118"/>
      <c r="AQ2340" s="118"/>
      <c r="AR2340" s="118"/>
      <c r="AS2340" s="118"/>
      <c r="AT2340" s="118"/>
      <c r="AU2340" s="118"/>
      <c r="AV2340" s="118"/>
      <c r="AW2340" s="118"/>
      <c r="AX2340" s="118"/>
      <c r="AY2340" s="118"/>
      <c r="AZ2340" s="118"/>
      <c r="BA2340" s="118"/>
      <c r="BB2340" s="118"/>
      <c r="BC2340" s="118"/>
      <c r="BD2340" s="118"/>
      <c r="BE2340" s="118"/>
      <c r="BF2340" s="118"/>
      <c r="BG2340" s="118"/>
      <c r="BH2340" s="118"/>
      <c r="BI2340" s="118"/>
      <c r="BJ2340" s="118"/>
      <c r="BK2340" s="118"/>
      <c r="BL2340" s="118"/>
      <c r="BM2340" s="118"/>
      <c r="BN2340" s="118"/>
      <c r="BO2340" s="118"/>
      <c r="BP2340" s="118"/>
      <c r="BQ2340" s="118"/>
      <c r="BR2340" s="118"/>
      <c r="BS2340" s="118"/>
      <c r="BT2340" s="118"/>
      <c r="BU2340" s="118"/>
      <c r="BV2340" s="118"/>
      <c r="BW2340" s="118"/>
      <c r="BX2340" s="118"/>
      <c r="BY2340" s="118"/>
      <c r="BZ2340" s="118"/>
      <c r="CA2340" s="118"/>
      <c r="CB2340" s="118"/>
      <c r="CC2340" s="118"/>
      <c r="CD2340" s="118"/>
      <c r="CE2340" s="118"/>
      <c r="CF2340" s="118"/>
      <c r="CG2340" s="118"/>
      <c r="CH2340" s="118"/>
      <c r="CI2340" s="118"/>
      <c r="CJ2340" s="118"/>
      <c r="CK2340" s="118"/>
      <c r="CL2340" s="118"/>
      <c r="CM2340" s="118"/>
      <c r="CN2340" s="118"/>
      <c r="CO2340" s="118"/>
      <c r="CP2340" s="118"/>
      <c r="CQ2340" s="118"/>
      <c r="CR2340" s="118"/>
      <c r="CS2340" s="118"/>
      <c r="CT2340" s="118"/>
      <c r="CU2340" s="118"/>
      <c r="CV2340" s="118"/>
      <c r="CW2340" s="118"/>
      <c r="CX2340" s="118"/>
      <c r="CY2340" s="118"/>
      <c r="CZ2340" s="118"/>
      <c r="DA2340" s="118"/>
      <c r="DB2340" s="118"/>
      <c r="DC2340" s="118"/>
      <c r="DD2340" s="118"/>
      <c r="DE2340" s="118"/>
      <c r="DF2340" s="118"/>
      <c r="DG2340" s="118"/>
      <c r="DH2340" s="118"/>
      <c r="DI2340" s="118"/>
      <c r="DJ2340" s="118"/>
      <c r="DK2340" s="118"/>
      <c r="DL2340" s="118"/>
      <c r="DM2340" s="118"/>
      <c r="DN2340" s="118"/>
      <c r="DO2340" s="118"/>
      <c r="DP2340" s="118"/>
      <c r="DQ2340" s="118"/>
      <c r="DR2340" s="118"/>
      <c r="DS2340" s="118"/>
      <c r="DT2340" s="118"/>
      <c r="DU2340" s="118"/>
      <c r="DV2340" s="118"/>
      <c r="DW2340" s="118"/>
      <c r="DX2340" s="118"/>
      <c r="DY2340" s="118"/>
      <c r="DZ2340" s="118"/>
      <c r="EA2340" s="118"/>
      <c r="EB2340" s="118"/>
      <c r="EC2340" s="118"/>
      <c r="ED2340" s="118"/>
      <c r="EE2340" s="118"/>
      <c r="EF2340" s="118"/>
      <c r="EG2340" s="118"/>
      <c r="EH2340" s="118"/>
      <c r="EI2340" s="118"/>
      <c r="EJ2340" s="118"/>
      <c r="EK2340" s="118"/>
      <c r="EL2340" s="118"/>
      <c r="EM2340" s="118"/>
      <c r="EN2340" s="118"/>
      <c r="EO2340" s="118"/>
      <c r="EP2340" s="118"/>
      <c r="EQ2340" s="118"/>
      <c r="ER2340" s="118"/>
      <c r="ES2340" s="118"/>
      <c r="ET2340" s="118"/>
      <c r="EU2340" s="118"/>
      <c r="EV2340" s="118"/>
      <c r="EW2340" s="118"/>
      <c r="EX2340" s="118"/>
      <c r="EY2340" s="118"/>
      <c r="EZ2340" s="118"/>
      <c r="FA2340" s="118"/>
      <c r="FB2340" s="118"/>
      <c r="FC2340" s="118"/>
      <c r="FD2340" s="118"/>
      <c r="FE2340" s="118"/>
      <c r="FF2340" s="118"/>
      <c r="FG2340" s="118"/>
      <c r="FH2340" s="118"/>
      <c r="FI2340" s="118"/>
      <c r="FJ2340" s="118"/>
      <c r="FK2340" s="118"/>
      <c r="FL2340" s="118"/>
      <c r="FM2340" s="118"/>
      <c r="FN2340" s="118"/>
      <c r="FO2340" s="118"/>
      <c r="FP2340" s="118"/>
      <c r="FQ2340" s="118"/>
      <c r="FR2340" s="118"/>
      <c r="FS2340" s="118"/>
      <c r="FT2340" s="118"/>
      <c r="FU2340" s="118"/>
      <c r="FV2340" s="118"/>
      <c r="FW2340" s="118"/>
      <c r="FX2340" s="118"/>
      <c r="FY2340" s="118"/>
      <c r="FZ2340" s="118"/>
      <c r="GA2340" s="118"/>
      <c r="GB2340" s="118"/>
      <c r="GC2340" s="118"/>
      <c r="GD2340" s="118"/>
      <c r="GE2340" s="118"/>
      <c r="GF2340" s="118"/>
      <c r="GG2340" s="118"/>
      <c r="GH2340" s="118"/>
      <c r="GI2340" s="118"/>
      <c r="GJ2340" s="118"/>
      <c r="GK2340" s="118"/>
      <c r="GL2340" s="118"/>
      <c r="GM2340" s="118"/>
      <c r="GN2340" s="118"/>
      <c r="GO2340" s="118"/>
      <c r="GP2340" s="118"/>
      <c r="GQ2340" s="118"/>
      <c r="GR2340" s="118"/>
      <c r="GS2340" s="118"/>
      <c r="GT2340" s="118"/>
      <c r="GU2340" s="118"/>
      <c r="GV2340" s="118"/>
      <c r="GW2340" s="118"/>
      <c r="GX2340" s="118"/>
      <c r="GY2340" s="118"/>
      <c r="GZ2340" s="118"/>
      <c r="HA2340" s="118"/>
      <c r="HB2340" s="118"/>
      <c r="HC2340" s="118"/>
      <c r="HD2340" s="118"/>
      <c r="HE2340" s="118"/>
      <c r="HF2340" s="118"/>
      <c r="HG2340" s="118"/>
      <c r="HH2340" s="118"/>
      <c r="HI2340" s="118"/>
      <c r="HJ2340" s="118"/>
      <c r="HK2340" s="118"/>
      <c r="HL2340" s="118"/>
      <c r="HM2340" s="118"/>
      <c r="HN2340" s="118"/>
      <c r="HO2340" s="118"/>
      <c r="HP2340" s="118"/>
      <c r="HQ2340" s="118"/>
      <c r="HR2340" s="118"/>
      <c r="HS2340" s="118"/>
      <c r="HT2340" s="118"/>
      <c r="HU2340" s="118"/>
      <c r="HV2340" s="118"/>
      <c r="HW2340" s="118"/>
      <c r="HX2340" s="118"/>
      <c r="HY2340" s="118"/>
      <c r="HZ2340" s="118"/>
      <c r="IA2340" s="118"/>
      <c r="IB2340" s="118"/>
      <c r="IC2340" s="118"/>
      <c r="ID2340" s="118"/>
      <c r="IE2340" s="118"/>
      <c r="IF2340" s="118"/>
      <c r="IG2340" s="118"/>
      <c r="IH2340" s="118"/>
      <c r="II2340" s="118"/>
      <c r="IJ2340" s="118"/>
    </row>
    <row r="2341" spans="1:244" s="11" customFormat="1" ht="12.75" customHeight="1">
      <c r="A2341" s="118">
        <v>2340</v>
      </c>
      <c r="B2341" s="128">
        <v>24</v>
      </c>
      <c r="C2341" s="156">
        <v>40148</v>
      </c>
      <c r="D2341" s="157" t="s">
        <v>55</v>
      </c>
      <c r="E2341" s="127">
        <v>2009</v>
      </c>
      <c r="F2341" s="158">
        <f t="shared" si="593"/>
        <v>755</v>
      </c>
      <c r="G2341" s="158">
        <f t="shared" si="594"/>
        <v>2</v>
      </c>
      <c r="H2341" s="175">
        <v>39393</v>
      </c>
      <c r="I2341" s="125">
        <v>615961</v>
      </c>
      <c r="J2341" s="191">
        <v>1.24</v>
      </c>
      <c r="K2341" s="191">
        <v>2.95</v>
      </c>
      <c r="L2341" s="191">
        <v>1.59</v>
      </c>
      <c r="M2341" s="193"/>
      <c r="N2341" s="529"/>
      <c r="O2341" s="191">
        <v>0.64</v>
      </c>
      <c r="P2341" s="127"/>
      <c r="Q2341" s="127"/>
      <c r="R2341" s="127"/>
      <c r="S2341" s="140"/>
      <c r="T2341" s="171">
        <f t="shared" si="595"/>
        <v>1817084.9500000002</v>
      </c>
      <c r="U2341" s="171">
        <f t="shared" si="596"/>
        <v>979377.99000000011</v>
      </c>
      <c r="V2341" s="171">
        <f t="shared" si="597"/>
        <v>394215.04000000004</v>
      </c>
      <c r="W2341" s="171">
        <f t="shared" si="592"/>
        <v>157686.01600000003</v>
      </c>
      <c r="X2341" s="118"/>
      <c r="Y2341" s="118"/>
      <c r="Z2341" s="118"/>
      <c r="AA2341" s="118"/>
      <c r="AB2341" s="118"/>
      <c r="AC2341" s="118"/>
      <c r="AD2341" s="118"/>
      <c r="AE2341" s="118"/>
      <c r="AF2341" s="118"/>
      <c r="AG2341" s="118"/>
      <c r="AH2341" s="118"/>
      <c r="AI2341" s="118"/>
      <c r="AJ2341" s="118"/>
      <c r="AK2341" s="118"/>
      <c r="AL2341" s="118"/>
      <c r="AM2341" s="118"/>
      <c r="AN2341" s="118"/>
      <c r="AO2341" s="118"/>
      <c r="AP2341" s="118"/>
      <c r="AQ2341" s="118"/>
      <c r="AR2341" s="118"/>
      <c r="AS2341" s="118"/>
      <c r="AT2341" s="118"/>
      <c r="AU2341" s="118"/>
      <c r="AV2341" s="118"/>
      <c r="AW2341" s="118"/>
      <c r="AX2341" s="118"/>
      <c r="AY2341" s="118"/>
      <c r="AZ2341" s="118"/>
      <c r="BA2341" s="118"/>
      <c r="BB2341" s="118"/>
      <c r="BC2341" s="118"/>
      <c r="BD2341" s="118"/>
      <c r="BE2341" s="118"/>
      <c r="BF2341" s="118"/>
      <c r="BG2341" s="118"/>
      <c r="BH2341" s="118"/>
      <c r="BI2341" s="118"/>
      <c r="BJ2341" s="118"/>
      <c r="BK2341" s="118"/>
      <c r="BL2341" s="118"/>
      <c r="BM2341" s="118"/>
      <c r="BN2341" s="118"/>
      <c r="BO2341" s="118"/>
      <c r="BP2341" s="118"/>
      <c r="BQ2341" s="118"/>
      <c r="BR2341" s="118"/>
      <c r="BS2341" s="118"/>
      <c r="BT2341" s="118"/>
      <c r="BU2341" s="118"/>
      <c r="BV2341" s="118"/>
      <c r="BW2341" s="118"/>
      <c r="BX2341" s="118"/>
      <c r="BY2341" s="118"/>
      <c r="BZ2341" s="118"/>
      <c r="CA2341" s="118"/>
      <c r="CB2341" s="118"/>
      <c r="CC2341" s="118"/>
      <c r="CD2341" s="118"/>
      <c r="CE2341" s="118"/>
      <c r="CF2341" s="118"/>
      <c r="CG2341" s="118"/>
      <c r="CH2341" s="118"/>
      <c r="CI2341" s="118"/>
      <c r="CJ2341" s="118"/>
      <c r="CK2341" s="118"/>
      <c r="CL2341" s="118"/>
      <c r="CM2341" s="118"/>
      <c r="CN2341" s="118"/>
      <c r="CO2341" s="118"/>
      <c r="CP2341" s="118"/>
      <c r="CQ2341" s="118"/>
      <c r="CR2341" s="118"/>
      <c r="CS2341" s="118"/>
      <c r="CT2341" s="118"/>
      <c r="CU2341" s="118"/>
      <c r="CV2341" s="118"/>
      <c r="CW2341" s="118"/>
      <c r="CX2341" s="118"/>
      <c r="CY2341" s="118"/>
      <c r="CZ2341" s="118"/>
      <c r="DA2341" s="118"/>
      <c r="DB2341" s="118"/>
      <c r="DC2341" s="118"/>
      <c r="DD2341" s="118"/>
      <c r="DE2341" s="118"/>
      <c r="DF2341" s="118"/>
      <c r="DG2341" s="118"/>
      <c r="DH2341" s="118"/>
      <c r="DI2341" s="118"/>
      <c r="DJ2341" s="118"/>
      <c r="DK2341" s="118"/>
      <c r="DL2341" s="118"/>
      <c r="DM2341" s="118"/>
      <c r="DN2341" s="118"/>
      <c r="DO2341" s="118"/>
      <c r="DP2341" s="118"/>
      <c r="DQ2341" s="118"/>
      <c r="DR2341" s="118"/>
      <c r="DS2341" s="118"/>
      <c r="DT2341" s="118"/>
      <c r="DU2341" s="118"/>
      <c r="DV2341" s="118"/>
      <c r="DW2341" s="118"/>
      <c r="DX2341" s="118"/>
      <c r="DY2341" s="118"/>
      <c r="DZ2341" s="118"/>
      <c r="EA2341" s="118"/>
      <c r="EB2341" s="118"/>
      <c r="EC2341" s="118"/>
      <c r="ED2341" s="118"/>
      <c r="EE2341" s="118"/>
      <c r="EF2341" s="118"/>
      <c r="EG2341" s="118"/>
      <c r="EH2341" s="118"/>
      <c r="EI2341" s="118"/>
      <c r="EJ2341" s="118"/>
      <c r="EK2341" s="118"/>
      <c r="EL2341" s="118"/>
      <c r="EM2341" s="118"/>
      <c r="EN2341" s="118"/>
      <c r="EO2341" s="118"/>
      <c r="EP2341" s="118"/>
      <c r="EQ2341" s="118"/>
      <c r="ER2341" s="118"/>
      <c r="ES2341" s="118"/>
      <c r="ET2341" s="118"/>
      <c r="EU2341" s="118"/>
      <c r="EV2341" s="118"/>
      <c r="EW2341" s="118"/>
      <c r="EX2341" s="118"/>
      <c r="EY2341" s="118"/>
      <c r="EZ2341" s="118"/>
      <c r="FA2341" s="118"/>
      <c r="FB2341" s="118"/>
      <c r="FC2341" s="118"/>
      <c r="FD2341" s="118"/>
      <c r="FE2341" s="118"/>
      <c r="FF2341" s="118"/>
      <c r="FG2341" s="118"/>
      <c r="FH2341" s="118"/>
      <c r="FI2341" s="118"/>
      <c r="FJ2341" s="118"/>
      <c r="FK2341" s="118"/>
      <c r="FL2341" s="118"/>
      <c r="FM2341" s="118"/>
      <c r="FN2341" s="118"/>
      <c r="FO2341" s="118"/>
      <c r="FP2341" s="118"/>
      <c r="FQ2341" s="118"/>
      <c r="FR2341" s="118"/>
      <c r="FS2341" s="118"/>
      <c r="FT2341" s="118"/>
      <c r="FU2341" s="118"/>
      <c r="FV2341" s="118"/>
      <c r="FW2341" s="118"/>
      <c r="FX2341" s="118"/>
      <c r="FY2341" s="118"/>
      <c r="FZ2341" s="118"/>
      <c r="GA2341" s="118"/>
      <c r="GB2341" s="118"/>
      <c r="GC2341" s="118"/>
      <c r="GD2341" s="118"/>
      <c r="GE2341" s="118"/>
      <c r="GF2341" s="118"/>
      <c r="GG2341" s="118"/>
      <c r="GH2341" s="118"/>
      <c r="GI2341" s="118"/>
      <c r="GJ2341" s="118"/>
      <c r="GK2341" s="118"/>
      <c r="GL2341" s="118"/>
      <c r="GM2341" s="118"/>
      <c r="GN2341" s="118"/>
      <c r="GO2341" s="118"/>
      <c r="GP2341" s="118"/>
      <c r="GQ2341" s="118"/>
      <c r="GR2341" s="118"/>
      <c r="GS2341" s="118"/>
      <c r="GT2341" s="118"/>
      <c r="GU2341" s="118"/>
      <c r="GV2341" s="118"/>
      <c r="GW2341" s="118"/>
      <c r="GX2341" s="118"/>
      <c r="GY2341" s="118"/>
      <c r="GZ2341" s="118"/>
      <c r="HA2341" s="118"/>
      <c r="HB2341" s="118"/>
      <c r="HC2341" s="118"/>
      <c r="HD2341" s="118"/>
      <c r="HE2341" s="118"/>
      <c r="HF2341" s="118"/>
      <c r="HG2341" s="118"/>
      <c r="HH2341" s="118"/>
      <c r="HI2341" s="118"/>
      <c r="HJ2341" s="118"/>
      <c r="HK2341" s="118"/>
      <c r="HL2341" s="118"/>
      <c r="HM2341" s="118"/>
      <c r="HN2341" s="118"/>
      <c r="HO2341" s="118"/>
      <c r="HP2341" s="118"/>
      <c r="HQ2341" s="118"/>
      <c r="HR2341" s="118"/>
      <c r="HS2341" s="118"/>
      <c r="HT2341" s="118"/>
      <c r="HU2341" s="118"/>
      <c r="HV2341" s="118"/>
      <c r="HW2341" s="118"/>
      <c r="HX2341" s="118"/>
      <c r="HY2341" s="118"/>
      <c r="HZ2341" s="118"/>
      <c r="IA2341" s="118"/>
      <c r="IB2341" s="118"/>
      <c r="IC2341" s="118"/>
      <c r="ID2341" s="118"/>
      <c r="IE2341" s="118"/>
      <c r="IF2341" s="118"/>
      <c r="IG2341" s="118"/>
      <c r="IH2341" s="118"/>
      <c r="II2341" s="118"/>
      <c r="IJ2341" s="118"/>
    </row>
    <row r="2342" spans="1:244" s="11" customFormat="1" ht="12.75" customHeight="1">
      <c r="A2342" s="118">
        <v>2341</v>
      </c>
      <c r="B2342" s="260">
        <v>25</v>
      </c>
      <c r="C2342" s="156">
        <v>36526</v>
      </c>
      <c r="D2342" s="157" t="s">
        <v>44</v>
      </c>
      <c r="E2342" s="8">
        <v>2000</v>
      </c>
      <c r="F2342" s="158">
        <f t="shared" si="587"/>
        <v>699</v>
      </c>
      <c r="G2342" s="158">
        <f t="shared" si="588"/>
        <v>2</v>
      </c>
      <c r="H2342" s="162">
        <v>35827</v>
      </c>
      <c r="I2342" s="163">
        <v>177796</v>
      </c>
      <c r="M2342" s="174"/>
      <c r="N2342" s="528"/>
      <c r="P2342" s="8"/>
      <c r="S2342" s="155" t="s">
        <v>7</v>
      </c>
      <c r="U2342" s="161"/>
      <c r="X2342" s="127"/>
      <c r="Y2342" s="127"/>
      <c r="Z2342" s="127"/>
      <c r="AA2342" s="127"/>
      <c r="AB2342" s="127"/>
      <c r="AC2342" s="127"/>
      <c r="AD2342" s="127"/>
      <c r="AE2342" s="127"/>
      <c r="AF2342" s="127"/>
      <c r="AG2342" s="127"/>
      <c r="AH2342" s="127"/>
      <c r="AI2342" s="127"/>
      <c r="AJ2342" s="127"/>
      <c r="AK2342" s="127"/>
      <c r="AL2342" s="127"/>
      <c r="AM2342" s="127"/>
      <c r="AN2342" s="127"/>
      <c r="AO2342" s="127"/>
      <c r="AP2342" s="127"/>
      <c r="AQ2342" s="127"/>
      <c r="AR2342" s="127"/>
      <c r="AS2342" s="127"/>
      <c r="AT2342" s="127"/>
      <c r="AU2342" s="127"/>
      <c r="AV2342" s="127"/>
      <c r="AW2342" s="127"/>
      <c r="AX2342" s="127"/>
      <c r="AY2342" s="127"/>
      <c r="AZ2342" s="127"/>
      <c r="BA2342" s="127"/>
      <c r="BB2342" s="127"/>
      <c r="BC2342" s="127"/>
      <c r="BD2342" s="127"/>
      <c r="BE2342" s="127"/>
      <c r="BF2342" s="127"/>
      <c r="BG2342" s="127"/>
      <c r="BH2342" s="127"/>
      <c r="BI2342" s="127"/>
      <c r="BJ2342" s="127"/>
      <c r="BK2342" s="127"/>
      <c r="BL2342" s="127"/>
      <c r="BM2342" s="127"/>
      <c r="BN2342" s="127"/>
      <c r="BO2342" s="127"/>
      <c r="BP2342" s="127"/>
      <c r="BQ2342" s="127"/>
      <c r="BR2342" s="127"/>
      <c r="BS2342" s="127"/>
      <c r="BT2342" s="127"/>
      <c r="BU2342" s="127"/>
      <c r="BV2342" s="127"/>
      <c r="BW2342" s="127"/>
      <c r="BX2342" s="127"/>
      <c r="BY2342" s="127"/>
      <c r="BZ2342" s="127"/>
      <c r="CA2342" s="127"/>
      <c r="CB2342" s="127"/>
      <c r="CC2342" s="127"/>
      <c r="CD2342" s="127"/>
      <c r="CE2342" s="127"/>
      <c r="CF2342" s="127"/>
      <c r="CG2342" s="127"/>
      <c r="CH2342" s="127"/>
      <c r="CI2342" s="127"/>
      <c r="CJ2342" s="127"/>
      <c r="CK2342" s="127"/>
      <c r="CL2342" s="127"/>
      <c r="CM2342" s="127"/>
      <c r="CN2342" s="127"/>
      <c r="CO2342" s="127"/>
      <c r="CP2342" s="127"/>
      <c r="CQ2342" s="127"/>
      <c r="CR2342" s="127"/>
      <c r="CS2342" s="127"/>
      <c r="CT2342" s="127"/>
      <c r="CU2342" s="127"/>
      <c r="CV2342" s="127"/>
      <c r="CW2342" s="127"/>
      <c r="CX2342" s="127"/>
      <c r="CY2342" s="127"/>
      <c r="CZ2342" s="127"/>
      <c r="DA2342" s="127"/>
      <c r="DB2342" s="127"/>
      <c r="DC2342" s="127"/>
      <c r="DD2342" s="127"/>
      <c r="DE2342" s="127"/>
      <c r="DF2342" s="127"/>
      <c r="DG2342" s="127"/>
      <c r="DH2342" s="127"/>
      <c r="DI2342" s="127"/>
      <c r="DJ2342" s="127"/>
      <c r="DK2342" s="127"/>
      <c r="DL2342" s="127"/>
      <c r="DM2342" s="127"/>
      <c r="DN2342" s="127"/>
      <c r="DO2342" s="127"/>
      <c r="DP2342" s="127"/>
      <c r="DQ2342" s="127"/>
      <c r="DR2342" s="127"/>
      <c r="DS2342" s="127"/>
      <c r="DT2342" s="127"/>
      <c r="DU2342" s="127"/>
      <c r="DV2342" s="127"/>
      <c r="DW2342" s="127"/>
      <c r="DX2342" s="127"/>
      <c r="DY2342" s="127"/>
      <c r="DZ2342" s="127"/>
      <c r="EA2342" s="127"/>
      <c r="EB2342" s="127"/>
      <c r="EC2342" s="127"/>
      <c r="ED2342" s="127"/>
      <c r="EE2342" s="127"/>
      <c r="EF2342" s="127"/>
      <c r="EG2342" s="127"/>
      <c r="EH2342" s="127"/>
      <c r="EI2342" s="127"/>
      <c r="EJ2342" s="127"/>
      <c r="EK2342" s="127"/>
      <c r="EL2342" s="127"/>
      <c r="EM2342" s="127"/>
      <c r="EN2342" s="127"/>
      <c r="EO2342" s="127"/>
      <c r="EP2342" s="127"/>
      <c r="EQ2342" s="127"/>
      <c r="ER2342" s="127"/>
      <c r="ES2342" s="127"/>
      <c r="ET2342" s="127"/>
      <c r="EU2342" s="127"/>
      <c r="EV2342" s="127"/>
      <c r="EW2342" s="127"/>
      <c r="EX2342" s="127"/>
      <c r="EY2342" s="127"/>
      <c r="EZ2342" s="127"/>
      <c r="FA2342" s="127"/>
      <c r="FB2342" s="127"/>
      <c r="FC2342" s="127"/>
      <c r="FD2342" s="127"/>
      <c r="FE2342" s="127"/>
      <c r="FF2342" s="127"/>
      <c r="FG2342" s="127"/>
      <c r="FH2342" s="127"/>
      <c r="FI2342" s="127"/>
      <c r="FJ2342" s="127"/>
      <c r="FK2342" s="127"/>
      <c r="FL2342" s="127"/>
      <c r="FM2342" s="127"/>
      <c r="FN2342" s="127"/>
      <c r="FO2342" s="127"/>
      <c r="FP2342" s="127"/>
      <c r="FQ2342" s="127"/>
      <c r="FR2342" s="127"/>
      <c r="FS2342" s="127"/>
      <c r="FT2342" s="127"/>
      <c r="FU2342" s="127"/>
      <c r="FV2342" s="127"/>
      <c r="FW2342" s="127"/>
      <c r="FX2342" s="127"/>
      <c r="FY2342" s="127"/>
      <c r="FZ2342" s="127"/>
      <c r="GA2342" s="127"/>
      <c r="GB2342" s="127"/>
      <c r="GC2342" s="127"/>
      <c r="GD2342" s="127"/>
      <c r="GE2342" s="127"/>
      <c r="GF2342" s="127"/>
      <c r="GG2342" s="127"/>
      <c r="GH2342" s="127"/>
      <c r="GI2342" s="127"/>
      <c r="GJ2342" s="127"/>
      <c r="GK2342" s="127"/>
      <c r="GL2342" s="127"/>
      <c r="GM2342" s="127"/>
      <c r="GN2342" s="127"/>
      <c r="GO2342" s="127"/>
      <c r="GP2342" s="127"/>
      <c r="GQ2342" s="127"/>
      <c r="GR2342" s="127"/>
      <c r="GS2342" s="127"/>
      <c r="GT2342" s="127"/>
      <c r="GU2342" s="127"/>
      <c r="GV2342" s="127"/>
      <c r="GW2342" s="127"/>
      <c r="GX2342" s="127"/>
      <c r="GY2342" s="127"/>
      <c r="GZ2342" s="127"/>
      <c r="HA2342" s="127"/>
      <c r="HB2342" s="127"/>
      <c r="HC2342" s="127"/>
      <c r="HD2342" s="127"/>
      <c r="HE2342" s="127"/>
      <c r="HF2342" s="127"/>
      <c r="HG2342" s="127"/>
      <c r="HH2342" s="127"/>
      <c r="HI2342" s="127"/>
      <c r="HJ2342" s="127"/>
      <c r="HK2342" s="127"/>
      <c r="HL2342" s="127"/>
      <c r="HM2342" s="127"/>
      <c r="HN2342" s="127"/>
      <c r="HO2342" s="127"/>
      <c r="HP2342" s="127"/>
      <c r="HQ2342" s="127"/>
      <c r="HR2342" s="127"/>
      <c r="HS2342" s="127"/>
      <c r="HT2342" s="127"/>
      <c r="HU2342" s="127"/>
      <c r="HV2342" s="127"/>
      <c r="HW2342" s="127"/>
      <c r="HX2342" s="127"/>
      <c r="HY2342" s="127"/>
      <c r="HZ2342" s="127"/>
      <c r="IA2342" s="127"/>
      <c r="IB2342" s="127"/>
      <c r="IC2342" s="127"/>
      <c r="ID2342" s="127"/>
      <c r="IE2342" s="127"/>
      <c r="IF2342" s="127"/>
      <c r="IG2342" s="127"/>
      <c r="IH2342" s="127"/>
      <c r="II2342" s="127"/>
      <c r="IJ2342" s="127"/>
    </row>
    <row r="2343" spans="1:244" s="11" customFormat="1" ht="12.75" customHeight="1">
      <c r="A2343" s="118">
        <v>2342</v>
      </c>
      <c r="B2343" s="260">
        <v>25</v>
      </c>
      <c r="C2343" s="156">
        <v>36557</v>
      </c>
      <c r="D2343" s="157" t="s">
        <v>45</v>
      </c>
      <c r="E2343" s="8">
        <v>2000</v>
      </c>
      <c r="F2343" s="158">
        <f t="shared" si="587"/>
        <v>730</v>
      </c>
      <c r="G2343" s="158">
        <f>IF(F2343&lt;730,2,3)</f>
        <v>3</v>
      </c>
      <c r="H2343" s="162">
        <v>35827</v>
      </c>
      <c r="I2343" s="163">
        <v>163050</v>
      </c>
      <c r="M2343" s="174"/>
      <c r="N2343" s="528"/>
      <c r="P2343" s="8"/>
      <c r="S2343" s="155"/>
      <c r="U2343" s="161"/>
      <c r="X2343" s="127"/>
      <c r="Y2343" s="127"/>
      <c r="Z2343" s="127"/>
      <c r="AA2343" s="127"/>
      <c r="AB2343" s="127"/>
      <c r="AC2343" s="127"/>
      <c r="AD2343" s="127"/>
      <c r="AE2343" s="127"/>
      <c r="AF2343" s="127"/>
      <c r="AG2343" s="127"/>
      <c r="AH2343" s="127"/>
      <c r="AI2343" s="127"/>
      <c r="AJ2343" s="127"/>
      <c r="AK2343" s="127"/>
      <c r="AL2343" s="127"/>
      <c r="AM2343" s="127"/>
      <c r="AN2343" s="127"/>
      <c r="AO2343" s="127"/>
      <c r="AP2343" s="127"/>
      <c r="AQ2343" s="127"/>
      <c r="AR2343" s="127"/>
      <c r="AS2343" s="127"/>
      <c r="AT2343" s="127"/>
      <c r="AU2343" s="127"/>
      <c r="AV2343" s="127"/>
      <c r="AW2343" s="127"/>
      <c r="AX2343" s="127"/>
      <c r="AY2343" s="127"/>
      <c r="AZ2343" s="127"/>
      <c r="BA2343" s="127"/>
      <c r="BB2343" s="127"/>
      <c r="BC2343" s="127"/>
      <c r="BD2343" s="127"/>
      <c r="BE2343" s="127"/>
      <c r="BF2343" s="127"/>
      <c r="BG2343" s="127"/>
      <c r="BH2343" s="127"/>
      <c r="BI2343" s="127"/>
      <c r="BJ2343" s="127"/>
      <c r="BK2343" s="127"/>
      <c r="BL2343" s="127"/>
      <c r="BM2343" s="127"/>
      <c r="BN2343" s="127"/>
      <c r="BO2343" s="127"/>
      <c r="BP2343" s="127"/>
      <c r="BQ2343" s="127"/>
      <c r="BR2343" s="127"/>
      <c r="BS2343" s="127"/>
      <c r="BT2343" s="127"/>
      <c r="BU2343" s="127"/>
      <c r="BV2343" s="127"/>
      <c r="BW2343" s="127"/>
      <c r="BX2343" s="127"/>
      <c r="BY2343" s="127"/>
      <c r="BZ2343" s="127"/>
      <c r="CA2343" s="127"/>
      <c r="CB2343" s="127"/>
      <c r="CC2343" s="127"/>
      <c r="CD2343" s="127"/>
      <c r="CE2343" s="127"/>
      <c r="CF2343" s="127"/>
      <c r="CG2343" s="127"/>
      <c r="CH2343" s="127"/>
      <c r="CI2343" s="127"/>
      <c r="CJ2343" s="127"/>
      <c r="CK2343" s="127"/>
      <c r="CL2343" s="127"/>
      <c r="CM2343" s="127"/>
      <c r="CN2343" s="127"/>
      <c r="CO2343" s="127"/>
      <c r="CP2343" s="127"/>
      <c r="CQ2343" s="127"/>
      <c r="CR2343" s="127"/>
      <c r="CS2343" s="127"/>
      <c r="CT2343" s="127"/>
      <c r="CU2343" s="127"/>
      <c r="CV2343" s="127"/>
      <c r="CW2343" s="127"/>
      <c r="CX2343" s="127"/>
      <c r="CY2343" s="127"/>
      <c r="CZ2343" s="127"/>
      <c r="DA2343" s="127"/>
      <c r="DB2343" s="127"/>
      <c r="DC2343" s="127"/>
      <c r="DD2343" s="127"/>
      <c r="DE2343" s="127"/>
      <c r="DF2343" s="127"/>
      <c r="DG2343" s="127"/>
      <c r="DH2343" s="127"/>
      <c r="DI2343" s="127"/>
      <c r="DJ2343" s="127"/>
      <c r="DK2343" s="127"/>
      <c r="DL2343" s="127"/>
      <c r="DM2343" s="127"/>
      <c r="DN2343" s="127"/>
      <c r="DO2343" s="127"/>
      <c r="DP2343" s="127"/>
      <c r="DQ2343" s="127"/>
      <c r="DR2343" s="127"/>
      <c r="DS2343" s="127"/>
      <c r="DT2343" s="127"/>
      <c r="DU2343" s="127"/>
      <c r="DV2343" s="127"/>
      <c r="DW2343" s="127"/>
      <c r="DX2343" s="127"/>
      <c r="DY2343" s="127"/>
      <c r="DZ2343" s="127"/>
      <c r="EA2343" s="127"/>
      <c r="EB2343" s="127"/>
      <c r="EC2343" s="127"/>
      <c r="ED2343" s="127"/>
      <c r="EE2343" s="127"/>
      <c r="EF2343" s="127"/>
      <c r="EG2343" s="127"/>
      <c r="EH2343" s="127"/>
      <c r="EI2343" s="127"/>
      <c r="EJ2343" s="127"/>
      <c r="EK2343" s="127"/>
      <c r="EL2343" s="127"/>
      <c r="EM2343" s="127"/>
      <c r="EN2343" s="127"/>
      <c r="EO2343" s="127"/>
      <c r="EP2343" s="127"/>
      <c r="EQ2343" s="127"/>
      <c r="ER2343" s="127"/>
      <c r="ES2343" s="127"/>
      <c r="ET2343" s="127"/>
      <c r="EU2343" s="127"/>
      <c r="EV2343" s="127"/>
      <c r="EW2343" s="127"/>
      <c r="EX2343" s="127"/>
      <c r="EY2343" s="127"/>
      <c r="EZ2343" s="127"/>
      <c r="FA2343" s="127"/>
      <c r="FB2343" s="127"/>
      <c r="FC2343" s="127"/>
      <c r="FD2343" s="127"/>
      <c r="FE2343" s="127"/>
      <c r="FF2343" s="127"/>
      <c r="FG2343" s="127"/>
      <c r="FH2343" s="127"/>
      <c r="FI2343" s="127"/>
      <c r="FJ2343" s="127"/>
      <c r="FK2343" s="127"/>
      <c r="FL2343" s="127"/>
      <c r="FM2343" s="127"/>
      <c r="FN2343" s="127"/>
      <c r="FO2343" s="127"/>
      <c r="FP2343" s="127"/>
      <c r="FQ2343" s="127"/>
      <c r="FR2343" s="127"/>
      <c r="FS2343" s="127"/>
      <c r="FT2343" s="127"/>
      <c r="FU2343" s="127"/>
      <c r="FV2343" s="127"/>
      <c r="FW2343" s="127"/>
      <c r="FX2343" s="127"/>
      <c r="FY2343" s="127"/>
      <c r="FZ2343" s="127"/>
      <c r="GA2343" s="127"/>
      <c r="GB2343" s="127"/>
      <c r="GC2343" s="127"/>
      <c r="GD2343" s="127"/>
      <c r="GE2343" s="127"/>
      <c r="GF2343" s="127"/>
      <c r="GG2343" s="127"/>
      <c r="GH2343" s="127"/>
      <c r="GI2343" s="127"/>
      <c r="GJ2343" s="127"/>
      <c r="GK2343" s="127"/>
      <c r="GL2343" s="127"/>
      <c r="GM2343" s="127"/>
      <c r="GN2343" s="127"/>
      <c r="GO2343" s="127"/>
      <c r="GP2343" s="127"/>
      <c r="GQ2343" s="127"/>
      <c r="GR2343" s="127"/>
      <c r="GS2343" s="127"/>
      <c r="GT2343" s="127"/>
      <c r="GU2343" s="127"/>
      <c r="GV2343" s="127"/>
      <c r="GW2343" s="127"/>
      <c r="GX2343" s="127"/>
      <c r="GY2343" s="127"/>
      <c r="GZ2343" s="127"/>
      <c r="HA2343" s="127"/>
      <c r="HB2343" s="127"/>
      <c r="HC2343" s="127"/>
      <c r="HD2343" s="127"/>
      <c r="HE2343" s="127"/>
      <c r="HF2343" s="127"/>
      <c r="HG2343" s="127"/>
      <c r="HH2343" s="127"/>
      <c r="HI2343" s="127"/>
      <c r="HJ2343" s="127"/>
      <c r="HK2343" s="127"/>
      <c r="HL2343" s="127"/>
      <c r="HM2343" s="127"/>
      <c r="HN2343" s="127"/>
      <c r="HO2343" s="127"/>
      <c r="HP2343" s="127"/>
      <c r="HQ2343" s="127"/>
      <c r="HR2343" s="127"/>
      <c r="HS2343" s="127"/>
      <c r="HT2343" s="127"/>
      <c r="HU2343" s="127"/>
      <c r="HV2343" s="127"/>
      <c r="HW2343" s="127"/>
      <c r="HX2343" s="127"/>
      <c r="HY2343" s="127"/>
      <c r="HZ2343" s="127"/>
      <c r="IA2343" s="127"/>
      <c r="IB2343" s="127"/>
      <c r="IC2343" s="127"/>
      <c r="ID2343" s="127"/>
      <c r="IE2343" s="127"/>
      <c r="IF2343" s="127"/>
      <c r="IG2343" s="127"/>
      <c r="IH2343" s="127"/>
      <c r="II2343" s="127"/>
      <c r="IJ2343" s="127"/>
    </row>
    <row r="2344" spans="1:244" s="11" customFormat="1" ht="12.75" customHeight="1">
      <c r="A2344" s="118">
        <v>2343</v>
      </c>
      <c r="B2344" s="260">
        <v>25</v>
      </c>
      <c r="C2344" s="156">
        <v>36586</v>
      </c>
      <c r="D2344" s="157" t="s">
        <v>46</v>
      </c>
      <c r="E2344" s="8">
        <v>2000</v>
      </c>
      <c r="F2344" s="158">
        <f t="shared" si="587"/>
        <v>759</v>
      </c>
      <c r="G2344" s="158">
        <f>IF(F2344&lt;730,2,3)</f>
        <v>3</v>
      </c>
      <c r="H2344" s="162">
        <v>35827</v>
      </c>
      <c r="I2344" s="163">
        <v>112953</v>
      </c>
      <c r="M2344" s="174"/>
      <c r="N2344" s="528"/>
      <c r="P2344" s="8"/>
      <c r="S2344" s="155"/>
      <c r="U2344" s="161"/>
      <c r="X2344" s="118"/>
      <c r="Y2344" s="118"/>
      <c r="Z2344" s="118"/>
      <c r="AA2344" s="118"/>
      <c r="AB2344" s="118"/>
      <c r="AC2344" s="118"/>
      <c r="AD2344" s="118"/>
      <c r="AE2344" s="118"/>
      <c r="AF2344" s="118"/>
      <c r="AG2344" s="118"/>
      <c r="AH2344" s="118"/>
      <c r="AI2344" s="118"/>
      <c r="AJ2344" s="118"/>
      <c r="AK2344" s="118"/>
      <c r="AL2344" s="118"/>
      <c r="AM2344" s="118"/>
      <c r="AN2344" s="118"/>
      <c r="AO2344" s="118"/>
      <c r="AP2344" s="118"/>
      <c r="AQ2344" s="118"/>
      <c r="AR2344" s="118"/>
      <c r="AS2344" s="118"/>
      <c r="AT2344" s="118"/>
      <c r="AU2344" s="118"/>
      <c r="AV2344" s="118"/>
      <c r="AW2344" s="118"/>
      <c r="AX2344" s="118"/>
      <c r="AY2344" s="118"/>
      <c r="AZ2344" s="118"/>
      <c r="BA2344" s="118"/>
      <c r="BB2344" s="118"/>
      <c r="BC2344" s="118"/>
      <c r="BD2344" s="118"/>
      <c r="BE2344" s="118"/>
      <c r="BF2344" s="118"/>
      <c r="BG2344" s="118"/>
      <c r="BH2344" s="118"/>
      <c r="BI2344" s="118"/>
      <c r="BJ2344" s="118"/>
      <c r="BK2344" s="118"/>
      <c r="BL2344" s="118"/>
      <c r="BM2344" s="118"/>
      <c r="BN2344" s="118"/>
      <c r="BO2344" s="118"/>
      <c r="BP2344" s="118"/>
      <c r="BQ2344" s="118"/>
      <c r="BR2344" s="118"/>
      <c r="BS2344" s="118"/>
      <c r="BT2344" s="118"/>
      <c r="BU2344" s="118"/>
      <c r="BV2344" s="118"/>
      <c r="BW2344" s="118"/>
      <c r="BX2344" s="118"/>
      <c r="BY2344" s="118"/>
      <c r="BZ2344" s="118"/>
      <c r="CA2344" s="118"/>
      <c r="CB2344" s="118"/>
      <c r="CC2344" s="118"/>
      <c r="CD2344" s="118"/>
      <c r="CE2344" s="118"/>
      <c r="CF2344" s="118"/>
      <c r="CG2344" s="118"/>
      <c r="CH2344" s="118"/>
      <c r="CI2344" s="118"/>
      <c r="CJ2344" s="118"/>
      <c r="CK2344" s="118"/>
      <c r="CL2344" s="118"/>
      <c r="CM2344" s="118"/>
      <c r="CN2344" s="118"/>
      <c r="CO2344" s="118"/>
      <c r="CP2344" s="118"/>
      <c r="CQ2344" s="118"/>
      <c r="CR2344" s="118"/>
      <c r="CS2344" s="118"/>
      <c r="CT2344" s="118"/>
      <c r="CU2344" s="118"/>
      <c r="CV2344" s="118"/>
      <c r="CW2344" s="118"/>
      <c r="CX2344" s="118"/>
      <c r="CY2344" s="118"/>
      <c r="CZ2344" s="118"/>
      <c r="DA2344" s="118"/>
      <c r="DB2344" s="118"/>
      <c r="DC2344" s="118"/>
      <c r="DD2344" s="118"/>
      <c r="DE2344" s="118"/>
      <c r="DF2344" s="118"/>
      <c r="DG2344" s="118"/>
      <c r="DH2344" s="118"/>
      <c r="DI2344" s="118"/>
      <c r="DJ2344" s="118"/>
      <c r="DK2344" s="118"/>
      <c r="DL2344" s="118"/>
      <c r="DM2344" s="118"/>
      <c r="DN2344" s="118"/>
      <c r="DO2344" s="118"/>
      <c r="DP2344" s="118"/>
      <c r="DQ2344" s="118"/>
      <c r="DR2344" s="118"/>
      <c r="DS2344" s="118"/>
      <c r="DT2344" s="118"/>
      <c r="DU2344" s="118"/>
      <c r="DV2344" s="118"/>
      <c r="DW2344" s="118"/>
      <c r="DX2344" s="118"/>
      <c r="DY2344" s="118"/>
      <c r="DZ2344" s="118"/>
      <c r="EA2344" s="118"/>
      <c r="EB2344" s="118"/>
      <c r="EC2344" s="118"/>
      <c r="ED2344" s="118"/>
      <c r="EE2344" s="118"/>
      <c r="EF2344" s="118"/>
      <c r="EG2344" s="118"/>
      <c r="EH2344" s="118"/>
      <c r="EI2344" s="118"/>
      <c r="EJ2344" s="118"/>
      <c r="EK2344" s="118"/>
      <c r="EL2344" s="118"/>
      <c r="EM2344" s="118"/>
      <c r="EN2344" s="118"/>
      <c r="EO2344" s="118"/>
      <c r="EP2344" s="118"/>
      <c r="EQ2344" s="118"/>
      <c r="ER2344" s="118"/>
      <c r="ES2344" s="118"/>
      <c r="ET2344" s="118"/>
      <c r="EU2344" s="118"/>
      <c r="EV2344" s="118"/>
      <c r="EW2344" s="118"/>
      <c r="EX2344" s="118"/>
      <c r="EY2344" s="118"/>
      <c r="EZ2344" s="118"/>
      <c r="FA2344" s="118"/>
      <c r="FB2344" s="118"/>
      <c r="FC2344" s="118"/>
      <c r="FD2344" s="118"/>
      <c r="FE2344" s="118"/>
      <c r="FF2344" s="118"/>
      <c r="FG2344" s="118"/>
      <c r="FH2344" s="118"/>
      <c r="FI2344" s="118"/>
      <c r="FJ2344" s="118"/>
      <c r="FK2344" s="118"/>
      <c r="FL2344" s="118"/>
      <c r="FM2344" s="118"/>
      <c r="FN2344" s="118"/>
      <c r="FO2344" s="118"/>
      <c r="FP2344" s="118"/>
      <c r="FQ2344" s="118"/>
      <c r="FR2344" s="118"/>
      <c r="FS2344" s="118"/>
      <c r="FT2344" s="118"/>
      <c r="FU2344" s="118"/>
      <c r="FV2344" s="118"/>
      <c r="FW2344" s="118"/>
      <c r="FX2344" s="118"/>
      <c r="FY2344" s="118"/>
      <c r="FZ2344" s="118"/>
      <c r="GA2344" s="118"/>
      <c r="GB2344" s="118"/>
      <c r="GC2344" s="118"/>
      <c r="GD2344" s="118"/>
      <c r="GE2344" s="118"/>
      <c r="GF2344" s="118"/>
      <c r="GG2344" s="118"/>
      <c r="GH2344" s="118"/>
      <c r="GI2344" s="118"/>
      <c r="GJ2344" s="118"/>
      <c r="GK2344" s="118"/>
      <c r="GL2344" s="118"/>
      <c r="GM2344" s="118"/>
      <c r="GN2344" s="118"/>
      <c r="GO2344" s="118"/>
      <c r="GP2344" s="118"/>
      <c r="GQ2344" s="118"/>
      <c r="GR2344" s="118"/>
      <c r="GS2344" s="118"/>
      <c r="GT2344" s="118"/>
      <c r="GU2344" s="118"/>
      <c r="GV2344" s="118"/>
      <c r="GW2344" s="118"/>
      <c r="GX2344" s="118"/>
      <c r="GY2344" s="118"/>
      <c r="GZ2344" s="118"/>
      <c r="HA2344" s="118"/>
      <c r="HB2344" s="118"/>
      <c r="HC2344" s="118"/>
      <c r="HD2344" s="118"/>
      <c r="HE2344" s="118"/>
      <c r="HF2344" s="118"/>
      <c r="HG2344" s="118"/>
      <c r="HH2344" s="118"/>
      <c r="HI2344" s="118"/>
      <c r="HJ2344" s="118"/>
      <c r="HK2344" s="118"/>
      <c r="HL2344" s="118"/>
      <c r="HM2344" s="118"/>
      <c r="HN2344" s="118"/>
      <c r="HO2344" s="118"/>
      <c r="HP2344" s="118"/>
      <c r="HQ2344" s="118"/>
      <c r="HR2344" s="118"/>
      <c r="HS2344" s="118"/>
      <c r="HT2344" s="118"/>
      <c r="HU2344" s="118"/>
      <c r="HV2344" s="118"/>
      <c r="HW2344" s="118"/>
      <c r="HX2344" s="118"/>
      <c r="HY2344" s="118"/>
      <c r="HZ2344" s="118"/>
      <c r="IA2344" s="118"/>
      <c r="IB2344" s="118"/>
      <c r="IC2344" s="118"/>
      <c r="ID2344" s="118"/>
      <c r="IE2344" s="118"/>
      <c r="IF2344" s="118"/>
      <c r="IG2344" s="118"/>
      <c r="IH2344" s="118"/>
      <c r="II2344" s="118"/>
      <c r="IJ2344" s="118"/>
    </row>
    <row r="2345" spans="1:244" s="11" customFormat="1" ht="12.75" customHeight="1">
      <c r="A2345" s="118">
        <v>2344</v>
      </c>
      <c r="B2345" s="260">
        <v>25</v>
      </c>
      <c r="C2345" s="156">
        <v>36617</v>
      </c>
      <c r="D2345" s="157" t="s">
        <v>47</v>
      </c>
      <c r="E2345" s="8">
        <v>2000</v>
      </c>
      <c r="F2345" s="158">
        <f t="shared" si="587"/>
        <v>790</v>
      </c>
      <c r="G2345" s="158">
        <f>IF(F2345&lt;730,2,3)</f>
        <v>3</v>
      </c>
      <c r="H2345" s="162">
        <v>35827</v>
      </c>
      <c r="I2345" s="163">
        <v>90551</v>
      </c>
      <c r="M2345" s="174"/>
      <c r="N2345" s="528"/>
      <c r="P2345" s="8"/>
      <c r="S2345" s="155"/>
      <c r="U2345" s="161"/>
      <c r="X2345" s="118"/>
      <c r="Y2345" s="118"/>
      <c r="Z2345" s="118"/>
      <c r="AA2345" s="118"/>
      <c r="AB2345" s="118"/>
      <c r="AC2345" s="118"/>
      <c r="AD2345" s="118"/>
      <c r="AE2345" s="118"/>
      <c r="AF2345" s="118"/>
      <c r="AG2345" s="118"/>
      <c r="AH2345" s="118"/>
      <c r="AI2345" s="118"/>
      <c r="AJ2345" s="118"/>
      <c r="AK2345" s="118"/>
      <c r="AL2345" s="118"/>
      <c r="AM2345" s="118"/>
      <c r="AN2345" s="118"/>
      <c r="AO2345" s="118"/>
      <c r="AP2345" s="118"/>
      <c r="AQ2345" s="118"/>
      <c r="AR2345" s="118"/>
      <c r="AS2345" s="118"/>
      <c r="AT2345" s="118"/>
      <c r="AU2345" s="118"/>
      <c r="AV2345" s="118"/>
      <c r="AW2345" s="118"/>
      <c r="AX2345" s="118"/>
      <c r="AY2345" s="118"/>
      <c r="AZ2345" s="118"/>
      <c r="BA2345" s="118"/>
      <c r="BB2345" s="118"/>
      <c r="BC2345" s="118"/>
      <c r="BD2345" s="118"/>
      <c r="BE2345" s="118"/>
      <c r="BF2345" s="118"/>
      <c r="BG2345" s="118"/>
      <c r="BH2345" s="118"/>
      <c r="BI2345" s="118"/>
      <c r="BJ2345" s="118"/>
      <c r="BK2345" s="118"/>
      <c r="BL2345" s="118"/>
      <c r="BM2345" s="118"/>
      <c r="BN2345" s="118"/>
      <c r="BO2345" s="118"/>
      <c r="BP2345" s="118"/>
      <c r="BQ2345" s="118"/>
      <c r="BR2345" s="118"/>
      <c r="BS2345" s="118"/>
      <c r="BT2345" s="118"/>
      <c r="BU2345" s="118"/>
      <c r="BV2345" s="118"/>
      <c r="BW2345" s="118"/>
      <c r="BX2345" s="118"/>
      <c r="BY2345" s="118"/>
      <c r="BZ2345" s="118"/>
      <c r="CA2345" s="118"/>
      <c r="CB2345" s="118"/>
      <c r="CC2345" s="118"/>
      <c r="CD2345" s="118"/>
      <c r="CE2345" s="118"/>
      <c r="CF2345" s="118"/>
      <c r="CG2345" s="118"/>
      <c r="CH2345" s="118"/>
      <c r="CI2345" s="118"/>
      <c r="CJ2345" s="118"/>
      <c r="CK2345" s="118"/>
      <c r="CL2345" s="118"/>
      <c r="CM2345" s="118"/>
      <c r="CN2345" s="118"/>
      <c r="CO2345" s="118"/>
      <c r="CP2345" s="118"/>
      <c r="CQ2345" s="118"/>
      <c r="CR2345" s="118"/>
      <c r="CS2345" s="118"/>
      <c r="CT2345" s="118"/>
      <c r="CU2345" s="118"/>
      <c r="CV2345" s="118"/>
      <c r="CW2345" s="118"/>
      <c r="CX2345" s="118"/>
      <c r="CY2345" s="118"/>
      <c r="CZ2345" s="118"/>
      <c r="DA2345" s="118"/>
      <c r="DB2345" s="118"/>
      <c r="DC2345" s="118"/>
      <c r="DD2345" s="118"/>
      <c r="DE2345" s="118"/>
      <c r="DF2345" s="118"/>
      <c r="DG2345" s="118"/>
      <c r="DH2345" s="118"/>
      <c r="DI2345" s="118"/>
      <c r="DJ2345" s="118"/>
      <c r="DK2345" s="118"/>
      <c r="DL2345" s="118"/>
      <c r="DM2345" s="118"/>
      <c r="DN2345" s="118"/>
      <c r="DO2345" s="118"/>
      <c r="DP2345" s="118"/>
      <c r="DQ2345" s="118"/>
      <c r="DR2345" s="118"/>
      <c r="DS2345" s="118"/>
      <c r="DT2345" s="118"/>
      <c r="DU2345" s="118"/>
      <c r="DV2345" s="118"/>
      <c r="DW2345" s="118"/>
      <c r="DX2345" s="118"/>
      <c r="DY2345" s="118"/>
      <c r="DZ2345" s="118"/>
      <c r="EA2345" s="118"/>
      <c r="EB2345" s="118"/>
      <c r="EC2345" s="118"/>
      <c r="ED2345" s="118"/>
      <c r="EE2345" s="118"/>
      <c r="EF2345" s="118"/>
      <c r="EG2345" s="118"/>
      <c r="EH2345" s="118"/>
      <c r="EI2345" s="118"/>
      <c r="EJ2345" s="118"/>
      <c r="EK2345" s="118"/>
      <c r="EL2345" s="118"/>
      <c r="EM2345" s="118"/>
      <c r="EN2345" s="118"/>
      <c r="EO2345" s="118"/>
      <c r="EP2345" s="118"/>
      <c r="EQ2345" s="118"/>
      <c r="ER2345" s="118"/>
      <c r="ES2345" s="118"/>
      <c r="ET2345" s="118"/>
      <c r="EU2345" s="118"/>
      <c r="EV2345" s="118"/>
      <c r="EW2345" s="118"/>
      <c r="EX2345" s="118"/>
      <c r="EY2345" s="118"/>
      <c r="EZ2345" s="118"/>
      <c r="FA2345" s="118"/>
      <c r="FB2345" s="118"/>
      <c r="FC2345" s="118"/>
      <c r="FD2345" s="118"/>
      <c r="FE2345" s="118"/>
      <c r="FF2345" s="118"/>
      <c r="FG2345" s="118"/>
      <c r="FH2345" s="118"/>
      <c r="FI2345" s="118"/>
      <c r="FJ2345" s="118"/>
      <c r="FK2345" s="118"/>
      <c r="FL2345" s="118"/>
      <c r="FM2345" s="118"/>
      <c r="FN2345" s="118"/>
      <c r="FO2345" s="118"/>
      <c r="FP2345" s="118"/>
      <c r="FQ2345" s="118"/>
      <c r="FR2345" s="118"/>
      <c r="FS2345" s="118"/>
      <c r="FT2345" s="118"/>
      <c r="FU2345" s="118"/>
      <c r="FV2345" s="118"/>
      <c r="FW2345" s="118"/>
      <c r="FX2345" s="118"/>
      <c r="FY2345" s="118"/>
      <c r="FZ2345" s="118"/>
      <c r="GA2345" s="118"/>
      <c r="GB2345" s="118"/>
      <c r="GC2345" s="118"/>
      <c r="GD2345" s="118"/>
      <c r="GE2345" s="118"/>
      <c r="GF2345" s="118"/>
      <c r="GG2345" s="118"/>
      <c r="GH2345" s="118"/>
      <c r="GI2345" s="118"/>
      <c r="GJ2345" s="118"/>
      <c r="GK2345" s="118"/>
      <c r="GL2345" s="118"/>
      <c r="GM2345" s="118"/>
      <c r="GN2345" s="118"/>
      <c r="GO2345" s="118"/>
      <c r="GP2345" s="118"/>
      <c r="GQ2345" s="118"/>
      <c r="GR2345" s="118"/>
      <c r="GS2345" s="118"/>
      <c r="GT2345" s="118"/>
      <c r="GU2345" s="118"/>
      <c r="GV2345" s="118"/>
      <c r="GW2345" s="118"/>
      <c r="GX2345" s="118"/>
      <c r="GY2345" s="118"/>
      <c r="GZ2345" s="118"/>
      <c r="HA2345" s="118"/>
      <c r="HB2345" s="118"/>
      <c r="HC2345" s="118"/>
      <c r="HD2345" s="118"/>
      <c r="HE2345" s="118"/>
      <c r="HF2345" s="118"/>
      <c r="HG2345" s="118"/>
      <c r="HH2345" s="118"/>
      <c r="HI2345" s="118"/>
      <c r="HJ2345" s="118"/>
      <c r="HK2345" s="118"/>
      <c r="HL2345" s="118"/>
      <c r="HM2345" s="118"/>
      <c r="HN2345" s="118"/>
      <c r="HO2345" s="118"/>
      <c r="HP2345" s="118"/>
      <c r="HQ2345" s="118"/>
      <c r="HR2345" s="118"/>
      <c r="HS2345" s="118"/>
      <c r="HT2345" s="118"/>
      <c r="HU2345" s="118"/>
      <c r="HV2345" s="118"/>
      <c r="HW2345" s="118"/>
      <c r="HX2345" s="118"/>
      <c r="HY2345" s="118"/>
      <c r="HZ2345" s="118"/>
      <c r="IA2345" s="118"/>
      <c r="IB2345" s="118"/>
      <c r="IC2345" s="118"/>
      <c r="ID2345" s="118"/>
      <c r="IE2345" s="118"/>
      <c r="IF2345" s="118"/>
      <c r="IG2345" s="118"/>
      <c r="IH2345" s="118"/>
      <c r="II2345" s="118"/>
      <c r="IJ2345" s="118"/>
    </row>
    <row r="2346" spans="1:244" s="11" customFormat="1" ht="12.75" customHeight="1">
      <c r="A2346" s="118">
        <v>2345</v>
      </c>
      <c r="B2346" s="128">
        <v>25</v>
      </c>
      <c r="C2346" s="156">
        <v>36647</v>
      </c>
      <c r="D2346" s="157" t="s">
        <v>48</v>
      </c>
      <c r="E2346" s="8">
        <v>2000</v>
      </c>
      <c r="F2346" s="158"/>
      <c r="G2346" s="162"/>
      <c r="I2346" s="163"/>
      <c r="M2346" s="174"/>
      <c r="N2346" s="528"/>
      <c r="P2346" s="8"/>
      <c r="S2346" s="155"/>
      <c r="U2346" s="161"/>
      <c r="X2346" s="118"/>
      <c r="Y2346" s="118"/>
      <c r="Z2346" s="118"/>
      <c r="AA2346" s="118"/>
      <c r="AB2346" s="118"/>
      <c r="AC2346" s="118"/>
      <c r="AD2346" s="118"/>
      <c r="AE2346" s="118"/>
      <c r="AF2346" s="118"/>
      <c r="AG2346" s="118"/>
      <c r="AH2346" s="118"/>
      <c r="AI2346" s="118"/>
      <c r="AJ2346" s="118"/>
      <c r="AK2346" s="118"/>
      <c r="AL2346" s="118"/>
      <c r="AM2346" s="118"/>
      <c r="AN2346" s="118"/>
      <c r="AO2346" s="118"/>
      <c r="AP2346" s="118"/>
      <c r="AQ2346" s="118"/>
      <c r="AR2346" s="118"/>
      <c r="AS2346" s="118"/>
      <c r="AT2346" s="118"/>
      <c r="AU2346" s="118"/>
      <c r="AV2346" s="118"/>
      <c r="AW2346" s="118"/>
      <c r="AX2346" s="118"/>
      <c r="AY2346" s="118"/>
      <c r="AZ2346" s="118"/>
      <c r="BA2346" s="118"/>
      <c r="BB2346" s="118"/>
      <c r="BC2346" s="118"/>
      <c r="BD2346" s="118"/>
      <c r="BE2346" s="118"/>
      <c r="BF2346" s="118"/>
      <c r="BG2346" s="118"/>
      <c r="BH2346" s="118"/>
      <c r="BI2346" s="118"/>
      <c r="BJ2346" s="118"/>
      <c r="BK2346" s="118"/>
      <c r="BL2346" s="118"/>
      <c r="BM2346" s="118"/>
      <c r="BN2346" s="118"/>
      <c r="BO2346" s="118"/>
      <c r="BP2346" s="118"/>
      <c r="BQ2346" s="118"/>
      <c r="BR2346" s="118"/>
      <c r="BS2346" s="118"/>
      <c r="BT2346" s="118"/>
      <c r="BU2346" s="118"/>
      <c r="BV2346" s="118"/>
      <c r="BW2346" s="118"/>
      <c r="BX2346" s="118"/>
      <c r="BY2346" s="118"/>
      <c r="BZ2346" s="118"/>
      <c r="CA2346" s="118"/>
      <c r="CB2346" s="118"/>
      <c r="CC2346" s="118"/>
      <c r="CD2346" s="118"/>
      <c r="CE2346" s="118"/>
      <c r="CF2346" s="118"/>
      <c r="CG2346" s="118"/>
      <c r="CH2346" s="118"/>
      <c r="CI2346" s="118"/>
      <c r="CJ2346" s="118"/>
      <c r="CK2346" s="118"/>
      <c r="CL2346" s="118"/>
      <c r="CM2346" s="118"/>
      <c r="CN2346" s="118"/>
      <c r="CO2346" s="118"/>
      <c r="CP2346" s="118"/>
      <c r="CQ2346" s="118"/>
      <c r="CR2346" s="118"/>
      <c r="CS2346" s="118"/>
      <c r="CT2346" s="118"/>
      <c r="CU2346" s="118"/>
      <c r="CV2346" s="118"/>
      <c r="CW2346" s="118"/>
      <c r="CX2346" s="118"/>
      <c r="CY2346" s="118"/>
      <c r="CZ2346" s="118"/>
      <c r="DA2346" s="118"/>
      <c r="DB2346" s="118"/>
      <c r="DC2346" s="118"/>
      <c r="DD2346" s="118"/>
      <c r="DE2346" s="118"/>
      <c r="DF2346" s="118"/>
      <c r="DG2346" s="118"/>
      <c r="DH2346" s="118"/>
      <c r="DI2346" s="118"/>
      <c r="DJ2346" s="118"/>
      <c r="DK2346" s="118"/>
      <c r="DL2346" s="118"/>
      <c r="DM2346" s="118"/>
      <c r="DN2346" s="118"/>
      <c r="DO2346" s="118"/>
      <c r="DP2346" s="118"/>
      <c r="DQ2346" s="118"/>
      <c r="DR2346" s="118"/>
      <c r="DS2346" s="118"/>
      <c r="DT2346" s="118"/>
      <c r="DU2346" s="118"/>
      <c r="DV2346" s="118"/>
      <c r="DW2346" s="118"/>
      <c r="DX2346" s="118"/>
      <c r="DY2346" s="118"/>
      <c r="DZ2346" s="118"/>
      <c r="EA2346" s="118"/>
      <c r="EB2346" s="118"/>
      <c r="EC2346" s="118"/>
      <c r="ED2346" s="118"/>
      <c r="EE2346" s="118"/>
      <c r="EF2346" s="118"/>
      <c r="EG2346" s="118"/>
      <c r="EH2346" s="118"/>
      <c r="EI2346" s="118"/>
      <c r="EJ2346" s="118"/>
      <c r="EK2346" s="118"/>
      <c r="EL2346" s="118"/>
      <c r="EM2346" s="118"/>
      <c r="EN2346" s="118"/>
      <c r="EO2346" s="118"/>
      <c r="EP2346" s="118"/>
      <c r="EQ2346" s="118"/>
      <c r="ER2346" s="118"/>
      <c r="ES2346" s="118"/>
      <c r="ET2346" s="118"/>
      <c r="EU2346" s="118"/>
      <c r="EV2346" s="118"/>
      <c r="EW2346" s="118"/>
      <c r="EX2346" s="118"/>
      <c r="EY2346" s="118"/>
      <c r="EZ2346" s="118"/>
      <c r="FA2346" s="118"/>
      <c r="FB2346" s="118"/>
      <c r="FC2346" s="118"/>
      <c r="FD2346" s="118"/>
      <c r="FE2346" s="118"/>
      <c r="FF2346" s="118"/>
      <c r="FG2346" s="118"/>
      <c r="FH2346" s="118"/>
      <c r="FI2346" s="118"/>
      <c r="FJ2346" s="118"/>
      <c r="FK2346" s="118"/>
      <c r="FL2346" s="118"/>
      <c r="FM2346" s="118"/>
      <c r="FN2346" s="118"/>
      <c r="FO2346" s="118"/>
      <c r="FP2346" s="118"/>
      <c r="FQ2346" s="118"/>
      <c r="FR2346" s="118"/>
      <c r="FS2346" s="118"/>
      <c r="FT2346" s="118"/>
      <c r="FU2346" s="118"/>
      <c r="FV2346" s="118"/>
      <c r="FW2346" s="118"/>
      <c r="FX2346" s="118"/>
      <c r="FY2346" s="118"/>
      <c r="FZ2346" s="118"/>
      <c r="GA2346" s="118"/>
      <c r="GB2346" s="118"/>
      <c r="GC2346" s="118"/>
      <c r="GD2346" s="118"/>
      <c r="GE2346" s="118"/>
      <c r="GF2346" s="118"/>
      <c r="GG2346" s="118"/>
      <c r="GH2346" s="118"/>
      <c r="GI2346" s="118"/>
      <c r="GJ2346" s="118"/>
      <c r="GK2346" s="118"/>
      <c r="GL2346" s="118"/>
      <c r="GM2346" s="118"/>
      <c r="GN2346" s="118"/>
      <c r="GO2346" s="118"/>
      <c r="GP2346" s="118"/>
      <c r="GQ2346" s="118"/>
      <c r="GR2346" s="118"/>
      <c r="GS2346" s="118"/>
      <c r="GT2346" s="118"/>
      <c r="GU2346" s="118"/>
      <c r="GV2346" s="118"/>
      <c r="GW2346" s="118"/>
      <c r="GX2346" s="118"/>
      <c r="GY2346" s="118"/>
      <c r="GZ2346" s="118"/>
      <c r="HA2346" s="118"/>
      <c r="HB2346" s="118"/>
      <c r="HC2346" s="118"/>
      <c r="HD2346" s="118"/>
      <c r="HE2346" s="118"/>
      <c r="HF2346" s="118"/>
      <c r="HG2346" s="118"/>
      <c r="HH2346" s="118"/>
      <c r="HI2346" s="118"/>
      <c r="HJ2346" s="118"/>
      <c r="HK2346" s="118"/>
      <c r="HL2346" s="118"/>
      <c r="HM2346" s="118"/>
      <c r="HN2346" s="118"/>
      <c r="HO2346" s="118"/>
      <c r="HP2346" s="118"/>
      <c r="HQ2346" s="118"/>
      <c r="HR2346" s="118"/>
      <c r="HS2346" s="118"/>
      <c r="HT2346" s="118"/>
      <c r="HU2346" s="118"/>
      <c r="HV2346" s="118"/>
      <c r="HW2346" s="118"/>
      <c r="HX2346" s="118"/>
      <c r="HY2346" s="118"/>
      <c r="HZ2346" s="118"/>
      <c r="IA2346" s="118"/>
      <c r="IB2346" s="118"/>
      <c r="IC2346" s="118"/>
      <c r="ID2346" s="118"/>
      <c r="IE2346" s="118"/>
      <c r="IF2346" s="118"/>
      <c r="IG2346" s="118"/>
      <c r="IH2346" s="118"/>
      <c r="II2346" s="118"/>
      <c r="IJ2346" s="118"/>
    </row>
    <row r="2347" spans="1:244" s="11" customFormat="1" ht="12.75" customHeight="1">
      <c r="A2347" s="118">
        <v>2346</v>
      </c>
      <c r="B2347" s="128">
        <v>25</v>
      </c>
      <c r="C2347" s="156">
        <v>36678</v>
      </c>
      <c r="D2347" s="157" t="s">
        <v>49</v>
      </c>
      <c r="E2347" s="8">
        <v>2000</v>
      </c>
      <c r="F2347" s="158"/>
      <c r="G2347" s="162"/>
      <c r="I2347" s="163"/>
      <c r="M2347" s="174"/>
      <c r="N2347" s="528"/>
      <c r="P2347" s="8"/>
      <c r="S2347" s="155"/>
      <c r="U2347" s="161"/>
      <c r="X2347" s="118"/>
      <c r="Y2347" s="118"/>
      <c r="Z2347" s="118"/>
      <c r="AA2347" s="118"/>
      <c r="AB2347" s="118"/>
      <c r="AC2347" s="118"/>
      <c r="AD2347" s="118"/>
      <c r="AE2347" s="118"/>
      <c r="AF2347" s="118"/>
      <c r="AG2347" s="118"/>
      <c r="AH2347" s="118"/>
      <c r="AI2347" s="118"/>
      <c r="AJ2347" s="118"/>
      <c r="AK2347" s="118"/>
      <c r="AL2347" s="118"/>
      <c r="AM2347" s="118"/>
      <c r="AN2347" s="118"/>
      <c r="AO2347" s="118"/>
      <c r="AP2347" s="118"/>
      <c r="AQ2347" s="118"/>
      <c r="AR2347" s="118"/>
      <c r="AS2347" s="118"/>
      <c r="AT2347" s="118"/>
      <c r="AU2347" s="118"/>
      <c r="AV2347" s="118"/>
      <c r="AW2347" s="118"/>
      <c r="AX2347" s="118"/>
      <c r="AY2347" s="118"/>
      <c r="AZ2347" s="118"/>
      <c r="BA2347" s="118"/>
      <c r="BB2347" s="118"/>
      <c r="BC2347" s="118"/>
      <c r="BD2347" s="118"/>
      <c r="BE2347" s="118"/>
      <c r="BF2347" s="118"/>
      <c r="BG2347" s="118"/>
      <c r="BH2347" s="118"/>
      <c r="BI2347" s="118"/>
      <c r="BJ2347" s="118"/>
      <c r="BK2347" s="118"/>
      <c r="BL2347" s="118"/>
      <c r="BM2347" s="118"/>
      <c r="BN2347" s="118"/>
      <c r="BO2347" s="118"/>
      <c r="BP2347" s="118"/>
      <c r="BQ2347" s="118"/>
      <c r="BR2347" s="118"/>
      <c r="BS2347" s="118"/>
      <c r="BT2347" s="118"/>
      <c r="BU2347" s="118"/>
      <c r="BV2347" s="118"/>
      <c r="BW2347" s="118"/>
      <c r="BX2347" s="118"/>
      <c r="BY2347" s="118"/>
      <c r="BZ2347" s="118"/>
      <c r="CA2347" s="118"/>
      <c r="CB2347" s="118"/>
      <c r="CC2347" s="118"/>
      <c r="CD2347" s="118"/>
      <c r="CE2347" s="118"/>
      <c r="CF2347" s="118"/>
      <c r="CG2347" s="118"/>
      <c r="CH2347" s="118"/>
      <c r="CI2347" s="118"/>
      <c r="CJ2347" s="118"/>
      <c r="CK2347" s="118"/>
      <c r="CL2347" s="118"/>
      <c r="CM2347" s="118"/>
      <c r="CN2347" s="118"/>
      <c r="CO2347" s="118"/>
      <c r="CP2347" s="118"/>
      <c r="CQ2347" s="118"/>
      <c r="CR2347" s="118"/>
      <c r="CS2347" s="118"/>
      <c r="CT2347" s="118"/>
      <c r="CU2347" s="118"/>
      <c r="CV2347" s="118"/>
      <c r="CW2347" s="118"/>
      <c r="CX2347" s="118"/>
      <c r="CY2347" s="118"/>
      <c r="CZ2347" s="118"/>
      <c r="DA2347" s="118"/>
      <c r="DB2347" s="118"/>
      <c r="DC2347" s="118"/>
      <c r="DD2347" s="118"/>
      <c r="DE2347" s="118"/>
      <c r="DF2347" s="118"/>
      <c r="DG2347" s="118"/>
      <c r="DH2347" s="118"/>
      <c r="DI2347" s="118"/>
      <c r="DJ2347" s="118"/>
      <c r="DK2347" s="118"/>
      <c r="DL2347" s="118"/>
      <c r="DM2347" s="118"/>
      <c r="DN2347" s="118"/>
      <c r="DO2347" s="118"/>
      <c r="DP2347" s="118"/>
      <c r="DQ2347" s="118"/>
      <c r="DR2347" s="118"/>
      <c r="DS2347" s="118"/>
      <c r="DT2347" s="118"/>
      <c r="DU2347" s="118"/>
      <c r="DV2347" s="118"/>
      <c r="DW2347" s="118"/>
      <c r="DX2347" s="118"/>
      <c r="DY2347" s="118"/>
      <c r="DZ2347" s="118"/>
      <c r="EA2347" s="118"/>
      <c r="EB2347" s="118"/>
      <c r="EC2347" s="118"/>
      <c r="ED2347" s="118"/>
      <c r="EE2347" s="118"/>
      <c r="EF2347" s="118"/>
      <c r="EG2347" s="118"/>
      <c r="EH2347" s="118"/>
      <c r="EI2347" s="118"/>
      <c r="EJ2347" s="118"/>
      <c r="EK2347" s="118"/>
      <c r="EL2347" s="118"/>
      <c r="EM2347" s="118"/>
      <c r="EN2347" s="118"/>
      <c r="EO2347" s="118"/>
      <c r="EP2347" s="118"/>
      <c r="EQ2347" s="118"/>
      <c r="ER2347" s="118"/>
      <c r="ES2347" s="118"/>
      <c r="ET2347" s="118"/>
      <c r="EU2347" s="118"/>
      <c r="EV2347" s="118"/>
      <c r="EW2347" s="118"/>
      <c r="EX2347" s="118"/>
      <c r="EY2347" s="118"/>
      <c r="EZ2347" s="118"/>
      <c r="FA2347" s="118"/>
      <c r="FB2347" s="118"/>
      <c r="FC2347" s="118"/>
      <c r="FD2347" s="118"/>
      <c r="FE2347" s="118"/>
      <c r="FF2347" s="118"/>
      <c r="FG2347" s="118"/>
      <c r="FH2347" s="118"/>
      <c r="FI2347" s="118"/>
      <c r="FJ2347" s="118"/>
      <c r="FK2347" s="118"/>
      <c r="FL2347" s="118"/>
      <c r="FM2347" s="118"/>
      <c r="FN2347" s="118"/>
      <c r="FO2347" s="118"/>
      <c r="FP2347" s="118"/>
      <c r="FQ2347" s="118"/>
      <c r="FR2347" s="118"/>
      <c r="FS2347" s="118"/>
      <c r="FT2347" s="118"/>
      <c r="FU2347" s="118"/>
      <c r="FV2347" s="118"/>
      <c r="FW2347" s="118"/>
      <c r="FX2347" s="118"/>
      <c r="FY2347" s="118"/>
      <c r="FZ2347" s="118"/>
      <c r="GA2347" s="118"/>
      <c r="GB2347" s="118"/>
      <c r="GC2347" s="118"/>
      <c r="GD2347" s="118"/>
      <c r="GE2347" s="118"/>
      <c r="GF2347" s="118"/>
      <c r="GG2347" s="118"/>
      <c r="GH2347" s="118"/>
      <c r="GI2347" s="118"/>
      <c r="GJ2347" s="118"/>
      <c r="GK2347" s="118"/>
      <c r="GL2347" s="118"/>
      <c r="GM2347" s="118"/>
      <c r="GN2347" s="118"/>
      <c r="GO2347" s="118"/>
      <c r="GP2347" s="118"/>
      <c r="GQ2347" s="118"/>
      <c r="GR2347" s="118"/>
      <c r="GS2347" s="118"/>
      <c r="GT2347" s="118"/>
      <c r="GU2347" s="118"/>
      <c r="GV2347" s="118"/>
      <c r="GW2347" s="118"/>
      <c r="GX2347" s="118"/>
      <c r="GY2347" s="118"/>
      <c r="GZ2347" s="118"/>
      <c r="HA2347" s="118"/>
      <c r="HB2347" s="118"/>
      <c r="HC2347" s="118"/>
      <c r="HD2347" s="118"/>
      <c r="HE2347" s="118"/>
      <c r="HF2347" s="118"/>
      <c r="HG2347" s="118"/>
      <c r="HH2347" s="118"/>
      <c r="HI2347" s="118"/>
      <c r="HJ2347" s="118"/>
      <c r="HK2347" s="118"/>
      <c r="HL2347" s="118"/>
      <c r="HM2347" s="118"/>
      <c r="HN2347" s="118"/>
      <c r="HO2347" s="118"/>
      <c r="HP2347" s="118"/>
      <c r="HQ2347" s="118"/>
      <c r="HR2347" s="118"/>
      <c r="HS2347" s="118"/>
      <c r="HT2347" s="118"/>
      <c r="HU2347" s="118"/>
      <c r="HV2347" s="118"/>
      <c r="HW2347" s="118"/>
      <c r="HX2347" s="118"/>
      <c r="HY2347" s="118"/>
      <c r="HZ2347" s="118"/>
      <c r="IA2347" s="118"/>
      <c r="IB2347" s="118"/>
      <c r="IC2347" s="118"/>
      <c r="ID2347" s="118"/>
      <c r="IE2347" s="118"/>
      <c r="IF2347" s="118"/>
      <c r="IG2347" s="118"/>
      <c r="IH2347" s="118"/>
      <c r="II2347" s="118"/>
      <c r="IJ2347" s="118"/>
    </row>
    <row r="2348" spans="1:244" s="11" customFormat="1" ht="12.75" customHeight="1">
      <c r="A2348" s="118">
        <v>2347</v>
      </c>
      <c r="B2348" s="128">
        <v>25</v>
      </c>
      <c r="C2348" s="156">
        <v>36708</v>
      </c>
      <c r="D2348" s="157" t="s">
        <v>50</v>
      </c>
      <c r="E2348" s="8">
        <v>2000</v>
      </c>
      <c r="F2348" s="158"/>
      <c r="G2348" s="162"/>
      <c r="I2348" s="163"/>
      <c r="M2348" s="174"/>
      <c r="N2348" s="528"/>
      <c r="P2348" s="8"/>
      <c r="Q2348" s="219"/>
      <c r="R2348" s="219"/>
      <c r="S2348" s="155"/>
      <c r="U2348" s="161"/>
      <c r="X2348" s="189"/>
      <c r="Y2348" s="189"/>
      <c r="Z2348" s="189"/>
      <c r="AA2348" s="189"/>
      <c r="AB2348" s="189"/>
      <c r="AC2348" s="189"/>
      <c r="AD2348" s="189"/>
      <c r="AE2348" s="189"/>
      <c r="AF2348" s="189"/>
      <c r="AG2348" s="189"/>
      <c r="AH2348" s="189"/>
      <c r="AI2348" s="189"/>
      <c r="AJ2348" s="189"/>
      <c r="AK2348" s="189"/>
      <c r="AL2348" s="189"/>
      <c r="AM2348" s="189"/>
      <c r="AN2348" s="189"/>
      <c r="AO2348" s="189"/>
      <c r="AP2348" s="189"/>
      <c r="AQ2348" s="189"/>
      <c r="AR2348" s="189"/>
      <c r="AS2348" s="189"/>
      <c r="AT2348" s="189"/>
      <c r="AU2348" s="189"/>
      <c r="AV2348" s="189"/>
      <c r="AW2348" s="189"/>
      <c r="AX2348" s="189"/>
      <c r="AY2348" s="189"/>
      <c r="AZ2348" s="189"/>
      <c r="BA2348" s="189"/>
      <c r="BB2348" s="189"/>
      <c r="BC2348" s="189"/>
      <c r="BD2348" s="189"/>
      <c r="BE2348" s="189"/>
      <c r="BF2348" s="189"/>
      <c r="BG2348" s="189"/>
      <c r="BH2348" s="189"/>
      <c r="BI2348" s="189"/>
      <c r="BJ2348" s="189"/>
      <c r="BK2348" s="189"/>
      <c r="BL2348" s="189"/>
      <c r="BM2348" s="189"/>
      <c r="BN2348" s="189"/>
      <c r="BO2348" s="189"/>
      <c r="BP2348" s="189"/>
      <c r="BQ2348" s="189"/>
      <c r="BR2348" s="189"/>
      <c r="BS2348" s="189"/>
      <c r="BT2348" s="189"/>
      <c r="BU2348" s="189"/>
      <c r="BV2348" s="189"/>
      <c r="BW2348" s="189"/>
      <c r="BX2348" s="189"/>
      <c r="BY2348" s="189"/>
      <c r="BZ2348" s="189"/>
      <c r="CA2348" s="189"/>
      <c r="CB2348" s="189"/>
      <c r="CC2348" s="189"/>
      <c r="CD2348" s="189"/>
      <c r="CE2348" s="189"/>
      <c r="CF2348" s="189"/>
      <c r="CG2348" s="189"/>
      <c r="CH2348" s="189"/>
      <c r="CI2348" s="189"/>
      <c r="CJ2348" s="189"/>
      <c r="CK2348" s="189"/>
      <c r="CL2348" s="189"/>
      <c r="CM2348" s="189"/>
      <c r="CN2348" s="189"/>
      <c r="CO2348" s="189"/>
      <c r="CP2348" s="189"/>
      <c r="CQ2348" s="189"/>
      <c r="CR2348" s="189"/>
      <c r="CS2348" s="189"/>
      <c r="CT2348" s="189"/>
      <c r="CU2348" s="189"/>
      <c r="CV2348" s="189"/>
      <c r="CW2348" s="189"/>
      <c r="CX2348" s="189"/>
      <c r="CY2348" s="189"/>
      <c r="CZ2348" s="189"/>
      <c r="DA2348" s="189"/>
      <c r="DB2348" s="189"/>
      <c r="DC2348" s="189"/>
      <c r="DD2348" s="189"/>
      <c r="DE2348" s="189"/>
      <c r="DF2348" s="189"/>
      <c r="DG2348" s="189"/>
      <c r="DH2348" s="189"/>
      <c r="DI2348" s="189"/>
      <c r="DJ2348" s="189"/>
      <c r="DK2348" s="189"/>
      <c r="DL2348" s="189"/>
      <c r="DM2348" s="189"/>
      <c r="DN2348" s="189"/>
      <c r="DO2348" s="189"/>
      <c r="DP2348" s="189"/>
      <c r="DQ2348" s="189"/>
      <c r="DR2348" s="189"/>
      <c r="DS2348" s="189"/>
      <c r="DT2348" s="189"/>
      <c r="DU2348" s="189"/>
      <c r="DV2348" s="189"/>
      <c r="DW2348" s="189"/>
      <c r="DX2348" s="189"/>
      <c r="DY2348" s="189"/>
      <c r="DZ2348" s="189"/>
      <c r="EA2348" s="189"/>
      <c r="EB2348" s="189"/>
      <c r="EC2348" s="189"/>
      <c r="ED2348" s="189"/>
      <c r="EE2348" s="189"/>
      <c r="EF2348" s="189"/>
      <c r="EG2348" s="189"/>
      <c r="EH2348" s="189"/>
      <c r="EI2348" s="189"/>
      <c r="EJ2348" s="189"/>
      <c r="EK2348" s="189"/>
      <c r="EL2348" s="189"/>
      <c r="EM2348" s="189"/>
      <c r="EN2348" s="189"/>
      <c r="EO2348" s="189"/>
      <c r="EP2348" s="189"/>
      <c r="EQ2348" s="189"/>
      <c r="ER2348" s="189"/>
      <c r="ES2348" s="189"/>
      <c r="ET2348" s="189"/>
      <c r="EU2348" s="189"/>
      <c r="EV2348" s="189"/>
      <c r="EW2348" s="189"/>
      <c r="EX2348" s="189"/>
      <c r="EY2348" s="189"/>
      <c r="EZ2348" s="189"/>
      <c r="FA2348" s="189"/>
      <c r="FB2348" s="189"/>
      <c r="FC2348" s="189"/>
      <c r="FD2348" s="189"/>
      <c r="FE2348" s="189"/>
      <c r="FF2348" s="189"/>
      <c r="FG2348" s="189"/>
      <c r="FH2348" s="189"/>
      <c r="FI2348" s="189"/>
      <c r="FJ2348" s="189"/>
      <c r="FK2348" s="189"/>
      <c r="FL2348" s="189"/>
      <c r="FM2348" s="189"/>
      <c r="FN2348" s="189"/>
      <c r="FO2348" s="189"/>
      <c r="FP2348" s="189"/>
      <c r="FQ2348" s="189"/>
      <c r="FR2348" s="189"/>
      <c r="FS2348" s="189"/>
      <c r="FT2348" s="189"/>
      <c r="FU2348" s="189"/>
      <c r="FV2348" s="189"/>
      <c r="FW2348" s="189"/>
      <c r="FX2348" s="189"/>
      <c r="FY2348" s="189"/>
      <c r="FZ2348" s="189"/>
      <c r="GA2348" s="189"/>
      <c r="GB2348" s="189"/>
      <c r="GC2348" s="189"/>
      <c r="GD2348" s="189"/>
      <c r="GE2348" s="189"/>
      <c r="GF2348" s="189"/>
      <c r="GG2348" s="189"/>
      <c r="GH2348" s="189"/>
      <c r="GI2348" s="189"/>
      <c r="GJ2348" s="189"/>
      <c r="GK2348" s="189"/>
      <c r="GL2348" s="189"/>
      <c r="GM2348" s="189"/>
      <c r="GN2348" s="189"/>
      <c r="GO2348" s="189"/>
      <c r="GP2348" s="189"/>
      <c r="GQ2348" s="189"/>
      <c r="GR2348" s="189"/>
      <c r="GS2348" s="189"/>
      <c r="GT2348" s="189"/>
      <c r="GU2348" s="189"/>
      <c r="GV2348" s="189"/>
      <c r="GW2348" s="189"/>
      <c r="GX2348" s="189"/>
      <c r="GY2348" s="189"/>
      <c r="GZ2348" s="189"/>
      <c r="HA2348" s="189"/>
      <c r="HB2348" s="189"/>
      <c r="HC2348" s="189"/>
      <c r="HD2348" s="189"/>
      <c r="HE2348" s="189"/>
      <c r="HF2348" s="189"/>
      <c r="HG2348" s="189"/>
      <c r="HH2348" s="189"/>
      <c r="HI2348" s="189"/>
      <c r="HJ2348" s="189"/>
      <c r="HK2348" s="189"/>
      <c r="HL2348" s="189"/>
      <c r="HM2348" s="189"/>
      <c r="HN2348" s="189"/>
      <c r="HO2348" s="189"/>
      <c r="HP2348" s="189"/>
      <c r="HQ2348" s="189"/>
      <c r="HR2348" s="189"/>
      <c r="HS2348" s="189"/>
      <c r="HT2348" s="189"/>
      <c r="HU2348" s="189"/>
      <c r="HV2348" s="189"/>
      <c r="HW2348" s="189"/>
      <c r="HX2348" s="189"/>
      <c r="HY2348" s="189"/>
      <c r="HZ2348" s="189"/>
      <c r="IA2348" s="189"/>
      <c r="IB2348" s="189"/>
      <c r="IC2348" s="189"/>
      <c r="ID2348" s="189"/>
      <c r="IE2348" s="189"/>
      <c r="IF2348" s="189"/>
      <c r="IG2348" s="189"/>
      <c r="IH2348" s="189"/>
      <c r="II2348" s="189"/>
      <c r="IJ2348" s="189"/>
    </row>
    <row r="2349" spans="1:244" s="11" customFormat="1" ht="12.75" customHeight="1">
      <c r="A2349" s="118">
        <v>2348</v>
      </c>
      <c r="B2349" s="128">
        <v>25</v>
      </c>
      <c r="C2349" s="156">
        <v>36739</v>
      </c>
      <c r="D2349" s="157" t="s">
        <v>51</v>
      </c>
      <c r="E2349" s="8">
        <v>2000</v>
      </c>
      <c r="F2349" s="158"/>
      <c r="G2349" s="162"/>
      <c r="I2349" s="163"/>
      <c r="M2349" s="174"/>
      <c r="N2349" s="528"/>
      <c r="P2349" s="8"/>
      <c r="S2349" s="155"/>
      <c r="T2349" s="161"/>
      <c r="U2349" s="161"/>
      <c r="V2349" s="161"/>
      <c r="W2349" s="161"/>
      <c r="X2349" s="118"/>
      <c r="Y2349" s="118"/>
      <c r="Z2349" s="118"/>
      <c r="AA2349" s="118"/>
      <c r="AB2349" s="118"/>
      <c r="AC2349" s="118"/>
      <c r="AD2349" s="118"/>
      <c r="AE2349" s="118"/>
      <c r="AF2349" s="118"/>
      <c r="AG2349" s="118"/>
      <c r="AH2349" s="118"/>
      <c r="AI2349" s="118"/>
      <c r="AJ2349" s="118"/>
      <c r="AK2349" s="118"/>
      <c r="AL2349" s="118"/>
      <c r="AM2349" s="118"/>
      <c r="AN2349" s="118"/>
      <c r="AO2349" s="118"/>
      <c r="AP2349" s="118"/>
      <c r="AQ2349" s="118"/>
      <c r="AR2349" s="118"/>
      <c r="AS2349" s="118"/>
      <c r="AT2349" s="118"/>
      <c r="AU2349" s="118"/>
      <c r="AV2349" s="118"/>
      <c r="AW2349" s="118"/>
      <c r="AX2349" s="118"/>
      <c r="AY2349" s="118"/>
      <c r="AZ2349" s="118"/>
      <c r="BA2349" s="118"/>
      <c r="BB2349" s="118"/>
      <c r="BC2349" s="118"/>
      <c r="BD2349" s="118"/>
      <c r="BE2349" s="118"/>
      <c r="BF2349" s="118"/>
      <c r="BG2349" s="118"/>
      <c r="BH2349" s="118"/>
      <c r="BI2349" s="118"/>
      <c r="BJ2349" s="118"/>
      <c r="BK2349" s="118"/>
      <c r="BL2349" s="118"/>
      <c r="BM2349" s="118"/>
      <c r="BN2349" s="118"/>
      <c r="BO2349" s="118"/>
      <c r="BP2349" s="118"/>
      <c r="BQ2349" s="118"/>
      <c r="BR2349" s="118"/>
      <c r="BS2349" s="118"/>
      <c r="BT2349" s="118"/>
      <c r="BU2349" s="118"/>
      <c r="BV2349" s="118"/>
      <c r="BW2349" s="118"/>
      <c r="BX2349" s="118"/>
      <c r="BY2349" s="118"/>
      <c r="BZ2349" s="118"/>
      <c r="CA2349" s="118"/>
      <c r="CB2349" s="118"/>
      <c r="CC2349" s="118"/>
      <c r="CD2349" s="118"/>
      <c r="CE2349" s="118"/>
      <c r="CF2349" s="118"/>
      <c r="CG2349" s="118"/>
      <c r="CH2349" s="118"/>
      <c r="CI2349" s="118"/>
      <c r="CJ2349" s="118"/>
      <c r="CK2349" s="118"/>
      <c r="CL2349" s="118"/>
      <c r="CM2349" s="118"/>
      <c r="CN2349" s="118"/>
      <c r="CO2349" s="118"/>
      <c r="CP2349" s="118"/>
      <c r="CQ2349" s="118"/>
      <c r="CR2349" s="118"/>
      <c r="CS2349" s="118"/>
      <c r="CT2349" s="118"/>
      <c r="CU2349" s="118"/>
      <c r="CV2349" s="118"/>
      <c r="CW2349" s="118"/>
      <c r="CX2349" s="118"/>
      <c r="CY2349" s="118"/>
      <c r="CZ2349" s="118"/>
      <c r="DA2349" s="118"/>
      <c r="DB2349" s="118"/>
      <c r="DC2349" s="118"/>
      <c r="DD2349" s="118"/>
      <c r="DE2349" s="118"/>
      <c r="DF2349" s="118"/>
      <c r="DG2349" s="118"/>
      <c r="DH2349" s="118"/>
      <c r="DI2349" s="118"/>
      <c r="DJ2349" s="118"/>
      <c r="DK2349" s="118"/>
      <c r="DL2349" s="118"/>
      <c r="DM2349" s="118"/>
      <c r="DN2349" s="118"/>
      <c r="DO2349" s="118"/>
      <c r="DP2349" s="118"/>
      <c r="DQ2349" s="118"/>
      <c r="DR2349" s="118"/>
      <c r="DS2349" s="118"/>
      <c r="DT2349" s="118"/>
      <c r="DU2349" s="118"/>
      <c r="DV2349" s="118"/>
      <c r="DW2349" s="118"/>
      <c r="DX2349" s="118"/>
      <c r="DY2349" s="118"/>
      <c r="DZ2349" s="118"/>
      <c r="EA2349" s="118"/>
      <c r="EB2349" s="118"/>
      <c r="EC2349" s="118"/>
      <c r="ED2349" s="118"/>
      <c r="EE2349" s="118"/>
      <c r="EF2349" s="118"/>
      <c r="EG2349" s="118"/>
      <c r="EH2349" s="118"/>
      <c r="EI2349" s="118"/>
      <c r="EJ2349" s="118"/>
      <c r="EK2349" s="118"/>
      <c r="EL2349" s="118"/>
      <c r="EM2349" s="118"/>
      <c r="EN2349" s="118"/>
      <c r="EO2349" s="118"/>
      <c r="EP2349" s="118"/>
      <c r="EQ2349" s="118"/>
      <c r="ER2349" s="118"/>
      <c r="ES2349" s="118"/>
      <c r="ET2349" s="118"/>
      <c r="EU2349" s="118"/>
      <c r="EV2349" s="118"/>
      <c r="EW2349" s="118"/>
      <c r="EX2349" s="118"/>
      <c r="EY2349" s="118"/>
      <c r="EZ2349" s="118"/>
      <c r="FA2349" s="118"/>
      <c r="FB2349" s="118"/>
      <c r="FC2349" s="118"/>
      <c r="FD2349" s="118"/>
      <c r="FE2349" s="118"/>
      <c r="FF2349" s="118"/>
      <c r="FG2349" s="118"/>
      <c r="FH2349" s="118"/>
      <c r="FI2349" s="118"/>
      <c r="FJ2349" s="118"/>
      <c r="FK2349" s="118"/>
      <c r="FL2349" s="118"/>
      <c r="FM2349" s="118"/>
      <c r="FN2349" s="118"/>
      <c r="FO2349" s="118"/>
      <c r="FP2349" s="118"/>
      <c r="FQ2349" s="118"/>
      <c r="FR2349" s="118"/>
      <c r="FS2349" s="118"/>
      <c r="FT2349" s="118"/>
      <c r="FU2349" s="118"/>
      <c r="FV2349" s="118"/>
      <c r="FW2349" s="118"/>
      <c r="FX2349" s="118"/>
      <c r="FY2349" s="118"/>
      <c r="FZ2349" s="118"/>
      <c r="GA2349" s="118"/>
      <c r="GB2349" s="118"/>
      <c r="GC2349" s="118"/>
      <c r="GD2349" s="118"/>
      <c r="GE2349" s="118"/>
      <c r="GF2349" s="118"/>
      <c r="GG2349" s="118"/>
      <c r="GH2349" s="118"/>
      <c r="GI2349" s="118"/>
      <c r="GJ2349" s="118"/>
      <c r="GK2349" s="118"/>
      <c r="GL2349" s="118"/>
      <c r="GM2349" s="118"/>
      <c r="GN2349" s="118"/>
      <c r="GO2349" s="118"/>
      <c r="GP2349" s="118"/>
      <c r="GQ2349" s="118"/>
      <c r="GR2349" s="118"/>
      <c r="GS2349" s="118"/>
      <c r="GT2349" s="118"/>
      <c r="GU2349" s="118"/>
      <c r="GV2349" s="118"/>
      <c r="GW2349" s="118"/>
      <c r="GX2349" s="118"/>
      <c r="GY2349" s="118"/>
      <c r="GZ2349" s="118"/>
      <c r="HA2349" s="118"/>
      <c r="HB2349" s="118"/>
      <c r="HC2349" s="118"/>
      <c r="HD2349" s="118"/>
      <c r="HE2349" s="118"/>
      <c r="HF2349" s="118"/>
      <c r="HG2349" s="118"/>
      <c r="HH2349" s="118"/>
      <c r="HI2349" s="118"/>
      <c r="HJ2349" s="118"/>
      <c r="HK2349" s="118"/>
      <c r="HL2349" s="118"/>
      <c r="HM2349" s="118"/>
      <c r="HN2349" s="118"/>
      <c r="HO2349" s="118"/>
      <c r="HP2349" s="118"/>
      <c r="HQ2349" s="118"/>
      <c r="HR2349" s="118"/>
      <c r="HS2349" s="118"/>
      <c r="HT2349" s="118"/>
      <c r="HU2349" s="118"/>
      <c r="HV2349" s="118"/>
      <c r="HW2349" s="118"/>
      <c r="HX2349" s="118"/>
      <c r="HY2349" s="118"/>
      <c r="HZ2349" s="118"/>
      <c r="IA2349" s="118"/>
      <c r="IB2349" s="118"/>
      <c r="IC2349" s="118"/>
      <c r="ID2349" s="118"/>
      <c r="IE2349" s="118"/>
      <c r="IF2349" s="118"/>
      <c r="IG2349" s="118"/>
      <c r="IH2349" s="118"/>
      <c r="II2349" s="118"/>
      <c r="IJ2349" s="118"/>
    </row>
    <row r="2350" spans="1:244" s="11" customFormat="1" ht="12.75" customHeight="1">
      <c r="A2350" s="118">
        <v>2349</v>
      </c>
      <c r="B2350" s="128">
        <v>25</v>
      </c>
      <c r="C2350" s="156">
        <v>36770</v>
      </c>
      <c r="D2350" s="157" t="s">
        <v>52</v>
      </c>
      <c r="E2350" s="8">
        <v>2000</v>
      </c>
      <c r="F2350" s="158"/>
      <c r="G2350" s="162"/>
      <c r="I2350" s="163"/>
      <c r="M2350" s="174"/>
      <c r="N2350" s="528"/>
      <c r="P2350" s="8"/>
      <c r="S2350" s="155"/>
      <c r="U2350" s="161"/>
      <c r="X2350" s="118"/>
      <c r="Y2350" s="118"/>
      <c r="Z2350" s="118"/>
      <c r="AA2350" s="118"/>
      <c r="AB2350" s="118"/>
      <c r="AC2350" s="118"/>
      <c r="AD2350" s="118"/>
      <c r="AE2350" s="118"/>
      <c r="AF2350" s="118"/>
      <c r="AG2350" s="118"/>
      <c r="AH2350" s="118"/>
      <c r="AI2350" s="118"/>
      <c r="AJ2350" s="118"/>
      <c r="AK2350" s="118"/>
      <c r="AL2350" s="118"/>
      <c r="AM2350" s="118"/>
      <c r="AN2350" s="118"/>
      <c r="AO2350" s="118"/>
      <c r="AP2350" s="118"/>
      <c r="AQ2350" s="118"/>
      <c r="AR2350" s="118"/>
      <c r="AS2350" s="118"/>
      <c r="AT2350" s="118"/>
      <c r="AU2350" s="118"/>
      <c r="AV2350" s="118"/>
      <c r="AW2350" s="118"/>
      <c r="AX2350" s="118"/>
      <c r="AY2350" s="118"/>
      <c r="AZ2350" s="118"/>
      <c r="BA2350" s="118"/>
      <c r="BB2350" s="118"/>
      <c r="BC2350" s="118"/>
      <c r="BD2350" s="118"/>
      <c r="BE2350" s="118"/>
      <c r="BF2350" s="118"/>
      <c r="BG2350" s="118"/>
      <c r="BH2350" s="118"/>
      <c r="BI2350" s="118"/>
      <c r="BJ2350" s="118"/>
      <c r="BK2350" s="118"/>
      <c r="BL2350" s="118"/>
      <c r="BM2350" s="118"/>
      <c r="BN2350" s="118"/>
      <c r="BO2350" s="118"/>
      <c r="BP2350" s="118"/>
      <c r="BQ2350" s="118"/>
      <c r="BR2350" s="118"/>
      <c r="BS2350" s="118"/>
      <c r="BT2350" s="118"/>
      <c r="BU2350" s="118"/>
      <c r="BV2350" s="118"/>
      <c r="BW2350" s="118"/>
      <c r="BX2350" s="118"/>
      <c r="BY2350" s="118"/>
      <c r="BZ2350" s="118"/>
      <c r="CA2350" s="118"/>
      <c r="CB2350" s="118"/>
      <c r="CC2350" s="118"/>
      <c r="CD2350" s="118"/>
      <c r="CE2350" s="118"/>
      <c r="CF2350" s="118"/>
      <c r="CG2350" s="118"/>
      <c r="CH2350" s="118"/>
      <c r="CI2350" s="118"/>
      <c r="CJ2350" s="118"/>
      <c r="CK2350" s="118"/>
      <c r="CL2350" s="118"/>
      <c r="CM2350" s="118"/>
      <c r="CN2350" s="118"/>
      <c r="CO2350" s="118"/>
      <c r="CP2350" s="118"/>
      <c r="CQ2350" s="118"/>
      <c r="CR2350" s="118"/>
      <c r="CS2350" s="118"/>
      <c r="CT2350" s="118"/>
      <c r="CU2350" s="118"/>
      <c r="CV2350" s="118"/>
      <c r="CW2350" s="118"/>
      <c r="CX2350" s="118"/>
      <c r="CY2350" s="118"/>
      <c r="CZ2350" s="118"/>
      <c r="DA2350" s="118"/>
      <c r="DB2350" s="118"/>
      <c r="DC2350" s="118"/>
      <c r="DD2350" s="118"/>
      <c r="DE2350" s="118"/>
      <c r="DF2350" s="118"/>
      <c r="DG2350" s="118"/>
      <c r="DH2350" s="118"/>
      <c r="DI2350" s="118"/>
      <c r="DJ2350" s="118"/>
      <c r="DK2350" s="118"/>
      <c r="DL2350" s="118"/>
      <c r="DM2350" s="118"/>
      <c r="DN2350" s="118"/>
      <c r="DO2350" s="118"/>
      <c r="DP2350" s="118"/>
      <c r="DQ2350" s="118"/>
      <c r="DR2350" s="118"/>
      <c r="DS2350" s="118"/>
      <c r="DT2350" s="118"/>
      <c r="DU2350" s="118"/>
      <c r="DV2350" s="118"/>
      <c r="DW2350" s="118"/>
      <c r="DX2350" s="118"/>
      <c r="DY2350" s="118"/>
      <c r="DZ2350" s="118"/>
      <c r="EA2350" s="118"/>
      <c r="EB2350" s="118"/>
      <c r="EC2350" s="118"/>
      <c r="ED2350" s="118"/>
      <c r="EE2350" s="118"/>
      <c r="EF2350" s="118"/>
      <c r="EG2350" s="118"/>
      <c r="EH2350" s="118"/>
      <c r="EI2350" s="118"/>
      <c r="EJ2350" s="118"/>
      <c r="EK2350" s="118"/>
      <c r="EL2350" s="118"/>
      <c r="EM2350" s="118"/>
      <c r="EN2350" s="118"/>
      <c r="EO2350" s="118"/>
      <c r="EP2350" s="118"/>
      <c r="EQ2350" s="118"/>
      <c r="ER2350" s="118"/>
      <c r="ES2350" s="118"/>
      <c r="ET2350" s="118"/>
      <c r="EU2350" s="118"/>
      <c r="EV2350" s="118"/>
      <c r="EW2350" s="118"/>
      <c r="EX2350" s="118"/>
      <c r="EY2350" s="118"/>
      <c r="EZ2350" s="118"/>
      <c r="FA2350" s="118"/>
      <c r="FB2350" s="118"/>
      <c r="FC2350" s="118"/>
      <c r="FD2350" s="118"/>
      <c r="FE2350" s="118"/>
      <c r="FF2350" s="118"/>
      <c r="FG2350" s="118"/>
      <c r="FH2350" s="118"/>
      <c r="FI2350" s="118"/>
      <c r="FJ2350" s="118"/>
      <c r="FK2350" s="118"/>
      <c r="FL2350" s="118"/>
      <c r="FM2350" s="118"/>
      <c r="FN2350" s="118"/>
      <c r="FO2350" s="118"/>
      <c r="FP2350" s="118"/>
      <c r="FQ2350" s="118"/>
      <c r="FR2350" s="118"/>
      <c r="FS2350" s="118"/>
      <c r="FT2350" s="118"/>
      <c r="FU2350" s="118"/>
      <c r="FV2350" s="118"/>
      <c r="FW2350" s="118"/>
      <c r="FX2350" s="118"/>
      <c r="FY2350" s="118"/>
      <c r="FZ2350" s="118"/>
      <c r="GA2350" s="118"/>
      <c r="GB2350" s="118"/>
      <c r="GC2350" s="118"/>
      <c r="GD2350" s="118"/>
      <c r="GE2350" s="118"/>
      <c r="GF2350" s="118"/>
      <c r="GG2350" s="118"/>
      <c r="GH2350" s="118"/>
      <c r="GI2350" s="118"/>
      <c r="GJ2350" s="118"/>
      <c r="GK2350" s="118"/>
      <c r="GL2350" s="118"/>
      <c r="GM2350" s="118"/>
      <c r="GN2350" s="118"/>
      <c r="GO2350" s="118"/>
      <c r="GP2350" s="118"/>
      <c r="GQ2350" s="118"/>
      <c r="GR2350" s="118"/>
      <c r="GS2350" s="118"/>
      <c r="GT2350" s="118"/>
      <c r="GU2350" s="118"/>
      <c r="GV2350" s="118"/>
      <c r="GW2350" s="118"/>
      <c r="GX2350" s="118"/>
      <c r="GY2350" s="118"/>
      <c r="GZ2350" s="118"/>
      <c r="HA2350" s="118"/>
      <c r="HB2350" s="118"/>
      <c r="HC2350" s="118"/>
      <c r="HD2350" s="118"/>
      <c r="HE2350" s="118"/>
      <c r="HF2350" s="118"/>
      <c r="HG2350" s="118"/>
      <c r="HH2350" s="118"/>
      <c r="HI2350" s="118"/>
      <c r="HJ2350" s="118"/>
      <c r="HK2350" s="118"/>
      <c r="HL2350" s="118"/>
      <c r="HM2350" s="118"/>
      <c r="HN2350" s="118"/>
      <c r="HO2350" s="118"/>
      <c r="HP2350" s="118"/>
      <c r="HQ2350" s="118"/>
      <c r="HR2350" s="118"/>
      <c r="HS2350" s="118"/>
      <c r="HT2350" s="118"/>
      <c r="HU2350" s="118"/>
      <c r="HV2350" s="118"/>
      <c r="HW2350" s="118"/>
      <c r="HX2350" s="118"/>
      <c r="HY2350" s="118"/>
      <c r="HZ2350" s="118"/>
      <c r="IA2350" s="118"/>
      <c r="IB2350" s="118"/>
      <c r="IC2350" s="118"/>
      <c r="ID2350" s="118"/>
      <c r="IE2350" s="118"/>
      <c r="IF2350" s="118"/>
      <c r="IG2350" s="118"/>
      <c r="IH2350" s="118"/>
      <c r="II2350" s="118"/>
      <c r="IJ2350" s="118"/>
    </row>
    <row r="2351" spans="1:244" s="11" customFormat="1" ht="12.75" customHeight="1">
      <c r="A2351" s="118">
        <v>2350</v>
      </c>
      <c r="B2351" s="128">
        <v>25</v>
      </c>
      <c r="C2351" s="156">
        <v>36800</v>
      </c>
      <c r="D2351" s="157" t="s">
        <v>53</v>
      </c>
      <c r="E2351" s="8">
        <v>2000</v>
      </c>
      <c r="F2351" s="158"/>
      <c r="G2351" s="162"/>
      <c r="I2351" s="163"/>
      <c r="M2351" s="174"/>
      <c r="N2351" s="528"/>
      <c r="P2351" s="8"/>
      <c r="S2351" s="155"/>
      <c r="U2351" s="161"/>
      <c r="X2351" s="118"/>
      <c r="Y2351" s="118"/>
      <c r="Z2351" s="118"/>
      <c r="AA2351" s="118"/>
      <c r="AB2351" s="118"/>
      <c r="AC2351" s="118"/>
      <c r="AD2351" s="118"/>
      <c r="AE2351" s="118"/>
      <c r="AF2351" s="118"/>
      <c r="AG2351" s="118"/>
      <c r="AH2351" s="118"/>
      <c r="AI2351" s="118"/>
      <c r="AJ2351" s="118"/>
      <c r="AK2351" s="118"/>
      <c r="AL2351" s="118"/>
      <c r="AM2351" s="118"/>
      <c r="AN2351" s="118"/>
      <c r="AO2351" s="118"/>
      <c r="AP2351" s="118"/>
      <c r="AQ2351" s="118"/>
      <c r="AR2351" s="118"/>
      <c r="AS2351" s="118"/>
      <c r="AT2351" s="118"/>
      <c r="AU2351" s="118"/>
      <c r="AV2351" s="118"/>
      <c r="AW2351" s="118"/>
      <c r="AX2351" s="118"/>
      <c r="AY2351" s="118"/>
      <c r="AZ2351" s="118"/>
      <c r="BA2351" s="118"/>
      <c r="BB2351" s="118"/>
      <c r="BC2351" s="118"/>
      <c r="BD2351" s="118"/>
      <c r="BE2351" s="118"/>
      <c r="BF2351" s="118"/>
      <c r="BG2351" s="118"/>
      <c r="BH2351" s="118"/>
      <c r="BI2351" s="118"/>
      <c r="BJ2351" s="118"/>
      <c r="BK2351" s="118"/>
      <c r="BL2351" s="118"/>
      <c r="BM2351" s="118"/>
      <c r="BN2351" s="118"/>
      <c r="BO2351" s="118"/>
      <c r="BP2351" s="118"/>
      <c r="BQ2351" s="118"/>
      <c r="BR2351" s="118"/>
      <c r="BS2351" s="118"/>
      <c r="BT2351" s="118"/>
      <c r="BU2351" s="118"/>
      <c r="BV2351" s="118"/>
      <c r="BW2351" s="118"/>
      <c r="BX2351" s="118"/>
      <c r="BY2351" s="118"/>
      <c r="BZ2351" s="118"/>
      <c r="CA2351" s="118"/>
      <c r="CB2351" s="118"/>
      <c r="CC2351" s="118"/>
      <c r="CD2351" s="118"/>
      <c r="CE2351" s="118"/>
      <c r="CF2351" s="118"/>
      <c r="CG2351" s="118"/>
      <c r="CH2351" s="118"/>
      <c r="CI2351" s="118"/>
      <c r="CJ2351" s="118"/>
      <c r="CK2351" s="118"/>
      <c r="CL2351" s="118"/>
      <c r="CM2351" s="118"/>
      <c r="CN2351" s="118"/>
      <c r="CO2351" s="118"/>
      <c r="CP2351" s="118"/>
      <c r="CQ2351" s="118"/>
      <c r="CR2351" s="118"/>
      <c r="CS2351" s="118"/>
      <c r="CT2351" s="118"/>
      <c r="CU2351" s="118"/>
      <c r="CV2351" s="118"/>
      <c r="CW2351" s="118"/>
      <c r="CX2351" s="118"/>
      <c r="CY2351" s="118"/>
      <c r="CZ2351" s="118"/>
      <c r="DA2351" s="118"/>
      <c r="DB2351" s="118"/>
      <c r="DC2351" s="118"/>
      <c r="DD2351" s="118"/>
      <c r="DE2351" s="118"/>
      <c r="DF2351" s="118"/>
      <c r="DG2351" s="118"/>
      <c r="DH2351" s="118"/>
      <c r="DI2351" s="118"/>
      <c r="DJ2351" s="118"/>
      <c r="DK2351" s="118"/>
      <c r="DL2351" s="118"/>
      <c r="DM2351" s="118"/>
      <c r="DN2351" s="118"/>
      <c r="DO2351" s="118"/>
      <c r="DP2351" s="118"/>
      <c r="DQ2351" s="118"/>
      <c r="DR2351" s="118"/>
      <c r="DS2351" s="118"/>
      <c r="DT2351" s="118"/>
      <c r="DU2351" s="118"/>
      <c r="DV2351" s="118"/>
      <c r="DW2351" s="118"/>
      <c r="DX2351" s="118"/>
      <c r="DY2351" s="118"/>
      <c r="DZ2351" s="118"/>
      <c r="EA2351" s="118"/>
      <c r="EB2351" s="118"/>
      <c r="EC2351" s="118"/>
      <c r="ED2351" s="118"/>
      <c r="EE2351" s="118"/>
      <c r="EF2351" s="118"/>
      <c r="EG2351" s="118"/>
      <c r="EH2351" s="118"/>
      <c r="EI2351" s="118"/>
      <c r="EJ2351" s="118"/>
      <c r="EK2351" s="118"/>
      <c r="EL2351" s="118"/>
      <c r="EM2351" s="118"/>
      <c r="EN2351" s="118"/>
      <c r="EO2351" s="118"/>
      <c r="EP2351" s="118"/>
      <c r="EQ2351" s="118"/>
      <c r="ER2351" s="118"/>
      <c r="ES2351" s="118"/>
      <c r="ET2351" s="118"/>
      <c r="EU2351" s="118"/>
      <c r="EV2351" s="118"/>
      <c r="EW2351" s="118"/>
      <c r="EX2351" s="118"/>
      <c r="EY2351" s="118"/>
      <c r="EZ2351" s="118"/>
      <c r="FA2351" s="118"/>
      <c r="FB2351" s="118"/>
      <c r="FC2351" s="118"/>
      <c r="FD2351" s="118"/>
      <c r="FE2351" s="118"/>
      <c r="FF2351" s="118"/>
      <c r="FG2351" s="118"/>
      <c r="FH2351" s="118"/>
      <c r="FI2351" s="118"/>
      <c r="FJ2351" s="118"/>
      <c r="FK2351" s="118"/>
      <c r="FL2351" s="118"/>
      <c r="FM2351" s="118"/>
      <c r="FN2351" s="118"/>
      <c r="FO2351" s="118"/>
      <c r="FP2351" s="118"/>
      <c r="FQ2351" s="118"/>
      <c r="FR2351" s="118"/>
      <c r="FS2351" s="118"/>
      <c r="FT2351" s="118"/>
      <c r="FU2351" s="118"/>
      <c r="FV2351" s="118"/>
      <c r="FW2351" s="118"/>
      <c r="FX2351" s="118"/>
      <c r="FY2351" s="118"/>
      <c r="FZ2351" s="118"/>
      <c r="GA2351" s="118"/>
      <c r="GB2351" s="118"/>
      <c r="GC2351" s="118"/>
      <c r="GD2351" s="118"/>
      <c r="GE2351" s="118"/>
      <c r="GF2351" s="118"/>
      <c r="GG2351" s="118"/>
      <c r="GH2351" s="118"/>
      <c r="GI2351" s="118"/>
      <c r="GJ2351" s="118"/>
      <c r="GK2351" s="118"/>
      <c r="GL2351" s="118"/>
      <c r="GM2351" s="118"/>
      <c r="GN2351" s="118"/>
      <c r="GO2351" s="118"/>
      <c r="GP2351" s="118"/>
      <c r="GQ2351" s="118"/>
      <c r="GR2351" s="118"/>
      <c r="GS2351" s="118"/>
      <c r="GT2351" s="118"/>
      <c r="GU2351" s="118"/>
      <c r="GV2351" s="118"/>
      <c r="GW2351" s="118"/>
      <c r="GX2351" s="118"/>
      <c r="GY2351" s="118"/>
      <c r="GZ2351" s="118"/>
      <c r="HA2351" s="118"/>
      <c r="HB2351" s="118"/>
      <c r="HC2351" s="118"/>
      <c r="HD2351" s="118"/>
      <c r="HE2351" s="118"/>
      <c r="HF2351" s="118"/>
      <c r="HG2351" s="118"/>
      <c r="HH2351" s="118"/>
      <c r="HI2351" s="118"/>
      <c r="HJ2351" s="118"/>
      <c r="HK2351" s="118"/>
      <c r="HL2351" s="118"/>
      <c r="HM2351" s="118"/>
      <c r="HN2351" s="118"/>
      <c r="HO2351" s="118"/>
      <c r="HP2351" s="118"/>
      <c r="HQ2351" s="118"/>
      <c r="HR2351" s="118"/>
      <c r="HS2351" s="118"/>
      <c r="HT2351" s="118"/>
      <c r="HU2351" s="118"/>
      <c r="HV2351" s="118"/>
      <c r="HW2351" s="118"/>
      <c r="HX2351" s="118"/>
      <c r="HY2351" s="118"/>
      <c r="HZ2351" s="118"/>
      <c r="IA2351" s="118"/>
      <c r="IB2351" s="118"/>
      <c r="IC2351" s="118"/>
      <c r="ID2351" s="118"/>
      <c r="IE2351" s="118"/>
      <c r="IF2351" s="118"/>
      <c r="IG2351" s="118"/>
      <c r="IH2351" s="118"/>
      <c r="II2351" s="118"/>
      <c r="IJ2351" s="118"/>
    </row>
    <row r="2352" spans="1:244" s="11" customFormat="1" ht="12.75" customHeight="1">
      <c r="A2352" s="118">
        <v>2351</v>
      </c>
      <c r="B2352" s="128">
        <v>25</v>
      </c>
      <c r="C2352" s="156">
        <v>36831</v>
      </c>
      <c r="D2352" s="157" t="s">
        <v>54</v>
      </c>
      <c r="E2352" s="8">
        <v>2000</v>
      </c>
      <c r="F2352" s="158"/>
      <c r="G2352" s="162"/>
      <c r="I2352" s="163"/>
      <c r="M2352" s="174"/>
      <c r="N2352" s="528"/>
      <c r="P2352" s="8"/>
      <c r="S2352" s="155"/>
      <c r="U2352" s="161"/>
      <c r="X2352" s="118"/>
      <c r="Y2352" s="118"/>
      <c r="Z2352" s="118"/>
      <c r="AA2352" s="118"/>
      <c r="AB2352" s="118"/>
      <c r="AC2352" s="118"/>
      <c r="AD2352" s="118"/>
      <c r="AE2352" s="118"/>
      <c r="AF2352" s="118"/>
      <c r="AG2352" s="118"/>
      <c r="AH2352" s="118"/>
      <c r="AI2352" s="118"/>
      <c r="AJ2352" s="118"/>
      <c r="AK2352" s="118"/>
      <c r="AL2352" s="118"/>
      <c r="AM2352" s="118"/>
      <c r="AN2352" s="118"/>
      <c r="AO2352" s="118"/>
      <c r="AP2352" s="118"/>
      <c r="AQ2352" s="118"/>
      <c r="AR2352" s="118"/>
      <c r="AS2352" s="118"/>
      <c r="AT2352" s="118"/>
      <c r="AU2352" s="118"/>
      <c r="AV2352" s="118"/>
      <c r="AW2352" s="118"/>
      <c r="AX2352" s="118"/>
      <c r="AY2352" s="118"/>
      <c r="AZ2352" s="118"/>
      <c r="BA2352" s="118"/>
      <c r="BB2352" s="118"/>
      <c r="BC2352" s="118"/>
      <c r="BD2352" s="118"/>
      <c r="BE2352" s="118"/>
      <c r="BF2352" s="118"/>
      <c r="BG2352" s="118"/>
      <c r="BH2352" s="118"/>
      <c r="BI2352" s="118"/>
      <c r="BJ2352" s="118"/>
      <c r="BK2352" s="118"/>
      <c r="BL2352" s="118"/>
      <c r="BM2352" s="118"/>
      <c r="BN2352" s="118"/>
      <c r="BO2352" s="118"/>
      <c r="BP2352" s="118"/>
      <c r="BQ2352" s="118"/>
      <c r="BR2352" s="118"/>
      <c r="BS2352" s="118"/>
      <c r="BT2352" s="118"/>
      <c r="BU2352" s="118"/>
      <c r="BV2352" s="118"/>
      <c r="BW2352" s="118"/>
      <c r="BX2352" s="118"/>
      <c r="BY2352" s="118"/>
      <c r="BZ2352" s="118"/>
      <c r="CA2352" s="118"/>
      <c r="CB2352" s="118"/>
      <c r="CC2352" s="118"/>
      <c r="CD2352" s="118"/>
      <c r="CE2352" s="118"/>
      <c r="CF2352" s="118"/>
      <c r="CG2352" s="118"/>
      <c r="CH2352" s="118"/>
      <c r="CI2352" s="118"/>
      <c r="CJ2352" s="118"/>
      <c r="CK2352" s="118"/>
      <c r="CL2352" s="118"/>
      <c r="CM2352" s="118"/>
      <c r="CN2352" s="118"/>
      <c r="CO2352" s="118"/>
      <c r="CP2352" s="118"/>
      <c r="CQ2352" s="118"/>
      <c r="CR2352" s="118"/>
      <c r="CS2352" s="118"/>
      <c r="CT2352" s="118"/>
      <c r="CU2352" s="118"/>
      <c r="CV2352" s="118"/>
      <c r="CW2352" s="118"/>
      <c r="CX2352" s="118"/>
      <c r="CY2352" s="118"/>
      <c r="CZ2352" s="118"/>
      <c r="DA2352" s="118"/>
      <c r="DB2352" s="118"/>
      <c r="DC2352" s="118"/>
      <c r="DD2352" s="118"/>
      <c r="DE2352" s="118"/>
      <c r="DF2352" s="118"/>
      <c r="DG2352" s="118"/>
      <c r="DH2352" s="118"/>
      <c r="DI2352" s="118"/>
      <c r="DJ2352" s="118"/>
      <c r="DK2352" s="118"/>
      <c r="DL2352" s="118"/>
      <c r="DM2352" s="118"/>
      <c r="DN2352" s="118"/>
      <c r="DO2352" s="118"/>
      <c r="DP2352" s="118"/>
      <c r="DQ2352" s="118"/>
      <c r="DR2352" s="118"/>
      <c r="DS2352" s="118"/>
      <c r="DT2352" s="118"/>
      <c r="DU2352" s="118"/>
      <c r="DV2352" s="118"/>
      <c r="DW2352" s="118"/>
      <c r="DX2352" s="118"/>
      <c r="DY2352" s="118"/>
      <c r="DZ2352" s="118"/>
      <c r="EA2352" s="118"/>
      <c r="EB2352" s="118"/>
      <c r="EC2352" s="118"/>
      <c r="ED2352" s="118"/>
      <c r="EE2352" s="118"/>
      <c r="EF2352" s="118"/>
      <c r="EG2352" s="118"/>
      <c r="EH2352" s="118"/>
      <c r="EI2352" s="118"/>
      <c r="EJ2352" s="118"/>
      <c r="EK2352" s="118"/>
      <c r="EL2352" s="118"/>
      <c r="EM2352" s="118"/>
      <c r="EN2352" s="118"/>
      <c r="EO2352" s="118"/>
      <c r="EP2352" s="118"/>
      <c r="EQ2352" s="118"/>
      <c r="ER2352" s="118"/>
      <c r="ES2352" s="118"/>
      <c r="ET2352" s="118"/>
      <c r="EU2352" s="118"/>
      <c r="EV2352" s="118"/>
      <c r="EW2352" s="118"/>
      <c r="EX2352" s="118"/>
      <c r="EY2352" s="118"/>
      <c r="EZ2352" s="118"/>
      <c r="FA2352" s="118"/>
      <c r="FB2352" s="118"/>
      <c r="FC2352" s="118"/>
      <c r="FD2352" s="118"/>
      <c r="FE2352" s="118"/>
      <c r="FF2352" s="118"/>
      <c r="FG2352" s="118"/>
      <c r="FH2352" s="118"/>
      <c r="FI2352" s="118"/>
      <c r="FJ2352" s="118"/>
      <c r="FK2352" s="118"/>
      <c r="FL2352" s="118"/>
      <c r="FM2352" s="118"/>
      <c r="FN2352" s="118"/>
      <c r="FO2352" s="118"/>
      <c r="FP2352" s="118"/>
      <c r="FQ2352" s="118"/>
      <c r="FR2352" s="118"/>
      <c r="FS2352" s="118"/>
      <c r="FT2352" s="118"/>
      <c r="FU2352" s="118"/>
      <c r="FV2352" s="118"/>
      <c r="FW2352" s="118"/>
      <c r="FX2352" s="118"/>
      <c r="FY2352" s="118"/>
      <c r="FZ2352" s="118"/>
      <c r="GA2352" s="118"/>
      <c r="GB2352" s="118"/>
      <c r="GC2352" s="118"/>
      <c r="GD2352" s="118"/>
      <c r="GE2352" s="118"/>
      <c r="GF2352" s="118"/>
      <c r="GG2352" s="118"/>
      <c r="GH2352" s="118"/>
      <c r="GI2352" s="118"/>
      <c r="GJ2352" s="118"/>
      <c r="GK2352" s="118"/>
      <c r="GL2352" s="118"/>
      <c r="GM2352" s="118"/>
      <c r="GN2352" s="118"/>
      <c r="GO2352" s="118"/>
      <c r="GP2352" s="118"/>
      <c r="GQ2352" s="118"/>
      <c r="GR2352" s="118"/>
      <c r="GS2352" s="118"/>
      <c r="GT2352" s="118"/>
      <c r="GU2352" s="118"/>
      <c r="GV2352" s="118"/>
      <c r="GW2352" s="118"/>
      <c r="GX2352" s="118"/>
      <c r="GY2352" s="118"/>
      <c r="GZ2352" s="118"/>
      <c r="HA2352" s="118"/>
      <c r="HB2352" s="118"/>
      <c r="HC2352" s="118"/>
      <c r="HD2352" s="118"/>
      <c r="HE2352" s="118"/>
      <c r="HF2352" s="118"/>
      <c r="HG2352" s="118"/>
      <c r="HH2352" s="118"/>
      <c r="HI2352" s="118"/>
      <c r="HJ2352" s="118"/>
      <c r="HK2352" s="118"/>
      <c r="HL2352" s="118"/>
      <c r="HM2352" s="118"/>
      <c r="HN2352" s="118"/>
      <c r="HO2352" s="118"/>
      <c r="HP2352" s="118"/>
      <c r="HQ2352" s="118"/>
      <c r="HR2352" s="118"/>
      <c r="HS2352" s="118"/>
      <c r="HT2352" s="118"/>
      <c r="HU2352" s="118"/>
      <c r="HV2352" s="118"/>
      <c r="HW2352" s="118"/>
      <c r="HX2352" s="118"/>
      <c r="HY2352" s="118"/>
      <c r="HZ2352" s="118"/>
      <c r="IA2352" s="118"/>
      <c r="IB2352" s="118"/>
      <c r="IC2352" s="118"/>
      <c r="ID2352" s="118"/>
      <c r="IE2352" s="118"/>
      <c r="IF2352" s="118"/>
      <c r="IG2352" s="118"/>
      <c r="IH2352" s="118"/>
      <c r="II2352" s="118"/>
      <c r="IJ2352" s="118"/>
    </row>
    <row r="2353" spans="1:244" s="11" customFormat="1" ht="12.75" customHeight="1">
      <c r="A2353" s="118">
        <v>2352</v>
      </c>
      <c r="B2353" s="128">
        <v>25</v>
      </c>
      <c r="C2353" s="156">
        <v>36861</v>
      </c>
      <c r="D2353" s="157" t="s">
        <v>55</v>
      </c>
      <c r="E2353" s="8">
        <v>2000</v>
      </c>
      <c r="F2353" s="158"/>
      <c r="G2353" s="162"/>
      <c r="I2353" s="163"/>
      <c r="M2353" s="174"/>
      <c r="N2353" s="528"/>
      <c r="P2353" s="8"/>
      <c r="S2353" s="155"/>
      <c r="U2353" s="161"/>
      <c r="X2353" s="118"/>
      <c r="Y2353" s="118"/>
      <c r="Z2353" s="118"/>
      <c r="AA2353" s="118"/>
      <c r="AB2353" s="118"/>
      <c r="AC2353" s="118"/>
      <c r="AD2353" s="118"/>
      <c r="AE2353" s="118"/>
      <c r="AF2353" s="118"/>
      <c r="AG2353" s="118"/>
      <c r="AH2353" s="118"/>
      <c r="AI2353" s="118"/>
      <c r="AJ2353" s="118"/>
      <c r="AK2353" s="118"/>
      <c r="AL2353" s="118"/>
      <c r="AM2353" s="118"/>
      <c r="AN2353" s="118"/>
      <c r="AO2353" s="118"/>
      <c r="AP2353" s="118"/>
      <c r="AQ2353" s="118"/>
      <c r="AR2353" s="118"/>
      <c r="AS2353" s="118"/>
      <c r="AT2353" s="118"/>
      <c r="AU2353" s="118"/>
      <c r="AV2353" s="118"/>
      <c r="AW2353" s="118"/>
      <c r="AX2353" s="118"/>
      <c r="AY2353" s="118"/>
      <c r="AZ2353" s="118"/>
      <c r="BA2353" s="118"/>
      <c r="BB2353" s="118"/>
      <c r="BC2353" s="118"/>
      <c r="BD2353" s="118"/>
      <c r="BE2353" s="118"/>
      <c r="BF2353" s="118"/>
      <c r="BG2353" s="118"/>
      <c r="BH2353" s="118"/>
      <c r="BI2353" s="118"/>
      <c r="BJ2353" s="118"/>
      <c r="BK2353" s="118"/>
      <c r="BL2353" s="118"/>
      <c r="BM2353" s="118"/>
      <c r="BN2353" s="118"/>
      <c r="BO2353" s="118"/>
      <c r="BP2353" s="118"/>
      <c r="BQ2353" s="118"/>
      <c r="BR2353" s="118"/>
      <c r="BS2353" s="118"/>
      <c r="BT2353" s="118"/>
      <c r="BU2353" s="118"/>
      <c r="BV2353" s="118"/>
      <c r="BW2353" s="118"/>
      <c r="BX2353" s="118"/>
      <c r="BY2353" s="118"/>
      <c r="BZ2353" s="118"/>
      <c r="CA2353" s="118"/>
      <c r="CB2353" s="118"/>
      <c r="CC2353" s="118"/>
      <c r="CD2353" s="118"/>
      <c r="CE2353" s="118"/>
      <c r="CF2353" s="118"/>
      <c r="CG2353" s="118"/>
      <c r="CH2353" s="118"/>
      <c r="CI2353" s="118"/>
      <c r="CJ2353" s="118"/>
      <c r="CK2353" s="118"/>
      <c r="CL2353" s="118"/>
      <c r="CM2353" s="118"/>
      <c r="CN2353" s="118"/>
      <c r="CO2353" s="118"/>
      <c r="CP2353" s="118"/>
      <c r="CQ2353" s="118"/>
      <c r="CR2353" s="118"/>
      <c r="CS2353" s="118"/>
      <c r="CT2353" s="118"/>
      <c r="CU2353" s="118"/>
      <c r="CV2353" s="118"/>
      <c r="CW2353" s="118"/>
      <c r="CX2353" s="118"/>
      <c r="CY2353" s="118"/>
      <c r="CZ2353" s="118"/>
      <c r="DA2353" s="118"/>
      <c r="DB2353" s="118"/>
      <c r="DC2353" s="118"/>
      <c r="DD2353" s="118"/>
      <c r="DE2353" s="118"/>
      <c r="DF2353" s="118"/>
      <c r="DG2353" s="118"/>
      <c r="DH2353" s="118"/>
      <c r="DI2353" s="118"/>
      <c r="DJ2353" s="118"/>
      <c r="DK2353" s="118"/>
      <c r="DL2353" s="118"/>
      <c r="DM2353" s="118"/>
      <c r="DN2353" s="118"/>
      <c r="DO2353" s="118"/>
      <c r="DP2353" s="118"/>
      <c r="DQ2353" s="118"/>
      <c r="DR2353" s="118"/>
      <c r="DS2353" s="118"/>
      <c r="DT2353" s="118"/>
      <c r="DU2353" s="118"/>
      <c r="DV2353" s="118"/>
      <c r="DW2353" s="118"/>
      <c r="DX2353" s="118"/>
      <c r="DY2353" s="118"/>
      <c r="DZ2353" s="118"/>
      <c r="EA2353" s="118"/>
      <c r="EB2353" s="118"/>
      <c r="EC2353" s="118"/>
      <c r="ED2353" s="118"/>
      <c r="EE2353" s="118"/>
      <c r="EF2353" s="118"/>
      <c r="EG2353" s="118"/>
      <c r="EH2353" s="118"/>
      <c r="EI2353" s="118"/>
      <c r="EJ2353" s="118"/>
      <c r="EK2353" s="118"/>
      <c r="EL2353" s="118"/>
      <c r="EM2353" s="118"/>
      <c r="EN2353" s="118"/>
      <c r="EO2353" s="118"/>
      <c r="EP2353" s="118"/>
      <c r="EQ2353" s="118"/>
      <c r="ER2353" s="118"/>
      <c r="ES2353" s="118"/>
      <c r="ET2353" s="118"/>
      <c r="EU2353" s="118"/>
      <c r="EV2353" s="118"/>
      <c r="EW2353" s="118"/>
      <c r="EX2353" s="118"/>
      <c r="EY2353" s="118"/>
      <c r="EZ2353" s="118"/>
      <c r="FA2353" s="118"/>
      <c r="FB2353" s="118"/>
      <c r="FC2353" s="118"/>
      <c r="FD2353" s="118"/>
      <c r="FE2353" s="118"/>
      <c r="FF2353" s="118"/>
      <c r="FG2353" s="118"/>
      <c r="FH2353" s="118"/>
      <c r="FI2353" s="118"/>
      <c r="FJ2353" s="118"/>
      <c r="FK2353" s="118"/>
      <c r="FL2353" s="118"/>
      <c r="FM2353" s="118"/>
      <c r="FN2353" s="118"/>
      <c r="FO2353" s="118"/>
      <c r="FP2353" s="118"/>
      <c r="FQ2353" s="118"/>
      <c r="FR2353" s="118"/>
      <c r="FS2353" s="118"/>
      <c r="FT2353" s="118"/>
      <c r="FU2353" s="118"/>
      <c r="FV2353" s="118"/>
      <c r="FW2353" s="118"/>
      <c r="FX2353" s="118"/>
      <c r="FY2353" s="118"/>
      <c r="FZ2353" s="118"/>
      <c r="GA2353" s="118"/>
      <c r="GB2353" s="118"/>
      <c r="GC2353" s="118"/>
      <c r="GD2353" s="118"/>
      <c r="GE2353" s="118"/>
      <c r="GF2353" s="118"/>
      <c r="GG2353" s="118"/>
      <c r="GH2353" s="118"/>
      <c r="GI2353" s="118"/>
      <c r="GJ2353" s="118"/>
      <c r="GK2353" s="118"/>
      <c r="GL2353" s="118"/>
      <c r="GM2353" s="118"/>
      <c r="GN2353" s="118"/>
      <c r="GO2353" s="118"/>
      <c r="GP2353" s="118"/>
      <c r="GQ2353" s="118"/>
      <c r="GR2353" s="118"/>
      <c r="GS2353" s="118"/>
      <c r="GT2353" s="118"/>
      <c r="GU2353" s="118"/>
      <c r="GV2353" s="118"/>
      <c r="GW2353" s="118"/>
      <c r="GX2353" s="118"/>
      <c r="GY2353" s="118"/>
      <c r="GZ2353" s="118"/>
      <c r="HA2353" s="118"/>
      <c r="HB2353" s="118"/>
      <c r="HC2353" s="118"/>
      <c r="HD2353" s="118"/>
      <c r="HE2353" s="118"/>
      <c r="HF2353" s="118"/>
      <c r="HG2353" s="118"/>
      <c r="HH2353" s="118"/>
      <c r="HI2353" s="118"/>
      <c r="HJ2353" s="118"/>
      <c r="HK2353" s="118"/>
      <c r="HL2353" s="118"/>
      <c r="HM2353" s="118"/>
      <c r="HN2353" s="118"/>
      <c r="HO2353" s="118"/>
      <c r="HP2353" s="118"/>
      <c r="HQ2353" s="118"/>
      <c r="HR2353" s="118"/>
      <c r="HS2353" s="118"/>
      <c r="HT2353" s="118"/>
      <c r="HU2353" s="118"/>
      <c r="HV2353" s="118"/>
      <c r="HW2353" s="118"/>
      <c r="HX2353" s="118"/>
      <c r="HY2353" s="118"/>
      <c r="HZ2353" s="118"/>
      <c r="IA2353" s="118"/>
      <c r="IB2353" s="118"/>
      <c r="IC2353" s="118"/>
      <c r="ID2353" s="118"/>
      <c r="IE2353" s="118"/>
      <c r="IF2353" s="118"/>
      <c r="IG2353" s="118"/>
      <c r="IH2353" s="118"/>
      <c r="II2353" s="118"/>
      <c r="IJ2353" s="118"/>
    </row>
    <row r="2354" spans="1:244" s="11" customFormat="1" ht="12.75" customHeight="1">
      <c r="A2354" s="118">
        <v>2353</v>
      </c>
      <c r="B2354" s="128">
        <v>25</v>
      </c>
      <c r="C2354" s="156">
        <v>36892</v>
      </c>
      <c r="D2354" s="157" t="s">
        <v>44</v>
      </c>
      <c r="E2354" s="8">
        <v>2001</v>
      </c>
      <c r="F2354" s="158"/>
      <c r="G2354" s="162"/>
      <c r="I2354" s="163"/>
      <c r="M2354" s="174"/>
      <c r="N2354" s="528"/>
      <c r="P2354" s="8"/>
      <c r="S2354" s="155"/>
      <c r="U2354" s="161"/>
      <c r="X2354" s="118"/>
      <c r="Y2354" s="118"/>
      <c r="Z2354" s="118"/>
      <c r="AA2354" s="118"/>
      <c r="AB2354" s="118"/>
      <c r="AC2354" s="118"/>
      <c r="AD2354" s="118"/>
      <c r="AE2354" s="118"/>
      <c r="AF2354" s="118"/>
      <c r="AG2354" s="118"/>
      <c r="AH2354" s="118"/>
      <c r="AI2354" s="118"/>
      <c r="AJ2354" s="118"/>
      <c r="AK2354" s="118"/>
      <c r="AL2354" s="118"/>
      <c r="AM2354" s="118"/>
      <c r="AN2354" s="118"/>
      <c r="AO2354" s="118"/>
      <c r="AP2354" s="118"/>
      <c r="AQ2354" s="118"/>
      <c r="AR2354" s="118"/>
      <c r="AS2354" s="118"/>
      <c r="AT2354" s="118"/>
      <c r="AU2354" s="118"/>
      <c r="AV2354" s="118"/>
      <c r="AW2354" s="118"/>
      <c r="AX2354" s="118"/>
      <c r="AY2354" s="118"/>
      <c r="AZ2354" s="118"/>
      <c r="BA2354" s="118"/>
      <c r="BB2354" s="118"/>
      <c r="BC2354" s="118"/>
      <c r="BD2354" s="118"/>
      <c r="BE2354" s="118"/>
      <c r="BF2354" s="118"/>
      <c r="BG2354" s="118"/>
      <c r="BH2354" s="118"/>
      <c r="BI2354" s="118"/>
      <c r="BJ2354" s="118"/>
      <c r="BK2354" s="118"/>
      <c r="BL2354" s="118"/>
      <c r="BM2354" s="118"/>
      <c r="BN2354" s="118"/>
      <c r="BO2354" s="118"/>
      <c r="BP2354" s="118"/>
      <c r="BQ2354" s="118"/>
      <c r="BR2354" s="118"/>
      <c r="BS2354" s="118"/>
      <c r="BT2354" s="118"/>
      <c r="BU2354" s="118"/>
      <c r="BV2354" s="118"/>
      <c r="BW2354" s="118"/>
      <c r="BX2354" s="118"/>
      <c r="BY2354" s="118"/>
      <c r="BZ2354" s="118"/>
      <c r="CA2354" s="118"/>
      <c r="CB2354" s="118"/>
      <c r="CC2354" s="118"/>
      <c r="CD2354" s="118"/>
      <c r="CE2354" s="118"/>
      <c r="CF2354" s="118"/>
      <c r="CG2354" s="118"/>
      <c r="CH2354" s="118"/>
      <c r="CI2354" s="118"/>
      <c r="CJ2354" s="118"/>
      <c r="CK2354" s="118"/>
      <c r="CL2354" s="118"/>
      <c r="CM2354" s="118"/>
      <c r="CN2354" s="118"/>
      <c r="CO2354" s="118"/>
      <c r="CP2354" s="118"/>
      <c r="CQ2354" s="118"/>
      <c r="CR2354" s="118"/>
      <c r="CS2354" s="118"/>
      <c r="CT2354" s="118"/>
      <c r="CU2354" s="118"/>
      <c r="CV2354" s="118"/>
      <c r="CW2354" s="118"/>
      <c r="CX2354" s="118"/>
      <c r="CY2354" s="118"/>
      <c r="CZ2354" s="118"/>
      <c r="DA2354" s="118"/>
      <c r="DB2354" s="118"/>
      <c r="DC2354" s="118"/>
      <c r="DD2354" s="118"/>
      <c r="DE2354" s="118"/>
      <c r="DF2354" s="118"/>
      <c r="DG2354" s="118"/>
      <c r="DH2354" s="118"/>
      <c r="DI2354" s="118"/>
      <c r="DJ2354" s="118"/>
      <c r="DK2354" s="118"/>
      <c r="DL2354" s="118"/>
      <c r="DM2354" s="118"/>
      <c r="DN2354" s="118"/>
      <c r="DO2354" s="118"/>
      <c r="DP2354" s="118"/>
      <c r="DQ2354" s="118"/>
      <c r="DR2354" s="118"/>
      <c r="DS2354" s="118"/>
      <c r="DT2354" s="118"/>
      <c r="DU2354" s="118"/>
      <c r="DV2354" s="118"/>
      <c r="DW2354" s="118"/>
      <c r="DX2354" s="118"/>
      <c r="DY2354" s="118"/>
      <c r="DZ2354" s="118"/>
      <c r="EA2354" s="118"/>
      <c r="EB2354" s="118"/>
      <c r="EC2354" s="118"/>
      <c r="ED2354" s="118"/>
      <c r="EE2354" s="118"/>
      <c r="EF2354" s="118"/>
      <c r="EG2354" s="118"/>
      <c r="EH2354" s="118"/>
      <c r="EI2354" s="118"/>
      <c r="EJ2354" s="118"/>
      <c r="EK2354" s="118"/>
      <c r="EL2354" s="118"/>
      <c r="EM2354" s="118"/>
      <c r="EN2354" s="118"/>
      <c r="EO2354" s="118"/>
      <c r="EP2354" s="118"/>
      <c r="EQ2354" s="118"/>
      <c r="ER2354" s="118"/>
      <c r="ES2354" s="118"/>
      <c r="ET2354" s="118"/>
      <c r="EU2354" s="118"/>
      <c r="EV2354" s="118"/>
      <c r="EW2354" s="118"/>
      <c r="EX2354" s="118"/>
      <c r="EY2354" s="118"/>
      <c r="EZ2354" s="118"/>
      <c r="FA2354" s="118"/>
      <c r="FB2354" s="118"/>
      <c r="FC2354" s="118"/>
      <c r="FD2354" s="118"/>
      <c r="FE2354" s="118"/>
      <c r="FF2354" s="118"/>
      <c r="FG2354" s="118"/>
      <c r="FH2354" s="118"/>
      <c r="FI2354" s="118"/>
      <c r="FJ2354" s="118"/>
      <c r="FK2354" s="118"/>
      <c r="FL2354" s="118"/>
      <c r="FM2354" s="118"/>
      <c r="FN2354" s="118"/>
      <c r="FO2354" s="118"/>
      <c r="FP2354" s="118"/>
      <c r="FQ2354" s="118"/>
      <c r="FR2354" s="118"/>
      <c r="FS2354" s="118"/>
      <c r="FT2354" s="118"/>
      <c r="FU2354" s="118"/>
      <c r="FV2354" s="118"/>
      <c r="FW2354" s="118"/>
      <c r="FX2354" s="118"/>
      <c r="FY2354" s="118"/>
      <c r="FZ2354" s="118"/>
      <c r="GA2354" s="118"/>
      <c r="GB2354" s="118"/>
      <c r="GC2354" s="118"/>
      <c r="GD2354" s="118"/>
      <c r="GE2354" s="118"/>
      <c r="GF2354" s="118"/>
      <c r="GG2354" s="118"/>
      <c r="GH2354" s="118"/>
      <c r="GI2354" s="118"/>
      <c r="GJ2354" s="118"/>
      <c r="GK2354" s="118"/>
      <c r="GL2354" s="118"/>
      <c r="GM2354" s="118"/>
      <c r="GN2354" s="118"/>
      <c r="GO2354" s="118"/>
      <c r="GP2354" s="118"/>
      <c r="GQ2354" s="118"/>
      <c r="GR2354" s="118"/>
      <c r="GS2354" s="118"/>
      <c r="GT2354" s="118"/>
      <c r="GU2354" s="118"/>
      <c r="GV2354" s="118"/>
      <c r="GW2354" s="118"/>
      <c r="GX2354" s="118"/>
      <c r="GY2354" s="118"/>
      <c r="GZ2354" s="118"/>
      <c r="HA2354" s="118"/>
      <c r="HB2354" s="118"/>
      <c r="HC2354" s="118"/>
      <c r="HD2354" s="118"/>
      <c r="HE2354" s="118"/>
      <c r="HF2354" s="118"/>
      <c r="HG2354" s="118"/>
      <c r="HH2354" s="118"/>
      <c r="HI2354" s="118"/>
      <c r="HJ2354" s="118"/>
      <c r="HK2354" s="118"/>
      <c r="HL2354" s="118"/>
      <c r="HM2354" s="118"/>
      <c r="HN2354" s="118"/>
      <c r="HO2354" s="118"/>
      <c r="HP2354" s="118"/>
      <c r="HQ2354" s="118"/>
      <c r="HR2354" s="118"/>
      <c r="HS2354" s="118"/>
      <c r="HT2354" s="118"/>
      <c r="HU2354" s="118"/>
      <c r="HV2354" s="118"/>
      <c r="HW2354" s="118"/>
      <c r="HX2354" s="118"/>
      <c r="HY2354" s="118"/>
      <c r="HZ2354" s="118"/>
      <c r="IA2354" s="118"/>
      <c r="IB2354" s="118"/>
      <c r="IC2354" s="118"/>
      <c r="ID2354" s="118"/>
      <c r="IE2354" s="118"/>
      <c r="IF2354" s="118"/>
      <c r="IG2354" s="118"/>
      <c r="IH2354" s="118"/>
      <c r="II2354" s="118"/>
      <c r="IJ2354" s="118"/>
    </row>
    <row r="2355" spans="1:244" s="11" customFormat="1" ht="12.75" customHeight="1">
      <c r="A2355" s="118">
        <v>2354</v>
      </c>
      <c r="B2355" s="128">
        <v>25</v>
      </c>
      <c r="C2355" s="156">
        <v>36923</v>
      </c>
      <c r="D2355" s="157" t="s">
        <v>45</v>
      </c>
      <c r="E2355" s="8">
        <v>2001</v>
      </c>
      <c r="F2355" s="158">
        <f t="shared" ref="F2355:F2362" si="598">C2355-H2355</f>
        <v>0</v>
      </c>
      <c r="G2355" s="158">
        <f t="shared" ref="G2355:G2362" si="599">IF(F2355&lt;365,1,2)</f>
        <v>1</v>
      </c>
      <c r="H2355" s="162">
        <v>36923</v>
      </c>
      <c r="I2355" s="163">
        <v>105018</v>
      </c>
      <c r="M2355" s="174"/>
      <c r="N2355" s="528"/>
      <c r="P2355" s="8"/>
      <c r="S2355" s="155" t="s">
        <v>11</v>
      </c>
      <c r="U2355" s="161"/>
      <c r="X2355" s="118"/>
      <c r="Y2355" s="118"/>
      <c r="Z2355" s="118"/>
      <c r="AA2355" s="118"/>
      <c r="AB2355" s="118"/>
      <c r="AC2355" s="118"/>
      <c r="AD2355" s="118"/>
      <c r="AE2355" s="118"/>
      <c r="AF2355" s="118"/>
      <c r="AG2355" s="118"/>
      <c r="AH2355" s="118"/>
      <c r="AI2355" s="118"/>
      <c r="AJ2355" s="118"/>
      <c r="AK2355" s="118"/>
      <c r="AL2355" s="118"/>
      <c r="AM2355" s="118"/>
      <c r="AN2355" s="118"/>
      <c r="AO2355" s="118"/>
      <c r="AP2355" s="118"/>
      <c r="AQ2355" s="118"/>
      <c r="AR2355" s="118"/>
      <c r="AS2355" s="118"/>
      <c r="AT2355" s="118"/>
      <c r="AU2355" s="118"/>
      <c r="AV2355" s="118"/>
      <c r="AW2355" s="118"/>
      <c r="AX2355" s="118"/>
      <c r="AY2355" s="118"/>
      <c r="AZ2355" s="118"/>
      <c r="BA2355" s="118"/>
      <c r="BB2355" s="118"/>
      <c r="BC2355" s="118"/>
      <c r="BD2355" s="118"/>
      <c r="BE2355" s="118"/>
      <c r="BF2355" s="118"/>
      <c r="BG2355" s="118"/>
      <c r="BH2355" s="118"/>
      <c r="BI2355" s="118"/>
      <c r="BJ2355" s="118"/>
      <c r="BK2355" s="118"/>
      <c r="BL2355" s="118"/>
      <c r="BM2355" s="118"/>
      <c r="BN2355" s="118"/>
      <c r="BO2355" s="118"/>
      <c r="BP2355" s="118"/>
      <c r="BQ2355" s="118"/>
      <c r="BR2355" s="118"/>
      <c r="BS2355" s="118"/>
      <c r="BT2355" s="118"/>
      <c r="BU2355" s="118"/>
      <c r="BV2355" s="118"/>
      <c r="BW2355" s="118"/>
      <c r="BX2355" s="118"/>
      <c r="BY2355" s="118"/>
      <c r="BZ2355" s="118"/>
      <c r="CA2355" s="118"/>
      <c r="CB2355" s="118"/>
      <c r="CC2355" s="118"/>
      <c r="CD2355" s="118"/>
      <c r="CE2355" s="118"/>
      <c r="CF2355" s="118"/>
      <c r="CG2355" s="118"/>
      <c r="CH2355" s="118"/>
      <c r="CI2355" s="118"/>
      <c r="CJ2355" s="118"/>
      <c r="CK2355" s="118"/>
      <c r="CL2355" s="118"/>
      <c r="CM2355" s="118"/>
      <c r="CN2355" s="118"/>
      <c r="CO2355" s="118"/>
      <c r="CP2355" s="118"/>
      <c r="CQ2355" s="118"/>
      <c r="CR2355" s="118"/>
      <c r="CS2355" s="118"/>
      <c r="CT2355" s="118"/>
      <c r="CU2355" s="118"/>
      <c r="CV2355" s="118"/>
      <c r="CW2355" s="118"/>
      <c r="CX2355" s="118"/>
      <c r="CY2355" s="118"/>
      <c r="CZ2355" s="118"/>
      <c r="DA2355" s="118"/>
      <c r="DB2355" s="118"/>
      <c r="DC2355" s="118"/>
      <c r="DD2355" s="118"/>
      <c r="DE2355" s="118"/>
      <c r="DF2355" s="118"/>
      <c r="DG2355" s="118"/>
      <c r="DH2355" s="118"/>
      <c r="DI2355" s="118"/>
      <c r="DJ2355" s="118"/>
      <c r="DK2355" s="118"/>
      <c r="DL2355" s="118"/>
      <c r="DM2355" s="118"/>
      <c r="DN2355" s="118"/>
      <c r="DO2355" s="118"/>
      <c r="DP2355" s="118"/>
      <c r="DQ2355" s="118"/>
      <c r="DR2355" s="118"/>
      <c r="DS2355" s="118"/>
      <c r="DT2355" s="118"/>
      <c r="DU2355" s="118"/>
      <c r="DV2355" s="118"/>
      <c r="DW2355" s="118"/>
      <c r="DX2355" s="118"/>
      <c r="DY2355" s="118"/>
      <c r="DZ2355" s="118"/>
      <c r="EA2355" s="118"/>
      <c r="EB2355" s="118"/>
      <c r="EC2355" s="118"/>
      <c r="ED2355" s="118"/>
      <c r="EE2355" s="118"/>
      <c r="EF2355" s="118"/>
      <c r="EG2355" s="118"/>
      <c r="EH2355" s="118"/>
      <c r="EI2355" s="118"/>
      <c r="EJ2355" s="118"/>
      <c r="EK2355" s="118"/>
      <c r="EL2355" s="118"/>
      <c r="EM2355" s="118"/>
      <c r="EN2355" s="118"/>
      <c r="EO2355" s="118"/>
      <c r="EP2355" s="118"/>
      <c r="EQ2355" s="118"/>
      <c r="ER2355" s="118"/>
      <c r="ES2355" s="118"/>
      <c r="ET2355" s="118"/>
      <c r="EU2355" s="118"/>
      <c r="EV2355" s="118"/>
      <c r="EW2355" s="118"/>
      <c r="EX2355" s="118"/>
      <c r="EY2355" s="118"/>
      <c r="EZ2355" s="118"/>
      <c r="FA2355" s="118"/>
      <c r="FB2355" s="118"/>
      <c r="FC2355" s="118"/>
      <c r="FD2355" s="118"/>
      <c r="FE2355" s="118"/>
      <c r="FF2355" s="118"/>
      <c r="FG2355" s="118"/>
      <c r="FH2355" s="118"/>
      <c r="FI2355" s="118"/>
      <c r="FJ2355" s="118"/>
      <c r="FK2355" s="118"/>
      <c r="FL2355" s="118"/>
      <c r="FM2355" s="118"/>
      <c r="FN2355" s="118"/>
      <c r="FO2355" s="118"/>
      <c r="FP2355" s="118"/>
      <c r="FQ2355" s="118"/>
      <c r="FR2355" s="118"/>
      <c r="FS2355" s="118"/>
      <c r="FT2355" s="118"/>
      <c r="FU2355" s="118"/>
      <c r="FV2355" s="118"/>
      <c r="FW2355" s="118"/>
      <c r="FX2355" s="118"/>
      <c r="FY2355" s="118"/>
      <c r="FZ2355" s="118"/>
      <c r="GA2355" s="118"/>
      <c r="GB2355" s="118"/>
      <c r="GC2355" s="118"/>
      <c r="GD2355" s="118"/>
      <c r="GE2355" s="118"/>
      <c r="GF2355" s="118"/>
      <c r="GG2355" s="118"/>
      <c r="GH2355" s="118"/>
      <c r="GI2355" s="118"/>
      <c r="GJ2355" s="118"/>
      <c r="GK2355" s="118"/>
      <c r="GL2355" s="118"/>
      <c r="GM2355" s="118"/>
      <c r="GN2355" s="118"/>
      <c r="GO2355" s="118"/>
      <c r="GP2355" s="118"/>
      <c r="GQ2355" s="118"/>
      <c r="GR2355" s="118"/>
      <c r="GS2355" s="118"/>
      <c r="GT2355" s="118"/>
      <c r="GU2355" s="118"/>
      <c r="GV2355" s="118"/>
      <c r="GW2355" s="118"/>
      <c r="GX2355" s="118"/>
      <c r="GY2355" s="118"/>
      <c r="GZ2355" s="118"/>
      <c r="HA2355" s="118"/>
      <c r="HB2355" s="118"/>
      <c r="HC2355" s="118"/>
      <c r="HD2355" s="118"/>
      <c r="HE2355" s="118"/>
      <c r="HF2355" s="118"/>
      <c r="HG2355" s="118"/>
      <c r="HH2355" s="118"/>
      <c r="HI2355" s="118"/>
      <c r="HJ2355" s="118"/>
      <c r="HK2355" s="118"/>
      <c r="HL2355" s="118"/>
      <c r="HM2355" s="118"/>
      <c r="HN2355" s="118"/>
      <c r="HO2355" s="118"/>
      <c r="HP2355" s="118"/>
      <c r="HQ2355" s="118"/>
      <c r="HR2355" s="118"/>
      <c r="HS2355" s="118"/>
      <c r="HT2355" s="118"/>
      <c r="HU2355" s="118"/>
      <c r="HV2355" s="118"/>
      <c r="HW2355" s="118"/>
      <c r="HX2355" s="118"/>
      <c r="HY2355" s="118"/>
      <c r="HZ2355" s="118"/>
      <c r="IA2355" s="118"/>
      <c r="IB2355" s="118"/>
      <c r="IC2355" s="118"/>
      <c r="ID2355" s="118"/>
      <c r="IE2355" s="118"/>
      <c r="IF2355" s="118"/>
      <c r="IG2355" s="118"/>
      <c r="IH2355" s="118"/>
      <c r="II2355" s="118"/>
      <c r="IJ2355" s="118"/>
    </row>
    <row r="2356" spans="1:244" s="11" customFormat="1" ht="12.75" customHeight="1">
      <c r="A2356" s="118">
        <v>2355</v>
      </c>
      <c r="B2356" s="128">
        <v>25</v>
      </c>
      <c r="C2356" s="156">
        <v>36951</v>
      </c>
      <c r="D2356" s="157" t="s">
        <v>46</v>
      </c>
      <c r="E2356" s="8">
        <v>2001</v>
      </c>
      <c r="F2356" s="158">
        <f t="shared" si="598"/>
        <v>28</v>
      </c>
      <c r="G2356" s="158">
        <f t="shared" si="599"/>
        <v>1</v>
      </c>
      <c r="H2356" s="162">
        <v>36923</v>
      </c>
      <c r="I2356" s="163">
        <v>171915</v>
      </c>
      <c r="M2356" s="174"/>
      <c r="N2356" s="528"/>
      <c r="P2356" s="8"/>
      <c r="S2356" s="155"/>
      <c r="U2356" s="161"/>
      <c r="X2356" s="118"/>
      <c r="Y2356" s="118"/>
      <c r="Z2356" s="118"/>
      <c r="AA2356" s="118"/>
      <c r="AB2356" s="118"/>
      <c r="AC2356" s="118"/>
      <c r="AD2356" s="118"/>
      <c r="AE2356" s="118"/>
      <c r="AF2356" s="118"/>
      <c r="AG2356" s="118"/>
      <c r="AH2356" s="118"/>
      <c r="AI2356" s="118"/>
      <c r="AJ2356" s="118"/>
      <c r="AK2356" s="118"/>
      <c r="AL2356" s="118"/>
      <c r="AM2356" s="118"/>
      <c r="AN2356" s="118"/>
      <c r="AO2356" s="118"/>
      <c r="AP2356" s="118"/>
      <c r="AQ2356" s="118"/>
      <c r="AR2356" s="118"/>
      <c r="AS2356" s="118"/>
      <c r="AT2356" s="118"/>
      <c r="AU2356" s="118"/>
      <c r="AV2356" s="118"/>
      <c r="AW2356" s="118"/>
      <c r="AX2356" s="118"/>
      <c r="AY2356" s="118"/>
      <c r="AZ2356" s="118"/>
      <c r="BA2356" s="118"/>
      <c r="BB2356" s="118"/>
      <c r="BC2356" s="118"/>
      <c r="BD2356" s="118"/>
      <c r="BE2356" s="118"/>
      <c r="BF2356" s="118"/>
      <c r="BG2356" s="118"/>
      <c r="BH2356" s="118"/>
      <c r="BI2356" s="118"/>
      <c r="BJ2356" s="118"/>
      <c r="BK2356" s="118"/>
      <c r="BL2356" s="118"/>
      <c r="BM2356" s="118"/>
      <c r="BN2356" s="118"/>
      <c r="BO2356" s="118"/>
      <c r="BP2356" s="118"/>
      <c r="BQ2356" s="118"/>
      <c r="BR2356" s="118"/>
      <c r="BS2356" s="118"/>
      <c r="BT2356" s="118"/>
      <c r="BU2356" s="118"/>
      <c r="BV2356" s="118"/>
      <c r="BW2356" s="118"/>
      <c r="BX2356" s="118"/>
      <c r="BY2356" s="118"/>
      <c r="BZ2356" s="118"/>
      <c r="CA2356" s="118"/>
      <c r="CB2356" s="118"/>
      <c r="CC2356" s="118"/>
      <c r="CD2356" s="118"/>
      <c r="CE2356" s="118"/>
      <c r="CF2356" s="118"/>
      <c r="CG2356" s="118"/>
      <c r="CH2356" s="118"/>
      <c r="CI2356" s="118"/>
      <c r="CJ2356" s="118"/>
      <c r="CK2356" s="118"/>
      <c r="CL2356" s="118"/>
      <c r="CM2356" s="118"/>
      <c r="CN2356" s="118"/>
      <c r="CO2356" s="118"/>
      <c r="CP2356" s="118"/>
      <c r="CQ2356" s="118"/>
      <c r="CR2356" s="118"/>
      <c r="CS2356" s="118"/>
      <c r="CT2356" s="118"/>
      <c r="CU2356" s="118"/>
      <c r="CV2356" s="118"/>
      <c r="CW2356" s="118"/>
      <c r="CX2356" s="118"/>
      <c r="CY2356" s="118"/>
      <c r="CZ2356" s="118"/>
      <c r="DA2356" s="118"/>
      <c r="DB2356" s="118"/>
      <c r="DC2356" s="118"/>
      <c r="DD2356" s="118"/>
      <c r="DE2356" s="118"/>
      <c r="DF2356" s="118"/>
      <c r="DG2356" s="118"/>
      <c r="DH2356" s="118"/>
      <c r="DI2356" s="118"/>
      <c r="DJ2356" s="118"/>
      <c r="DK2356" s="118"/>
      <c r="DL2356" s="118"/>
      <c r="DM2356" s="118"/>
      <c r="DN2356" s="118"/>
      <c r="DO2356" s="118"/>
      <c r="DP2356" s="118"/>
      <c r="DQ2356" s="118"/>
      <c r="DR2356" s="118"/>
      <c r="DS2356" s="118"/>
      <c r="DT2356" s="118"/>
      <c r="DU2356" s="118"/>
      <c r="DV2356" s="118"/>
      <c r="DW2356" s="118"/>
      <c r="DX2356" s="118"/>
      <c r="DY2356" s="118"/>
      <c r="DZ2356" s="118"/>
      <c r="EA2356" s="118"/>
      <c r="EB2356" s="118"/>
      <c r="EC2356" s="118"/>
      <c r="ED2356" s="118"/>
      <c r="EE2356" s="118"/>
      <c r="EF2356" s="118"/>
      <c r="EG2356" s="118"/>
      <c r="EH2356" s="118"/>
      <c r="EI2356" s="118"/>
      <c r="EJ2356" s="118"/>
      <c r="EK2356" s="118"/>
      <c r="EL2356" s="118"/>
      <c r="EM2356" s="118"/>
      <c r="EN2356" s="118"/>
      <c r="EO2356" s="118"/>
      <c r="EP2356" s="118"/>
      <c r="EQ2356" s="118"/>
      <c r="ER2356" s="118"/>
      <c r="ES2356" s="118"/>
      <c r="ET2356" s="118"/>
      <c r="EU2356" s="118"/>
      <c r="EV2356" s="118"/>
      <c r="EW2356" s="118"/>
      <c r="EX2356" s="118"/>
      <c r="EY2356" s="118"/>
      <c r="EZ2356" s="118"/>
      <c r="FA2356" s="118"/>
      <c r="FB2356" s="118"/>
      <c r="FC2356" s="118"/>
      <c r="FD2356" s="118"/>
      <c r="FE2356" s="118"/>
      <c r="FF2356" s="118"/>
      <c r="FG2356" s="118"/>
      <c r="FH2356" s="118"/>
      <c r="FI2356" s="118"/>
      <c r="FJ2356" s="118"/>
      <c r="FK2356" s="118"/>
      <c r="FL2356" s="118"/>
      <c r="FM2356" s="118"/>
      <c r="FN2356" s="118"/>
      <c r="FO2356" s="118"/>
      <c r="FP2356" s="118"/>
      <c r="FQ2356" s="118"/>
      <c r="FR2356" s="118"/>
      <c r="FS2356" s="118"/>
      <c r="FT2356" s="118"/>
      <c r="FU2356" s="118"/>
      <c r="FV2356" s="118"/>
      <c r="FW2356" s="118"/>
      <c r="FX2356" s="118"/>
      <c r="FY2356" s="118"/>
      <c r="FZ2356" s="118"/>
      <c r="GA2356" s="118"/>
      <c r="GB2356" s="118"/>
      <c r="GC2356" s="118"/>
      <c r="GD2356" s="118"/>
      <c r="GE2356" s="118"/>
      <c r="GF2356" s="118"/>
      <c r="GG2356" s="118"/>
      <c r="GH2356" s="118"/>
      <c r="GI2356" s="118"/>
      <c r="GJ2356" s="118"/>
      <c r="GK2356" s="118"/>
      <c r="GL2356" s="118"/>
      <c r="GM2356" s="118"/>
      <c r="GN2356" s="118"/>
      <c r="GO2356" s="118"/>
      <c r="GP2356" s="118"/>
      <c r="GQ2356" s="118"/>
      <c r="GR2356" s="118"/>
      <c r="GS2356" s="118"/>
      <c r="GT2356" s="118"/>
      <c r="GU2356" s="118"/>
      <c r="GV2356" s="118"/>
      <c r="GW2356" s="118"/>
      <c r="GX2356" s="118"/>
      <c r="GY2356" s="118"/>
      <c r="GZ2356" s="118"/>
      <c r="HA2356" s="118"/>
      <c r="HB2356" s="118"/>
      <c r="HC2356" s="118"/>
      <c r="HD2356" s="118"/>
      <c r="HE2356" s="118"/>
      <c r="HF2356" s="118"/>
      <c r="HG2356" s="118"/>
      <c r="HH2356" s="118"/>
      <c r="HI2356" s="118"/>
      <c r="HJ2356" s="118"/>
      <c r="HK2356" s="118"/>
      <c r="HL2356" s="118"/>
      <c r="HM2356" s="118"/>
      <c r="HN2356" s="118"/>
      <c r="HO2356" s="118"/>
      <c r="HP2356" s="118"/>
      <c r="HQ2356" s="118"/>
      <c r="HR2356" s="118"/>
      <c r="HS2356" s="118"/>
      <c r="HT2356" s="118"/>
      <c r="HU2356" s="118"/>
      <c r="HV2356" s="118"/>
      <c r="HW2356" s="118"/>
      <c r="HX2356" s="118"/>
      <c r="HY2356" s="118"/>
      <c r="HZ2356" s="118"/>
      <c r="IA2356" s="118"/>
      <c r="IB2356" s="118"/>
      <c r="IC2356" s="118"/>
      <c r="ID2356" s="118"/>
      <c r="IE2356" s="118"/>
      <c r="IF2356" s="118"/>
      <c r="IG2356" s="118"/>
      <c r="IH2356" s="118"/>
      <c r="II2356" s="118"/>
      <c r="IJ2356" s="118"/>
    </row>
    <row r="2357" spans="1:244" s="11" customFormat="1" ht="12.75" customHeight="1">
      <c r="A2357" s="118">
        <v>2356</v>
      </c>
      <c r="B2357" s="128">
        <v>25</v>
      </c>
      <c r="C2357" s="156">
        <v>36982</v>
      </c>
      <c r="D2357" s="157" t="s">
        <v>47</v>
      </c>
      <c r="E2357" s="8">
        <v>2001</v>
      </c>
      <c r="F2357" s="158">
        <f t="shared" si="598"/>
        <v>59</v>
      </c>
      <c r="G2357" s="158">
        <f t="shared" si="599"/>
        <v>1</v>
      </c>
      <c r="H2357" s="162">
        <v>36923</v>
      </c>
      <c r="I2357" s="163">
        <v>842999</v>
      </c>
      <c r="M2357" s="174"/>
      <c r="N2357" s="528"/>
      <c r="P2357" s="8"/>
      <c r="S2357" s="155"/>
      <c r="U2357" s="161"/>
      <c r="X2357" s="118"/>
      <c r="Y2357" s="118"/>
      <c r="Z2357" s="118"/>
      <c r="AA2357" s="118"/>
      <c r="AB2357" s="118"/>
      <c r="AC2357" s="118"/>
      <c r="AD2357" s="118"/>
      <c r="AE2357" s="118"/>
      <c r="AF2357" s="118"/>
      <c r="AG2357" s="118"/>
      <c r="AH2357" s="118"/>
      <c r="AI2357" s="118"/>
      <c r="AJ2357" s="118"/>
      <c r="AK2357" s="118"/>
      <c r="AL2357" s="118"/>
      <c r="AM2357" s="118"/>
      <c r="AN2357" s="118"/>
      <c r="AO2357" s="118"/>
      <c r="AP2357" s="118"/>
      <c r="AQ2357" s="118"/>
      <c r="AR2357" s="118"/>
      <c r="AS2357" s="118"/>
      <c r="AT2357" s="118"/>
      <c r="AU2357" s="118"/>
      <c r="AV2357" s="118"/>
      <c r="AW2357" s="118"/>
      <c r="AX2357" s="118"/>
      <c r="AY2357" s="118"/>
      <c r="AZ2357" s="118"/>
      <c r="BA2357" s="118"/>
      <c r="BB2357" s="118"/>
      <c r="BC2357" s="118"/>
      <c r="BD2357" s="118"/>
      <c r="BE2357" s="118"/>
      <c r="BF2357" s="118"/>
      <c r="BG2357" s="118"/>
      <c r="BH2357" s="118"/>
      <c r="BI2357" s="118"/>
      <c r="BJ2357" s="118"/>
      <c r="BK2357" s="118"/>
      <c r="BL2357" s="118"/>
      <c r="BM2357" s="118"/>
      <c r="BN2357" s="118"/>
      <c r="BO2357" s="118"/>
      <c r="BP2357" s="118"/>
      <c r="BQ2357" s="118"/>
      <c r="BR2357" s="118"/>
      <c r="BS2357" s="118"/>
      <c r="BT2357" s="118"/>
      <c r="BU2357" s="118"/>
      <c r="BV2357" s="118"/>
      <c r="BW2357" s="118"/>
      <c r="BX2357" s="118"/>
      <c r="BY2357" s="118"/>
      <c r="BZ2357" s="118"/>
      <c r="CA2357" s="118"/>
      <c r="CB2357" s="118"/>
      <c r="CC2357" s="118"/>
      <c r="CD2357" s="118"/>
      <c r="CE2357" s="118"/>
      <c r="CF2357" s="118"/>
      <c r="CG2357" s="118"/>
      <c r="CH2357" s="118"/>
      <c r="CI2357" s="118"/>
      <c r="CJ2357" s="118"/>
      <c r="CK2357" s="118"/>
      <c r="CL2357" s="118"/>
      <c r="CM2357" s="118"/>
      <c r="CN2357" s="118"/>
      <c r="CO2357" s="118"/>
      <c r="CP2357" s="118"/>
      <c r="CQ2357" s="118"/>
      <c r="CR2357" s="118"/>
      <c r="CS2357" s="118"/>
      <c r="CT2357" s="118"/>
      <c r="CU2357" s="118"/>
      <c r="CV2357" s="118"/>
      <c r="CW2357" s="118"/>
      <c r="CX2357" s="118"/>
      <c r="CY2357" s="118"/>
      <c r="CZ2357" s="118"/>
      <c r="DA2357" s="118"/>
      <c r="DB2357" s="118"/>
      <c r="DC2357" s="118"/>
      <c r="DD2357" s="118"/>
      <c r="DE2357" s="118"/>
      <c r="DF2357" s="118"/>
      <c r="DG2357" s="118"/>
      <c r="DH2357" s="118"/>
      <c r="DI2357" s="118"/>
      <c r="DJ2357" s="118"/>
      <c r="DK2357" s="118"/>
      <c r="DL2357" s="118"/>
      <c r="DM2357" s="118"/>
      <c r="DN2357" s="118"/>
      <c r="DO2357" s="118"/>
      <c r="DP2357" s="118"/>
      <c r="DQ2357" s="118"/>
      <c r="DR2357" s="118"/>
      <c r="DS2357" s="118"/>
      <c r="DT2357" s="118"/>
      <c r="DU2357" s="118"/>
      <c r="DV2357" s="118"/>
      <c r="DW2357" s="118"/>
      <c r="DX2357" s="118"/>
      <c r="DY2357" s="118"/>
      <c r="DZ2357" s="118"/>
      <c r="EA2357" s="118"/>
      <c r="EB2357" s="118"/>
      <c r="EC2357" s="118"/>
      <c r="ED2357" s="118"/>
      <c r="EE2357" s="118"/>
      <c r="EF2357" s="118"/>
      <c r="EG2357" s="118"/>
      <c r="EH2357" s="118"/>
      <c r="EI2357" s="118"/>
      <c r="EJ2357" s="118"/>
      <c r="EK2357" s="118"/>
      <c r="EL2357" s="118"/>
      <c r="EM2357" s="118"/>
      <c r="EN2357" s="118"/>
      <c r="EO2357" s="118"/>
      <c r="EP2357" s="118"/>
      <c r="EQ2357" s="118"/>
      <c r="ER2357" s="118"/>
      <c r="ES2357" s="118"/>
      <c r="ET2357" s="118"/>
      <c r="EU2357" s="118"/>
      <c r="EV2357" s="118"/>
      <c r="EW2357" s="118"/>
      <c r="EX2357" s="118"/>
      <c r="EY2357" s="118"/>
      <c r="EZ2357" s="118"/>
      <c r="FA2357" s="118"/>
      <c r="FB2357" s="118"/>
      <c r="FC2357" s="118"/>
      <c r="FD2357" s="118"/>
      <c r="FE2357" s="118"/>
      <c r="FF2357" s="118"/>
      <c r="FG2357" s="118"/>
      <c r="FH2357" s="118"/>
      <c r="FI2357" s="118"/>
      <c r="FJ2357" s="118"/>
      <c r="FK2357" s="118"/>
      <c r="FL2357" s="118"/>
      <c r="FM2357" s="118"/>
      <c r="FN2357" s="118"/>
      <c r="FO2357" s="118"/>
      <c r="FP2357" s="118"/>
      <c r="FQ2357" s="118"/>
      <c r="FR2357" s="118"/>
      <c r="FS2357" s="118"/>
      <c r="FT2357" s="118"/>
      <c r="FU2357" s="118"/>
      <c r="FV2357" s="118"/>
      <c r="FW2357" s="118"/>
      <c r="FX2357" s="118"/>
      <c r="FY2357" s="118"/>
      <c r="FZ2357" s="118"/>
      <c r="GA2357" s="118"/>
      <c r="GB2357" s="118"/>
      <c r="GC2357" s="118"/>
      <c r="GD2357" s="118"/>
      <c r="GE2357" s="118"/>
      <c r="GF2357" s="118"/>
      <c r="GG2357" s="118"/>
      <c r="GH2357" s="118"/>
      <c r="GI2357" s="118"/>
      <c r="GJ2357" s="118"/>
      <c r="GK2357" s="118"/>
      <c r="GL2357" s="118"/>
      <c r="GM2357" s="118"/>
      <c r="GN2357" s="118"/>
      <c r="GO2357" s="118"/>
      <c r="GP2357" s="118"/>
      <c r="GQ2357" s="118"/>
      <c r="GR2357" s="118"/>
      <c r="GS2357" s="118"/>
      <c r="GT2357" s="118"/>
      <c r="GU2357" s="118"/>
      <c r="GV2357" s="118"/>
      <c r="GW2357" s="118"/>
      <c r="GX2357" s="118"/>
      <c r="GY2357" s="118"/>
      <c r="GZ2357" s="118"/>
      <c r="HA2357" s="118"/>
      <c r="HB2357" s="118"/>
      <c r="HC2357" s="118"/>
      <c r="HD2357" s="118"/>
      <c r="HE2357" s="118"/>
      <c r="HF2357" s="118"/>
      <c r="HG2357" s="118"/>
      <c r="HH2357" s="118"/>
      <c r="HI2357" s="118"/>
      <c r="HJ2357" s="118"/>
      <c r="HK2357" s="118"/>
      <c r="HL2357" s="118"/>
      <c r="HM2357" s="118"/>
      <c r="HN2357" s="118"/>
      <c r="HO2357" s="118"/>
      <c r="HP2357" s="118"/>
      <c r="HQ2357" s="118"/>
      <c r="HR2357" s="118"/>
      <c r="HS2357" s="118"/>
      <c r="HT2357" s="118"/>
      <c r="HU2357" s="118"/>
      <c r="HV2357" s="118"/>
      <c r="HW2357" s="118"/>
      <c r="HX2357" s="118"/>
      <c r="HY2357" s="118"/>
      <c r="HZ2357" s="118"/>
      <c r="IA2357" s="118"/>
      <c r="IB2357" s="118"/>
      <c r="IC2357" s="118"/>
      <c r="ID2357" s="118"/>
      <c r="IE2357" s="118"/>
      <c r="IF2357" s="118"/>
      <c r="IG2357" s="118"/>
      <c r="IH2357" s="118"/>
      <c r="II2357" s="118"/>
      <c r="IJ2357" s="118"/>
    </row>
    <row r="2358" spans="1:244" s="11" customFormat="1" ht="12.75" customHeight="1">
      <c r="A2358" s="118">
        <v>2357</v>
      </c>
      <c r="B2358" s="128">
        <v>25</v>
      </c>
      <c r="C2358" s="156">
        <v>37012</v>
      </c>
      <c r="D2358" s="157" t="s">
        <v>48</v>
      </c>
      <c r="E2358" s="8">
        <v>2001</v>
      </c>
      <c r="F2358" s="158">
        <f t="shared" si="598"/>
        <v>89</v>
      </c>
      <c r="G2358" s="158">
        <f t="shared" si="599"/>
        <v>1</v>
      </c>
      <c r="H2358" s="162">
        <v>36923</v>
      </c>
      <c r="I2358" s="163">
        <v>823479</v>
      </c>
      <c r="M2358" s="174"/>
      <c r="N2358" s="528"/>
      <c r="P2358" s="8"/>
      <c r="S2358" s="155"/>
      <c r="U2358" s="161"/>
      <c r="X2358" s="118"/>
      <c r="Y2358" s="118"/>
      <c r="Z2358" s="118"/>
      <c r="AA2358" s="118"/>
      <c r="AB2358" s="118"/>
      <c r="AC2358" s="118"/>
      <c r="AD2358" s="118"/>
      <c r="AE2358" s="118"/>
      <c r="AF2358" s="118"/>
      <c r="AG2358" s="118"/>
      <c r="AH2358" s="118"/>
      <c r="AI2358" s="118"/>
      <c r="AJ2358" s="118"/>
      <c r="AK2358" s="118"/>
      <c r="AL2358" s="118"/>
      <c r="AM2358" s="118"/>
      <c r="AN2358" s="118"/>
      <c r="AO2358" s="118"/>
      <c r="AP2358" s="118"/>
      <c r="AQ2358" s="118"/>
      <c r="AR2358" s="118"/>
      <c r="AS2358" s="118"/>
      <c r="AT2358" s="118"/>
      <c r="AU2358" s="118"/>
      <c r="AV2358" s="118"/>
      <c r="AW2358" s="118"/>
      <c r="AX2358" s="118"/>
      <c r="AY2358" s="118"/>
      <c r="AZ2358" s="118"/>
      <c r="BA2358" s="118"/>
      <c r="BB2358" s="118"/>
      <c r="BC2358" s="118"/>
      <c r="BD2358" s="118"/>
      <c r="BE2358" s="118"/>
      <c r="BF2358" s="118"/>
      <c r="BG2358" s="118"/>
      <c r="BH2358" s="118"/>
      <c r="BI2358" s="118"/>
      <c r="BJ2358" s="118"/>
      <c r="BK2358" s="118"/>
      <c r="BL2358" s="118"/>
      <c r="BM2358" s="118"/>
      <c r="BN2358" s="118"/>
      <c r="BO2358" s="118"/>
      <c r="BP2358" s="118"/>
      <c r="BQ2358" s="118"/>
      <c r="BR2358" s="118"/>
      <c r="BS2358" s="118"/>
      <c r="BT2358" s="118"/>
      <c r="BU2358" s="118"/>
      <c r="BV2358" s="118"/>
      <c r="BW2358" s="118"/>
      <c r="BX2358" s="118"/>
      <c r="BY2358" s="118"/>
      <c r="BZ2358" s="118"/>
      <c r="CA2358" s="118"/>
      <c r="CB2358" s="118"/>
      <c r="CC2358" s="118"/>
      <c r="CD2358" s="118"/>
      <c r="CE2358" s="118"/>
      <c r="CF2358" s="118"/>
      <c r="CG2358" s="118"/>
      <c r="CH2358" s="118"/>
      <c r="CI2358" s="118"/>
      <c r="CJ2358" s="118"/>
      <c r="CK2358" s="118"/>
      <c r="CL2358" s="118"/>
      <c r="CM2358" s="118"/>
      <c r="CN2358" s="118"/>
      <c r="CO2358" s="118"/>
      <c r="CP2358" s="118"/>
      <c r="CQ2358" s="118"/>
      <c r="CR2358" s="118"/>
      <c r="CS2358" s="118"/>
      <c r="CT2358" s="118"/>
      <c r="CU2358" s="118"/>
      <c r="CV2358" s="118"/>
      <c r="CW2358" s="118"/>
      <c r="CX2358" s="118"/>
      <c r="CY2358" s="118"/>
      <c r="CZ2358" s="118"/>
      <c r="DA2358" s="118"/>
      <c r="DB2358" s="118"/>
      <c r="DC2358" s="118"/>
      <c r="DD2358" s="118"/>
      <c r="DE2358" s="118"/>
      <c r="DF2358" s="118"/>
      <c r="DG2358" s="118"/>
      <c r="DH2358" s="118"/>
      <c r="DI2358" s="118"/>
      <c r="DJ2358" s="118"/>
      <c r="DK2358" s="118"/>
      <c r="DL2358" s="118"/>
      <c r="DM2358" s="118"/>
      <c r="DN2358" s="118"/>
      <c r="DO2358" s="118"/>
      <c r="DP2358" s="118"/>
      <c r="DQ2358" s="118"/>
      <c r="DR2358" s="118"/>
      <c r="DS2358" s="118"/>
      <c r="DT2358" s="118"/>
      <c r="DU2358" s="118"/>
      <c r="DV2358" s="118"/>
      <c r="DW2358" s="118"/>
      <c r="DX2358" s="118"/>
      <c r="DY2358" s="118"/>
      <c r="DZ2358" s="118"/>
      <c r="EA2358" s="118"/>
      <c r="EB2358" s="118"/>
      <c r="EC2358" s="118"/>
      <c r="ED2358" s="118"/>
      <c r="EE2358" s="118"/>
      <c r="EF2358" s="118"/>
      <c r="EG2358" s="118"/>
      <c r="EH2358" s="118"/>
      <c r="EI2358" s="118"/>
      <c r="EJ2358" s="118"/>
      <c r="EK2358" s="118"/>
      <c r="EL2358" s="118"/>
      <c r="EM2358" s="118"/>
      <c r="EN2358" s="118"/>
      <c r="EO2358" s="118"/>
      <c r="EP2358" s="118"/>
      <c r="EQ2358" s="118"/>
      <c r="ER2358" s="118"/>
      <c r="ES2358" s="118"/>
      <c r="ET2358" s="118"/>
      <c r="EU2358" s="118"/>
      <c r="EV2358" s="118"/>
      <c r="EW2358" s="118"/>
      <c r="EX2358" s="118"/>
      <c r="EY2358" s="118"/>
      <c r="EZ2358" s="118"/>
      <c r="FA2358" s="118"/>
      <c r="FB2358" s="118"/>
      <c r="FC2358" s="118"/>
      <c r="FD2358" s="118"/>
      <c r="FE2358" s="118"/>
      <c r="FF2358" s="118"/>
      <c r="FG2358" s="118"/>
      <c r="FH2358" s="118"/>
      <c r="FI2358" s="118"/>
      <c r="FJ2358" s="118"/>
      <c r="FK2358" s="118"/>
      <c r="FL2358" s="118"/>
      <c r="FM2358" s="118"/>
      <c r="FN2358" s="118"/>
      <c r="FO2358" s="118"/>
      <c r="FP2358" s="118"/>
      <c r="FQ2358" s="118"/>
      <c r="FR2358" s="118"/>
      <c r="FS2358" s="118"/>
      <c r="FT2358" s="118"/>
      <c r="FU2358" s="118"/>
      <c r="FV2358" s="118"/>
      <c r="FW2358" s="118"/>
      <c r="FX2358" s="118"/>
      <c r="FY2358" s="118"/>
      <c r="FZ2358" s="118"/>
      <c r="GA2358" s="118"/>
      <c r="GB2358" s="118"/>
      <c r="GC2358" s="118"/>
      <c r="GD2358" s="118"/>
      <c r="GE2358" s="118"/>
      <c r="GF2358" s="118"/>
      <c r="GG2358" s="118"/>
      <c r="GH2358" s="118"/>
      <c r="GI2358" s="118"/>
      <c r="GJ2358" s="118"/>
      <c r="GK2358" s="118"/>
      <c r="GL2358" s="118"/>
      <c r="GM2358" s="118"/>
      <c r="GN2358" s="118"/>
      <c r="GO2358" s="118"/>
      <c r="GP2358" s="118"/>
      <c r="GQ2358" s="118"/>
      <c r="GR2358" s="118"/>
      <c r="GS2358" s="118"/>
      <c r="GT2358" s="118"/>
      <c r="GU2358" s="118"/>
      <c r="GV2358" s="118"/>
      <c r="GW2358" s="118"/>
      <c r="GX2358" s="118"/>
      <c r="GY2358" s="118"/>
      <c r="GZ2358" s="118"/>
      <c r="HA2358" s="118"/>
      <c r="HB2358" s="118"/>
      <c r="HC2358" s="118"/>
      <c r="HD2358" s="118"/>
      <c r="HE2358" s="118"/>
      <c r="HF2358" s="118"/>
      <c r="HG2358" s="118"/>
      <c r="HH2358" s="118"/>
      <c r="HI2358" s="118"/>
      <c r="HJ2358" s="118"/>
      <c r="HK2358" s="118"/>
      <c r="HL2358" s="118"/>
      <c r="HM2358" s="118"/>
      <c r="HN2358" s="118"/>
      <c r="HO2358" s="118"/>
      <c r="HP2358" s="118"/>
      <c r="HQ2358" s="118"/>
      <c r="HR2358" s="118"/>
      <c r="HS2358" s="118"/>
      <c r="HT2358" s="118"/>
      <c r="HU2358" s="118"/>
      <c r="HV2358" s="118"/>
      <c r="HW2358" s="118"/>
      <c r="HX2358" s="118"/>
      <c r="HY2358" s="118"/>
      <c r="HZ2358" s="118"/>
      <c r="IA2358" s="118"/>
      <c r="IB2358" s="118"/>
      <c r="IC2358" s="118"/>
      <c r="ID2358" s="118"/>
      <c r="IE2358" s="118"/>
      <c r="IF2358" s="118"/>
      <c r="IG2358" s="118"/>
      <c r="IH2358" s="118"/>
      <c r="II2358" s="118"/>
      <c r="IJ2358" s="118"/>
    </row>
    <row r="2359" spans="1:244" s="11" customFormat="1" ht="12.75" customHeight="1">
      <c r="A2359" s="118">
        <v>2358</v>
      </c>
      <c r="B2359" s="128">
        <v>25</v>
      </c>
      <c r="C2359" s="156">
        <v>37043</v>
      </c>
      <c r="D2359" s="157" t="s">
        <v>49</v>
      </c>
      <c r="E2359" s="8">
        <v>2001</v>
      </c>
      <c r="F2359" s="158">
        <f t="shared" si="598"/>
        <v>120</v>
      </c>
      <c r="G2359" s="158">
        <f t="shared" si="599"/>
        <v>1</v>
      </c>
      <c r="H2359" s="162">
        <v>36923</v>
      </c>
      <c r="I2359" s="163">
        <v>818368</v>
      </c>
      <c r="M2359" s="174"/>
      <c r="N2359" s="528"/>
      <c r="P2359" s="8"/>
      <c r="Q2359" s="11">
        <v>8.6999999999999993</v>
      </c>
      <c r="S2359" s="155"/>
      <c r="U2359" s="161"/>
      <c r="X2359" s="118"/>
      <c r="Y2359" s="118"/>
      <c r="Z2359" s="118"/>
      <c r="AA2359" s="118"/>
      <c r="AB2359" s="118"/>
      <c r="AC2359" s="118"/>
      <c r="AD2359" s="118"/>
      <c r="AE2359" s="118"/>
      <c r="AF2359" s="118"/>
      <c r="AG2359" s="118"/>
      <c r="AH2359" s="118"/>
      <c r="AI2359" s="118"/>
      <c r="AJ2359" s="118"/>
      <c r="AK2359" s="118"/>
      <c r="AL2359" s="118"/>
      <c r="AM2359" s="118"/>
      <c r="AN2359" s="118"/>
      <c r="AO2359" s="118"/>
      <c r="AP2359" s="118"/>
      <c r="AQ2359" s="118"/>
      <c r="AR2359" s="118"/>
      <c r="AS2359" s="118"/>
      <c r="AT2359" s="118"/>
      <c r="AU2359" s="118"/>
      <c r="AV2359" s="118"/>
      <c r="AW2359" s="118"/>
      <c r="AX2359" s="118"/>
      <c r="AY2359" s="118"/>
      <c r="AZ2359" s="118"/>
      <c r="BA2359" s="118"/>
      <c r="BB2359" s="118"/>
      <c r="BC2359" s="118"/>
      <c r="BD2359" s="118"/>
      <c r="BE2359" s="118"/>
      <c r="BF2359" s="118"/>
      <c r="BG2359" s="118"/>
      <c r="BH2359" s="118"/>
      <c r="BI2359" s="118"/>
      <c r="BJ2359" s="118"/>
      <c r="BK2359" s="118"/>
      <c r="BL2359" s="118"/>
      <c r="BM2359" s="118"/>
      <c r="BN2359" s="118"/>
      <c r="BO2359" s="118"/>
      <c r="BP2359" s="118"/>
      <c r="BQ2359" s="118"/>
      <c r="BR2359" s="118"/>
      <c r="BS2359" s="118"/>
      <c r="BT2359" s="118"/>
      <c r="BU2359" s="118"/>
      <c r="BV2359" s="118"/>
      <c r="BW2359" s="118"/>
      <c r="BX2359" s="118"/>
      <c r="BY2359" s="118"/>
      <c r="BZ2359" s="118"/>
      <c r="CA2359" s="118"/>
      <c r="CB2359" s="118"/>
      <c r="CC2359" s="118"/>
      <c r="CD2359" s="118"/>
      <c r="CE2359" s="118"/>
      <c r="CF2359" s="118"/>
      <c r="CG2359" s="118"/>
      <c r="CH2359" s="118"/>
      <c r="CI2359" s="118"/>
      <c r="CJ2359" s="118"/>
      <c r="CK2359" s="118"/>
      <c r="CL2359" s="118"/>
      <c r="CM2359" s="118"/>
      <c r="CN2359" s="118"/>
      <c r="CO2359" s="118"/>
      <c r="CP2359" s="118"/>
      <c r="CQ2359" s="118"/>
      <c r="CR2359" s="118"/>
      <c r="CS2359" s="118"/>
      <c r="CT2359" s="118"/>
      <c r="CU2359" s="118"/>
      <c r="CV2359" s="118"/>
      <c r="CW2359" s="118"/>
      <c r="CX2359" s="118"/>
      <c r="CY2359" s="118"/>
      <c r="CZ2359" s="118"/>
      <c r="DA2359" s="118"/>
      <c r="DB2359" s="118"/>
      <c r="DC2359" s="118"/>
      <c r="DD2359" s="118"/>
      <c r="DE2359" s="118"/>
      <c r="DF2359" s="118"/>
      <c r="DG2359" s="118"/>
      <c r="DH2359" s="118"/>
      <c r="DI2359" s="118"/>
      <c r="DJ2359" s="118"/>
      <c r="DK2359" s="118"/>
      <c r="DL2359" s="118"/>
      <c r="DM2359" s="118"/>
      <c r="DN2359" s="118"/>
      <c r="DO2359" s="118"/>
      <c r="DP2359" s="118"/>
      <c r="DQ2359" s="118"/>
      <c r="DR2359" s="118"/>
      <c r="DS2359" s="118"/>
      <c r="DT2359" s="118"/>
      <c r="DU2359" s="118"/>
      <c r="DV2359" s="118"/>
      <c r="DW2359" s="118"/>
      <c r="DX2359" s="118"/>
      <c r="DY2359" s="118"/>
      <c r="DZ2359" s="118"/>
      <c r="EA2359" s="118"/>
      <c r="EB2359" s="118"/>
      <c r="EC2359" s="118"/>
      <c r="ED2359" s="118"/>
      <c r="EE2359" s="118"/>
      <c r="EF2359" s="118"/>
      <c r="EG2359" s="118"/>
      <c r="EH2359" s="118"/>
      <c r="EI2359" s="118"/>
      <c r="EJ2359" s="118"/>
      <c r="EK2359" s="118"/>
      <c r="EL2359" s="118"/>
      <c r="EM2359" s="118"/>
      <c r="EN2359" s="118"/>
      <c r="EO2359" s="118"/>
      <c r="EP2359" s="118"/>
      <c r="EQ2359" s="118"/>
      <c r="ER2359" s="118"/>
      <c r="ES2359" s="118"/>
      <c r="ET2359" s="118"/>
      <c r="EU2359" s="118"/>
      <c r="EV2359" s="118"/>
      <c r="EW2359" s="118"/>
      <c r="EX2359" s="118"/>
      <c r="EY2359" s="118"/>
      <c r="EZ2359" s="118"/>
      <c r="FA2359" s="118"/>
      <c r="FB2359" s="118"/>
      <c r="FC2359" s="118"/>
      <c r="FD2359" s="118"/>
      <c r="FE2359" s="118"/>
      <c r="FF2359" s="118"/>
      <c r="FG2359" s="118"/>
      <c r="FH2359" s="118"/>
      <c r="FI2359" s="118"/>
      <c r="FJ2359" s="118"/>
      <c r="FK2359" s="118"/>
      <c r="FL2359" s="118"/>
      <c r="FM2359" s="118"/>
      <c r="FN2359" s="118"/>
      <c r="FO2359" s="118"/>
      <c r="FP2359" s="118"/>
      <c r="FQ2359" s="118"/>
      <c r="FR2359" s="118"/>
      <c r="FS2359" s="118"/>
      <c r="FT2359" s="118"/>
      <c r="FU2359" s="118"/>
      <c r="FV2359" s="118"/>
      <c r="FW2359" s="118"/>
      <c r="FX2359" s="118"/>
      <c r="FY2359" s="118"/>
      <c r="FZ2359" s="118"/>
      <c r="GA2359" s="118"/>
      <c r="GB2359" s="118"/>
      <c r="GC2359" s="118"/>
      <c r="GD2359" s="118"/>
      <c r="GE2359" s="118"/>
      <c r="GF2359" s="118"/>
      <c r="GG2359" s="118"/>
      <c r="GH2359" s="118"/>
      <c r="GI2359" s="118"/>
      <c r="GJ2359" s="118"/>
      <c r="GK2359" s="118"/>
      <c r="GL2359" s="118"/>
      <c r="GM2359" s="118"/>
      <c r="GN2359" s="118"/>
      <c r="GO2359" s="118"/>
      <c r="GP2359" s="118"/>
      <c r="GQ2359" s="118"/>
      <c r="GR2359" s="118"/>
      <c r="GS2359" s="118"/>
      <c r="GT2359" s="118"/>
      <c r="GU2359" s="118"/>
      <c r="GV2359" s="118"/>
      <c r="GW2359" s="118"/>
      <c r="GX2359" s="118"/>
      <c r="GY2359" s="118"/>
      <c r="GZ2359" s="118"/>
      <c r="HA2359" s="118"/>
      <c r="HB2359" s="118"/>
      <c r="HC2359" s="118"/>
      <c r="HD2359" s="118"/>
      <c r="HE2359" s="118"/>
      <c r="HF2359" s="118"/>
      <c r="HG2359" s="118"/>
      <c r="HH2359" s="118"/>
      <c r="HI2359" s="118"/>
      <c r="HJ2359" s="118"/>
      <c r="HK2359" s="118"/>
      <c r="HL2359" s="118"/>
      <c r="HM2359" s="118"/>
      <c r="HN2359" s="118"/>
      <c r="HO2359" s="118"/>
      <c r="HP2359" s="118"/>
      <c r="HQ2359" s="118"/>
      <c r="HR2359" s="118"/>
      <c r="HS2359" s="118"/>
      <c r="HT2359" s="118"/>
      <c r="HU2359" s="118"/>
      <c r="HV2359" s="118"/>
      <c r="HW2359" s="118"/>
      <c r="HX2359" s="118"/>
      <c r="HY2359" s="118"/>
      <c r="HZ2359" s="118"/>
      <c r="IA2359" s="118"/>
      <c r="IB2359" s="118"/>
      <c r="IC2359" s="118"/>
      <c r="ID2359" s="118"/>
      <c r="IE2359" s="118"/>
      <c r="IF2359" s="118"/>
      <c r="IG2359" s="118"/>
      <c r="IH2359" s="118"/>
      <c r="II2359" s="118"/>
      <c r="IJ2359" s="118"/>
    </row>
    <row r="2360" spans="1:244" s="11" customFormat="1" ht="12.75" customHeight="1">
      <c r="A2360" s="118">
        <v>2359</v>
      </c>
      <c r="B2360" s="128">
        <v>25</v>
      </c>
      <c r="C2360" s="156">
        <v>37073</v>
      </c>
      <c r="D2360" s="157" t="s">
        <v>50</v>
      </c>
      <c r="E2360" s="8">
        <v>2001</v>
      </c>
      <c r="F2360" s="158">
        <f t="shared" si="598"/>
        <v>150</v>
      </c>
      <c r="G2360" s="158">
        <f t="shared" si="599"/>
        <v>1</v>
      </c>
      <c r="H2360" s="162">
        <v>36923</v>
      </c>
      <c r="I2360" s="163">
        <v>797695</v>
      </c>
      <c r="M2360" s="174"/>
      <c r="N2360" s="528"/>
      <c r="P2360" s="8"/>
      <c r="S2360" s="155"/>
      <c r="T2360" s="161"/>
      <c r="U2360" s="161"/>
      <c r="V2360" s="161"/>
      <c r="W2360" s="161"/>
      <c r="X2360" s="118"/>
      <c r="Y2360" s="118"/>
      <c r="Z2360" s="118"/>
      <c r="AA2360" s="118"/>
      <c r="AB2360" s="118"/>
      <c r="AC2360" s="118"/>
      <c r="AD2360" s="118"/>
      <c r="AE2360" s="118"/>
      <c r="AF2360" s="118"/>
      <c r="AG2360" s="118"/>
      <c r="AH2360" s="118"/>
      <c r="AI2360" s="118"/>
      <c r="AJ2360" s="118"/>
      <c r="AK2360" s="118"/>
      <c r="AL2360" s="118"/>
      <c r="AM2360" s="118"/>
      <c r="AN2360" s="118"/>
      <c r="AO2360" s="118"/>
      <c r="AP2360" s="118"/>
      <c r="AQ2360" s="118"/>
      <c r="AR2360" s="118"/>
      <c r="AS2360" s="118"/>
      <c r="AT2360" s="118"/>
      <c r="AU2360" s="118"/>
      <c r="AV2360" s="118"/>
      <c r="AW2360" s="118"/>
      <c r="AX2360" s="118"/>
      <c r="AY2360" s="118"/>
      <c r="AZ2360" s="118"/>
      <c r="BA2360" s="118"/>
      <c r="BB2360" s="118"/>
      <c r="BC2360" s="118"/>
      <c r="BD2360" s="118"/>
      <c r="BE2360" s="118"/>
      <c r="BF2360" s="118"/>
      <c r="BG2360" s="118"/>
      <c r="BH2360" s="118"/>
      <c r="BI2360" s="118"/>
      <c r="BJ2360" s="118"/>
      <c r="BK2360" s="118"/>
      <c r="BL2360" s="118"/>
      <c r="BM2360" s="118"/>
      <c r="BN2360" s="118"/>
      <c r="BO2360" s="118"/>
      <c r="BP2360" s="118"/>
      <c r="BQ2360" s="118"/>
      <c r="BR2360" s="118"/>
      <c r="BS2360" s="118"/>
      <c r="BT2360" s="118"/>
      <c r="BU2360" s="118"/>
      <c r="BV2360" s="118"/>
      <c r="BW2360" s="118"/>
      <c r="BX2360" s="118"/>
      <c r="BY2360" s="118"/>
      <c r="BZ2360" s="118"/>
      <c r="CA2360" s="118"/>
      <c r="CB2360" s="118"/>
      <c r="CC2360" s="118"/>
      <c r="CD2360" s="118"/>
      <c r="CE2360" s="118"/>
      <c r="CF2360" s="118"/>
      <c r="CG2360" s="118"/>
      <c r="CH2360" s="118"/>
      <c r="CI2360" s="118"/>
      <c r="CJ2360" s="118"/>
      <c r="CK2360" s="118"/>
      <c r="CL2360" s="118"/>
      <c r="CM2360" s="118"/>
      <c r="CN2360" s="118"/>
      <c r="CO2360" s="118"/>
      <c r="CP2360" s="118"/>
      <c r="CQ2360" s="118"/>
      <c r="CR2360" s="118"/>
      <c r="CS2360" s="118"/>
      <c r="CT2360" s="118"/>
      <c r="CU2360" s="118"/>
      <c r="CV2360" s="118"/>
      <c r="CW2360" s="118"/>
      <c r="CX2360" s="118"/>
      <c r="CY2360" s="118"/>
      <c r="CZ2360" s="118"/>
      <c r="DA2360" s="118"/>
      <c r="DB2360" s="118"/>
      <c r="DC2360" s="118"/>
      <c r="DD2360" s="118"/>
      <c r="DE2360" s="118"/>
      <c r="DF2360" s="118"/>
      <c r="DG2360" s="118"/>
      <c r="DH2360" s="118"/>
      <c r="DI2360" s="118"/>
      <c r="DJ2360" s="118"/>
      <c r="DK2360" s="118"/>
      <c r="DL2360" s="118"/>
      <c r="DM2360" s="118"/>
      <c r="DN2360" s="118"/>
      <c r="DO2360" s="118"/>
      <c r="DP2360" s="118"/>
      <c r="DQ2360" s="118"/>
      <c r="DR2360" s="118"/>
      <c r="DS2360" s="118"/>
      <c r="DT2360" s="118"/>
      <c r="DU2360" s="118"/>
      <c r="DV2360" s="118"/>
      <c r="DW2360" s="118"/>
      <c r="DX2360" s="118"/>
      <c r="DY2360" s="118"/>
      <c r="DZ2360" s="118"/>
      <c r="EA2360" s="118"/>
      <c r="EB2360" s="118"/>
      <c r="EC2360" s="118"/>
      <c r="ED2360" s="118"/>
      <c r="EE2360" s="118"/>
      <c r="EF2360" s="118"/>
      <c r="EG2360" s="118"/>
      <c r="EH2360" s="118"/>
      <c r="EI2360" s="118"/>
      <c r="EJ2360" s="118"/>
      <c r="EK2360" s="118"/>
      <c r="EL2360" s="118"/>
      <c r="EM2360" s="118"/>
      <c r="EN2360" s="118"/>
      <c r="EO2360" s="118"/>
      <c r="EP2360" s="118"/>
      <c r="EQ2360" s="118"/>
      <c r="ER2360" s="118"/>
      <c r="ES2360" s="118"/>
      <c r="ET2360" s="118"/>
      <c r="EU2360" s="118"/>
      <c r="EV2360" s="118"/>
      <c r="EW2360" s="118"/>
      <c r="EX2360" s="118"/>
      <c r="EY2360" s="118"/>
      <c r="EZ2360" s="118"/>
      <c r="FA2360" s="118"/>
      <c r="FB2360" s="118"/>
      <c r="FC2360" s="118"/>
      <c r="FD2360" s="118"/>
      <c r="FE2360" s="118"/>
      <c r="FF2360" s="118"/>
      <c r="FG2360" s="118"/>
      <c r="FH2360" s="118"/>
      <c r="FI2360" s="118"/>
      <c r="FJ2360" s="118"/>
      <c r="FK2360" s="118"/>
      <c r="FL2360" s="118"/>
      <c r="FM2360" s="118"/>
      <c r="FN2360" s="118"/>
      <c r="FO2360" s="118"/>
      <c r="FP2360" s="118"/>
      <c r="FQ2360" s="118"/>
      <c r="FR2360" s="118"/>
      <c r="FS2360" s="118"/>
      <c r="FT2360" s="118"/>
      <c r="FU2360" s="118"/>
      <c r="FV2360" s="118"/>
      <c r="FW2360" s="118"/>
      <c r="FX2360" s="118"/>
      <c r="FY2360" s="118"/>
      <c r="FZ2360" s="118"/>
      <c r="GA2360" s="118"/>
      <c r="GB2360" s="118"/>
      <c r="GC2360" s="118"/>
      <c r="GD2360" s="118"/>
      <c r="GE2360" s="118"/>
      <c r="GF2360" s="118"/>
      <c r="GG2360" s="118"/>
      <c r="GH2360" s="118"/>
      <c r="GI2360" s="118"/>
      <c r="GJ2360" s="118"/>
      <c r="GK2360" s="118"/>
      <c r="GL2360" s="118"/>
      <c r="GM2360" s="118"/>
      <c r="GN2360" s="118"/>
      <c r="GO2360" s="118"/>
      <c r="GP2360" s="118"/>
      <c r="GQ2360" s="118"/>
      <c r="GR2360" s="118"/>
      <c r="GS2360" s="118"/>
      <c r="GT2360" s="118"/>
      <c r="GU2360" s="118"/>
      <c r="GV2360" s="118"/>
      <c r="GW2360" s="118"/>
      <c r="GX2360" s="118"/>
      <c r="GY2360" s="118"/>
      <c r="GZ2360" s="118"/>
      <c r="HA2360" s="118"/>
      <c r="HB2360" s="118"/>
      <c r="HC2360" s="118"/>
      <c r="HD2360" s="118"/>
      <c r="HE2360" s="118"/>
      <c r="HF2360" s="118"/>
      <c r="HG2360" s="118"/>
      <c r="HH2360" s="118"/>
      <c r="HI2360" s="118"/>
      <c r="HJ2360" s="118"/>
      <c r="HK2360" s="118"/>
      <c r="HL2360" s="118"/>
      <c r="HM2360" s="118"/>
      <c r="HN2360" s="118"/>
      <c r="HO2360" s="118"/>
      <c r="HP2360" s="118"/>
      <c r="HQ2360" s="118"/>
      <c r="HR2360" s="118"/>
      <c r="HS2360" s="118"/>
      <c r="HT2360" s="118"/>
      <c r="HU2360" s="118"/>
      <c r="HV2360" s="118"/>
      <c r="HW2360" s="118"/>
      <c r="HX2360" s="118"/>
      <c r="HY2360" s="118"/>
      <c r="HZ2360" s="118"/>
      <c r="IA2360" s="118"/>
      <c r="IB2360" s="118"/>
      <c r="IC2360" s="118"/>
      <c r="ID2360" s="118"/>
      <c r="IE2360" s="118"/>
      <c r="IF2360" s="118"/>
      <c r="IG2360" s="118"/>
      <c r="IH2360" s="118"/>
      <c r="II2360" s="118"/>
      <c r="IJ2360" s="118"/>
    </row>
    <row r="2361" spans="1:244" s="11" customFormat="1" ht="12.75" customHeight="1">
      <c r="A2361" s="118">
        <v>2360</v>
      </c>
      <c r="B2361" s="128">
        <v>25</v>
      </c>
      <c r="C2361" s="156">
        <v>37104</v>
      </c>
      <c r="D2361" s="157" t="s">
        <v>51</v>
      </c>
      <c r="E2361" s="8">
        <v>2001</v>
      </c>
      <c r="F2361" s="158">
        <f t="shared" si="598"/>
        <v>181</v>
      </c>
      <c r="G2361" s="158">
        <f t="shared" si="599"/>
        <v>1</v>
      </c>
      <c r="H2361" s="162">
        <v>36923</v>
      </c>
      <c r="I2361" s="163">
        <v>792520</v>
      </c>
      <c r="J2361" s="11">
        <v>3.05</v>
      </c>
      <c r="K2361" s="11">
        <v>2.2000000000000002</v>
      </c>
      <c r="L2361" s="11">
        <v>0.25</v>
      </c>
      <c r="M2361" s="174"/>
      <c r="N2361" s="528"/>
      <c r="O2361" s="11">
        <v>0</v>
      </c>
      <c r="P2361" s="8"/>
      <c r="Q2361" s="11">
        <v>10.1</v>
      </c>
      <c r="S2361" s="155"/>
      <c r="T2361" s="161">
        <f>$I2361*K2361</f>
        <v>1743544.0000000002</v>
      </c>
      <c r="U2361" s="161">
        <f>$I2361*L2361</f>
        <v>198130</v>
      </c>
      <c r="V2361" s="161">
        <f>$I2361*O2361</f>
        <v>0</v>
      </c>
      <c r="W2361" s="161">
        <f>V2361*0.4</f>
        <v>0</v>
      </c>
      <c r="X2361" s="118"/>
      <c r="Y2361" s="118"/>
      <c r="Z2361" s="118"/>
      <c r="AA2361" s="118"/>
      <c r="AB2361" s="118"/>
      <c r="AC2361" s="118"/>
      <c r="AD2361" s="118"/>
      <c r="AE2361" s="118"/>
      <c r="AF2361" s="118"/>
      <c r="AG2361" s="118"/>
      <c r="AH2361" s="118"/>
      <c r="AI2361" s="118"/>
      <c r="AJ2361" s="118"/>
      <c r="AK2361" s="118"/>
      <c r="AL2361" s="118"/>
      <c r="AM2361" s="118"/>
      <c r="AN2361" s="118"/>
      <c r="AO2361" s="118"/>
      <c r="AP2361" s="118"/>
      <c r="AQ2361" s="118"/>
      <c r="AR2361" s="118"/>
      <c r="AS2361" s="118"/>
      <c r="AT2361" s="118"/>
      <c r="AU2361" s="118"/>
      <c r="AV2361" s="118"/>
      <c r="AW2361" s="118"/>
      <c r="AX2361" s="118"/>
      <c r="AY2361" s="118"/>
      <c r="AZ2361" s="118"/>
      <c r="BA2361" s="118"/>
      <c r="BB2361" s="118"/>
      <c r="BC2361" s="118"/>
      <c r="BD2361" s="118"/>
      <c r="BE2361" s="118"/>
      <c r="BF2361" s="118"/>
      <c r="BG2361" s="118"/>
      <c r="BH2361" s="118"/>
      <c r="BI2361" s="118"/>
      <c r="BJ2361" s="118"/>
      <c r="BK2361" s="118"/>
      <c r="BL2361" s="118"/>
      <c r="BM2361" s="118"/>
      <c r="BN2361" s="118"/>
      <c r="BO2361" s="118"/>
      <c r="BP2361" s="118"/>
      <c r="BQ2361" s="118"/>
      <c r="BR2361" s="118"/>
      <c r="BS2361" s="118"/>
      <c r="BT2361" s="118"/>
      <c r="BU2361" s="118"/>
      <c r="BV2361" s="118"/>
      <c r="BW2361" s="118"/>
      <c r="BX2361" s="118"/>
      <c r="BY2361" s="118"/>
      <c r="BZ2361" s="118"/>
      <c r="CA2361" s="118"/>
      <c r="CB2361" s="118"/>
      <c r="CC2361" s="118"/>
      <c r="CD2361" s="118"/>
      <c r="CE2361" s="118"/>
      <c r="CF2361" s="118"/>
      <c r="CG2361" s="118"/>
      <c r="CH2361" s="118"/>
      <c r="CI2361" s="118"/>
      <c r="CJ2361" s="118"/>
      <c r="CK2361" s="118"/>
      <c r="CL2361" s="118"/>
      <c r="CM2361" s="118"/>
      <c r="CN2361" s="118"/>
      <c r="CO2361" s="118"/>
      <c r="CP2361" s="118"/>
      <c r="CQ2361" s="118"/>
      <c r="CR2361" s="118"/>
      <c r="CS2361" s="118"/>
      <c r="CT2361" s="118"/>
      <c r="CU2361" s="118"/>
      <c r="CV2361" s="118"/>
      <c r="CW2361" s="118"/>
      <c r="CX2361" s="118"/>
      <c r="CY2361" s="118"/>
      <c r="CZ2361" s="118"/>
      <c r="DA2361" s="118"/>
      <c r="DB2361" s="118"/>
      <c r="DC2361" s="118"/>
      <c r="DD2361" s="118"/>
      <c r="DE2361" s="118"/>
      <c r="DF2361" s="118"/>
      <c r="DG2361" s="118"/>
      <c r="DH2361" s="118"/>
      <c r="DI2361" s="118"/>
      <c r="DJ2361" s="118"/>
      <c r="DK2361" s="118"/>
      <c r="DL2361" s="118"/>
      <c r="DM2361" s="118"/>
      <c r="DN2361" s="118"/>
      <c r="DO2361" s="118"/>
      <c r="DP2361" s="118"/>
      <c r="DQ2361" s="118"/>
      <c r="DR2361" s="118"/>
      <c r="DS2361" s="118"/>
      <c r="DT2361" s="118"/>
      <c r="DU2361" s="118"/>
      <c r="DV2361" s="118"/>
      <c r="DW2361" s="118"/>
      <c r="DX2361" s="118"/>
      <c r="DY2361" s="118"/>
      <c r="DZ2361" s="118"/>
      <c r="EA2361" s="118"/>
      <c r="EB2361" s="118"/>
      <c r="EC2361" s="118"/>
      <c r="ED2361" s="118"/>
      <c r="EE2361" s="118"/>
      <c r="EF2361" s="118"/>
      <c r="EG2361" s="118"/>
      <c r="EH2361" s="118"/>
      <c r="EI2361" s="118"/>
      <c r="EJ2361" s="118"/>
      <c r="EK2361" s="118"/>
      <c r="EL2361" s="118"/>
      <c r="EM2361" s="118"/>
      <c r="EN2361" s="118"/>
      <c r="EO2361" s="118"/>
      <c r="EP2361" s="118"/>
      <c r="EQ2361" s="118"/>
      <c r="ER2361" s="118"/>
      <c r="ES2361" s="118"/>
      <c r="ET2361" s="118"/>
      <c r="EU2361" s="118"/>
      <c r="EV2361" s="118"/>
      <c r="EW2361" s="118"/>
      <c r="EX2361" s="118"/>
      <c r="EY2361" s="118"/>
      <c r="EZ2361" s="118"/>
      <c r="FA2361" s="118"/>
      <c r="FB2361" s="118"/>
      <c r="FC2361" s="118"/>
      <c r="FD2361" s="118"/>
      <c r="FE2361" s="118"/>
      <c r="FF2361" s="118"/>
      <c r="FG2361" s="118"/>
      <c r="FH2361" s="118"/>
      <c r="FI2361" s="118"/>
      <c r="FJ2361" s="118"/>
      <c r="FK2361" s="118"/>
      <c r="FL2361" s="118"/>
      <c r="FM2361" s="118"/>
      <c r="FN2361" s="118"/>
      <c r="FO2361" s="118"/>
      <c r="FP2361" s="118"/>
      <c r="FQ2361" s="118"/>
      <c r="FR2361" s="118"/>
      <c r="FS2361" s="118"/>
      <c r="FT2361" s="118"/>
      <c r="FU2361" s="118"/>
      <c r="FV2361" s="118"/>
      <c r="FW2361" s="118"/>
      <c r="FX2361" s="118"/>
      <c r="FY2361" s="118"/>
      <c r="FZ2361" s="118"/>
      <c r="GA2361" s="118"/>
      <c r="GB2361" s="118"/>
      <c r="GC2361" s="118"/>
      <c r="GD2361" s="118"/>
      <c r="GE2361" s="118"/>
      <c r="GF2361" s="118"/>
      <c r="GG2361" s="118"/>
      <c r="GH2361" s="118"/>
      <c r="GI2361" s="118"/>
      <c r="GJ2361" s="118"/>
      <c r="GK2361" s="118"/>
      <c r="GL2361" s="118"/>
      <c r="GM2361" s="118"/>
      <c r="GN2361" s="118"/>
      <c r="GO2361" s="118"/>
      <c r="GP2361" s="118"/>
      <c r="GQ2361" s="118"/>
      <c r="GR2361" s="118"/>
      <c r="GS2361" s="118"/>
      <c r="GT2361" s="118"/>
      <c r="GU2361" s="118"/>
      <c r="GV2361" s="118"/>
      <c r="GW2361" s="118"/>
      <c r="GX2361" s="118"/>
      <c r="GY2361" s="118"/>
      <c r="GZ2361" s="118"/>
      <c r="HA2361" s="118"/>
      <c r="HB2361" s="118"/>
      <c r="HC2361" s="118"/>
      <c r="HD2361" s="118"/>
      <c r="HE2361" s="118"/>
      <c r="HF2361" s="118"/>
      <c r="HG2361" s="118"/>
      <c r="HH2361" s="118"/>
      <c r="HI2361" s="118"/>
      <c r="HJ2361" s="118"/>
      <c r="HK2361" s="118"/>
      <c r="HL2361" s="118"/>
      <c r="HM2361" s="118"/>
      <c r="HN2361" s="118"/>
      <c r="HO2361" s="118"/>
      <c r="HP2361" s="118"/>
      <c r="HQ2361" s="118"/>
      <c r="HR2361" s="118"/>
      <c r="HS2361" s="118"/>
      <c r="HT2361" s="118"/>
      <c r="HU2361" s="118"/>
      <c r="HV2361" s="118"/>
      <c r="HW2361" s="118"/>
      <c r="HX2361" s="118"/>
      <c r="HY2361" s="118"/>
      <c r="HZ2361" s="118"/>
      <c r="IA2361" s="118"/>
      <c r="IB2361" s="118"/>
      <c r="IC2361" s="118"/>
      <c r="ID2361" s="118"/>
      <c r="IE2361" s="118"/>
      <c r="IF2361" s="118"/>
      <c r="IG2361" s="118"/>
      <c r="IH2361" s="118"/>
      <c r="II2361" s="118"/>
      <c r="IJ2361" s="118"/>
    </row>
    <row r="2362" spans="1:244" s="11" customFormat="1" ht="12.75" customHeight="1">
      <c r="A2362" s="118">
        <v>2361</v>
      </c>
      <c r="B2362" s="128">
        <v>25</v>
      </c>
      <c r="C2362" s="156">
        <v>37135</v>
      </c>
      <c r="D2362" s="157" t="s">
        <v>52</v>
      </c>
      <c r="E2362" s="8">
        <v>2001</v>
      </c>
      <c r="F2362" s="158">
        <f t="shared" si="598"/>
        <v>212</v>
      </c>
      <c r="G2362" s="158">
        <f t="shared" si="599"/>
        <v>1</v>
      </c>
      <c r="H2362" s="162">
        <v>36923</v>
      </c>
      <c r="I2362" s="163">
        <v>789279</v>
      </c>
      <c r="M2362" s="174"/>
      <c r="N2362" s="528"/>
      <c r="P2362" s="8"/>
      <c r="S2362" s="155"/>
      <c r="U2362" s="161"/>
      <c r="X2362" s="127"/>
      <c r="Y2362" s="127"/>
      <c r="Z2362" s="127"/>
      <c r="AA2362" s="127"/>
      <c r="AB2362" s="127"/>
      <c r="AC2362" s="127"/>
      <c r="AD2362" s="127"/>
      <c r="AE2362" s="127"/>
      <c r="AF2362" s="127"/>
      <c r="AG2362" s="127"/>
      <c r="AH2362" s="127"/>
      <c r="AI2362" s="127"/>
      <c r="AJ2362" s="127"/>
      <c r="AK2362" s="127"/>
      <c r="AL2362" s="127"/>
      <c r="AM2362" s="127"/>
      <c r="AN2362" s="127"/>
      <c r="AO2362" s="127"/>
      <c r="AP2362" s="127"/>
      <c r="AQ2362" s="127"/>
      <c r="AR2362" s="127"/>
      <c r="AS2362" s="127"/>
      <c r="AT2362" s="127"/>
      <c r="AU2362" s="127"/>
      <c r="AV2362" s="127"/>
      <c r="AW2362" s="127"/>
      <c r="AX2362" s="127"/>
      <c r="AY2362" s="127"/>
      <c r="AZ2362" s="127"/>
      <c r="BA2362" s="127"/>
      <c r="BB2362" s="127"/>
      <c r="BC2362" s="127"/>
      <c r="BD2362" s="127"/>
      <c r="BE2362" s="127"/>
      <c r="BF2362" s="127"/>
      <c r="BG2362" s="127"/>
      <c r="BH2362" s="127"/>
      <c r="BI2362" s="127"/>
      <c r="BJ2362" s="127"/>
      <c r="BK2362" s="127"/>
      <c r="BL2362" s="127"/>
      <c r="BM2362" s="127"/>
      <c r="BN2362" s="127"/>
      <c r="BO2362" s="127"/>
      <c r="BP2362" s="127"/>
      <c r="BQ2362" s="127"/>
      <c r="BR2362" s="127"/>
      <c r="BS2362" s="127"/>
      <c r="BT2362" s="127"/>
      <c r="BU2362" s="127"/>
      <c r="BV2362" s="127"/>
      <c r="BW2362" s="127"/>
      <c r="BX2362" s="127"/>
      <c r="BY2362" s="127"/>
      <c r="BZ2362" s="127"/>
      <c r="CA2362" s="127"/>
      <c r="CB2362" s="127"/>
      <c r="CC2362" s="127"/>
      <c r="CD2362" s="127"/>
      <c r="CE2362" s="127"/>
      <c r="CF2362" s="127"/>
      <c r="CG2362" s="127"/>
      <c r="CH2362" s="127"/>
      <c r="CI2362" s="127"/>
      <c r="CJ2362" s="127"/>
      <c r="CK2362" s="127"/>
      <c r="CL2362" s="127"/>
      <c r="CM2362" s="127"/>
      <c r="CN2362" s="127"/>
      <c r="CO2362" s="127"/>
      <c r="CP2362" s="127"/>
      <c r="CQ2362" s="127"/>
      <c r="CR2362" s="127"/>
      <c r="CS2362" s="127"/>
      <c r="CT2362" s="127"/>
      <c r="CU2362" s="127"/>
      <c r="CV2362" s="127"/>
      <c r="CW2362" s="127"/>
      <c r="CX2362" s="127"/>
      <c r="CY2362" s="127"/>
      <c r="CZ2362" s="127"/>
      <c r="DA2362" s="127"/>
      <c r="DB2362" s="127"/>
      <c r="DC2362" s="127"/>
      <c r="DD2362" s="127"/>
      <c r="DE2362" s="127"/>
      <c r="DF2362" s="127"/>
      <c r="DG2362" s="127"/>
      <c r="DH2362" s="127"/>
      <c r="DI2362" s="127"/>
      <c r="DJ2362" s="127"/>
      <c r="DK2362" s="127"/>
      <c r="DL2362" s="127"/>
      <c r="DM2362" s="127"/>
      <c r="DN2362" s="127"/>
      <c r="DO2362" s="127"/>
      <c r="DP2362" s="127"/>
      <c r="DQ2362" s="127"/>
      <c r="DR2362" s="127"/>
      <c r="DS2362" s="127"/>
      <c r="DT2362" s="127"/>
      <c r="DU2362" s="127"/>
      <c r="DV2362" s="127"/>
      <c r="DW2362" s="127"/>
      <c r="DX2362" s="127"/>
      <c r="DY2362" s="127"/>
      <c r="DZ2362" s="127"/>
      <c r="EA2362" s="127"/>
      <c r="EB2362" s="127"/>
      <c r="EC2362" s="127"/>
      <c r="ED2362" s="127"/>
      <c r="EE2362" s="127"/>
      <c r="EF2362" s="127"/>
      <c r="EG2362" s="127"/>
      <c r="EH2362" s="127"/>
      <c r="EI2362" s="127"/>
      <c r="EJ2362" s="127"/>
      <c r="EK2362" s="127"/>
      <c r="EL2362" s="127"/>
      <c r="EM2362" s="127"/>
      <c r="EN2362" s="127"/>
      <c r="EO2362" s="127"/>
      <c r="EP2362" s="127"/>
      <c r="EQ2362" s="127"/>
      <c r="ER2362" s="127"/>
      <c r="ES2362" s="127"/>
      <c r="ET2362" s="127"/>
      <c r="EU2362" s="127"/>
      <c r="EV2362" s="127"/>
      <c r="EW2362" s="127"/>
      <c r="EX2362" s="127"/>
      <c r="EY2362" s="127"/>
      <c r="EZ2362" s="127"/>
      <c r="FA2362" s="127"/>
      <c r="FB2362" s="127"/>
      <c r="FC2362" s="127"/>
      <c r="FD2362" s="127"/>
      <c r="FE2362" s="127"/>
      <c r="FF2362" s="127"/>
      <c r="FG2362" s="127"/>
      <c r="FH2362" s="127"/>
      <c r="FI2362" s="127"/>
      <c r="FJ2362" s="127"/>
      <c r="FK2362" s="127"/>
      <c r="FL2362" s="127"/>
      <c r="FM2362" s="127"/>
      <c r="FN2362" s="127"/>
      <c r="FO2362" s="127"/>
      <c r="FP2362" s="127"/>
      <c r="FQ2362" s="127"/>
      <c r="FR2362" s="127"/>
      <c r="FS2362" s="127"/>
      <c r="FT2362" s="127"/>
      <c r="FU2362" s="127"/>
      <c r="FV2362" s="127"/>
      <c r="FW2362" s="127"/>
      <c r="FX2362" s="127"/>
      <c r="FY2362" s="127"/>
      <c r="FZ2362" s="127"/>
      <c r="GA2362" s="127"/>
      <c r="GB2362" s="127"/>
      <c r="GC2362" s="127"/>
      <c r="GD2362" s="127"/>
      <c r="GE2362" s="127"/>
      <c r="GF2362" s="127"/>
      <c r="GG2362" s="127"/>
      <c r="GH2362" s="127"/>
      <c r="GI2362" s="127"/>
      <c r="GJ2362" s="127"/>
      <c r="GK2362" s="127"/>
      <c r="GL2362" s="127"/>
      <c r="GM2362" s="127"/>
      <c r="GN2362" s="127"/>
      <c r="GO2362" s="127"/>
      <c r="GP2362" s="127"/>
      <c r="GQ2362" s="127"/>
      <c r="GR2362" s="127"/>
      <c r="GS2362" s="127"/>
      <c r="GT2362" s="127"/>
      <c r="GU2362" s="127"/>
      <c r="GV2362" s="127"/>
      <c r="GW2362" s="127"/>
      <c r="GX2362" s="127"/>
      <c r="GY2362" s="127"/>
      <c r="GZ2362" s="127"/>
      <c r="HA2362" s="127"/>
      <c r="HB2362" s="127"/>
      <c r="HC2362" s="127"/>
      <c r="HD2362" s="127"/>
      <c r="HE2362" s="127"/>
      <c r="HF2362" s="127"/>
      <c r="HG2362" s="127"/>
      <c r="HH2362" s="127"/>
      <c r="HI2362" s="127"/>
      <c r="HJ2362" s="127"/>
      <c r="HK2362" s="127"/>
      <c r="HL2362" s="127"/>
      <c r="HM2362" s="127"/>
      <c r="HN2362" s="127"/>
      <c r="HO2362" s="127"/>
      <c r="HP2362" s="127"/>
      <c r="HQ2362" s="127"/>
      <c r="HR2362" s="127"/>
      <c r="HS2362" s="127"/>
      <c r="HT2362" s="127"/>
      <c r="HU2362" s="127"/>
      <c r="HV2362" s="127"/>
      <c r="HW2362" s="127"/>
      <c r="HX2362" s="127"/>
      <c r="HY2362" s="127"/>
      <c r="HZ2362" s="127"/>
      <c r="IA2362" s="127"/>
      <c r="IB2362" s="127"/>
      <c r="IC2362" s="127"/>
      <c r="ID2362" s="127"/>
      <c r="IE2362" s="127"/>
      <c r="IF2362" s="127"/>
      <c r="IG2362" s="127"/>
      <c r="IH2362" s="127"/>
      <c r="II2362" s="127"/>
      <c r="IJ2362" s="127"/>
    </row>
    <row r="2363" spans="1:244" s="11" customFormat="1" ht="12.75" customHeight="1">
      <c r="A2363" s="118">
        <v>2362</v>
      </c>
      <c r="B2363" s="128">
        <v>25</v>
      </c>
      <c r="C2363" s="156">
        <v>37165</v>
      </c>
      <c r="D2363" s="157" t="s">
        <v>53</v>
      </c>
      <c r="E2363" s="8">
        <v>2001</v>
      </c>
      <c r="F2363" s="158"/>
      <c r="G2363" s="162"/>
      <c r="I2363" s="163"/>
      <c r="M2363" s="174"/>
      <c r="N2363" s="528"/>
      <c r="P2363" s="8"/>
      <c r="S2363" s="155" t="s">
        <v>337</v>
      </c>
      <c r="U2363" s="161"/>
      <c r="X2363" s="127"/>
      <c r="Y2363" s="127"/>
      <c r="Z2363" s="127"/>
      <c r="AA2363" s="127"/>
      <c r="AB2363" s="127"/>
      <c r="AC2363" s="127"/>
      <c r="AD2363" s="127"/>
      <c r="AE2363" s="127"/>
      <c r="AF2363" s="127"/>
      <c r="AG2363" s="127"/>
      <c r="AH2363" s="127"/>
      <c r="AI2363" s="127"/>
      <c r="AJ2363" s="127"/>
      <c r="AK2363" s="127"/>
      <c r="AL2363" s="127"/>
      <c r="AM2363" s="127"/>
      <c r="AN2363" s="127"/>
      <c r="AO2363" s="127"/>
      <c r="AP2363" s="127"/>
      <c r="AQ2363" s="127"/>
      <c r="AR2363" s="127"/>
      <c r="AS2363" s="127"/>
      <c r="AT2363" s="127"/>
      <c r="AU2363" s="127"/>
      <c r="AV2363" s="127"/>
      <c r="AW2363" s="127"/>
      <c r="AX2363" s="127"/>
      <c r="AY2363" s="127"/>
      <c r="AZ2363" s="127"/>
      <c r="BA2363" s="127"/>
      <c r="BB2363" s="127"/>
      <c r="BC2363" s="127"/>
      <c r="BD2363" s="127"/>
      <c r="BE2363" s="127"/>
      <c r="BF2363" s="127"/>
      <c r="BG2363" s="127"/>
      <c r="BH2363" s="127"/>
      <c r="BI2363" s="127"/>
      <c r="BJ2363" s="127"/>
      <c r="BK2363" s="127"/>
      <c r="BL2363" s="127"/>
      <c r="BM2363" s="127"/>
      <c r="BN2363" s="127"/>
      <c r="BO2363" s="127"/>
      <c r="BP2363" s="127"/>
      <c r="BQ2363" s="127"/>
      <c r="BR2363" s="127"/>
      <c r="BS2363" s="127"/>
      <c r="BT2363" s="127"/>
      <c r="BU2363" s="127"/>
      <c r="BV2363" s="127"/>
      <c r="BW2363" s="127"/>
      <c r="BX2363" s="127"/>
      <c r="BY2363" s="127"/>
      <c r="BZ2363" s="127"/>
      <c r="CA2363" s="127"/>
      <c r="CB2363" s="127"/>
      <c r="CC2363" s="127"/>
      <c r="CD2363" s="127"/>
      <c r="CE2363" s="127"/>
      <c r="CF2363" s="127"/>
      <c r="CG2363" s="127"/>
      <c r="CH2363" s="127"/>
      <c r="CI2363" s="127"/>
      <c r="CJ2363" s="127"/>
      <c r="CK2363" s="127"/>
      <c r="CL2363" s="127"/>
      <c r="CM2363" s="127"/>
      <c r="CN2363" s="127"/>
      <c r="CO2363" s="127"/>
      <c r="CP2363" s="127"/>
      <c r="CQ2363" s="127"/>
      <c r="CR2363" s="127"/>
      <c r="CS2363" s="127"/>
      <c r="CT2363" s="127"/>
      <c r="CU2363" s="127"/>
      <c r="CV2363" s="127"/>
      <c r="CW2363" s="127"/>
      <c r="CX2363" s="127"/>
      <c r="CY2363" s="127"/>
      <c r="CZ2363" s="127"/>
      <c r="DA2363" s="127"/>
      <c r="DB2363" s="127"/>
      <c r="DC2363" s="127"/>
      <c r="DD2363" s="127"/>
      <c r="DE2363" s="127"/>
      <c r="DF2363" s="127"/>
      <c r="DG2363" s="127"/>
      <c r="DH2363" s="127"/>
      <c r="DI2363" s="127"/>
      <c r="DJ2363" s="127"/>
      <c r="DK2363" s="127"/>
      <c r="DL2363" s="127"/>
      <c r="DM2363" s="127"/>
      <c r="DN2363" s="127"/>
      <c r="DO2363" s="127"/>
      <c r="DP2363" s="127"/>
      <c r="DQ2363" s="127"/>
      <c r="DR2363" s="127"/>
      <c r="DS2363" s="127"/>
      <c r="DT2363" s="127"/>
      <c r="DU2363" s="127"/>
      <c r="DV2363" s="127"/>
      <c r="DW2363" s="127"/>
      <c r="DX2363" s="127"/>
      <c r="DY2363" s="127"/>
      <c r="DZ2363" s="127"/>
      <c r="EA2363" s="127"/>
      <c r="EB2363" s="127"/>
      <c r="EC2363" s="127"/>
      <c r="ED2363" s="127"/>
      <c r="EE2363" s="127"/>
      <c r="EF2363" s="127"/>
      <c r="EG2363" s="127"/>
      <c r="EH2363" s="127"/>
      <c r="EI2363" s="127"/>
      <c r="EJ2363" s="127"/>
      <c r="EK2363" s="127"/>
      <c r="EL2363" s="127"/>
      <c r="EM2363" s="127"/>
      <c r="EN2363" s="127"/>
      <c r="EO2363" s="127"/>
      <c r="EP2363" s="127"/>
      <c r="EQ2363" s="127"/>
      <c r="ER2363" s="127"/>
      <c r="ES2363" s="127"/>
      <c r="ET2363" s="127"/>
      <c r="EU2363" s="127"/>
      <c r="EV2363" s="127"/>
      <c r="EW2363" s="127"/>
      <c r="EX2363" s="127"/>
      <c r="EY2363" s="127"/>
      <c r="EZ2363" s="127"/>
      <c r="FA2363" s="127"/>
      <c r="FB2363" s="127"/>
      <c r="FC2363" s="127"/>
      <c r="FD2363" s="127"/>
      <c r="FE2363" s="127"/>
      <c r="FF2363" s="127"/>
      <c r="FG2363" s="127"/>
      <c r="FH2363" s="127"/>
      <c r="FI2363" s="127"/>
      <c r="FJ2363" s="127"/>
      <c r="FK2363" s="127"/>
      <c r="FL2363" s="127"/>
      <c r="FM2363" s="127"/>
      <c r="FN2363" s="127"/>
      <c r="FO2363" s="127"/>
      <c r="FP2363" s="127"/>
      <c r="FQ2363" s="127"/>
      <c r="FR2363" s="127"/>
      <c r="FS2363" s="127"/>
      <c r="FT2363" s="127"/>
      <c r="FU2363" s="127"/>
      <c r="FV2363" s="127"/>
      <c r="FW2363" s="127"/>
      <c r="FX2363" s="127"/>
      <c r="FY2363" s="127"/>
      <c r="FZ2363" s="127"/>
      <c r="GA2363" s="127"/>
      <c r="GB2363" s="127"/>
      <c r="GC2363" s="127"/>
      <c r="GD2363" s="127"/>
      <c r="GE2363" s="127"/>
      <c r="GF2363" s="127"/>
      <c r="GG2363" s="127"/>
      <c r="GH2363" s="127"/>
      <c r="GI2363" s="127"/>
      <c r="GJ2363" s="127"/>
      <c r="GK2363" s="127"/>
      <c r="GL2363" s="127"/>
      <c r="GM2363" s="127"/>
      <c r="GN2363" s="127"/>
      <c r="GO2363" s="127"/>
      <c r="GP2363" s="127"/>
      <c r="GQ2363" s="127"/>
      <c r="GR2363" s="127"/>
      <c r="GS2363" s="127"/>
      <c r="GT2363" s="127"/>
      <c r="GU2363" s="127"/>
      <c r="GV2363" s="127"/>
      <c r="GW2363" s="127"/>
      <c r="GX2363" s="127"/>
      <c r="GY2363" s="127"/>
      <c r="GZ2363" s="127"/>
      <c r="HA2363" s="127"/>
      <c r="HB2363" s="127"/>
      <c r="HC2363" s="127"/>
      <c r="HD2363" s="127"/>
      <c r="HE2363" s="127"/>
      <c r="HF2363" s="127"/>
      <c r="HG2363" s="127"/>
      <c r="HH2363" s="127"/>
      <c r="HI2363" s="127"/>
      <c r="HJ2363" s="127"/>
      <c r="HK2363" s="127"/>
      <c r="HL2363" s="127"/>
      <c r="HM2363" s="127"/>
      <c r="HN2363" s="127"/>
      <c r="HO2363" s="127"/>
      <c r="HP2363" s="127"/>
      <c r="HQ2363" s="127"/>
      <c r="HR2363" s="127"/>
      <c r="HS2363" s="127"/>
      <c r="HT2363" s="127"/>
      <c r="HU2363" s="127"/>
      <c r="HV2363" s="127"/>
      <c r="HW2363" s="127"/>
      <c r="HX2363" s="127"/>
      <c r="HY2363" s="127"/>
      <c r="HZ2363" s="127"/>
      <c r="IA2363" s="127"/>
      <c r="IB2363" s="127"/>
      <c r="IC2363" s="127"/>
      <c r="ID2363" s="127"/>
      <c r="IE2363" s="127"/>
      <c r="IF2363" s="127"/>
      <c r="IG2363" s="127"/>
      <c r="IH2363" s="127"/>
      <c r="II2363" s="127"/>
      <c r="IJ2363" s="127"/>
    </row>
    <row r="2364" spans="1:244" s="11" customFormat="1" ht="12.75" customHeight="1">
      <c r="A2364" s="118">
        <v>2363</v>
      </c>
      <c r="B2364" s="128">
        <v>25</v>
      </c>
      <c r="C2364" s="156">
        <v>37196</v>
      </c>
      <c r="D2364" s="157" t="s">
        <v>54</v>
      </c>
      <c r="E2364" s="8">
        <v>2001</v>
      </c>
      <c r="F2364" s="158"/>
      <c r="G2364" s="162"/>
      <c r="I2364" s="163"/>
      <c r="M2364" s="174"/>
      <c r="N2364" s="528"/>
      <c r="P2364" s="8"/>
      <c r="S2364" s="155"/>
      <c r="U2364" s="161"/>
      <c r="X2364" s="127"/>
      <c r="Y2364" s="127"/>
      <c r="Z2364" s="127"/>
      <c r="AA2364" s="127"/>
      <c r="AB2364" s="127"/>
      <c r="AC2364" s="127"/>
      <c r="AD2364" s="127"/>
      <c r="AE2364" s="127"/>
      <c r="AF2364" s="127"/>
      <c r="AG2364" s="127"/>
      <c r="AH2364" s="127"/>
      <c r="AI2364" s="127"/>
      <c r="AJ2364" s="127"/>
      <c r="AK2364" s="127"/>
      <c r="AL2364" s="127"/>
      <c r="AM2364" s="127"/>
      <c r="AN2364" s="127"/>
      <c r="AO2364" s="127"/>
      <c r="AP2364" s="127"/>
      <c r="AQ2364" s="127"/>
      <c r="AR2364" s="127"/>
      <c r="AS2364" s="127"/>
      <c r="AT2364" s="127"/>
      <c r="AU2364" s="127"/>
      <c r="AV2364" s="127"/>
      <c r="AW2364" s="127"/>
      <c r="AX2364" s="127"/>
      <c r="AY2364" s="127"/>
      <c r="AZ2364" s="127"/>
      <c r="BA2364" s="127"/>
      <c r="BB2364" s="127"/>
      <c r="BC2364" s="127"/>
      <c r="BD2364" s="127"/>
      <c r="BE2364" s="127"/>
      <c r="BF2364" s="127"/>
      <c r="BG2364" s="127"/>
      <c r="BH2364" s="127"/>
      <c r="BI2364" s="127"/>
      <c r="BJ2364" s="127"/>
      <c r="BK2364" s="127"/>
      <c r="BL2364" s="127"/>
      <c r="BM2364" s="127"/>
      <c r="BN2364" s="127"/>
      <c r="BO2364" s="127"/>
      <c r="BP2364" s="127"/>
      <c r="BQ2364" s="127"/>
      <c r="BR2364" s="127"/>
      <c r="BS2364" s="127"/>
      <c r="BT2364" s="127"/>
      <c r="BU2364" s="127"/>
      <c r="BV2364" s="127"/>
      <c r="BW2364" s="127"/>
      <c r="BX2364" s="127"/>
      <c r="BY2364" s="127"/>
      <c r="BZ2364" s="127"/>
      <c r="CA2364" s="127"/>
      <c r="CB2364" s="127"/>
      <c r="CC2364" s="127"/>
      <c r="CD2364" s="127"/>
      <c r="CE2364" s="127"/>
      <c r="CF2364" s="127"/>
      <c r="CG2364" s="127"/>
      <c r="CH2364" s="127"/>
      <c r="CI2364" s="127"/>
      <c r="CJ2364" s="127"/>
      <c r="CK2364" s="127"/>
      <c r="CL2364" s="127"/>
      <c r="CM2364" s="127"/>
      <c r="CN2364" s="127"/>
      <c r="CO2364" s="127"/>
      <c r="CP2364" s="127"/>
      <c r="CQ2364" s="127"/>
      <c r="CR2364" s="127"/>
      <c r="CS2364" s="127"/>
      <c r="CT2364" s="127"/>
      <c r="CU2364" s="127"/>
      <c r="CV2364" s="127"/>
      <c r="CW2364" s="127"/>
      <c r="CX2364" s="127"/>
      <c r="CY2364" s="127"/>
      <c r="CZ2364" s="127"/>
      <c r="DA2364" s="127"/>
      <c r="DB2364" s="127"/>
      <c r="DC2364" s="127"/>
      <c r="DD2364" s="127"/>
      <c r="DE2364" s="127"/>
      <c r="DF2364" s="127"/>
      <c r="DG2364" s="127"/>
      <c r="DH2364" s="127"/>
      <c r="DI2364" s="127"/>
      <c r="DJ2364" s="127"/>
      <c r="DK2364" s="127"/>
      <c r="DL2364" s="127"/>
      <c r="DM2364" s="127"/>
      <c r="DN2364" s="127"/>
      <c r="DO2364" s="127"/>
      <c r="DP2364" s="127"/>
      <c r="DQ2364" s="127"/>
      <c r="DR2364" s="127"/>
      <c r="DS2364" s="127"/>
      <c r="DT2364" s="127"/>
      <c r="DU2364" s="127"/>
      <c r="DV2364" s="127"/>
      <c r="DW2364" s="127"/>
      <c r="DX2364" s="127"/>
      <c r="DY2364" s="127"/>
      <c r="DZ2364" s="127"/>
      <c r="EA2364" s="127"/>
      <c r="EB2364" s="127"/>
      <c r="EC2364" s="127"/>
      <c r="ED2364" s="127"/>
      <c r="EE2364" s="127"/>
      <c r="EF2364" s="127"/>
      <c r="EG2364" s="127"/>
      <c r="EH2364" s="127"/>
      <c r="EI2364" s="127"/>
      <c r="EJ2364" s="127"/>
      <c r="EK2364" s="127"/>
      <c r="EL2364" s="127"/>
      <c r="EM2364" s="127"/>
      <c r="EN2364" s="127"/>
      <c r="EO2364" s="127"/>
      <c r="EP2364" s="127"/>
      <c r="EQ2364" s="127"/>
      <c r="ER2364" s="127"/>
      <c r="ES2364" s="127"/>
      <c r="ET2364" s="127"/>
      <c r="EU2364" s="127"/>
      <c r="EV2364" s="127"/>
      <c r="EW2364" s="127"/>
      <c r="EX2364" s="127"/>
      <c r="EY2364" s="127"/>
      <c r="EZ2364" s="127"/>
      <c r="FA2364" s="127"/>
      <c r="FB2364" s="127"/>
      <c r="FC2364" s="127"/>
      <c r="FD2364" s="127"/>
      <c r="FE2364" s="127"/>
      <c r="FF2364" s="127"/>
      <c r="FG2364" s="127"/>
      <c r="FH2364" s="127"/>
      <c r="FI2364" s="127"/>
      <c r="FJ2364" s="127"/>
      <c r="FK2364" s="127"/>
      <c r="FL2364" s="127"/>
      <c r="FM2364" s="127"/>
      <c r="FN2364" s="127"/>
      <c r="FO2364" s="127"/>
      <c r="FP2364" s="127"/>
      <c r="FQ2364" s="127"/>
      <c r="FR2364" s="127"/>
      <c r="FS2364" s="127"/>
      <c r="FT2364" s="127"/>
      <c r="FU2364" s="127"/>
      <c r="FV2364" s="127"/>
      <c r="FW2364" s="127"/>
      <c r="FX2364" s="127"/>
      <c r="FY2364" s="127"/>
      <c r="FZ2364" s="127"/>
      <c r="GA2364" s="127"/>
      <c r="GB2364" s="127"/>
      <c r="GC2364" s="127"/>
      <c r="GD2364" s="127"/>
      <c r="GE2364" s="127"/>
      <c r="GF2364" s="127"/>
      <c r="GG2364" s="127"/>
      <c r="GH2364" s="127"/>
      <c r="GI2364" s="127"/>
      <c r="GJ2364" s="127"/>
      <c r="GK2364" s="127"/>
      <c r="GL2364" s="127"/>
      <c r="GM2364" s="127"/>
      <c r="GN2364" s="127"/>
      <c r="GO2364" s="127"/>
      <c r="GP2364" s="127"/>
      <c r="GQ2364" s="127"/>
      <c r="GR2364" s="127"/>
      <c r="GS2364" s="127"/>
      <c r="GT2364" s="127"/>
      <c r="GU2364" s="127"/>
      <c r="GV2364" s="127"/>
      <c r="GW2364" s="127"/>
      <c r="GX2364" s="127"/>
      <c r="GY2364" s="127"/>
      <c r="GZ2364" s="127"/>
      <c r="HA2364" s="127"/>
      <c r="HB2364" s="127"/>
      <c r="HC2364" s="127"/>
      <c r="HD2364" s="127"/>
      <c r="HE2364" s="127"/>
      <c r="HF2364" s="127"/>
      <c r="HG2364" s="127"/>
      <c r="HH2364" s="127"/>
      <c r="HI2364" s="127"/>
      <c r="HJ2364" s="127"/>
      <c r="HK2364" s="127"/>
      <c r="HL2364" s="127"/>
      <c r="HM2364" s="127"/>
      <c r="HN2364" s="127"/>
      <c r="HO2364" s="127"/>
      <c r="HP2364" s="127"/>
      <c r="HQ2364" s="127"/>
      <c r="HR2364" s="127"/>
      <c r="HS2364" s="127"/>
      <c r="HT2364" s="127"/>
      <c r="HU2364" s="127"/>
      <c r="HV2364" s="127"/>
      <c r="HW2364" s="127"/>
      <c r="HX2364" s="127"/>
      <c r="HY2364" s="127"/>
      <c r="HZ2364" s="127"/>
      <c r="IA2364" s="127"/>
      <c r="IB2364" s="127"/>
      <c r="IC2364" s="127"/>
      <c r="ID2364" s="127"/>
      <c r="IE2364" s="127"/>
      <c r="IF2364" s="127"/>
      <c r="IG2364" s="127"/>
      <c r="IH2364" s="127"/>
      <c r="II2364" s="127"/>
      <c r="IJ2364" s="127"/>
    </row>
    <row r="2365" spans="1:244" s="11" customFormat="1" ht="12.75" customHeight="1">
      <c r="A2365" s="118">
        <v>2364</v>
      </c>
      <c r="B2365" s="128">
        <v>25</v>
      </c>
      <c r="C2365" s="156">
        <v>37226</v>
      </c>
      <c r="D2365" s="157" t="s">
        <v>55</v>
      </c>
      <c r="E2365" s="8">
        <v>2001</v>
      </c>
      <c r="F2365" s="158"/>
      <c r="G2365" s="162"/>
      <c r="I2365" s="163"/>
      <c r="M2365" s="174"/>
      <c r="N2365" s="528"/>
      <c r="P2365" s="8"/>
      <c r="S2365" s="155"/>
      <c r="U2365" s="161"/>
      <c r="X2365" s="127"/>
      <c r="Y2365" s="127"/>
      <c r="Z2365" s="127"/>
      <c r="AA2365" s="127"/>
      <c r="AB2365" s="127"/>
      <c r="AC2365" s="127"/>
      <c r="AD2365" s="127"/>
      <c r="AE2365" s="127"/>
      <c r="AF2365" s="127"/>
      <c r="AG2365" s="127"/>
      <c r="AH2365" s="127"/>
      <c r="AI2365" s="127"/>
      <c r="AJ2365" s="127"/>
      <c r="AK2365" s="127"/>
      <c r="AL2365" s="127"/>
      <c r="AM2365" s="127"/>
      <c r="AN2365" s="127"/>
      <c r="AO2365" s="127"/>
      <c r="AP2365" s="127"/>
      <c r="AQ2365" s="127"/>
      <c r="AR2365" s="127"/>
      <c r="AS2365" s="127"/>
      <c r="AT2365" s="127"/>
      <c r="AU2365" s="127"/>
      <c r="AV2365" s="127"/>
      <c r="AW2365" s="127"/>
      <c r="AX2365" s="127"/>
      <c r="AY2365" s="127"/>
      <c r="AZ2365" s="127"/>
      <c r="BA2365" s="127"/>
      <c r="BB2365" s="127"/>
      <c r="BC2365" s="127"/>
      <c r="BD2365" s="127"/>
      <c r="BE2365" s="127"/>
      <c r="BF2365" s="127"/>
      <c r="BG2365" s="127"/>
      <c r="BH2365" s="127"/>
      <c r="BI2365" s="127"/>
      <c r="BJ2365" s="127"/>
      <c r="BK2365" s="127"/>
      <c r="BL2365" s="127"/>
      <c r="BM2365" s="127"/>
      <c r="BN2365" s="127"/>
      <c r="BO2365" s="127"/>
      <c r="BP2365" s="127"/>
      <c r="BQ2365" s="127"/>
      <c r="BR2365" s="127"/>
      <c r="BS2365" s="127"/>
      <c r="BT2365" s="127"/>
      <c r="BU2365" s="127"/>
      <c r="BV2365" s="127"/>
      <c r="BW2365" s="127"/>
      <c r="BX2365" s="127"/>
      <c r="BY2365" s="127"/>
      <c r="BZ2365" s="127"/>
      <c r="CA2365" s="127"/>
      <c r="CB2365" s="127"/>
      <c r="CC2365" s="127"/>
      <c r="CD2365" s="127"/>
      <c r="CE2365" s="127"/>
      <c r="CF2365" s="127"/>
      <c r="CG2365" s="127"/>
      <c r="CH2365" s="127"/>
      <c r="CI2365" s="127"/>
      <c r="CJ2365" s="127"/>
      <c r="CK2365" s="127"/>
      <c r="CL2365" s="127"/>
      <c r="CM2365" s="127"/>
      <c r="CN2365" s="127"/>
      <c r="CO2365" s="127"/>
      <c r="CP2365" s="127"/>
      <c r="CQ2365" s="127"/>
      <c r="CR2365" s="127"/>
      <c r="CS2365" s="127"/>
      <c r="CT2365" s="127"/>
      <c r="CU2365" s="127"/>
      <c r="CV2365" s="127"/>
      <c r="CW2365" s="127"/>
      <c r="CX2365" s="127"/>
      <c r="CY2365" s="127"/>
      <c r="CZ2365" s="127"/>
      <c r="DA2365" s="127"/>
      <c r="DB2365" s="127"/>
      <c r="DC2365" s="127"/>
      <c r="DD2365" s="127"/>
      <c r="DE2365" s="127"/>
      <c r="DF2365" s="127"/>
      <c r="DG2365" s="127"/>
      <c r="DH2365" s="127"/>
      <c r="DI2365" s="127"/>
      <c r="DJ2365" s="127"/>
      <c r="DK2365" s="127"/>
      <c r="DL2365" s="127"/>
      <c r="DM2365" s="127"/>
      <c r="DN2365" s="127"/>
      <c r="DO2365" s="127"/>
      <c r="DP2365" s="127"/>
      <c r="DQ2365" s="127"/>
      <c r="DR2365" s="127"/>
      <c r="DS2365" s="127"/>
      <c r="DT2365" s="127"/>
      <c r="DU2365" s="127"/>
      <c r="DV2365" s="127"/>
      <c r="DW2365" s="127"/>
      <c r="DX2365" s="127"/>
      <c r="DY2365" s="127"/>
      <c r="DZ2365" s="127"/>
      <c r="EA2365" s="127"/>
      <c r="EB2365" s="127"/>
      <c r="EC2365" s="127"/>
      <c r="ED2365" s="127"/>
      <c r="EE2365" s="127"/>
      <c r="EF2365" s="127"/>
      <c r="EG2365" s="127"/>
      <c r="EH2365" s="127"/>
      <c r="EI2365" s="127"/>
      <c r="EJ2365" s="127"/>
      <c r="EK2365" s="127"/>
      <c r="EL2365" s="127"/>
      <c r="EM2365" s="127"/>
      <c r="EN2365" s="127"/>
      <c r="EO2365" s="127"/>
      <c r="EP2365" s="127"/>
      <c r="EQ2365" s="127"/>
      <c r="ER2365" s="127"/>
      <c r="ES2365" s="127"/>
      <c r="ET2365" s="127"/>
      <c r="EU2365" s="127"/>
      <c r="EV2365" s="127"/>
      <c r="EW2365" s="127"/>
      <c r="EX2365" s="127"/>
      <c r="EY2365" s="127"/>
      <c r="EZ2365" s="127"/>
      <c r="FA2365" s="127"/>
      <c r="FB2365" s="127"/>
      <c r="FC2365" s="127"/>
      <c r="FD2365" s="127"/>
      <c r="FE2365" s="127"/>
      <c r="FF2365" s="127"/>
      <c r="FG2365" s="127"/>
      <c r="FH2365" s="127"/>
      <c r="FI2365" s="127"/>
      <c r="FJ2365" s="127"/>
      <c r="FK2365" s="127"/>
      <c r="FL2365" s="127"/>
      <c r="FM2365" s="127"/>
      <c r="FN2365" s="127"/>
      <c r="FO2365" s="127"/>
      <c r="FP2365" s="127"/>
      <c r="FQ2365" s="127"/>
      <c r="FR2365" s="127"/>
      <c r="FS2365" s="127"/>
      <c r="FT2365" s="127"/>
      <c r="FU2365" s="127"/>
      <c r="FV2365" s="127"/>
      <c r="FW2365" s="127"/>
      <c r="FX2365" s="127"/>
      <c r="FY2365" s="127"/>
      <c r="FZ2365" s="127"/>
      <c r="GA2365" s="127"/>
      <c r="GB2365" s="127"/>
      <c r="GC2365" s="127"/>
      <c r="GD2365" s="127"/>
      <c r="GE2365" s="127"/>
      <c r="GF2365" s="127"/>
      <c r="GG2365" s="127"/>
      <c r="GH2365" s="127"/>
      <c r="GI2365" s="127"/>
      <c r="GJ2365" s="127"/>
      <c r="GK2365" s="127"/>
      <c r="GL2365" s="127"/>
      <c r="GM2365" s="127"/>
      <c r="GN2365" s="127"/>
      <c r="GO2365" s="127"/>
      <c r="GP2365" s="127"/>
      <c r="GQ2365" s="127"/>
      <c r="GR2365" s="127"/>
      <c r="GS2365" s="127"/>
      <c r="GT2365" s="127"/>
      <c r="GU2365" s="127"/>
      <c r="GV2365" s="127"/>
      <c r="GW2365" s="127"/>
      <c r="GX2365" s="127"/>
      <c r="GY2365" s="127"/>
      <c r="GZ2365" s="127"/>
      <c r="HA2365" s="127"/>
      <c r="HB2365" s="127"/>
      <c r="HC2365" s="127"/>
      <c r="HD2365" s="127"/>
      <c r="HE2365" s="127"/>
      <c r="HF2365" s="127"/>
      <c r="HG2365" s="127"/>
      <c r="HH2365" s="127"/>
      <c r="HI2365" s="127"/>
      <c r="HJ2365" s="127"/>
      <c r="HK2365" s="127"/>
      <c r="HL2365" s="127"/>
      <c r="HM2365" s="127"/>
      <c r="HN2365" s="127"/>
      <c r="HO2365" s="127"/>
      <c r="HP2365" s="127"/>
      <c r="HQ2365" s="127"/>
      <c r="HR2365" s="127"/>
      <c r="HS2365" s="127"/>
      <c r="HT2365" s="127"/>
      <c r="HU2365" s="127"/>
      <c r="HV2365" s="127"/>
      <c r="HW2365" s="127"/>
      <c r="HX2365" s="127"/>
      <c r="HY2365" s="127"/>
      <c r="HZ2365" s="127"/>
      <c r="IA2365" s="127"/>
      <c r="IB2365" s="127"/>
      <c r="IC2365" s="127"/>
      <c r="ID2365" s="127"/>
      <c r="IE2365" s="127"/>
      <c r="IF2365" s="127"/>
      <c r="IG2365" s="127"/>
      <c r="IH2365" s="127"/>
      <c r="II2365" s="127"/>
      <c r="IJ2365" s="127"/>
    </row>
    <row r="2366" spans="1:244" s="128" customFormat="1" ht="12.75" customHeight="1">
      <c r="A2366" s="118">
        <v>2365</v>
      </c>
      <c r="B2366" s="128">
        <v>25</v>
      </c>
      <c r="C2366" s="156">
        <v>37257</v>
      </c>
      <c r="D2366" s="157" t="s">
        <v>44</v>
      </c>
      <c r="E2366" s="8">
        <v>2002</v>
      </c>
      <c r="F2366" s="158"/>
      <c r="G2366" s="162"/>
      <c r="H2366" s="11"/>
      <c r="I2366" s="163"/>
      <c r="J2366" s="11"/>
      <c r="K2366" s="11"/>
      <c r="L2366" s="11"/>
      <c r="M2366" s="174"/>
      <c r="N2366" s="528"/>
      <c r="O2366" s="11"/>
      <c r="P2366" s="8"/>
      <c r="Q2366" s="11"/>
      <c r="R2366" s="11"/>
      <c r="S2366" s="155"/>
      <c r="T2366" s="15"/>
      <c r="U2366" s="161"/>
      <c r="V2366" s="15"/>
      <c r="W2366" s="15"/>
      <c r="X2366" s="127"/>
      <c r="Y2366" s="127"/>
      <c r="Z2366" s="127"/>
      <c r="AA2366" s="127"/>
      <c r="AB2366" s="127"/>
      <c r="AC2366" s="127"/>
      <c r="AD2366" s="127"/>
      <c r="AE2366" s="127"/>
      <c r="AF2366" s="127"/>
      <c r="AG2366" s="127"/>
      <c r="AH2366" s="127"/>
      <c r="AI2366" s="127"/>
      <c r="AJ2366" s="127"/>
      <c r="AK2366" s="127"/>
      <c r="AL2366" s="127"/>
      <c r="AM2366" s="127"/>
      <c r="AN2366" s="127"/>
      <c r="AO2366" s="127"/>
      <c r="AP2366" s="127"/>
      <c r="AQ2366" s="127"/>
      <c r="AR2366" s="127"/>
      <c r="AS2366" s="127"/>
      <c r="AT2366" s="127"/>
      <c r="AU2366" s="127"/>
      <c r="AV2366" s="127"/>
      <c r="AW2366" s="127"/>
      <c r="AX2366" s="127"/>
      <c r="AY2366" s="127"/>
      <c r="AZ2366" s="127"/>
      <c r="BA2366" s="127"/>
      <c r="BB2366" s="127"/>
      <c r="BC2366" s="127"/>
      <c r="BD2366" s="127"/>
      <c r="BE2366" s="127"/>
      <c r="BF2366" s="127"/>
      <c r="BG2366" s="127"/>
      <c r="BH2366" s="127"/>
      <c r="BI2366" s="127"/>
      <c r="BJ2366" s="127"/>
      <c r="BK2366" s="127"/>
      <c r="BL2366" s="127"/>
      <c r="BM2366" s="127"/>
      <c r="BN2366" s="127"/>
      <c r="BO2366" s="127"/>
      <c r="BP2366" s="127"/>
      <c r="BQ2366" s="127"/>
      <c r="BR2366" s="127"/>
      <c r="BS2366" s="127"/>
      <c r="BT2366" s="127"/>
      <c r="BU2366" s="127"/>
      <c r="BV2366" s="127"/>
      <c r="BW2366" s="127"/>
      <c r="BX2366" s="127"/>
      <c r="BY2366" s="127"/>
      <c r="BZ2366" s="127"/>
      <c r="CA2366" s="127"/>
      <c r="CB2366" s="127"/>
      <c r="CC2366" s="127"/>
      <c r="CD2366" s="127"/>
      <c r="CE2366" s="127"/>
      <c r="CF2366" s="127"/>
      <c r="CG2366" s="127"/>
      <c r="CH2366" s="127"/>
      <c r="CI2366" s="127"/>
      <c r="CJ2366" s="127"/>
      <c r="CK2366" s="127"/>
      <c r="CL2366" s="127"/>
      <c r="CM2366" s="127"/>
      <c r="CN2366" s="127"/>
      <c r="CO2366" s="127"/>
      <c r="CP2366" s="127"/>
      <c r="CQ2366" s="127"/>
      <c r="CR2366" s="127"/>
      <c r="CS2366" s="127"/>
      <c r="CT2366" s="127"/>
      <c r="CU2366" s="127"/>
      <c r="CV2366" s="127"/>
      <c r="CW2366" s="127"/>
      <c r="CX2366" s="127"/>
      <c r="CY2366" s="127"/>
      <c r="CZ2366" s="127"/>
      <c r="DA2366" s="127"/>
      <c r="DB2366" s="127"/>
      <c r="DC2366" s="127"/>
      <c r="DD2366" s="127"/>
      <c r="DE2366" s="127"/>
      <c r="DF2366" s="127"/>
      <c r="DG2366" s="127"/>
      <c r="DH2366" s="127"/>
      <c r="DI2366" s="127"/>
      <c r="DJ2366" s="127"/>
      <c r="DK2366" s="127"/>
      <c r="DL2366" s="127"/>
      <c r="DM2366" s="127"/>
      <c r="DN2366" s="127"/>
      <c r="DO2366" s="127"/>
      <c r="DP2366" s="127"/>
      <c r="DQ2366" s="127"/>
      <c r="DR2366" s="127"/>
      <c r="DS2366" s="127"/>
      <c r="DT2366" s="127"/>
      <c r="DU2366" s="127"/>
      <c r="DV2366" s="127"/>
      <c r="DW2366" s="127"/>
      <c r="DX2366" s="127"/>
      <c r="DY2366" s="127"/>
      <c r="DZ2366" s="127"/>
      <c r="EA2366" s="127"/>
      <c r="EB2366" s="127"/>
      <c r="EC2366" s="127"/>
      <c r="ED2366" s="127"/>
      <c r="EE2366" s="127"/>
      <c r="EF2366" s="127"/>
      <c r="EG2366" s="127"/>
      <c r="EH2366" s="127"/>
      <c r="EI2366" s="127"/>
      <c r="EJ2366" s="127"/>
      <c r="EK2366" s="127"/>
      <c r="EL2366" s="127"/>
      <c r="EM2366" s="127"/>
      <c r="EN2366" s="127"/>
      <c r="EO2366" s="127"/>
      <c r="EP2366" s="127"/>
      <c r="EQ2366" s="127"/>
      <c r="ER2366" s="127"/>
      <c r="ES2366" s="127"/>
      <c r="ET2366" s="127"/>
      <c r="EU2366" s="127"/>
      <c r="EV2366" s="127"/>
      <c r="EW2366" s="127"/>
      <c r="EX2366" s="127"/>
      <c r="EY2366" s="127"/>
      <c r="EZ2366" s="127"/>
      <c r="FA2366" s="127"/>
      <c r="FB2366" s="127"/>
      <c r="FC2366" s="127"/>
      <c r="FD2366" s="127"/>
      <c r="FE2366" s="127"/>
      <c r="FF2366" s="127"/>
      <c r="FG2366" s="127"/>
      <c r="FH2366" s="127"/>
      <c r="FI2366" s="127"/>
      <c r="FJ2366" s="127"/>
      <c r="FK2366" s="127"/>
      <c r="FL2366" s="127"/>
      <c r="FM2366" s="127"/>
      <c r="FN2366" s="127"/>
      <c r="FO2366" s="127"/>
      <c r="FP2366" s="127"/>
      <c r="FQ2366" s="127"/>
      <c r="FR2366" s="127"/>
      <c r="FS2366" s="127"/>
      <c r="FT2366" s="127"/>
      <c r="FU2366" s="127"/>
      <c r="FV2366" s="127"/>
      <c r="FW2366" s="127"/>
      <c r="FX2366" s="127"/>
      <c r="FY2366" s="127"/>
      <c r="FZ2366" s="127"/>
      <c r="GA2366" s="127"/>
      <c r="GB2366" s="127"/>
      <c r="GC2366" s="127"/>
      <c r="GD2366" s="127"/>
      <c r="GE2366" s="127"/>
      <c r="GF2366" s="127"/>
      <c r="GG2366" s="127"/>
      <c r="GH2366" s="127"/>
      <c r="GI2366" s="127"/>
      <c r="GJ2366" s="127"/>
      <c r="GK2366" s="127"/>
      <c r="GL2366" s="127"/>
      <c r="GM2366" s="127"/>
      <c r="GN2366" s="127"/>
      <c r="GO2366" s="127"/>
      <c r="GP2366" s="127"/>
      <c r="GQ2366" s="127"/>
      <c r="GR2366" s="127"/>
      <c r="GS2366" s="127"/>
      <c r="GT2366" s="127"/>
      <c r="GU2366" s="127"/>
      <c r="GV2366" s="127"/>
      <c r="GW2366" s="127"/>
      <c r="GX2366" s="127"/>
      <c r="GY2366" s="127"/>
      <c r="GZ2366" s="127"/>
      <c r="HA2366" s="127"/>
      <c r="HB2366" s="127"/>
      <c r="HC2366" s="127"/>
      <c r="HD2366" s="127"/>
      <c r="HE2366" s="127"/>
      <c r="HF2366" s="127"/>
      <c r="HG2366" s="127"/>
      <c r="HH2366" s="127"/>
      <c r="HI2366" s="127"/>
      <c r="HJ2366" s="127"/>
      <c r="HK2366" s="127"/>
      <c r="HL2366" s="127"/>
      <c r="HM2366" s="127"/>
      <c r="HN2366" s="127"/>
      <c r="HO2366" s="127"/>
      <c r="HP2366" s="127"/>
      <c r="HQ2366" s="127"/>
      <c r="HR2366" s="127"/>
      <c r="HS2366" s="127"/>
      <c r="HT2366" s="127"/>
      <c r="HU2366" s="127"/>
      <c r="HV2366" s="127"/>
      <c r="HW2366" s="127"/>
      <c r="HX2366" s="127"/>
      <c r="HY2366" s="127"/>
      <c r="HZ2366" s="127"/>
      <c r="IA2366" s="127"/>
      <c r="IB2366" s="127"/>
      <c r="IC2366" s="127"/>
      <c r="ID2366" s="127"/>
      <c r="IE2366" s="127"/>
      <c r="IF2366" s="127"/>
      <c r="IG2366" s="127"/>
      <c r="IH2366" s="127"/>
      <c r="II2366" s="127"/>
      <c r="IJ2366" s="127"/>
    </row>
    <row r="2367" spans="1:244" s="128" customFormat="1" ht="12.75" customHeight="1">
      <c r="A2367" s="118">
        <v>2366</v>
      </c>
      <c r="B2367" s="128">
        <v>25</v>
      </c>
      <c r="C2367" s="156">
        <v>37288</v>
      </c>
      <c r="D2367" s="157" t="s">
        <v>45</v>
      </c>
      <c r="E2367" s="8">
        <v>2002</v>
      </c>
      <c r="F2367" s="158"/>
      <c r="G2367" s="162"/>
      <c r="H2367" s="11"/>
      <c r="I2367" s="163"/>
      <c r="J2367" s="11"/>
      <c r="K2367" s="11"/>
      <c r="L2367" s="11"/>
      <c r="M2367" s="174"/>
      <c r="N2367" s="528"/>
      <c r="O2367" s="11"/>
      <c r="P2367" s="8"/>
      <c r="Q2367" s="11"/>
      <c r="R2367" s="11"/>
      <c r="S2367" s="155"/>
      <c r="T2367" s="11"/>
      <c r="U2367" s="161"/>
      <c r="V2367" s="11"/>
      <c r="W2367" s="11"/>
      <c r="X2367" s="127"/>
      <c r="Y2367" s="127"/>
      <c r="Z2367" s="127"/>
      <c r="AA2367" s="127"/>
      <c r="AB2367" s="127"/>
      <c r="AC2367" s="127"/>
      <c r="AD2367" s="127"/>
      <c r="AE2367" s="127"/>
      <c r="AF2367" s="127"/>
      <c r="AG2367" s="127"/>
      <c r="AH2367" s="127"/>
      <c r="AI2367" s="127"/>
      <c r="AJ2367" s="127"/>
      <c r="AK2367" s="127"/>
      <c r="AL2367" s="127"/>
      <c r="AM2367" s="127"/>
      <c r="AN2367" s="127"/>
      <c r="AO2367" s="127"/>
      <c r="AP2367" s="127"/>
      <c r="AQ2367" s="127"/>
      <c r="AR2367" s="127"/>
      <c r="AS2367" s="127"/>
      <c r="AT2367" s="127"/>
      <c r="AU2367" s="127"/>
      <c r="AV2367" s="127"/>
      <c r="AW2367" s="127"/>
      <c r="AX2367" s="127"/>
      <c r="AY2367" s="127"/>
      <c r="AZ2367" s="127"/>
      <c r="BA2367" s="127"/>
      <c r="BB2367" s="127"/>
      <c r="BC2367" s="127"/>
      <c r="BD2367" s="127"/>
      <c r="BE2367" s="127"/>
      <c r="BF2367" s="127"/>
      <c r="BG2367" s="127"/>
      <c r="BH2367" s="127"/>
      <c r="BI2367" s="127"/>
      <c r="BJ2367" s="127"/>
      <c r="BK2367" s="127"/>
      <c r="BL2367" s="127"/>
      <c r="BM2367" s="127"/>
      <c r="BN2367" s="127"/>
      <c r="BO2367" s="127"/>
      <c r="BP2367" s="127"/>
      <c r="BQ2367" s="127"/>
      <c r="BR2367" s="127"/>
      <c r="BS2367" s="127"/>
      <c r="BT2367" s="127"/>
      <c r="BU2367" s="127"/>
      <c r="BV2367" s="127"/>
      <c r="BW2367" s="127"/>
      <c r="BX2367" s="127"/>
      <c r="BY2367" s="127"/>
      <c r="BZ2367" s="127"/>
      <c r="CA2367" s="127"/>
      <c r="CB2367" s="127"/>
      <c r="CC2367" s="127"/>
      <c r="CD2367" s="127"/>
      <c r="CE2367" s="127"/>
      <c r="CF2367" s="127"/>
      <c r="CG2367" s="127"/>
      <c r="CH2367" s="127"/>
      <c r="CI2367" s="127"/>
      <c r="CJ2367" s="127"/>
      <c r="CK2367" s="127"/>
      <c r="CL2367" s="127"/>
      <c r="CM2367" s="127"/>
      <c r="CN2367" s="127"/>
      <c r="CO2367" s="127"/>
      <c r="CP2367" s="127"/>
      <c r="CQ2367" s="127"/>
      <c r="CR2367" s="127"/>
      <c r="CS2367" s="127"/>
      <c r="CT2367" s="127"/>
      <c r="CU2367" s="127"/>
      <c r="CV2367" s="127"/>
      <c r="CW2367" s="127"/>
      <c r="CX2367" s="127"/>
      <c r="CY2367" s="127"/>
      <c r="CZ2367" s="127"/>
      <c r="DA2367" s="127"/>
      <c r="DB2367" s="127"/>
      <c r="DC2367" s="127"/>
      <c r="DD2367" s="127"/>
      <c r="DE2367" s="127"/>
      <c r="DF2367" s="127"/>
      <c r="DG2367" s="127"/>
      <c r="DH2367" s="127"/>
      <c r="DI2367" s="127"/>
      <c r="DJ2367" s="127"/>
      <c r="DK2367" s="127"/>
      <c r="DL2367" s="127"/>
      <c r="DM2367" s="127"/>
      <c r="DN2367" s="127"/>
      <c r="DO2367" s="127"/>
      <c r="DP2367" s="127"/>
      <c r="DQ2367" s="127"/>
      <c r="DR2367" s="127"/>
      <c r="DS2367" s="127"/>
      <c r="DT2367" s="127"/>
      <c r="DU2367" s="127"/>
      <c r="DV2367" s="127"/>
      <c r="DW2367" s="127"/>
      <c r="DX2367" s="127"/>
      <c r="DY2367" s="127"/>
      <c r="DZ2367" s="127"/>
      <c r="EA2367" s="127"/>
      <c r="EB2367" s="127"/>
      <c r="EC2367" s="127"/>
      <c r="ED2367" s="127"/>
      <c r="EE2367" s="127"/>
      <c r="EF2367" s="127"/>
      <c r="EG2367" s="127"/>
      <c r="EH2367" s="127"/>
      <c r="EI2367" s="127"/>
      <c r="EJ2367" s="127"/>
      <c r="EK2367" s="127"/>
      <c r="EL2367" s="127"/>
      <c r="EM2367" s="127"/>
      <c r="EN2367" s="127"/>
      <c r="EO2367" s="127"/>
      <c r="EP2367" s="127"/>
      <c r="EQ2367" s="127"/>
      <c r="ER2367" s="127"/>
      <c r="ES2367" s="127"/>
      <c r="ET2367" s="127"/>
      <c r="EU2367" s="127"/>
      <c r="EV2367" s="127"/>
      <c r="EW2367" s="127"/>
      <c r="EX2367" s="127"/>
      <c r="EY2367" s="127"/>
      <c r="EZ2367" s="127"/>
      <c r="FA2367" s="127"/>
      <c r="FB2367" s="127"/>
      <c r="FC2367" s="127"/>
      <c r="FD2367" s="127"/>
      <c r="FE2367" s="127"/>
      <c r="FF2367" s="127"/>
      <c r="FG2367" s="127"/>
      <c r="FH2367" s="127"/>
      <c r="FI2367" s="127"/>
      <c r="FJ2367" s="127"/>
      <c r="FK2367" s="127"/>
      <c r="FL2367" s="127"/>
      <c r="FM2367" s="127"/>
      <c r="FN2367" s="127"/>
      <c r="FO2367" s="127"/>
      <c r="FP2367" s="127"/>
      <c r="FQ2367" s="127"/>
      <c r="FR2367" s="127"/>
      <c r="FS2367" s="127"/>
      <c r="FT2367" s="127"/>
      <c r="FU2367" s="127"/>
      <c r="FV2367" s="127"/>
      <c r="FW2367" s="127"/>
      <c r="FX2367" s="127"/>
      <c r="FY2367" s="127"/>
      <c r="FZ2367" s="127"/>
      <c r="GA2367" s="127"/>
      <c r="GB2367" s="127"/>
      <c r="GC2367" s="127"/>
      <c r="GD2367" s="127"/>
      <c r="GE2367" s="127"/>
      <c r="GF2367" s="127"/>
      <c r="GG2367" s="127"/>
      <c r="GH2367" s="127"/>
      <c r="GI2367" s="127"/>
      <c r="GJ2367" s="127"/>
      <c r="GK2367" s="127"/>
      <c r="GL2367" s="127"/>
      <c r="GM2367" s="127"/>
      <c r="GN2367" s="127"/>
      <c r="GO2367" s="127"/>
      <c r="GP2367" s="127"/>
      <c r="GQ2367" s="127"/>
      <c r="GR2367" s="127"/>
      <c r="GS2367" s="127"/>
      <c r="GT2367" s="127"/>
      <c r="GU2367" s="127"/>
      <c r="GV2367" s="127"/>
      <c r="GW2367" s="127"/>
      <c r="GX2367" s="127"/>
      <c r="GY2367" s="127"/>
      <c r="GZ2367" s="127"/>
      <c r="HA2367" s="127"/>
      <c r="HB2367" s="127"/>
      <c r="HC2367" s="127"/>
      <c r="HD2367" s="127"/>
      <c r="HE2367" s="127"/>
      <c r="HF2367" s="127"/>
      <c r="HG2367" s="127"/>
      <c r="HH2367" s="127"/>
      <c r="HI2367" s="127"/>
      <c r="HJ2367" s="127"/>
      <c r="HK2367" s="127"/>
      <c r="HL2367" s="127"/>
      <c r="HM2367" s="127"/>
      <c r="HN2367" s="127"/>
      <c r="HO2367" s="127"/>
      <c r="HP2367" s="127"/>
      <c r="HQ2367" s="127"/>
      <c r="HR2367" s="127"/>
      <c r="HS2367" s="127"/>
      <c r="HT2367" s="127"/>
      <c r="HU2367" s="127"/>
      <c r="HV2367" s="127"/>
      <c r="HW2367" s="127"/>
      <c r="HX2367" s="127"/>
      <c r="HY2367" s="127"/>
      <c r="HZ2367" s="127"/>
      <c r="IA2367" s="127"/>
      <c r="IB2367" s="127"/>
      <c r="IC2367" s="127"/>
      <c r="ID2367" s="127"/>
      <c r="IE2367" s="127"/>
      <c r="IF2367" s="127"/>
      <c r="IG2367" s="127"/>
      <c r="IH2367" s="127"/>
      <c r="II2367" s="127"/>
      <c r="IJ2367" s="127"/>
    </row>
    <row r="2368" spans="1:244" s="128" customFormat="1" ht="12.75" customHeight="1">
      <c r="A2368" s="118">
        <v>2367</v>
      </c>
      <c r="B2368" s="128">
        <v>25</v>
      </c>
      <c r="C2368" s="156">
        <v>37316</v>
      </c>
      <c r="D2368" s="157" t="s">
        <v>46</v>
      </c>
      <c r="E2368" s="8">
        <v>2002</v>
      </c>
      <c r="F2368" s="158">
        <f t="shared" ref="F2368:F2373" si="600">C2368-H2368</f>
        <v>0</v>
      </c>
      <c r="G2368" s="158">
        <f t="shared" ref="G2368:G2373" si="601">IF(F2368&lt;365,1,2)</f>
        <v>1</v>
      </c>
      <c r="H2368" s="162">
        <v>37316</v>
      </c>
      <c r="I2368" s="163">
        <v>886930</v>
      </c>
      <c r="J2368" s="11"/>
      <c r="K2368" s="11"/>
      <c r="L2368" s="11"/>
      <c r="M2368" s="174"/>
      <c r="N2368" s="528"/>
      <c r="O2368" s="11"/>
      <c r="P2368" s="8"/>
      <c r="Q2368" s="11">
        <v>6.9</v>
      </c>
      <c r="R2368" s="11"/>
      <c r="S2368" s="155" t="s">
        <v>11</v>
      </c>
      <c r="T2368" s="161"/>
      <c r="U2368" s="161"/>
      <c r="V2368" s="161"/>
      <c r="W2368" s="161"/>
      <c r="X2368" s="127"/>
      <c r="Y2368" s="127"/>
      <c r="Z2368" s="127"/>
      <c r="AA2368" s="127"/>
      <c r="AB2368" s="127"/>
      <c r="AC2368" s="127"/>
      <c r="AD2368" s="127"/>
      <c r="AE2368" s="127"/>
      <c r="AF2368" s="127"/>
      <c r="AG2368" s="127"/>
      <c r="AH2368" s="127"/>
      <c r="AI2368" s="127"/>
      <c r="AJ2368" s="127"/>
      <c r="AK2368" s="127"/>
      <c r="AL2368" s="127"/>
      <c r="AM2368" s="127"/>
      <c r="AN2368" s="127"/>
      <c r="AO2368" s="127"/>
      <c r="AP2368" s="127"/>
      <c r="AQ2368" s="127"/>
      <c r="AR2368" s="127"/>
      <c r="AS2368" s="127"/>
      <c r="AT2368" s="127"/>
      <c r="AU2368" s="127"/>
      <c r="AV2368" s="127"/>
      <c r="AW2368" s="127"/>
      <c r="AX2368" s="127"/>
      <c r="AY2368" s="127"/>
      <c r="AZ2368" s="127"/>
      <c r="BA2368" s="127"/>
      <c r="BB2368" s="127"/>
      <c r="BC2368" s="127"/>
      <c r="BD2368" s="127"/>
      <c r="BE2368" s="127"/>
      <c r="BF2368" s="127"/>
      <c r="BG2368" s="127"/>
      <c r="BH2368" s="127"/>
      <c r="BI2368" s="127"/>
      <c r="BJ2368" s="127"/>
      <c r="BK2368" s="127"/>
      <c r="BL2368" s="127"/>
      <c r="BM2368" s="127"/>
      <c r="BN2368" s="127"/>
      <c r="BO2368" s="127"/>
      <c r="BP2368" s="127"/>
      <c r="BQ2368" s="127"/>
      <c r="BR2368" s="127"/>
      <c r="BS2368" s="127"/>
      <c r="BT2368" s="127"/>
      <c r="BU2368" s="127"/>
      <c r="BV2368" s="127"/>
      <c r="BW2368" s="127"/>
      <c r="BX2368" s="127"/>
      <c r="BY2368" s="127"/>
      <c r="BZ2368" s="127"/>
      <c r="CA2368" s="127"/>
      <c r="CB2368" s="127"/>
      <c r="CC2368" s="127"/>
      <c r="CD2368" s="127"/>
      <c r="CE2368" s="127"/>
      <c r="CF2368" s="127"/>
      <c r="CG2368" s="127"/>
      <c r="CH2368" s="127"/>
      <c r="CI2368" s="127"/>
      <c r="CJ2368" s="127"/>
      <c r="CK2368" s="127"/>
      <c r="CL2368" s="127"/>
      <c r="CM2368" s="127"/>
      <c r="CN2368" s="127"/>
      <c r="CO2368" s="127"/>
      <c r="CP2368" s="127"/>
      <c r="CQ2368" s="127"/>
      <c r="CR2368" s="127"/>
      <c r="CS2368" s="127"/>
      <c r="CT2368" s="127"/>
      <c r="CU2368" s="127"/>
      <c r="CV2368" s="127"/>
      <c r="CW2368" s="127"/>
      <c r="CX2368" s="127"/>
      <c r="CY2368" s="127"/>
      <c r="CZ2368" s="127"/>
      <c r="DA2368" s="127"/>
      <c r="DB2368" s="127"/>
      <c r="DC2368" s="127"/>
      <c r="DD2368" s="127"/>
      <c r="DE2368" s="127"/>
      <c r="DF2368" s="127"/>
      <c r="DG2368" s="127"/>
      <c r="DH2368" s="127"/>
      <c r="DI2368" s="127"/>
      <c r="DJ2368" s="127"/>
      <c r="DK2368" s="127"/>
      <c r="DL2368" s="127"/>
      <c r="DM2368" s="127"/>
      <c r="DN2368" s="127"/>
      <c r="DO2368" s="127"/>
      <c r="DP2368" s="127"/>
      <c r="DQ2368" s="127"/>
      <c r="DR2368" s="127"/>
      <c r="DS2368" s="127"/>
      <c r="DT2368" s="127"/>
      <c r="DU2368" s="127"/>
      <c r="DV2368" s="127"/>
      <c r="DW2368" s="127"/>
      <c r="DX2368" s="127"/>
      <c r="DY2368" s="127"/>
      <c r="DZ2368" s="127"/>
      <c r="EA2368" s="127"/>
      <c r="EB2368" s="127"/>
      <c r="EC2368" s="127"/>
      <c r="ED2368" s="127"/>
      <c r="EE2368" s="127"/>
      <c r="EF2368" s="127"/>
      <c r="EG2368" s="127"/>
      <c r="EH2368" s="127"/>
      <c r="EI2368" s="127"/>
      <c r="EJ2368" s="127"/>
      <c r="EK2368" s="127"/>
      <c r="EL2368" s="127"/>
      <c r="EM2368" s="127"/>
      <c r="EN2368" s="127"/>
      <c r="EO2368" s="127"/>
      <c r="EP2368" s="127"/>
      <c r="EQ2368" s="127"/>
      <c r="ER2368" s="127"/>
      <c r="ES2368" s="127"/>
      <c r="ET2368" s="127"/>
      <c r="EU2368" s="127"/>
      <c r="EV2368" s="127"/>
      <c r="EW2368" s="127"/>
      <c r="EX2368" s="127"/>
      <c r="EY2368" s="127"/>
      <c r="EZ2368" s="127"/>
      <c r="FA2368" s="127"/>
      <c r="FB2368" s="127"/>
      <c r="FC2368" s="127"/>
      <c r="FD2368" s="127"/>
      <c r="FE2368" s="127"/>
      <c r="FF2368" s="127"/>
      <c r="FG2368" s="127"/>
      <c r="FH2368" s="127"/>
      <c r="FI2368" s="127"/>
      <c r="FJ2368" s="127"/>
      <c r="FK2368" s="127"/>
      <c r="FL2368" s="127"/>
      <c r="FM2368" s="127"/>
      <c r="FN2368" s="127"/>
      <c r="FO2368" s="127"/>
      <c r="FP2368" s="127"/>
      <c r="FQ2368" s="127"/>
      <c r="FR2368" s="127"/>
      <c r="FS2368" s="127"/>
      <c r="FT2368" s="127"/>
      <c r="FU2368" s="127"/>
      <c r="FV2368" s="127"/>
      <c r="FW2368" s="127"/>
      <c r="FX2368" s="127"/>
      <c r="FY2368" s="127"/>
      <c r="FZ2368" s="127"/>
      <c r="GA2368" s="127"/>
      <c r="GB2368" s="127"/>
      <c r="GC2368" s="127"/>
      <c r="GD2368" s="127"/>
      <c r="GE2368" s="127"/>
      <c r="GF2368" s="127"/>
      <c r="GG2368" s="127"/>
      <c r="GH2368" s="127"/>
      <c r="GI2368" s="127"/>
      <c r="GJ2368" s="127"/>
      <c r="GK2368" s="127"/>
      <c r="GL2368" s="127"/>
      <c r="GM2368" s="127"/>
      <c r="GN2368" s="127"/>
      <c r="GO2368" s="127"/>
      <c r="GP2368" s="127"/>
      <c r="GQ2368" s="127"/>
      <c r="GR2368" s="127"/>
      <c r="GS2368" s="127"/>
      <c r="GT2368" s="127"/>
      <c r="GU2368" s="127"/>
      <c r="GV2368" s="127"/>
      <c r="GW2368" s="127"/>
      <c r="GX2368" s="127"/>
      <c r="GY2368" s="127"/>
      <c r="GZ2368" s="127"/>
      <c r="HA2368" s="127"/>
      <c r="HB2368" s="127"/>
      <c r="HC2368" s="127"/>
      <c r="HD2368" s="127"/>
      <c r="HE2368" s="127"/>
      <c r="HF2368" s="127"/>
      <c r="HG2368" s="127"/>
      <c r="HH2368" s="127"/>
      <c r="HI2368" s="127"/>
      <c r="HJ2368" s="127"/>
      <c r="HK2368" s="127"/>
      <c r="HL2368" s="127"/>
      <c r="HM2368" s="127"/>
      <c r="HN2368" s="127"/>
      <c r="HO2368" s="127"/>
      <c r="HP2368" s="127"/>
      <c r="HQ2368" s="127"/>
      <c r="HR2368" s="127"/>
      <c r="HS2368" s="127"/>
      <c r="HT2368" s="127"/>
      <c r="HU2368" s="127"/>
      <c r="HV2368" s="127"/>
      <c r="HW2368" s="127"/>
      <c r="HX2368" s="127"/>
      <c r="HY2368" s="127"/>
      <c r="HZ2368" s="127"/>
      <c r="IA2368" s="127"/>
      <c r="IB2368" s="127"/>
      <c r="IC2368" s="127"/>
      <c r="ID2368" s="127"/>
      <c r="IE2368" s="127"/>
      <c r="IF2368" s="127"/>
      <c r="IG2368" s="127"/>
      <c r="IH2368" s="127"/>
      <c r="II2368" s="127"/>
      <c r="IJ2368" s="127"/>
    </row>
    <row r="2369" spans="1:244" s="128" customFormat="1" ht="12.75" customHeight="1">
      <c r="A2369" s="118">
        <v>2368</v>
      </c>
      <c r="B2369" s="128">
        <v>25</v>
      </c>
      <c r="C2369" s="156">
        <v>37347</v>
      </c>
      <c r="D2369" s="157" t="s">
        <v>47</v>
      </c>
      <c r="E2369" s="8">
        <v>2002</v>
      </c>
      <c r="F2369" s="158">
        <f t="shared" si="600"/>
        <v>31</v>
      </c>
      <c r="G2369" s="158">
        <f t="shared" si="601"/>
        <v>1</v>
      </c>
      <c r="H2369" s="162">
        <v>37316</v>
      </c>
      <c r="I2369" s="163">
        <v>1367732</v>
      </c>
      <c r="J2369" s="11"/>
      <c r="K2369" s="11"/>
      <c r="L2369" s="11"/>
      <c r="M2369" s="174"/>
      <c r="N2369" s="528"/>
      <c r="O2369" s="11"/>
      <c r="P2369" s="8"/>
      <c r="Q2369" s="11">
        <v>7.6</v>
      </c>
      <c r="R2369" s="11"/>
      <c r="S2369" s="155"/>
      <c r="T2369" s="161"/>
      <c r="U2369" s="161"/>
      <c r="V2369" s="161"/>
      <c r="W2369" s="161"/>
      <c r="X2369" s="127"/>
      <c r="Y2369" s="127"/>
      <c r="Z2369" s="127"/>
      <c r="AA2369" s="127"/>
      <c r="AB2369" s="127"/>
      <c r="AC2369" s="127"/>
      <c r="AD2369" s="127"/>
      <c r="AE2369" s="127"/>
      <c r="AF2369" s="127"/>
      <c r="AG2369" s="127"/>
      <c r="AH2369" s="127"/>
      <c r="AI2369" s="127"/>
      <c r="AJ2369" s="127"/>
      <c r="AK2369" s="127"/>
      <c r="AL2369" s="127"/>
      <c r="AM2369" s="127"/>
      <c r="AN2369" s="127"/>
      <c r="AO2369" s="127"/>
      <c r="AP2369" s="127"/>
      <c r="AQ2369" s="127"/>
      <c r="AR2369" s="127"/>
      <c r="AS2369" s="127"/>
      <c r="AT2369" s="127"/>
      <c r="AU2369" s="127"/>
      <c r="AV2369" s="127"/>
      <c r="AW2369" s="127"/>
      <c r="AX2369" s="127"/>
      <c r="AY2369" s="127"/>
      <c r="AZ2369" s="127"/>
      <c r="BA2369" s="127"/>
      <c r="BB2369" s="127"/>
      <c r="BC2369" s="127"/>
      <c r="BD2369" s="127"/>
      <c r="BE2369" s="127"/>
      <c r="BF2369" s="127"/>
      <c r="BG2369" s="127"/>
      <c r="BH2369" s="127"/>
      <c r="BI2369" s="127"/>
      <c r="BJ2369" s="127"/>
      <c r="BK2369" s="127"/>
      <c r="BL2369" s="127"/>
      <c r="BM2369" s="127"/>
      <c r="BN2369" s="127"/>
      <c r="BO2369" s="127"/>
      <c r="BP2369" s="127"/>
      <c r="BQ2369" s="127"/>
      <c r="BR2369" s="127"/>
      <c r="BS2369" s="127"/>
      <c r="BT2369" s="127"/>
      <c r="BU2369" s="127"/>
      <c r="BV2369" s="127"/>
      <c r="BW2369" s="127"/>
      <c r="BX2369" s="127"/>
      <c r="BY2369" s="127"/>
      <c r="BZ2369" s="127"/>
      <c r="CA2369" s="127"/>
      <c r="CB2369" s="127"/>
      <c r="CC2369" s="127"/>
      <c r="CD2369" s="127"/>
      <c r="CE2369" s="127"/>
      <c r="CF2369" s="127"/>
      <c r="CG2369" s="127"/>
      <c r="CH2369" s="127"/>
      <c r="CI2369" s="127"/>
      <c r="CJ2369" s="127"/>
      <c r="CK2369" s="127"/>
      <c r="CL2369" s="127"/>
      <c r="CM2369" s="127"/>
      <c r="CN2369" s="127"/>
      <c r="CO2369" s="127"/>
      <c r="CP2369" s="127"/>
      <c r="CQ2369" s="127"/>
      <c r="CR2369" s="127"/>
      <c r="CS2369" s="127"/>
      <c r="CT2369" s="127"/>
      <c r="CU2369" s="127"/>
      <c r="CV2369" s="127"/>
      <c r="CW2369" s="127"/>
      <c r="CX2369" s="127"/>
      <c r="CY2369" s="127"/>
      <c r="CZ2369" s="127"/>
      <c r="DA2369" s="127"/>
      <c r="DB2369" s="127"/>
      <c r="DC2369" s="127"/>
      <c r="DD2369" s="127"/>
      <c r="DE2369" s="127"/>
      <c r="DF2369" s="127"/>
      <c r="DG2369" s="127"/>
      <c r="DH2369" s="127"/>
      <c r="DI2369" s="127"/>
      <c r="DJ2369" s="127"/>
      <c r="DK2369" s="127"/>
      <c r="DL2369" s="127"/>
      <c r="DM2369" s="127"/>
      <c r="DN2369" s="127"/>
      <c r="DO2369" s="127"/>
      <c r="DP2369" s="127"/>
      <c r="DQ2369" s="127"/>
      <c r="DR2369" s="127"/>
      <c r="DS2369" s="127"/>
      <c r="DT2369" s="127"/>
      <c r="DU2369" s="127"/>
      <c r="DV2369" s="127"/>
      <c r="DW2369" s="127"/>
      <c r="DX2369" s="127"/>
      <c r="DY2369" s="127"/>
      <c r="DZ2369" s="127"/>
      <c r="EA2369" s="127"/>
      <c r="EB2369" s="127"/>
      <c r="EC2369" s="127"/>
      <c r="ED2369" s="127"/>
      <c r="EE2369" s="127"/>
      <c r="EF2369" s="127"/>
      <c r="EG2369" s="127"/>
      <c r="EH2369" s="127"/>
      <c r="EI2369" s="127"/>
      <c r="EJ2369" s="127"/>
      <c r="EK2369" s="127"/>
      <c r="EL2369" s="127"/>
      <c r="EM2369" s="127"/>
      <c r="EN2369" s="127"/>
      <c r="EO2369" s="127"/>
      <c r="EP2369" s="127"/>
      <c r="EQ2369" s="127"/>
      <c r="ER2369" s="127"/>
      <c r="ES2369" s="127"/>
      <c r="ET2369" s="127"/>
      <c r="EU2369" s="127"/>
      <c r="EV2369" s="127"/>
      <c r="EW2369" s="127"/>
      <c r="EX2369" s="127"/>
      <c r="EY2369" s="127"/>
      <c r="EZ2369" s="127"/>
      <c r="FA2369" s="127"/>
      <c r="FB2369" s="127"/>
      <c r="FC2369" s="127"/>
      <c r="FD2369" s="127"/>
      <c r="FE2369" s="127"/>
      <c r="FF2369" s="127"/>
      <c r="FG2369" s="127"/>
      <c r="FH2369" s="127"/>
      <c r="FI2369" s="127"/>
      <c r="FJ2369" s="127"/>
      <c r="FK2369" s="127"/>
      <c r="FL2369" s="127"/>
      <c r="FM2369" s="127"/>
      <c r="FN2369" s="127"/>
      <c r="FO2369" s="127"/>
      <c r="FP2369" s="127"/>
      <c r="FQ2369" s="127"/>
      <c r="FR2369" s="127"/>
      <c r="FS2369" s="127"/>
      <c r="FT2369" s="127"/>
      <c r="FU2369" s="127"/>
      <c r="FV2369" s="127"/>
      <c r="FW2369" s="127"/>
      <c r="FX2369" s="127"/>
      <c r="FY2369" s="127"/>
      <c r="FZ2369" s="127"/>
      <c r="GA2369" s="127"/>
      <c r="GB2369" s="127"/>
      <c r="GC2369" s="127"/>
      <c r="GD2369" s="127"/>
      <c r="GE2369" s="127"/>
      <c r="GF2369" s="127"/>
      <c r="GG2369" s="127"/>
      <c r="GH2369" s="127"/>
      <c r="GI2369" s="127"/>
      <c r="GJ2369" s="127"/>
      <c r="GK2369" s="127"/>
      <c r="GL2369" s="127"/>
      <c r="GM2369" s="127"/>
      <c r="GN2369" s="127"/>
      <c r="GO2369" s="127"/>
      <c r="GP2369" s="127"/>
      <c r="GQ2369" s="127"/>
      <c r="GR2369" s="127"/>
      <c r="GS2369" s="127"/>
      <c r="GT2369" s="127"/>
      <c r="GU2369" s="127"/>
      <c r="GV2369" s="127"/>
      <c r="GW2369" s="127"/>
      <c r="GX2369" s="127"/>
      <c r="GY2369" s="127"/>
      <c r="GZ2369" s="127"/>
      <c r="HA2369" s="127"/>
      <c r="HB2369" s="127"/>
      <c r="HC2369" s="127"/>
      <c r="HD2369" s="127"/>
      <c r="HE2369" s="127"/>
      <c r="HF2369" s="127"/>
      <c r="HG2369" s="127"/>
      <c r="HH2369" s="127"/>
      <c r="HI2369" s="127"/>
      <c r="HJ2369" s="127"/>
      <c r="HK2369" s="127"/>
      <c r="HL2369" s="127"/>
      <c r="HM2369" s="127"/>
      <c r="HN2369" s="127"/>
      <c r="HO2369" s="127"/>
      <c r="HP2369" s="127"/>
      <c r="HQ2369" s="127"/>
      <c r="HR2369" s="127"/>
      <c r="HS2369" s="127"/>
      <c r="HT2369" s="127"/>
      <c r="HU2369" s="127"/>
      <c r="HV2369" s="127"/>
      <c r="HW2369" s="127"/>
      <c r="HX2369" s="127"/>
      <c r="HY2369" s="127"/>
      <c r="HZ2369" s="127"/>
      <c r="IA2369" s="127"/>
      <c r="IB2369" s="127"/>
      <c r="IC2369" s="127"/>
      <c r="ID2369" s="127"/>
      <c r="IE2369" s="127"/>
      <c r="IF2369" s="127"/>
      <c r="IG2369" s="127"/>
      <c r="IH2369" s="127"/>
      <c r="II2369" s="127"/>
      <c r="IJ2369" s="127"/>
    </row>
    <row r="2370" spans="1:244" s="128" customFormat="1" ht="12.75" customHeight="1">
      <c r="A2370" s="118">
        <v>2369</v>
      </c>
      <c r="B2370" s="128">
        <v>25</v>
      </c>
      <c r="C2370" s="156">
        <v>37377</v>
      </c>
      <c r="D2370" s="157" t="s">
        <v>48</v>
      </c>
      <c r="E2370" s="8">
        <v>2002</v>
      </c>
      <c r="F2370" s="158">
        <f t="shared" si="600"/>
        <v>61</v>
      </c>
      <c r="G2370" s="158">
        <f t="shared" si="601"/>
        <v>1</v>
      </c>
      <c r="H2370" s="162">
        <v>37316</v>
      </c>
      <c r="I2370" s="163">
        <v>1354790</v>
      </c>
      <c r="J2370" s="11"/>
      <c r="K2370" s="11"/>
      <c r="L2370" s="11"/>
      <c r="M2370" s="174"/>
      <c r="N2370" s="528"/>
      <c r="O2370" s="11"/>
      <c r="P2370" s="8"/>
      <c r="Q2370" s="11">
        <v>8.5</v>
      </c>
      <c r="R2370" s="11"/>
      <c r="S2370" s="155"/>
      <c r="T2370" s="161"/>
      <c r="U2370" s="161"/>
      <c r="V2370" s="161"/>
      <c r="W2370" s="161"/>
      <c r="X2370" s="127"/>
      <c r="Y2370" s="127"/>
      <c r="Z2370" s="127"/>
      <c r="AA2370" s="127"/>
      <c r="AB2370" s="127"/>
      <c r="AC2370" s="127"/>
      <c r="AD2370" s="127"/>
      <c r="AE2370" s="127"/>
      <c r="AF2370" s="127"/>
      <c r="AG2370" s="127"/>
      <c r="AH2370" s="127"/>
      <c r="AI2370" s="127"/>
      <c r="AJ2370" s="127"/>
      <c r="AK2370" s="127"/>
      <c r="AL2370" s="127"/>
      <c r="AM2370" s="127"/>
      <c r="AN2370" s="127"/>
      <c r="AO2370" s="127"/>
      <c r="AP2370" s="127"/>
      <c r="AQ2370" s="127"/>
      <c r="AR2370" s="127"/>
      <c r="AS2370" s="127"/>
      <c r="AT2370" s="127"/>
      <c r="AU2370" s="127"/>
      <c r="AV2370" s="127"/>
      <c r="AW2370" s="127"/>
      <c r="AX2370" s="127"/>
      <c r="AY2370" s="127"/>
      <c r="AZ2370" s="127"/>
      <c r="BA2370" s="127"/>
      <c r="BB2370" s="127"/>
      <c r="BC2370" s="127"/>
      <c r="BD2370" s="127"/>
      <c r="BE2370" s="127"/>
      <c r="BF2370" s="127"/>
      <c r="BG2370" s="127"/>
      <c r="BH2370" s="127"/>
      <c r="BI2370" s="127"/>
      <c r="BJ2370" s="127"/>
      <c r="BK2370" s="127"/>
      <c r="BL2370" s="127"/>
      <c r="BM2370" s="127"/>
      <c r="BN2370" s="127"/>
      <c r="BO2370" s="127"/>
      <c r="BP2370" s="127"/>
      <c r="BQ2370" s="127"/>
      <c r="BR2370" s="127"/>
      <c r="BS2370" s="127"/>
      <c r="BT2370" s="127"/>
      <c r="BU2370" s="127"/>
      <c r="BV2370" s="127"/>
      <c r="BW2370" s="127"/>
      <c r="BX2370" s="127"/>
      <c r="BY2370" s="127"/>
      <c r="BZ2370" s="127"/>
      <c r="CA2370" s="127"/>
      <c r="CB2370" s="127"/>
      <c r="CC2370" s="127"/>
      <c r="CD2370" s="127"/>
      <c r="CE2370" s="127"/>
      <c r="CF2370" s="127"/>
      <c r="CG2370" s="127"/>
      <c r="CH2370" s="127"/>
      <c r="CI2370" s="127"/>
      <c r="CJ2370" s="127"/>
      <c r="CK2370" s="127"/>
      <c r="CL2370" s="127"/>
      <c r="CM2370" s="127"/>
      <c r="CN2370" s="127"/>
      <c r="CO2370" s="127"/>
      <c r="CP2370" s="127"/>
      <c r="CQ2370" s="127"/>
      <c r="CR2370" s="127"/>
      <c r="CS2370" s="127"/>
      <c r="CT2370" s="127"/>
      <c r="CU2370" s="127"/>
      <c r="CV2370" s="127"/>
      <c r="CW2370" s="127"/>
      <c r="CX2370" s="127"/>
      <c r="CY2370" s="127"/>
      <c r="CZ2370" s="127"/>
      <c r="DA2370" s="127"/>
      <c r="DB2370" s="127"/>
      <c r="DC2370" s="127"/>
      <c r="DD2370" s="127"/>
      <c r="DE2370" s="127"/>
      <c r="DF2370" s="127"/>
      <c r="DG2370" s="127"/>
      <c r="DH2370" s="127"/>
      <c r="DI2370" s="127"/>
      <c r="DJ2370" s="127"/>
      <c r="DK2370" s="127"/>
      <c r="DL2370" s="127"/>
      <c r="DM2370" s="127"/>
      <c r="DN2370" s="127"/>
      <c r="DO2370" s="127"/>
      <c r="DP2370" s="127"/>
      <c r="DQ2370" s="127"/>
      <c r="DR2370" s="127"/>
      <c r="DS2370" s="127"/>
      <c r="DT2370" s="127"/>
      <c r="DU2370" s="127"/>
      <c r="DV2370" s="127"/>
      <c r="DW2370" s="127"/>
      <c r="DX2370" s="127"/>
      <c r="DY2370" s="127"/>
      <c r="DZ2370" s="127"/>
      <c r="EA2370" s="127"/>
      <c r="EB2370" s="127"/>
      <c r="EC2370" s="127"/>
      <c r="ED2370" s="127"/>
      <c r="EE2370" s="127"/>
      <c r="EF2370" s="127"/>
      <c r="EG2370" s="127"/>
      <c r="EH2370" s="127"/>
      <c r="EI2370" s="127"/>
      <c r="EJ2370" s="127"/>
      <c r="EK2370" s="127"/>
      <c r="EL2370" s="127"/>
      <c r="EM2370" s="127"/>
      <c r="EN2370" s="127"/>
      <c r="EO2370" s="127"/>
      <c r="EP2370" s="127"/>
      <c r="EQ2370" s="127"/>
      <c r="ER2370" s="127"/>
      <c r="ES2370" s="127"/>
      <c r="ET2370" s="127"/>
      <c r="EU2370" s="127"/>
      <c r="EV2370" s="127"/>
      <c r="EW2370" s="127"/>
      <c r="EX2370" s="127"/>
      <c r="EY2370" s="127"/>
      <c r="EZ2370" s="127"/>
      <c r="FA2370" s="127"/>
      <c r="FB2370" s="127"/>
      <c r="FC2370" s="127"/>
      <c r="FD2370" s="127"/>
      <c r="FE2370" s="127"/>
      <c r="FF2370" s="127"/>
      <c r="FG2370" s="127"/>
      <c r="FH2370" s="127"/>
      <c r="FI2370" s="127"/>
      <c r="FJ2370" s="127"/>
      <c r="FK2370" s="127"/>
      <c r="FL2370" s="127"/>
      <c r="FM2370" s="127"/>
      <c r="FN2370" s="127"/>
      <c r="FO2370" s="127"/>
      <c r="FP2370" s="127"/>
      <c r="FQ2370" s="127"/>
      <c r="FR2370" s="127"/>
      <c r="FS2370" s="127"/>
      <c r="FT2370" s="127"/>
      <c r="FU2370" s="127"/>
      <c r="FV2370" s="127"/>
      <c r="FW2370" s="127"/>
      <c r="FX2370" s="127"/>
      <c r="FY2370" s="127"/>
      <c r="FZ2370" s="127"/>
      <c r="GA2370" s="127"/>
      <c r="GB2370" s="127"/>
      <c r="GC2370" s="127"/>
      <c r="GD2370" s="127"/>
      <c r="GE2370" s="127"/>
      <c r="GF2370" s="127"/>
      <c r="GG2370" s="127"/>
      <c r="GH2370" s="127"/>
      <c r="GI2370" s="127"/>
      <c r="GJ2370" s="127"/>
      <c r="GK2370" s="127"/>
      <c r="GL2370" s="127"/>
      <c r="GM2370" s="127"/>
      <c r="GN2370" s="127"/>
      <c r="GO2370" s="127"/>
      <c r="GP2370" s="127"/>
      <c r="GQ2370" s="127"/>
      <c r="GR2370" s="127"/>
      <c r="GS2370" s="127"/>
      <c r="GT2370" s="127"/>
      <c r="GU2370" s="127"/>
      <c r="GV2370" s="127"/>
      <c r="GW2370" s="127"/>
      <c r="GX2370" s="127"/>
      <c r="GY2370" s="127"/>
      <c r="GZ2370" s="127"/>
      <c r="HA2370" s="127"/>
      <c r="HB2370" s="127"/>
      <c r="HC2370" s="127"/>
      <c r="HD2370" s="127"/>
      <c r="HE2370" s="127"/>
      <c r="HF2370" s="127"/>
      <c r="HG2370" s="127"/>
      <c r="HH2370" s="127"/>
      <c r="HI2370" s="127"/>
      <c r="HJ2370" s="127"/>
      <c r="HK2370" s="127"/>
      <c r="HL2370" s="127"/>
      <c r="HM2370" s="127"/>
      <c r="HN2370" s="127"/>
      <c r="HO2370" s="127"/>
      <c r="HP2370" s="127"/>
      <c r="HQ2370" s="127"/>
      <c r="HR2370" s="127"/>
      <c r="HS2370" s="127"/>
      <c r="HT2370" s="127"/>
      <c r="HU2370" s="127"/>
      <c r="HV2370" s="127"/>
      <c r="HW2370" s="127"/>
      <c r="HX2370" s="127"/>
      <c r="HY2370" s="127"/>
      <c r="HZ2370" s="127"/>
      <c r="IA2370" s="127"/>
      <c r="IB2370" s="127"/>
      <c r="IC2370" s="127"/>
      <c r="ID2370" s="127"/>
      <c r="IE2370" s="127"/>
      <c r="IF2370" s="127"/>
      <c r="IG2370" s="127"/>
      <c r="IH2370" s="127"/>
      <c r="II2370" s="127"/>
      <c r="IJ2370" s="127"/>
    </row>
    <row r="2371" spans="1:244" s="128" customFormat="1" ht="12.75" customHeight="1">
      <c r="A2371" s="118">
        <v>2370</v>
      </c>
      <c r="B2371" s="128">
        <v>25</v>
      </c>
      <c r="C2371" s="156">
        <v>37408</v>
      </c>
      <c r="D2371" s="157" t="s">
        <v>49</v>
      </c>
      <c r="E2371" s="8">
        <v>2002</v>
      </c>
      <c r="F2371" s="158">
        <f t="shared" si="600"/>
        <v>92</v>
      </c>
      <c r="G2371" s="158">
        <f t="shared" si="601"/>
        <v>1</v>
      </c>
      <c r="H2371" s="162">
        <v>37316</v>
      </c>
      <c r="I2371" s="163">
        <v>1280167</v>
      </c>
      <c r="J2371" s="11"/>
      <c r="K2371" s="11"/>
      <c r="L2371" s="11"/>
      <c r="M2371" s="174"/>
      <c r="N2371" s="528"/>
      <c r="O2371" s="11"/>
      <c r="P2371" s="8"/>
      <c r="Q2371" s="11">
        <v>9.6</v>
      </c>
      <c r="R2371" s="11"/>
      <c r="S2371" s="155"/>
      <c r="T2371" s="161"/>
      <c r="U2371" s="161"/>
      <c r="V2371" s="161"/>
      <c r="W2371" s="161"/>
      <c r="X2371" s="127"/>
      <c r="Y2371" s="127"/>
      <c r="Z2371" s="127"/>
      <c r="AA2371" s="127"/>
      <c r="AB2371" s="127"/>
      <c r="AC2371" s="127"/>
      <c r="AD2371" s="127"/>
      <c r="AE2371" s="127"/>
      <c r="AF2371" s="127"/>
      <c r="AG2371" s="127"/>
      <c r="AH2371" s="127"/>
      <c r="AI2371" s="127"/>
      <c r="AJ2371" s="127"/>
      <c r="AK2371" s="127"/>
      <c r="AL2371" s="127"/>
      <c r="AM2371" s="127"/>
      <c r="AN2371" s="127"/>
      <c r="AO2371" s="127"/>
      <c r="AP2371" s="127"/>
      <c r="AQ2371" s="127"/>
      <c r="AR2371" s="127"/>
      <c r="AS2371" s="127"/>
      <c r="AT2371" s="127"/>
      <c r="AU2371" s="127"/>
      <c r="AV2371" s="127"/>
      <c r="AW2371" s="127"/>
      <c r="AX2371" s="127"/>
      <c r="AY2371" s="127"/>
      <c r="AZ2371" s="127"/>
      <c r="BA2371" s="127"/>
      <c r="BB2371" s="127"/>
      <c r="BC2371" s="127"/>
      <c r="BD2371" s="127"/>
      <c r="BE2371" s="127"/>
      <c r="BF2371" s="127"/>
      <c r="BG2371" s="127"/>
      <c r="BH2371" s="127"/>
      <c r="BI2371" s="127"/>
      <c r="BJ2371" s="127"/>
      <c r="BK2371" s="127"/>
      <c r="BL2371" s="127"/>
      <c r="BM2371" s="127"/>
      <c r="BN2371" s="127"/>
      <c r="BO2371" s="127"/>
      <c r="BP2371" s="127"/>
      <c r="BQ2371" s="127"/>
      <c r="BR2371" s="127"/>
      <c r="BS2371" s="127"/>
      <c r="BT2371" s="127"/>
      <c r="BU2371" s="127"/>
      <c r="BV2371" s="127"/>
      <c r="BW2371" s="127"/>
      <c r="BX2371" s="127"/>
      <c r="BY2371" s="127"/>
      <c r="BZ2371" s="127"/>
      <c r="CA2371" s="127"/>
      <c r="CB2371" s="127"/>
      <c r="CC2371" s="127"/>
      <c r="CD2371" s="127"/>
      <c r="CE2371" s="127"/>
      <c r="CF2371" s="127"/>
      <c r="CG2371" s="127"/>
      <c r="CH2371" s="127"/>
      <c r="CI2371" s="127"/>
      <c r="CJ2371" s="127"/>
      <c r="CK2371" s="127"/>
      <c r="CL2371" s="127"/>
      <c r="CM2371" s="127"/>
      <c r="CN2371" s="127"/>
      <c r="CO2371" s="127"/>
      <c r="CP2371" s="127"/>
      <c r="CQ2371" s="127"/>
      <c r="CR2371" s="127"/>
      <c r="CS2371" s="127"/>
      <c r="CT2371" s="127"/>
      <c r="CU2371" s="127"/>
      <c r="CV2371" s="127"/>
      <c r="CW2371" s="127"/>
      <c r="CX2371" s="127"/>
      <c r="CY2371" s="127"/>
      <c r="CZ2371" s="127"/>
      <c r="DA2371" s="127"/>
      <c r="DB2371" s="127"/>
      <c r="DC2371" s="127"/>
      <c r="DD2371" s="127"/>
      <c r="DE2371" s="127"/>
      <c r="DF2371" s="127"/>
      <c r="DG2371" s="127"/>
      <c r="DH2371" s="127"/>
      <c r="DI2371" s="127"/>
      <c r="DJ2371" s="127"/>
      <c r="DK2371" s="127"/>
      <c r="DL2371" s="127"/>
      <c r="DM2371" s="127"/>
      <c r="DN2371" s="127"/>
      <c r="DO2371" s="127"/>
      <c r="DP2371" s="127"/>
      <c r="DQ2371" s="127"/>
      <c r="DR2371" s="127"/>
      <c r="DS2371" s="127"/>
      <c r="DT2371" s="127"/>
      <c r="DU2371" s="127"/>
      <c r="DV2371" s="127"/>
      <c r="DW2371" s="127"/>
      <c r="DX2371" s="127"/>
      <c r="DY2371" s="127"/>
      <c r="DZ2371" s="127"/>
      <c r="EA2371" s="127"/>
      <c r="EB2371" s="127"/>
      <c r="EC2371" s="127"/>
      <c r="ED2371" s="127"/>
      <c r="EE2371" s="127"/>
      <c r="EF2371" s="127"/>
      <c r="EG2371" s="127"/>
      <c r="EH2371" s="127"/>
      <c r="EI2371" s="127"/>
      <c r="EJ2371" s="127"/>
      <c r="EK2371" s="127"/>
      <c r="EL2371" s="127"/>
      <c r="EM2371" s="127"/>
      <c r="EN2371" s="127"/>
      <c r="EO2371" s="127"/>
      <c r="EP2371" s="127"/>
      <c r="EQ2371" s="127"/>
      <c r="ER2371" s="127"/>
      <c r="ES2371" s="127"/>
      <c r="ET2371" s="127"/>
      <c r="EU2371" s="127"/>
      <c r="EV2371" s="127"/>
      <c r="EW2371" s="127"/>
      <c r="EX2371" s="127"/>
      <c r="EY2371" s="127"/>
      <c r="EZ2371" s="127"/>
      <c r="FA2371" s="127"/>
      <c r="FB2371" s="127"/>
      <c r="FC2371" s="127"/>
      <c r="FD2371" s="127"/>
      <c r="FE2371" s="127"/>
      <c r="FF2371" s="127"/>
      <c r="FG2371" s="127"/>
      <c r="FH2371" s="127"/>
      <c r="FI2371" s="127"/>
      <c r="FJ2371" s="127"/>
      <c r="FK2371" s="127"/>
      <c r="FL2371" s="127"/>
      <c r="FM2371" s="127"/>
      <c r="FN2371" s="127"/>
      <c r="FO2371" s="127"/>
      <c r="FP2371" s="127"/>
      <c r="FQ2371" s="127"/>
      <c r="FR2371" s="127"/>
      <c r="FS2371" s="127"/>
      <c r="FT2371" s="127"/>
      <c r="FU2371" s="127"/>
      <c r="FV2371" s="127"/>
      <c r="FW2371" s="127"/>
      <c r="FX2371" s="127"/>
      <c r="FY2371" s="127"/>
      <c r="FZ2371" s="127"/>
      <c r="GA2371" s="127"/>
      <c r="GB2371" s="127"/>
      <c r="GC2371" s="127"/>
      <c r="GD2371" s="127"/>
      <c r="GE2371" s="127"/>
      <c r="GF2371" s="127"/>
      <c r="GG2371" s="127"/>
      <c r="GH2371" s="127"/>
      <c r="GI2371" s="127"/>
      <c r="GJ2371" s="127"/>
      <c r="GK2371" s="127"/>
      <c r="GL2371" s="127"/>
      <c r="GM2371" s="127"/>
      <c r="GN2371" s="127"/>
      <c r="GO2371" s="127"/>
      <c r="GP2371" s="127"/>
      <c r="GQ2371" s="127"/>
      <c r="GR2371" s="127"/>
      <c r="GS2371" s="127"/>
      <c r="GT2371" s="127"/>
      <c r="GU2371" s="127"/>
      <c r="GV2371" s="127"/>
      <c r="GW2371" s="127"/>
      <c r="GX2371" s="127"/>
      <c r="GY2371" s="127"/>
      <c r="GZ2371" s="127"/>
      <c r="HA2371" s="127"/>
      <c r="HB2371" s="127"/>
      <c r="HC2371" s="127"/>
      <c r="HD2371" s="127"/>
      <c r="HE2371" s="127"/>
      <c r="HF2371" s="127"/>
      <c r="HG2371" s="127"/>
      <c r="HH2371" s="127"/>
      <c r="HI2371" s="127"/>
      <c r="HJ2371" s="127"/>
      <c r="HK2371" s="127"/>
      <c r="HL2371" s="127"/>
      <c r="HM2371" s="127"/>
      <c r="HN2371" s="127"/>
      <c r="HO2371" s="127"/>
      <c r="HP2371" s="127"/>
      <c r="HQ2371" s="127"/>
      <c r="HR2371" s="127"/>
      <c r="HS2371" s="127"/>
      <c r="HT2371" s="127"/>
      <c r="HU2371" s="127"/>
      <c r="HV2371" s="127"/>
      <c r="HW2371" s="127"/>
      <c r="HX2371" s="127"/>
      <c r="HY2371" s="127"/>
      <c r="HZ2371" s="127"/>
      <c r="IA2371" s="127"/>
      <c r="IB2371" s="127"/>
      <c r="IC2371" s="127"/>
      <c r="ID2371" s="127"/>
      <c r="IE2371" s="127"/>
      <c r="IF2371" s="127"/>
      <c r="IG2371" s="127"/>
      <c r="IH2371" s="127"/>
      <c r="II2371" s="127"/>
      <c r="IJ2371" s="127"/>
    </row>
    <row r="2372" spans="1:244" s="128" customFormat="1" ht="12.75" customHeight="1">
      <c r="A2372" s="118">
        <v>2371</v>
      </c>
      <c r="B2372" s="128">
        <v>25</v>
      </c>
      <c r="C2372" s="156">
        <v>37438</v>
      </c>
      <c r="D2372" s="157" t="s">
        <v>50</v>
      </c>
      <c r="E2372" s="8">
        <v>2002</v>
      </c>
      <c r="F2372" s="158">
        <f t="shared" si="600"/>
        <v>122</v>
      </c>
      <c r="G2372" s="158">
        <f t="shared" si="601"/>
        <v>1</v>
      </c>
      <c r="H2372" s="162">
        <v>37316</v>
      </c>
      <c r="I2372" s="163">
        <v>1241978</v>
      </c>
      <c r="J2372" s="11">
        <v>3.6</v>
      </c>
      <c r="K2372" s="11">
        <v>0.5</v>
      </c>
      <c r="L2372" s="11">
        <v>0</v>
      </c>
      <c r="M2372" s="174"/>
      <c r="N2372" s="528"/>
      <c r="O2372" s="11">
        <v>0</v>
      </c>
      <c r="P2372" s="8"/>
      <c r="Q2372" s="11">
        <v>10</v>
      </c>
      <c r="R2372" s="11"/>
      <c r="S2372" s="155"/>
      <c r="T2372" s="161">
        <f>$I2372*K2372</f>
        <v>620989</v>
      </c>
      <c r="U2372" s="161">
        <f>$I2372*L2372</f>
        <v>0</v>
      </c>
      <c r="V2372" s="161">
        <f>$I2372*O2372</f>
        <v>0</v>
      </c>
      <c r="W2372" s="161">
        <f>V2372*0.4</f>
        <v>0</v>
      </c>
      <c r="X2372" s="127"/>
      <c r="Y2372" s="127"/>
      <c r="Z2372" s="127"/>
      <c r="AA2372" s="127"/>
      <c r="AB2372" s="127"/>
      <c r="AC2372" s="127"/>
      <c r="AD2372" s="127"/>
      <c r="AE2372" s="127"/>
      <c r="AF2372" s="127"/>
      <c r="AG2372" s="127"/>
      <c r="AH2372" s="127"/>
      <c r="AI2372" s="127"/>
      <c r="AJ2372" s="127"/>
      <c r="AK2372" s="127"/>
      <c r="AL2372" s="127"/>
      <c r="AM2372" s="127"/>
      <c r="AN2372" s="127"/>
      <c r="AO2372" s="127"/>
      <c r="AP2372" s="127"/>
      <c r="AQ2372" s="127"/>
      <c r="AR2372" s="127"/>
      <c r="AS2372" s="127"/>
      <c r="AT2372" s="127"/>
      <c r="AU2372" s="127"/>
      <c r="AV2372" s="127"/>
      <c r="AW2372" s="127"/>
      <c r="AX2372" s="127"/>
      <c r="AY2372" s="127"/>
      <c r="AZ2372" s="127"/>
      <c r="BA2372" s="127"/>
      <c r="BB2372" s="127"/>
      <c r="BC2372" s="127"/>
      <c r="BD2372" s="127"/>
      <c r="BE2372" s="127"/>
      <c r="BF2372" s="127"/>
      <c r="BG2372" s="127"/>
      <c r="BH2372" s="127"/>
      <c r="BI2372" s="127"/>
      <c r="BJ2372" s="127"/>
      <c r="BK2372" s="127"/>
      <c r="BL2372" s="127"/>
      <c r="BM2372" s="127"/>
      <c r="BN2372" s="127"/>
      <c r="BO2372" s="127"/>
      <c r="BP2372" s="127"/>
      <c r="BQ2372" s="127"/>
      <c r="BR2372" s="127"/>
      <c r="BS2372" s="127"/>
      <c r="BT2372" s="127"/>
      <c r="BU2372" s="127"/>
      <c r="BV2372" s="127"/>
      <c r="BW2372" s="127"/>
      <c r="BX2372" s="127"/>
      <c r="BY2372" s="127"/>
      <c r="BZ2372" s="127"/>
      <c r="CA2372" s="127"/>
      <c r="CB2372" s="127"/>
      <c r="CC2372" s="127"/>
      <c r="CD2372" s="127"/>
      <c r="CE2372" s="127"/>
      <c r="CF2372" s="127"/>
      <c r="CG2372" s="127"/>
      <c r="CH2372" s="127"/>
      <c r="CI2372" s="127"/>
      <c r="CJ2372" s="127"/>
      <c r="CK2372" s="127"/>
      <c r="CL2372" s="127"/>
      <c r="CM2372" s="127"/>
      <c r="CN2372" s="127"/>
      <c r="CO2372" s="127"/>
      <c r="CP2372" s="127"/>
      <c r="CQ2372" s="127"/>
      <c r="CR2372" s="127"/>
      <c r="CS2372" s="127"/>
      <c r="CT2372" s="127"/>
      <c r="CU2372" s="127"/>
      <c r="CV2372" s="127"/>
      <c r="CW2372" s="127"/>
      <c r="CX2372" s="127"/>
      <c r="CY2372" s="127"/>
      <c r="CZ2372" s="127"/>
      <c r="DA2372" s="127"/>
      <c r="DB2372" s="127"/>
      <c r="DC2372" s="127"/>
      <c r="DD2372" s="127"/>
      <c r="DE2372" s="127"/>
      <c r="DF2372" s="127"/>
      <c r="DG2372" s="127"/>
      <c r="DH2372" s="127"/>
      <c r="DI2372" s="127"/>
      <c r="DJ2372" s="127"/>
      <c r="DK2372" s="127"/>
      <c r="DL2372" s="127"/>
      <c r="DM2372" s="127"/>
      <c r="DN2372" s="127"/>
      <c r="DO2372" s="127"/>
      <c r="DP2372" s="127"/>
      <c r="DQ2372" s="127"/>
      <c r="DR2372" s="127"/>
      <c r="DS2372" s="127"/>
      <c r="DT2372" s="127"/>
      <c r="DU2372" s="127"/>
      <c r="DV2372" s="127"/>
      <c r="DW2372" s="127"/>
      <c r="DX2372" s="127"/>
      <c r="DY2372" s="127"/>
      <c r="DZ2372" s="127"/>
      <c r="EA2372" s="127"/>
      <c r="EB2372" s="127"/>
      <c r="EC2372" s="127"/>
      <c r="ED2372" s="127"/>
      <c r="EE2372" s="127"/>
      <c r="EF2372" s="127"/>
      <c r="EG2372" s="127"/>
      <c r="EH2372" s="127"/>
      <c r="EI2372" s="127"/>
      <c r="EJ2372" s="127"/>
      <c r="EK2372" s="127"/>
      <c r="EL2372" s="127"/>
      <c r="EM2372" s="127"/>
      <c r="EN2372" s="127"/>
      <c r="EO2372" s="127"/>
      <c r="EP2372" s="127"/>
      <c r="EQ2372" s="127"/>
      <c r="ER2372" s="127"/>
      <c r="ES2372" s="127"/>
      <c r="ET2372" s="127"/>
      <c r="EU2372" s="127"/>
      <c r="EV2372" s="127"/>
      <c r="EW2372" s="127"/>
      <c r="EX2372" s="127"/>
      <c r="EY2372" s="127"/>
      <c r="EZ2372" s="127"/>
      <c r="FA2372" s="127"/>
      <c r="FB2372" s="127"/>
      <c r="FC2372" s="127"/>
      <c r="FD2372" s="127"/>
      <c r="FE2372" s="127"/>
      <c r="FF2372" s="127"/>
      <c r="FG2372" s="127"/>
      <c r="FH2372" s="127"/>
      <c r="FI2372" s="127"/>
      <c r="FJ2372" s="127"/>
      <c r="FK2372" s="127"/>
      <c r="FL2372" s="127"/>
      <c r="FM2372" s="127"/>
      <c r="FN2372" s="127"/>
      <c r="FO2372" s="127"/>
      <c r="FP2372" s="127"/>
      <c r="FQ2372" s="127"/>
      <c r="FR2372" s="127"/>
      <c r="FS2372" s="127"/>
      <c r="FT2372" s="127"/>
      <c r="FU2372" s="127"/>
      <c r="FV2372" s="127"/>
      <c r="FW2372" s="127"/>
      <c r="FX2372" s="127"/>
      <c r="FY2372" s="127"/>
      <c r="FZ2372" s="127"/>
      <c r="GA2372" s="127"/>
      <c r="GB2372" s="127"/>
      <c r="GC2372" s="127"/>
      <c r="GD2372" s="127"/>
      <c r="GE2372" s="127"/>
      <c r="GF2372" s="127"/>
      <c r="GG2372" s="127"/>
      <c r="GH2372" s="127"/>
      <c r="GI2372" s="127"/>
      <c r="GJ2372" s="127"/>
      <c r="GK2372" s="127"/>
      <c r="GL2372" s="127"/>
      <c r="GM2372" s="127"/>
      <c r="GN2372" s="127"/>
      <c r="GO2372" s="127"/>
      <c r="GP2372" s="127"/>
      <c r="GQ2372" s="127"/>
      <c r="GR2372" s="127"/>
      <c r="GS2372" s="127"/>
      <c r="GT2372" s="127"/>
      <c r="GU2372" s="127"/>
      <c r="GV2372" s="127"/>
      <c r="GW2372" s="127"/>
      <c r="GX2372" s="127"/>
      <c r="GY2372" s="127"/>
      <c r="GZ2372" s="127"/>
      <c r="HA2372" s="127"/>
      <c r="HB2372" s="127"/>
      <c r="HC2372" s="127"/>
      <c r="HD2372" s="127"/>
      <c r="HE2372" s="127"/>
      <c r="HF2372" s="127"/>
      <c r="HG2372" s="127"/>
      <c r="HH2372" s="127"/>
      <c r="HI2372" s="127"/>
      <c r="HJ2372" s="127"/>
      <c r="HK2372" s="127"/>
      <c r="HL2372" s="127"/>
      <c r="HM2372" s="127"/>
      <c r="HN2372" s="127"/>
      <c r="HO2372" s="127"/>
      <c r="HP2372" s="127"/>
      <c r="HQ2372" s="127"/>
      <c r="HR2372" s="127"/>
      <c r="HS2372" s="127"/>
      <c r="HT2372" s="127"/>
      <c r="HU2372" s="127"/>
      <c r="HV2372" s="127"/>
      <c r="HW2372" s="127"/>
      <c r="HX2372" s="127"/>
      <c r="HY2372" s="127"/>
      <c r="HZ2372" s="127"/>
      <c r="IA2372" s="127"/>
      <c r="IB2372" s="127"/>
      <c r="IC2372" s="127"/>
      <c r="ID2372" s="127"/>
      <c r="IE2372" s="127"/>
      <c r="IF2372" s="127"/>
      <c r="IG2372" s="127"/>
      <c r="IH2372" s="127"/>
      <c r="II2372" s="127"/>
      <c r="IJ2372" s="127"/>
    </row>
    <row r="2373" spans="1:244" s="128" customFormat="1" ht="12.75" customHeight="1">
      <c r="A2373" s="118">
        <v>2372</v>
      </c>
      <c r="B2373" s="128">
        <v>25</v>
      </c>
      <c r="C2373" s="156">
        <v>37469</v>
      </c>
      <c r="D2373" s="157" t="s">
        <v>51</v>
      </c>
      <c r="E2373" s="8">
        <v>2002</v>
      </c>
      <c r="F2373" s="158">
        <f t="shared" si="600"/>
        <v>153</v>
      </c>
      <c r="G2373" s="158">
        <f t="shared" si="601"/>
        <v>1</v>
      </c>
      <c r="H2373" s="162">
        <v>37316</v>
      </c>
      <c r="I2373" s="163">
        <v>1214437</v>
      </c>
      <c r="J2373" s="11"/>
      <c r="K2373" s="11"/>
      <c r="L2373" s="11"/>
      <c r="M2373" s="174"/>
      <c r="N2373" s="528"/>
      <c r="O2373" s="11"/>
      <c r="P2373" s="8"/>
      <c r="Q2373" s="11"/>
      <c r="R2373" s="11"/>
      <c r="S2373" s="155" t="s">
        <v>357</v>
      </c>
      <c r="T2373" s="161"/>
      <c r="U2373" s="161"/>
      <c r="V2373" s="161"/>
      <c r="W2373" s="161"/>
      <c r="X2373" s="127"/>
      <c r="Y2373" s="127"/>
      <c r="Z2373" s="127"/>
      <c r="AA2373" s="127"/>
      <c r="AB2373" s="127"/>
      <c r="AC2373" s="127"/>
      <c r="AD2373" s="127"/>
      <c r="AE2373" s="127"/>
      <c r="AF2373" s="127"/>
      <c r="AG2373" s="127"/>
      <c r="AH2373" s="127"/>
      <c r="AI2373" s="127"/>
      <c r="AJ2373" s="127"/>
      <c r="AK2373" s="127"/>
      <c r="AL2373" s="127"/>
      <c r="AM2373" s="127"/>
      <c r="AN2373" s="127"/>
      <c r="AO2373" s="127"/>
      <c r="AP2373" s="127"/>
      <c r="AQ2373" s="127"/>
      <c r="AR2373" s="127"/>
      <c r="AS2373" s="127"/>
      <c r="AT2373" s="127"/>
      <c r="AU2373" s="127"/>
      <c r="AV2373" s="127"/>
      <c r="AW2373" s="127"/>
      <c r="AX2373" s="127"/>
      <c r="AY2373" s="127"/>
      <c r="AZ2373" s="127"/>
      <c r="BA2373" s="127"/>
      <c r="BB2373" s="127"/>
      <c r="BC2373" s="127"/>
      <c r="BD2373" s="127"/>
      <c r="BE2373" s="127"/>
      <c r="BF2373" s="127"/>
      <c r="BG2373" s="127"/>
      <c r="BH2373" s="127"/>
      <c r="BI2373" s="127"/>
      <c r="BJ2373" s="127"/>
      <c r="BK2373" s="127"/>
      <c r="BL2373" s="127"/>
      <c r="BM2373" s="127"/>
      <c r="BN2373" s="127"/>
      <c r="BO2373" s="127"/>
      <c r="BP2373" s="127"/>
      <c r="BQ2373" s="127"/>
      <c r="BR2373" s="127"/>
      <c r="BS2373" s="127"/>
      <c r="BT2373" s="127"/>
      <c r="BU2373" s="127"/>
      <c r="BV2373" s="127"/>
      <c r="BW2373" s="127"/>
      <c r="BX2373" s="127"/>
      <c r="BY2373" s="127"/>
      <c r="BZ2373" s="127"/>
      <c r="CA2373" s="127"/>
      <c r="CB2373" s="127"/>
      <c r="CC2373" s="127"/>
      <c r="CD2373" s="127"/>
      <c r="CE2373" s="127"/>
      <c r="CF2373" s="127"/>
      <c r="CG2373" s="127"/>
      <c r="CH2373" s="127"/>
      <c r="CI2373" s="127"/>
      <c r="CJ2373" s="127"/>
      <c r="CK2373" s="127"/>
      <c r="CL2373" s="127"/>
      <c r="CM2373" s="127"/>
      <c r="CN2373" s="127"/>
      <c r="CO2373" s="127"/>
      <c r="CP2373" s="127"/>
      <c r="CQ2373" s="127"/>
      <c r="CR2373" s="127"/>
      <c r="CS2373" s="127"/>
      <c r="CT2373" s="127"/>
      <c r="CU2373" s="127"/>
      <c r="CV2373" s="127"/>
      <c r="CW2373" s="127"/>
      <c r="CX2373" s="127"/>
      <c r="CY2373" s="127"/>
      <c r="CZ2373" s="127"/>
      <c r="DA2373" s="127"/>
      <c r="DB2373" s="127"/>
      <c r="DC2373" s="127"/>
      <c r="DD2373" s="127"/>
      <c r="DE2373" s="127"/>
      <c r="DF2373" s="127"/>
      <c r="DG2373" s="127"/>
      <c r="DH2373" s="127"/>
      <c r="DI2373" s="127"/>
      <c r="DJ2373" s="127"/>
      <c r="DK2373" s="127"/>
      <c r="DL2373" s="127"/>
      <c r="DM2373" s="127"/>
      <c r="DN2373" s="127"/>
      <c r="DO2373" s="127"/>
      <c r="DP2373" s="127"/>
      <c r="DQ2373" s="127"/>
      <c r="DR2373" s="127"/>
      <c r="DS2373" s="127"/>
      <c r="DT2373" s="127"/>
      <c r="DU2373" s="127"/>
      <c r="DV2373" s="127"/>
      <c r="DW2373" s="127"/>
      <c r="DX2373" s="127"/>
      <c r="DY2373" s="127"/>
      <c r="DZ2373" s="127"/>
      <c r="EA2373" s="127"/>
      <c r="EB2373" s="127"/>
      <c r="EC2373" s="127"/>
      <c r="ED2373" s="127"/>
      <c r="EE2373" s="127"/>
      <c r="EF2373" s="127"/>
      <c r="EG2373" s="127"/>
      <c r="EH2373" s="127"/>
      <c r="EI2373" s="127"/>
      <c r="EJ2373" s="127"/>
      <c r="EK2373" s="127"/>
      <c r="EL2373" s="127"/>
      <c r="EM2373" s="127"/>
      <c r="EN2373" s="127"/>
      <c r="EO2373" s="127"/>
      <c r="EP2373" s="127"/>
      <c r="EQ2373" s="127"/>
      <c r="ER2373" s="127"/>
      <c r="ES2373" s="127"/>
      <c r="ET2373" s="127"/>
      <c r="EU2373" s="127"/>
      <c r="EV2373" s="127"/>
      <c r="EW2373" s="127"/>
      <c r="EX2373" s="127"/>
      <c r="EY2373" s="127"/>
      <c r="EZ2373" s="127"/>
      <c r="FA2373" s="127"/>
      <c r="FB2373" s="127"/>
      <c r="FC2373" s="127"/>
      <c r="FD2373" s="127"/>
      <c r="FE2373" s="127"/>
      <c r="FF2373" s="127"/>
      <c r="FG2373" s="127"/>
      <c r="FH2373" s="127"/>
      <c r="FI2373" s="127"/>
      <c r="FJ2373" s="127"/>
      <c r="FK2373" s="127"/>
      <c r="FL2373" s="127"/>
      <c r="FM2373" s="127"/>
      <c r="FN2373" s="127"/>
      <c r="FO2373" s="127"/>
      <c r="FP2373" s="127"/>
      <c r="FQ2373" s="127"/>
      <c r="FR2373" s="127"/>
      <c r="FS2373" s="127"/>
      <c r="FT2373" s="127"/>
      <c r="FU2373" s="127"/>
      <c r="FV2373" s="127"/>
      <c r="FW2373" s="127"/>
      <c r="FX2373" s="127"/>
      <c r="FY2373" s="127"/>
      <c r="FZ2373" s="127"/>
      <c r="GA2373" s="127"/>
      <c r="GB2373" s="127"/>
      <c r="GC2373" s="127"/>
      <c r="GD2373" s="127"/>
      <c r="GE2373" s="127"/>
      <c r="GF2373" s="127"/>
      <c r="GG2373" s="127"/>
      <c r="GH2373" s="127"/>
      <c r="GI2373" s="127"/>
      <c r="GJ2373" s="127"/>
      <c r="GK2373" s="127"/>
      <c r="GL2373" s="127"/>
      <c r="GM2373" s="127"/>
      <c r="GN2373" s="127"/>
      <c r="GO2373" s="127"/>
      <c r="GP2373" s="127"/>
      <c r="GQ2373" s="127"/>
      <c r="GR2373" s="127"/>
      <c r="GS2373" s="127"/>
      <c r="GT2373" s="127"/>
      <c r="GU2373" s="127"/>
      <c r="GV2373" s="127"/>
      <c r="GW2373" s="127"/>
      <c r="GX2373" s="127"/>
      <c r="GY2373" s="127"/>
      <c r="GZ2373" s="127"/>
      <c r="HA2373" s="127"/>
      <c r="HB2373" s="127"/>
      <c r="HC2373" s="127"/>
      <c r="HD2373" s="127"/>
      <c r="HE2373" s="127"/>
      <c r="HF2373" s="127"/>
      <c r="HG2373" s="127"/>
      <c r="HH2373" s="127"/>
      <c r="HI2373" s="127"/>
      <c r="HJ2373" s="127"/>
      <c r="HK2373" s="127"/>
      <c r="HL2373" s="127"/>
      <c r="HM2373" s="127"/>
      <c r="HN2373" s="127"/>
      <c r="HO2373" s="127"/>
      <c r="HP2373" s="127"/>
      <c r="HQ2373" s="127"/>
      <c r="HR2373" s="127"/>
      <c r="HS2373" s="127"/>
      <c r="HT2373" s="127"/>
      <c r="HU2373" s="127"/>
      <c r="HV2373" s="127"/>
      <c r="HW2373" s="127"/>
      <c r="HX2373" s="127"/>
      <c r="HY2373" s="127"/>
      <c r="HZ2373" s="127"/>
      <c r="IA2373" s="127"/>
      <c r="IB2373" s="127"/>
      <c r="IC2373" s="127"/>
      <c r="ID2373" s="127"/>
      <c r="IE2373" s="127"/>
      <c r="IF2373" s="127"/>
      <c r="IG2373" s="127"/>
      <c r="IH2373" s="127"/>
      <c r="II2373" s="127"/>
      <c r="IJ2373" s="127"/>
    </row>
    <row r="2374" spans="1:244" s="128" customFormat="1" ht="12.75" customHeight="1">
      <c r="A2374" s="118">
        <v>2373</v>
      </c>
      <c r="B2374" s="128">
        <v>25</v>
      </c>
      <c r="C2374" s="156">
        <v>37500</v>
      </c>
      <c r="D2374" s="157" t="s">
        <v>52</v>
      </c>
      <c r="E2374" s="8">
        <v>2002</v>
      </c>
      <c r="F2374" s="158"/>
      <c r="G2374" s="162"/>
      <c r="H2374" s="11"/>
      <c r="I2374" s="163"/>
      <c r="J2374" s="11"/>
      <c r="K2374" s="11"/>
      <c r="L2374" s="11"/>
      <c r="M2374" s="174"/>
      <c r="N2374" s="528"/>
      <c r="O2374" s="11"/>
      <c r="P2374" s="8"/>
      <c r="Q2374" s="11"/>
      <c r="R2374" s="11"/>
      <c r="S2374" s="155" t="s">
        <v>385</v>
      </c>
      <c r="T2374" s="161"/>
      <c r="U2374" s="161"/>
      <c r="V2374" s="161"/>
      <c r="W2374" s="161"/>
      <c r="X2374" s="127"/>
      <c r="Y2374" s="127"/>
      <c r="Z2374" s="127"/>
      <c r="AA2374" s="127"/>
      <c r="AB2374" s="127"/>
      <c r="AC2374" s="127"/>
      <c r="AD2374" s="127"/>
      <c r="AE2374" s="127"/>
      <c r="AF2374" s="127"/>
      <c r="AG2374" s="127"/>
      <c r="AH2374" s="127"/>
      <c r="AI2374" s="127"/>
      <c r="AJ2374" s="127"/>
      <c r="AK2374" s="127"/>
      <c r="AL2374" s="127"/>
      <c r="AM2374" s="127"/>
      <c r="AN2374" s="127"/>
      <c r="AO2374" s="127"/>
      <c r="AP2374" s="127"/>
      <c r="AQ2374" s="127"/>
      <c r="AR2374" s="127"/>
      <c r="AS2374" s="127"/>
      <c r="AT2374" s="127"/>
      <c r="AU2374" s="127"/>
      <c r="AV2374" s="127"/>
      <c r="AW2374" s="127"/>
      <c r="AX2374" s="127"/>
      <c r="AY2374" s="127"/>
      <c r="AZ2374" s="127"/>
      <c r="BA2374" s="127"/>
      <c r="BB2374" s="127"/>
      <c r="BC2374" s="127"/>
      <c r="BD2374" s="127"/>
      <c r="BE2374" s="127"/>
      <c r="BF2374" s="127"/>
      <c r="BG2374" s="127"/>
      <c r="BH2374" s="127"/>
      <c r="BI2374" s="127"/>
      <c r="BJ2374" s="127"/>
      <c r="BK2374" s="127"/>
      <c r="BL2374" s="127"/>
      <c r="BM2374" s="127"/>
      <c r="BN2374" s="127"/>
      <c r="BO2374" s="127"/>
      <c r="BP2374" s="127"/>
      <c r="BQ2374" s="127"/>
      <c r="BR2374" s="127"/>
      <c r="BS2374" s="127"/>
      <c r="BT2374" s="127"/>
      <c r="BU2374" s="127"/>
      <c r="BV2374" s="127"/>
      <c r="BW2374" s="127"/>
      <c r="BX2374" s="127"/>
      <c r="BY2374" s="127"/>
      <c r="BZ2374" s="127"/>
      <c r="CA2374" s="127"/>
      <c r="CB2374" s="127"/>
      <c r="CC2374" s="127"/>
      <c r="CD2374" s="127"/>
      <c r="CE2374" s="127"/>
      <c r="CF2374" s="127"/>
      <c r="CG2374" s="127"/>
      <c r="CH2374" s="127"/>
      <c r="CI2374" s="127"/>
      <c r="CJ2374" s="127"/>
      <c r="CK2374" s="127"/>
      <c r="CL2374" s="127"/>
      <c r="CM2374" s="127"/>
      <c r="CN2374" s="127"/>
      <c r="CO2374" s="127"/>
      <c r="CP2374" s="127"/>
      <c r="CQ2374" s="127"/>
      <c r="CR2374" s="127"/>
      <c r="CS2374" s="127"/>
      <c r="CT2374" s="127"/>
      <c r="CU2374" s="127"/>
      <c r="CV2374" s="127"/>
      <c r="CW2374" s="127"/>
      <c r="CX2374" s="127"/>
      <c r="CY2374" s="127"/>
      <c r="CZ2374" s="127"/>
      <c r="DA2374" s="127"/>
      <c r="DB2374" s="127"/>
      <c r="DC2374" s="127"/>
      <c r="DD2374" s="127"/>
      <c r="DE2374" s="127"/>
      <c r="DF2374" s="127"/>
      <c r="DG2374" s="127"/>
      <c r="DH2374" s="127"/>
      <c r="DI2374" s="127"/>
      <c r="DJ2374" s="127"/>
      <c r="DK2374" s="127"/>
      <c r="DL2374" s="127"/>
      <c r="DM2374" s="127"/>
      <c r="DN2374" s="127"/>
      <c r="DO2374" s="127"/>
      <c r="DP2374" s="127"/>
      <c r="DQ2374" s="127"/>
      <c r="DR2374" s="127"/>
      <c r="DS2374" s="127"/>
      <c r="DT2374" s="127"/>
      <c r="DU2374" s="127"/>
      <c r="DV2374" s="127"/>
      <c r="DW2374" s="127"/>
      <c r="DX2374" s="127"/>
      <c r="DY2374" s="127"/>
      <c r="DZ2374" s="127"/>
      <c r="EA2374" s="127"/>
      <c r="EB2374" s="127"/>
      <c r="EC2374" s="127"/>
      <c r="ED2374" s="127"/>
      <c r="EE2374" s="127"/>
      <c r="EF2374" s="127"/>
      <c r="EG2374" s="127"/>
      <c r="EH2374" s="127"/>
      <c r="EI2374" s="127"/>
      <c r="EJ2374" s="127"/>
      <c r="EK2374" s="127"/>
      <c r="EL2374" s="127"/>
      <c r="EM2374" s="127"/>
      <c r="EN2374" s="127"/>
      <c r="EO2374" s="127"/>
      <c r="EP2374" s="127"/>
      <c r="EQ2374" s="127"/>
      <c r="ER2374" s="127"/>
      <c r="ES2374" s="127"/>
      <c r="ET2374" s="127"/>
      <c r="EU2374" s="127"/>
      <c r="EV2374" s="127"/>
      <c r="EW2374" s="127"/>
      <c r="EX2374" s="127"/>
      <c r="EY2374" s="127"/>
      <c r="EZ2374" s="127"/>
      <c r="FA2374" s="127"/>
      <c r="FB2374" s="127"/>
      <c r="FC2374" s="127"/>
      <c r="FD2374" s="127"/>
      <c r="FE2374" s="127"/>
      <c r="FF2374" s="127"/>
      <c r="FG2374" s="127"/>
      <c r="FH2374" s="127"/>
      <c r="FI2374" s="127"/>
      <c r="FJ2374" s="127"/>
      <c r="FK2374" s="127"/>
      <c r="FL2374" s="127"/>
      <c r="FM2374" s="127"/>
      <c r="FN2374" s="127"/>
      <c r="FO2374" s="127"/>
      <c r="FP2374" s="127"/>
      <c r="FQ2374" s="127"/>
      <c r="FR2374" s="127"/>
      <c r="FS2374" s="127"/>
      <c r="FT2374" s="127"/>
      <c r="FU2374" s="127"/>
      <c r="FV2374" s="127"/>
      <c r="FW2374" s="127"/>
      <c r="FX2374" s="127"/>
      <c r="FY2374" s="127"/>
      <c r="FZ2374" s="127"/>
      <c r="GA2374" s="127"/>
      <c r="GB2374" s="127"/>
      <c r="GC2374" s="127"/>
      <c r="GD2374" s="127"/>
      <c r="GE2374" s="127"/>
      <c r="GF2374" s="127"/>
      <c r="GG2374" s="127"/>
      <c r="GH2374" s="127"/>
      <c r="GI2374" s="127"/>
      <c r="GJ2374" s="127"/>
      <c r="GK2374" s="127"/>
      <c r="GL2374" s="127"/>
      <c r="GM2374" s="127"/>
      <c r="GN2374" s="127"/>
      <c r="GO2374" s="127"/>
      <c r="GP2374" s="127"/>
      <c r="GQ2374" s="127"/>
      <c r="GR2374" s="127"/>
      <c r="GS2374" s="127"/>
      <c r="GT2374" s="127"/>
      <c r="GU2374" s="127"/>
      <c r="GV2374" s="127"/>
      <c r="GW2374" s="127"/>
      <c r="GX2374" s="127"/>
      <c r="GY2374" s="127"/>
      <c r="GZ2374" s="127"/>
      <c r="HA2374" s="127"/>
      <c r="HB2374" s="127"/>
      <c r="HC2374" s="127"/>
      <c r="HD2374" s="127"/>
      <c r="HE2374" s="127"/>
      <c r="HF2374" s="127"/>
      <c r="HG2374" s="127"/>
      <c r="HH2374" s="127"/>
      <c r="HI2374" s="127"/>
      <c r="HJ2374" s="127"/>
      <c r="HK2374" s="127"/>
      <c r="HL2374" s="127"/>
      <c r="HM2374" s="127"/>
      <c r="HN2374" s="127"/>
      <c r="HO2374" s="127"/>
      <c r="HP2374" s="127"/>
      <c r="HQ2374" s="127"/>
      <c r="HR2374" s="127"/>
      <c r="HS2374" s="127"/>
      <c r="HT2374" s="127"/>
      <c r="HU2374" s="127"/>
      <c r="HV2374" s="127"/>
      <c r="HW2374" s="127"/>
      <c r="HX2374" s="127"/>
      <c r="HY2374" s="127"/>
      <c r="HZ2374" s="127"/>
      <c r="IA2374" s="127"/>
      <c r="IB2374" s="127"/>
      <c r="IC2374" s="127"/>
      <c r="ID2374" s="127"/>
      <c r="IE2374" s="127"/>
      <c r="IF2374" s="127"/>
      <c r="IG2374" s="127"/>
      <c r="IH2374" s="127"/>
      <c r="II2374" s="127"/>
      <c r="IJ2374" s="127"/>
    </row>
    <row r="2375" spans="1:244" s="128" customFormat="1" ht="12.75" customHeight="1">
      <c r="A2375" s="118">
        <v>2374</v>
      </c>
      <c r="B2375" s="128">
        <v>25</v>
      </c>
      <c r="C2375" s="156">
        <v>37530</v>
      </c>
      <c r="D2375" s="157" t="s">
        <v>53</v>
      </c>
      <c r="E2375" s="8">
        <v>2002</v>
      </c>
      <c r="F2375" s="158"/>
      <c r="G2375" s="162"/>
      <c r="H2375" s="11"/>
      <c r="I2375" s="163"/>
      <c r="J2375" s="11"/>
      <c r="K2375" s="11"/>
      <c r="L2375" s="11"/>
      <c r="M2375" s="174"/>
      <c r="N2375" s="528"/>
      <c r="O2375" s="11"/>
      <c r="P2375" s="8"/>
      <c r="Q2375" s="11"/>
      <c r="R2375" s="11"/>
      <c r="S2375" s="155"/>
      <c r="T2375" s="161"/>
      <c r="U2375" s="161"/>
      <c r="V2375" s="161"/>
      <c r="W2375" s="161"/>
      <c r="X2375" s="127"/>
      <c r="Y2375" s="127"/>
      <c r="Z2375" s="127"/>
      <c r="AA2375" s="127"/>
      <c r="AB2375" s="127"/>
      <c r="AC2375" s="127"/>
      <c r="AD2375" s="127"/>
      <c r="AE2375" s="127"/>
      <c r="AF2375" s="127"/>
      <c r="AG2375" s="127"/>
      <c r="AH2375" s="127"/>
      <c r="AI2375" s="127"/>
      <c r="AJ2375" s="127"/>
      <c r="AK2375" s="127"/>
      <c r="AL2375" s="127"/>
      <c r="AM2375" s="127"/>
      <c r="AN2375" s="127"/>
      <c r="AO2375" s="127"/>
      <c r="AP2375" s="127"/>
      <c r="AQ2375" s="127"/>
      <c r="AR2375" s="127"/>
      <c r="AS2375" s="127"/>
      <c r="AT2375" s="127"/>
      <c r="AU2375" s="127"/>
      <c r="AV2375" s="127"/>
      <c r="AW2375" s="127"/>
      <c r="AX2375" s="127"/>
      <c r="AY2375" s="127"/>
      <c r="AZ2375" s="127"/>
      <c r="BA2375" s="127"/>
      <c r="BB2375" s="127"/>
      <c r="BC2375" s="127"/>
      <c r="BD2375" s="127"/>
      <c r="BE2375" s="127"/>
      <c r="BF2375" s="127"/>
      <c r="BG2375" s="127"/>
      <c r="BH2375" s="127"/>
      <c r="BI2375" s="127"/>
      <c r="BJ2375" s="127"/>
      <c r="BK2375" s="127"/>
      <c r="BL2375" s="127"/>
      <c r="BM2375" s="127"/>
      <c r="BN2375" s="127"/>
      <c r="BO2375" s="127"/>
      <c r="BP2375" s="127"/>
      <c r="BQ2375" s="127"/>
      <c r="BR2375" s="127"/>
      <c r="BS2375" s="127"/>
      <c r="BT2375" s="127"/>
      <c r="BU2375" s="127"/>
      <c r="BV2375" s="127"/>
      <c r="BW2375" s="127"/>
      <c r="BX2375" s="127"/>
      <c r="BY2375" s="127"/>
      <c r="BZ2375" s="127"/>
      <c r="CA2375" s="127"/>
      <c r="CB2375" s="127"/>
      <c r="CC2375" s="127"/>
      <c r="CD2375" s="127"/>
      <c r="CE2375" s="127"/>
      <c r="CF2375" s="127"/>
      <c r="CG2375" s="127"/>
      <c r="CH2375" s="127"/>
      <c r="CI2375" s="127"/>
      <c r="CJ2375" s="127"/>
      <c r="CK2375" s="127"/>
      <c r="CL2375" s="127"/>
      <c r="CM2375" s="127"/>
      <c r="CN2375" s="127"/>
      <c r="CO2375" s="127"/>
      <c r="CP2375" s="127"/>
      <c r="CQ2375" s="127"/>
      <c r="CR2375" s="127"/>
      <c r="CS2375" s="127"/>
      <c r="CT2375" s="127"/>
      <c r="CU2375" s="127"/>
      <c r="CV2375" s="127"/>
      <c r="CW2375" s="127"/>
      <c r="CX2375" s="127"/>
      <c r="CY2375" s="127"/>
      <c r="CZ2375" s="127"/>
      <c r="DA2375" s="127"/>
      <c r="DB2375" s="127"/>
      <c r="DC2375" s="127"/>
      <c r="DD2375" s="127"/>
      <c r="DE2375" s="127"/>
      <c r="DF2375" s="127"/>
      <c r="DG2375" s="127"/>
      <c r="DH2375" s="127"/>
      <c r="DI2375" s="127"/>
      <c r="DJ2375" s="127"/>
      <c r="DK2375" s="127"/>
      <c r="DL2375" s="127"/>
      <c r="DM2375" s="127"/>
      <c r="DN2375" s="127"/>
      <c r="DO2375" s="127"/>
      <c r="DP2375" s="127"/>
      <c r="DQ2375" s="127"/>
      <c r="DR2375" s="127"/>
      <c r="DS2375" s="127"/>
      <c r="DT2375" s="127"/>
      <c r="DU2375" s="127"/>
      <c r="DV2375" s="127"/>
      <c r="DW2375" s="127"/>
      <c r="DX2375" s="127"/>
      <c r="DY2375" s="127"/>
      <c r="DZ2375" s="127"/>
      <c r="EA2375" s="127"/>
      <c r="EB2375" s="127"/>
      <c r="EC2375" s="127"/>
      <c r="ED2375" s="127"/>
      <c r="EE2375" s="127"/>
      <c r="EF2375" s="127"/>
      <c r="EG2375" s="127"/>
      <c r="EH2375" s="127"/>
      <c r="EI2375" s="127"/>
      <c r="EJ2375" s="127"/>
      <c r="EK2375" s="127"/>
      <c r="EL2375" s="127"/>
      <c r="EM2375" s="127"/>
      <c r="EN2375" s="127"/>
      <c r="EO2375" s="127"/>
      <c r="EP2375" s="127"/>
      <c r="EQ2375" s="127"/>
      <c r="ER2375" s="127"/>
      <c r="ES2375" s="127"/>
      <c r="ET2375" s="127"/>
      <c r="EU2375" s="127"/>
      <c r="EV2375" s="127"/>
      <c r="EW2375" s="127"/>
      <c r="EX2375" s="127"/>
      <c r="EY2375" s="127"/>
      <c r="EZ2375" s="127"/>
      <c r="FA2375" s="127"/>
      <c r="FB2375" s="127"/>
      <c r="FC2375" s="127"/>
      <c r="FD2375" s="127"/>
      <c r="FE2375" s="127"/>
      <c r="FF2375" s="127"/>
      <c r="FG2375" s="127"/>
      <c r="FH2375" s="127"/>
      <c r="FI2375" s="127"/>
      <c r="FJ2375" s="127"/>
      <c r="FK2375" s="127"/>
      <c r="FL2375" s="127"/>
      <c r="FM2375" s="127"/>
      <c r="FN2375" s="127"/>
      <c r="FO2375" s="127"/>
      <c r="FP2375" s="127"/>
      <c r="FQ2375" s="127"/>
      <c r="FR2375" s="127"/>
      <c r="FS2375" s="127"/>
      <c r="FT2375" s="127"/>
      <c r="FU2375" s="127"/>
      <c r="FV2375" s="127"/>
      <c r="FW2375" s="127"/>
      <c r="FX2375" s="127"/>
      <c r="FY2375" s="127"/>
      <c r="FZ2375" s="127"/>
      <c r="GA2375" s="127"/>
      <c r="GB2375" s="127"/>
      <c r="GC2375" s="127"/>
      <c r="GD2375" s="127"/>
      <c r="GE2375" s="127"/>
      <c r="GF2375" s="127"/>
      <c r="GG2375" s="127"/>
      <c r="GH2375" s="127"/>
      <c r="GI2375" s="127"/>
      <c r="GJ2375" s="127"/>
      <c r="GK2375" s="127"/>
      <c r="GL2375" s="127"/>
      <c r="GM2375" s="127"/>
      <c r="GN2375" s="127"/>
      <c r="GO2375" s="127"/>
      <c r="GP2375" s="127"/>
      <c r="GQ2375" s="127"/>
      <c r="GR2375" s="127"/>
      <c r="GS2375" s="127"/>
      <c r="GT2375" s="127"/>
      <c r="GU2375" s="127"/>
      <c r="GV2375" s="127"/>
      <c r="GW2375" s="127"/>
      <c r="GX2375" s="127"/>
      <c r="GY2375" s="127"/>
      <c r="GZ2375" s="127"/>
      <c r="HA2375" s="127"/>
      <c r="HB2375" s="127"/>
      <c r="HC2375" s="127"/>
      <c r="HD2375" s="127"/>
      <c r="HE2375" s="127"/>
      <c r="HF2375" s="127"/>
      <c r="HG2375" s="127"/>
      <c r="HH2375" s="127"/>
      <c r="HI2375" s="127"/>
      <c r="HJ2375" s="127"/>
      <c r="HK2375" s="127"/>
      <c r="HL2375" s="127"/>
      <c r="HM2375" s="127"/>
      <c r="HN2375" s="127"/>
      <c r="HO2375" s="127"/>
      <c r="HP2375" s="127"/>
      <c r="HQ2375" s="127"/>
      <c r="HR2375" s="127"/>
      <c r="HS2375" s="127"/>
      <c r="HT2375" s="127"/>
      <c r="HU2375" s="127"/>
      <c r="HV2375" s="127"/>
      <c r="HW2375" s="127"/>
      <c r="HX2375" s="127"/>
      <c r="HY2375" s="127"/>
      <c r="HZ2375" s="127"/>
      <c r="IA2375" s="127"/>
      <c r="IB2375" s="127"/>
      <c r="IC2375" s="127"/>
      <c r="ID2375" s="127"/>
      <c r="IE2375" s="127"/>
      <c r="IF2375" s="127"/>
      <c r="IG2375" s="127"/>
      <c r="IH2375" s="127"/>
      <c r="II2375" s="127"/>
      <c r="IJ2375" s="127"/>
    </row>
    <row r="2376" spans="1:244" s="128" customFormat="1" ht="12.75" customHeight="1">
      <c r="A2376" s="118">
        <v>2375</v>
      </c>
      <c r="B2376" s="128">
        <v>25</v>
      </c>
      <c r="C2376" s="156">
        <v>37561</v>
      </c>
      <c r="D2376" s="157" t="s">
        <v>54</v>
      </c>
      <c r="E2376" s="8">
        <v>2002</v>
      </c>
      <c r="F2376" s="158"/>
      <c r="G2376" s="162"/>
      <c r="H2376" s="11"/>
      <c r="I2376" s="163"/>
      <c r="J2376" s="11"/>
      <c r="K2376" s="11"/>
      <c r="L2376" s="11"/>
      <c r="M2376" s="174"/>
      <c r="N2376" s="528"/>
      <c r="O2376" s="11"/>
      <c r="P2376" s="8"/>
      <c r="Q2376" s="11"/>
      <c r="R2376" s="11"/>
      <c r="S2376" s="155"/>
      <c r="T2376" s="161"/>
      <c r="U2376" s="161"/>
      <c r="V2376" s="161"/>
      <c r="W2376" s="161"/>
      <c r="X2376" s="127"/>
      <c r="Y2376" s="127"/>
      <c r="Z2376" s="127"/>
      <c r="AA2376" s="127"/>
      <c r="AB2376" s="127"/>
      <c r="AC2376" s="127"/>
      <c r="AD2376" s="127"/>
      <c r="AE2376" s="127"/>
      <c r="AF2376" s="127"/>
      <c r="AG2376" s="127"/>
      <c r="AH2376" s="127"/>
      <c r="AI2376" s="127"/>
      <c r="AJ2376" s="127"/>
      <c r="AK2376" s="127"/>
      <c r="AL2376" s="127"/>
      <c r="AM2376" s="127"/>
      <c r="AN2376" s="127"/>
      <c r="AO2376" s="127"/>
      <c r="AP2376" s="127"/>
      <c r="AQ2376" s="127"/>
      <c r="AR2376" s="127"/>
      <c r="AS2376" s="127"/>
      <c r="AT2376" s="127"/>
      <c r="AU2376" s="127"/>
      <c r="AV2376" s="127"/>
      <c r="AW2376" s="127"/>
      <c r="AX2376" s="127"/>
      <c r="AY2376" s="127"/>
      <c r="AZ2376" s="127"/>
      <c r="BA2376" s="127"/>
      <c r="BB2376" s="127"/>
      <c r="BC2376" s="127"/>
      <c r="BD2376" s="127"/>
      <c r="BE2376" s="127"/>
      <c r="BF2376" s="127"/>
      <c r="BG2376" s="127"/>
      <c r="BH2376" s="127"/>
      <c r="BI2376" s="127"/>
      <c r="BJ2376" s="127"/>
      <c r="BK2376" s="127"/>
      <c r="BL2376" s="127"/>
      <c r="BM2376" s="127"/>
      <c r="BN2376" s="127"/>
      <c r="BO2376" s="127"/>
      <c r="BP2376" s="127"/>
      <c r="BQ2376" s="127"/>
      <c r="BR2376" s="127"/>
      <c r="BS2376" s="127"/>
      <c r="BT2376" s="127"/>
      <c r="BU2376" s="127"/>
      <c r="BV2376" s="127"/>
      <c r="BW2376" s="127"/>
      <c r="BX2376" s="127"/>
      <c r="BY2376" s="127"/>
      <c r="BZ2376" s="127"/>
      <c r="CA2376" s="127"/>
      <c r="CB2376" s="127"/>
      <c r="CC2376" s="127"/>
      <c r="CD2376" s="127"/>
      <c r="CE2376" s="127"/>
      <c r="CF2376" s="127"/>
      <c r="CG2376" s="127"/>
      <c r="CH2376" s="127"/>
      <c r="CI2376" s="127"/>
      <c r="CJ2376" s="127"/>
      <c r="CK2376" s="127"/>
      <c r="CL2376" s="127"/>
      <c r="CM2376" s="127"/>
      <c r="CN2376" s="127"/>
      <c r="CO2376" s="127"/>
      <c r="CP2376" s="127"/>
      <c r="CQ2376" s="127"/>
      <c r="CR2376" s="127"/>
      <c r="CS2376" s="127"/>
      <c r="CT2376" s="127"/>
      <c r="CU2376" s="127"/>
      <c r="CV2376" s="127"/>
      <c r="CW2376" s="127"/>
      <c r="CX2376" s="127"/>
      <c r="CY2376" s="127"/>
      <c r="CZ2376" s="127"/>
      <c r="DA2376" s="127"/>
      <c r="DB2376" s="127"/>
      <c r="DC2376" s="127"/>
      <c r="DD2376" s="127"/>
      <c r="DE2376" s="127"/>
      <c r="DF2376" s="127"/>
      <c r="DG2376" s="127"/>
      <c r="DH2376" s="127"/>
      <c r="DI2376" s="127"/>
      <c r="DJ2376" s="127"/>
      <c r="DK2376" s="127"/>
      <c r="DL2376" s="127"/>
      <c r="DM2376" s="127"/>
      <c r="DN2376" s="127"/>
      <c r="DO2376" s="127"/>
      <c r="DP2376" s="127"/>
      <c r="DQ2376" s="127"/>
      <c r="DR2376" s="127"/>
      <c r="DS2376" s="127"/>
      <c r="DT2376" s="127"/>
      <c r="DU2376" s="127"/>
      <c r="DV2376" s="127"/>
      <c r="DW2376" s="127"/>
      <c r="DX2376" s="127"/>
      <c r="DY2376" s="127"/>
      <c r="DZ2376" s="127"/>
      <c r="EA2376" s="127"/>
      <c r="EB2376" s="127"/>
      <c r="EC2376" s="127"/>
      <c r="ED2376" s="127"/>
      <c r="EE2376" s="127"/>
      <c r="EF2376" s="127"/>
      <c r="EG2376" s="127"/>
      <c r="EH2376" s="127"/>
      <c r="EI2376" s="127"/>
      <c r="EJ2376" s="127"/>
      <c r="EK2376" s="127"/>
      <c r="EL2376" s="127"/>
      <c r="EM2376" s="127"/>
      <c r="EN2376" s="127"/>
      <c r="EO2376" s="127"/>
      <c r="EP2376" s="127"/>
      <c r="EQ2376" s="127"/>
      <c r="ER2376" s="127"/>
      <c r="ES2376" s="127"/>
      <c r="ET2376" s="127"/>
      <c r="EU2376" s="127"/>
      <c r="EV2376" s="127"/>
      <c r="EW2376" s="127"/>
      <c r="EX2376" s="127"/>
      <c r="EY2376" s="127"/>
      <c r="EZ2376" s="127"/>
      <c r="FA2376" s="127"/>
      <c r="FB2376" s="127"/>
      <c r="FC2376" s="127"/>
      <c r="FD2376" s="127"/>
      <c r="FE2376" s="127"/>
      <c r="FF2376" s="127"/>
      <c r="FG2376" s="127"/>
      <c r="FH2376" s="127"/>
      <c r="FI2376" s="127"/>
      <c r="FJ2376" s="127"/>
      <c r="FK2376" s="127"/>
      <c r="FL2376" s="127"/>
      <c r="FM2376" s="127"/>
      <c r="FN2376" s="127"/>
      <c r="FO2376" s="127"/>
      <c r="FP2376" s="127"/>
      <c r="FQ2376" s="127"/>
      <c r="FR2376" s="127"/>
      <c r="FS2376" s="127"/>
      <c r="FT2376" s="127"/>
      <c r="FU2376" s="127"/>
      <c r="FV2376" s="127"/>
      <c r="FW2376" s="127"/>
      <c r="FX2376" s="127"/>
      <c r="FY2376" s="127"/>
      <c r="FZ2376" s="127"/>
      <c r="GA2376" s="127"/>
      <c r="GB2376" s="127"/>
      <c r="GC2376" s="127"/>
      <c r="GD2376" s="127"/>
      <c r="GE2376" s="127"/>
      <c r="GF2376" s="127"/>
      <c r="GG2376" s="127"/>
      <c r="GH2376" s="127"/>
      <c r="GI2376" s="127"/>
      <c r="GJ2376" s="127"/>
      <c r="GK2376" s="127"/>
      <c r="GL2376" s="127"/>
      <c r="GM2376" s="127"/>
      <c r="GN2376" s="127"/>
      <c r="GO2376" s="127"/>
      <c r="GP2376" s="127"/>
      <c r="GQ2376" s="127"/>
      <c r="GR2376" s="127"/>
      <c r="GS2376" s="127"/>
      <c r="GT2376" s="127"/>
      <c r="GU2376" s="127"/>
      <c r="GV2376" s="127"/>
      <c r="GW2376" s="127"/>
      <c r="GX2376" s="127"/>
      <c r="GY2376" s="127"/>
      <c r="GZ2376" s="127"/>
      <c r="HA2376" s="127"/>
      <c r="HB2376" s="127"/>
      <c r="HC2376" s="127"/>
      <c r="HD2376" s="127"/>
      <c r="HE2376" s="127"/>
      <c r="HF2376" s="127"/>
      <c r="HG2376" s="127"/>
      <c r="HH2376" s="127"/>
      <c r="HI2376" s="127"/>
      <c r="HJ2376" s="127"/>
      <c r="HK2376" s="127"/>
      <c r="HL2376" s="127"/>
      <c r="HM2376" s="127"/>
      <c r="HN2376" s="127"/>
      <c r="HO2376" s="127"/>
      <c r="HP2376" s="127"/>
      <c r="HQ2376" s="127"/>
      <c r="HR2376" s="127"/>
      <c r="HS2376" s="127"/>
      <c r="HT2376" s="127"/>
      <c r="HU2376" s="127"/>
      <c r="HV2376" s="127"/>
      <c r="HW2376" s="127"/>
      <c r="HX2376" s="127"/>
      <c r="HY2376" s="127"/>
      <c r="HZ2376" s="127"/>
      <c r="IA2376" s="127"/>
      <c r="IB2376" s="127"/>
      <c r="IC2376" s="127"/>
      <c r="ID2376" s="127"/>
      <c r="IE2376" s="127"/>
      <c r="IF2376" s="127"/>
      <c r="IG2376" s="127"/>
      <c r="IH2376" s="127"/>
      <c r="II2376" s="127"/>
      <c r="IJ2376" s="127"/>
    </row>
    <row r="2377" spans="1:244" s="128" customFormat="1" ht="12.75" customHeight="1">
      <c r="A2377" s="118">
        <v>2376</v>
      </c>
      <c r="B2377" s="128">
        <v>25</v>
      </c>
      <c r="C2377" s="156">
        <v>37591</v>
      </c>
      <c r="D2377" s="157" t="s">
        <v>55</v>
      </c>
      <c r="E2377" s="8">
        <v>2002</v>
      </c>
      <c r="F2377" s="158"/>
      <c r="G2377" s="162"/>
      <c r="H2377" s="11"/>
      <c r="I2377" s="163"/>
      <c r="J2377" s="11"/>
      <c r="K2377" s="11"/>
      <c r="L2377" s="11"/>
      <c r="M2377" s="174"/>
      <c r="N2377" s="528"/>
      <c r="O2377" s="11"/>
      <c r="P2377" s="8"/>
      <c r="Q2377" s="11"/>
      <c r="R2377" s="11"/>
      <c r="S2377" s="155"/>
      <c r="T2377" s="15"/>
      <c r="U2377" s="161"/>
      <c r="V2377" s="15"/>
      <c r="W2377" s="15"/>
      <c r="X2377" s="127"/>
      <c r="Y2377" s="127"/>
      <c r="Z2377" s="127"/>
      <c r="AA2377" s="127"/>
      <c r="AB2377" s="127"/>
      <c r="AC2377" s="127"/>
      <c r="AD2377" s="127"/>
      <c r="AE2377" s="127"/>
      <c r="AF2377" s="127"/>
      <c r="AG2377" s="127"/>
      <c r="AH2377" s="127"/>
      <c r="AI2377" s="127"/>
      <c r="AJ2377" s="127"/>
      <c r="AK2377" s="127"/>
      <c r="AL2377" s="127"/>
      <c r="AM2377" s="127"/>
      <c r="AN2377" s="127"/>
      <c r="AO2377" s="127"/>
      <c r="AP2377" s="127"/>
      <c r="AQ2377" s="127"/>
      <c r="AR2377" s="127"/>
      <c r="AS2377" s="127"/>
      <c r="AT2377" s="127"/>
      <c r="AU2377" s="127"/>
      <c r="AV2377" s="127"/>
      <c r="AW2377" s="127"/>
      <c r="AX2377" s="127"/>
      <c r="AY2377" s="127"/>
      <c r="AZ2377" s="127"/>
      <c r="BA2377" s="127"/>
      <c r="BB2377" s="127"/>
      <c r="BC2377" s="127"/>
      <c r="BD2377" s="127"/>
      <c r="BE2377" s="127"/>
      <c r="BF2377" s="127"/>
      <c r="BG2377" s="127"/>
      <c r="BH2377" s="127"/>
      <c r="BI2377" s="127"/>
      <c r="BJ2377" s="127"/>
      <c r="BK2377" s="127"/>
      <c r="BL2377" s="127"/>
      <c r="BM2377" s="127"/>
      <c r="BN2377" s="127"/>
      <c r="BO2377" s="127"/>
      <c r="BP2377" s="127"/>
      <c r="BQ2377" s="127"/>
      <c r="BR2377" s="127"/>
      <c r="BS2377" s="127"/>
      <c r="BT2377" s="127"/>
      <c r="BU2377" s="127"/>
      <c r="BV2377" s="127"/>
      <c r="BW2377" s="127"/>
      <c r="BX2377" s="127"/>
      <c r="BY2377" s="127"/>
      <c r="BZ2377" s="127"/>
      <c r="CA2377" s="127"/>
      <c r="CB2377" s="127"/>
      <c r="CC2377" s="127"/>
      <c r="CD2377" s="127"/>
      <c r="CE2377" s="127"/>
      <c r="CF2377" s="127"/>
      <c r="CG2377" s="127"/>
      <c r="CH2377" s="127"/>
      <c r="CI2377" s="127"/>
      <c r="CJ2377" s="127"/>
      <c r="CK2377" s="127"/>
      <c r="CL2377" s="127"/>
      <c r="CM2377" s="127"/>
      <c r="CN2377" s="127"/>
      <c r="CO2377" s="127"/>
      <c r="CP2377" s="127"/>
      <c r="CQ2377" s="127"/>
      <c r="CR2377" s="127"/>
      <c r="CS2377" s="127"/>
      <c r="CT2377" s="127"/>
      <c r="CU2377" s="127"/>
      <c r="CV2377" s="127"/>
      <c r="CW2377" s="127"/>
      <c r="CX2377" s="127"/>
      <c r="CY2377" s="127"/>
      <c r="CZ2377" s="127"/>
      <c r="DA2377" s="127"/>
      <c r="DB2377" s="127"/>
      <c r="DC2377" s="127"/>
      <c r="DD2377" s="127"/>
      <c r="DE2377" s="127"/>
      <c r="DF2377" s="127"/>
      <c r="DG2377" s="127"/>
      <c r="DH2377" s="127"/>
      <c r="DI2377" s="127"/>
      <c r="DJ2377" s="127"/>
      <c r="DK2377" s="127"/>
      <c r="DL2377" s="127"/>
      <c r="DM2377" s="127"/>
      <c r="DN2377" s="127"/>
      <c r="DO2377" s="127"/>
      <c r="DP2377" s="127"/>
      <c r="DQ2377" s="127"/>
      <c r="DR2377" s="127"/>
      <c r="DS2377" s="127"/>
      <c r="DT2377" s="127"/>
      <c r="DU2377" s="127"/>
      <c r="DV2377" s="127"/>
      <c r="DW2377" s="127"/>
      <c r="DX2377" s="127"/>
      <c r="DY2377" s="127"/>
      <c r="DZ2377" s="127"/>
      <c r="EA2377" s="127"/>
      <c r="EB2377" s="127"/>
      <c r="EC2377" s="127"/>
      <c r="ED2377" s="127"/>
      <c r="EE2377" s="127"/>
      <c r="EF2377" s="127"/>
      <c r="EG2377" s="127"/>
      <c r="EH2377" s="127"/>
      <c r="EI2377" s="127"/>
      <c r="EJ2377" s="127"/>
      <c r="EK2377" s="127"/>
      <c r="EL2377" s="127"/>
      <c r="EM2377" s="127"/>
      <c r="EN2377" s="127"/>
      <c r="EO2377" s="127"/>
      <c r="EP2377" s="127"/>
      <c r="EQ2377" s="127"/>
      <c r="ER2377" s="127"/>
      <c r="ES2377" s="127"/>
      <c r="ET2377" s="127"/>
      <c r="EU2377" s="127"/>
      <c r="EV2377" s="127"/>
      <c r="EW2377" s="127"/>
      <c r="EX2377" s="127"/>
      <c r="EY2377" s="127"/>
      <c r="EZ2377" s="127"/>
      <c r="FA2377" s="127"/>
      <c r="FB2377" s="127"/>
      <c r="FC2377" s="127"/>
      <c r="FD2377" s="127"/>
      <c r="FE2377" s="127"/>
      <c r="FF2377" s="127"/>
      <c r="FG2377" s="127"/>
      <c r="FH2377" s="127"/>
      <c r="FI2377" s="127"/>
      <c r="FJ2377" s="127"/>
      <c r="FK2377" s="127"/>
      <c r="FL2377" s="127"/>
      <c r="FM2377" s="127"/>
      <c r="FN2377" s="127"/>
      <c r="FO2377" s="127"/>
      <c r="FP2377" s="127"/>
      <c r="FQ2377" s="127"/>
      <c r="FR2377" s="127"/>
      <c r="FS2377" s="127"/>
      <c r="FT2377" s="127"/>
      <c r="FU2377" s="127"/>
      <c r="FV2377" s="127"/>
      <c r="FW2377" s="127"/>
      <c r="FX2377" s="127"/>
      <c r="FY2377" s="127"/>
      <c r="FZ2377" s="127"/>
      <c r="GA2377" s="127"/>
      <c r="GB2377" s="127"/>
      <c r="GC2377" s="127"/>
      <c r="GD2377" s="127"/>
      <c r="GE2377" s="127"/>
      <c r="GF2377" s="127"/>
      <c r="GG2377" s="127"/>
      <c r="GH2377" s="127"/>
      <c r="GI2377" s="127"/>
      <c r="GJ2377" s="127"/>
      <c r="GK2377" s="127"/>
      <c r="GL2377" s="127"/>
      <c r="GM2377" s="127"/>
      <c r="GN2377" s="127"/>
      <c r="GO2377" s="127"/>
      <c r="GP2377" s="127"/>
      <c r="GQ2377" s="127"/>
      <c r="GR2377" s="127"/>
      <c r="GS2377" s="127"/>
      <c r="GT2377" s="127"/>
      <c r="GU2377" s="127"/>
      <c r="GV2377" s="127"/>
      <c r="GW2377" s="127"/>
      <c r="GX2377" s="127"/>
      <c r="GY2377" s="127"/>
      <c r="GZ2377" s="127"/>
      <c r="HA2377" s="127"/>
      <c r="HB2377" s="127"/>
      <c r="HC2377" s="127"/>
      <c r="HD2377" s="127"/>
      <c r="HE2377" s="127"/>
      <c r="HF2377" s="127"/>
      <c r="HG2377" s="127"/>
      <c r="HH2377" s="127"/>
      <c r="HI2377" s="127"/>
      <c r="HJ2377" s="127"/>
      <c r="HK2377" s="127"/>
      <c r="HL2377" s="127"/>
      <c r="HM2377" s="127"/>
      <c r="HN2377" s="127"/>
      <c r="HO2377" s="127"/>
      <c r="HP2377" s="127"/>
      <c r="HQ2377" s="127"/>
      <c r="HR2377" s="127"/>
      <c r="HS2377" s="127"/>
      <c r="HT2377" s="127"/>
      <c r="HU2377" s="127"/>
      <c r="HV2377" s="127"/>
      <c r="HW2377" s="127"/>
      <c r="HX2377" s="127"/>
      <c r="HY2377" s="127"/>
      <c r="HZ2377" s="127"/>
      <c r="IA2377" s="127"/>
      <c r="IB2377" s="127"/>
      <c r="IC2377" s="127"/>
      <c r="ID2377" s="127"/>
      <c r="IE2377" s="127"/>
      <c r="IF2377" s="127"/>
      <c r="IG2377" s="127"/>
      <c r="IH2377" s="127"/>
      <c r="II2377" s="127"/>
      <c r="IJ2377" s="127"/>
    </row>
    <row r="2378" spans="1:244" s="128" customFormat="1" ht="12.75" customHeight="1">
      <c r="A2378" s="118">
        <v>2377</v>
      </c>
      <c r="B2378" s="128">
        <v>25</v>
      </c>
      <c r="C2378" s="156">
        <v>37622</v>
      </c>
      <c r="D2378" s="157" t="s">
        <v>44</v>
      </c>
      <c r="E2378" s="8">
        <v>2003</v>
      </c>
      <c r="F2378" s="158"/>
      <c r="G2378" s="11"/>
      <c r="H2378" s="162"/>
      <c r="I2378" s="194"/>
      <c r="J2378" s="15"/>
      <c r="K2378" s="15"/>
      <c r="L2378" s="15"/>
      <c r="M2378" s="174"/>
      <c r="N2378" s="528"/>
      <c r="O2378" s="15"/>
      <c r="P2378" s="8"/>
      <c r="Q2378" s="11"/>
      <c r="R2378" s="11"/>
      <c r="S2378" s="155"/>
      <c r="T2378" s="15"/>
      <c r="U2378" s="161"/>
      <c r="V2378" s="15"/>
      <c r="W2378" s="15"/>
    </row>
    <row r="2379" spans="1:244" s="128" customFormat="1" ht="12.75" customHeight="1">
      <c r="A2379" s="118">
        <v>2378</v>
      </c>
      <c r="B2379" s="128">
        <v>25</v>
      </c>
      <c r="C2379" s="156">
        <v>37653</v>
      </c>
      <c r="D2379" s="157" t="s">
        <v>45</v>
      </c>
      <c r="E2379" s="8">
        <v>2003</v>
      </c>
      <c r="F2379" s="158">
        <f t="shared" ref="F2379:F2389" si="602">C2379-H2379</f>
        <v>0</v>
      </c>
      <c r="G2379" s="158">
        <f t="shared" ref="G2379:G2389" si="603">IF(F2379&lt;365,1,2)</f>
        <v>1</v>
      </c>
      <c r="H2379" s="162">
        <v>37653</v>
      </c>
      <c r="I2379" s="163">
        <v>413594</v>
      </c>
      <c r="J2379" s="11"/>
      <c r="K2379" s="11"/>
      <c r="L2379" s="165">
        <v>0</v>
      </c>
      <c r="M2379" s="174"/>
      <c r="N2379" s="528" t="s">
        <v>794</v>
      </c>
      <c r="O2379" s="146">
        <v>0</v>
      </c>
      <c r="P2379" s="8"/>
      <c r="Q2379" s="11"/>
      <c r="R2379" s="11"/>
      <c r="S2379" s="155" t="s">
        <v>11</v>
      </c>
      <c r="T2379" s="15"/>
      <c r="U2379" s="161">
        <f t="shared" ref="U2379:U2389" si="604">$I2379*L2379</f>
        <v>0</v>
      </c>
      <c r="V2379" s="161">
        <f t="shared" ref="V2379:V2389" si="605">$I2379*O2379</f>
        <v>0</v>
      </c>
      <c r="W2379" s="161">
        <f t="shared" ref="W2379:W2389" si="606">V2379*0.4</f>
        <v>0</v>
      </c>
    </row>
    <row r="2380" spans="1:244" s="128" customFormat="1" ht="12.75" customHeight="1">
      <c r="A2380" s="118">
        <v>2379</v>
      </c>
      <c r="B2380" s="128">
        <v>25</v>
      </c>
      <c r="C2380" s="156">
        <v>37681</v>
      </c>
      <c r="D2380" s="157" t="s">
        <v>46</v>
      </c>
      <c r="E2380" s="8">
        <v>2003</v>
      </c>
      <c r="F2380" s="158">
        <f t="shared" si="602"/>
        <v>28</v>
      </c>
      <c r="G2380" s="158">
        <f t="shared" si="603"/>
        <v>1</v>
      </c>
      <c r="H2380" s="162">
        <v>37653</v>
      </c>
      <c r="I2380" s="194">
        <v>767936</v>
      </c>
      <c r="J2380" s="15">
        <v>1.5</v>
      </c>
      <c r="K2380" s="15">
        <v>0.15</v>
      </c>
      <c r="L2380" s="15">
        <v>0</v>
      </c>
      <c r="M2380" s="174"/>
      <c r="N2380" s="528"/>
      <c r="O2380" s="15">
        <v>0.6</v>
      </c>
      <c r="P2380" s="8"/>
      <c r="Q2380" s="11">
        <v>7.6</v>
      </c>
      <c r="R2380" s="11">
        <v>32</v>
      </c>
      <c r="S2380" s="155"/>
      <c r="T2380" s="161">
        <f t="shared" ref="T2380:T2388" si="607">$I2380*K2380</f>
        <v>115190.39999999999</v>
      </c>
      <c r="U2380" s="161">
        <f t="shared" si="604"/>
        <v>0</v>
      </c>
      <c r="V2380" s="161">
        <f t="shared" si="605"/>
        <v>460761.59999999998</v>
      </c>
      <c r="W2380" s="161">
        <f t="shared" si="606"/>
        <v>184304.64000000001</v>
      </c>
    </row>
    <row r="2381" spans="1:244" s="128" customFormat="1" ht="12.75" customHeight="1">
      <c r="A2381" s="118">
        <v>2380</v>
      </c>
      <c r="B2381" s="128">
        <v>25</v>
      </c>
      <c r="C2381" s="156">
        <v>37712</v>
      </c>
      <c r="D2381" s="157" t="s">
        <v>47</v>
      </c>
      <c r="E2381" s="8">
        <v>2003</v>
      </c>
      <c r="F2381" s="158">
        <f t="shared" si="602"/>
        <v>59</v>
      </c>
      <c r="G2381" s="158">
        <f t="shared" si="603"/>
        <v>1</v>
      </c>
      <c r="H2381" s="162">
        <v>37653</v>
      </c>
      <c r="I2381" s="194">
        <v>954963</v>
      </c>
      <c r="J2381" s="15">
        <v>0.4</v>
      </c>
      <c r="K2381" s="15">
        <v>0.7</v>
      </c>
      <c r="L2381" s="15">
        <v>0.1</v>
      </c>
      <c r="M2381" s="174">
        <v>0</v>
      </c>
      <c r="N2381" s="528"/>
      <c r="O2381" s="15">
        <v>1.4</v>
      </c>
      <c r="P2381" s="8"/>
      <c r="Q2381" s="11">
        <v>8.1</v>
      </c>
      <c r="R2381" s="11">
        <v>31</v>
      </c>
      <c r="S2381" s="155"/>
      <c r="T2381" s="161">
        <f t="shared" si="607"/>
        <v>668474.1</v>
      </c>
      <c r="U2381" s="161">
        <f t="shared" si="604"/>
        <v>95496.3</v>
      </c>
      <c r="V2381" s="161">
        <f t="shared" si="605"/>
        <v>1336948.2</v>
      </c>
      <c r="W2381" s="161">
        <f t="shared" si="606"/>
        <v>534779.28</v>
      </c>
    </row>
    <row r="2382" spans="1:244" s="128" customFormat="1" ht="12.75" customHeight="1">
      <c r="A2382" s="118">
        <v>2381</v>
      </c>
      <c r="B2382" s="128">
        <v>25</v>
      </c>
      <c r="C2382" s="156">
        <v>37742</v>
      </c>
      <c r="D2382" s="157" t="s">
        <v>48</v>
      </c>
      <c r="E2382" s="8">
        <v>2003</v>
      </c>
      <c r="F2382" s="158">
        <f t="shared" si="602"/>
        <v>89</v>
      </c>
      <c r="G2382" s="158">
        <f t="shared" si="603"/>
        <v>1</v>
      </c>
      <c r="H2382" s="162">
        <v>37653</v>
      </c>
      <c r="I2382" s="194">
        <v>945520</v>
      </c>
      <c r="J2382" s="15">
        <v>1.55</v>
      </c>
      <c r="K2382" s="15">
        <v>0.75</v>
      </c>
      <c r="L2382" s="15">
        <v>0.05</v>
      </c>
      <c r="M2382" s="174">
        <v>0</v>
      </c>
      <c r="N2382" s="528"/>
      <c r="O2382" s="15">
        <v>2.35</v>
      </c>
      <c r="P2382" s="8"/>
      <c r="Q2382" s="11">
        <v>8.9</v>
      </c>
      <c r="R2382" s="11">
        <v>32</v>
      </c>
      <c r="S2382" s="155"/>
      <c r="T2382" s="161">
        <f t="shared" si="607"/>
        <v>709140</v>
      </c>
      <c r="U2382" s="161">
        <f t="shared" si="604"/>
        <v>47276</v>
      </c>
      <c r="V2382" s="161">
        <f t="shared" si="605"/>
        <v>2221972</v>
      </c>
      <c r="W2382" s="161">
        <f t="shared" si="606"/>
        <v>888788.8</v>
      </c>
    </row>
    <row r="2383" spans="1:244" s="128" customFormat="1" ht="12.75" customHeight="1">
      <c r="A2383" s="118">
        <v>2382</v>
      </c>
      <c r="B2383" s="128">
        <v>25</v>
      </c>
      <c r="C2383" s="156">
        <v>37773</v>
      </c>
      <c r="D2383" s="157" t="s">
        <v>49</v>
      </c>
      <c r="E2383" s="8">
        <v>2003</v>
      </c>
      <c r="F2383" s="158">
        <f t="shared" si="602"/>
        <v>120</v>
      </c>
      <c r="G2383" s="158">
        <f t="shared" si="603"/>
        <v>1</v>
      </c>
      <c r="H2383" s="162">
        <v>37653</v>
      </c>
      <c r="I2383" s="194">
        <v>928436</v>
      </c>
      <c r="J2383" s="15">
        <v>0.8</v>
      </c>
      <c r="K2383" s="15">
        <v>0.45</v>
      </c>
      <c r="L2383" s="15">
        <v>0.05</v>
      </c>
      <c r="M2383" s="174">
        <v>0</v>
      </c>
      <c r="N2383" s="528"/>
      <c r="O2383" s="15">
        <v>1.85</v>
      </c>
      <c r="P2383" s="8"/>
      <c r="Q2383" s="11">
        <v>9.9</v>
      </c>
      <c r="R2383" s="11">
        <v>32</v>
      </c>
      <c r="S2383" s="155"/>
      <c r="T2383" s="161">
        <f t="shared" si="607"/>
        <v>417796.2</v>
      </c>
      <c r="U2383" s="161">
        <f t="shared" si="604"/>
        <v>46421.8</v>
      </c>
      <c r="V2383" s="161">
        <f t="shared" si="605"/>
        <v>1717606.6</v>
      </c>
      <c r="W2383" s="161">
        <f t="shared" si="606"/>
        <v>687042.64000000013</v>
      </c>
    </row>
    <row r="2384" spans="1:244" s="128" customFormat="1" ht="12.75" customHeight="1">
      <c r="A2384" s="118">
        <v>2383</v>
      </c>
      <c r="B2384" s="128">
        <v>25</v>
      </c>
      <c r="C2384" s="156">
        <v>37803</v>
      </c>
      <c r="D2384" s="157" t="s">
        <v>50</v>
      </c>
      <c r="E2384" s="8">
        <v>2003</v>
      </c>
      <c r="F2384" s="158">
        <f t="shared" si="602"/>
        <v>150</v>
      </c>
      <c r="G2384" s="158">
        <f t="shared" si="603"/>
        <v>1</v>
      </c>
      <c r="H2384" s="162">
        <v>37653</v>
      </c>
      <c r="I2384" s="194">
        <v>914850</v>
      </c>
      <c r="J2384" s="15">
        <v>0.15</v>
      </c>
      <c r="K2384" s="15">
        <v>0.3</v>
      </c>
      <c r="L2384" s="15">
        <v>0.05</v>
      </c>
      <c r="M2384" s="174">
        <v>0</v>
      </c>
      <c r="N2384" s="528"/>
      <c r="O2384" s="15">
        <v>1.1000000000000001</v>
      </c>
      <c r="P2384" s="8"/>
      <c r="Q2384" s="11">
        <v>10</v>
      </c>
      <c r="R2384" s="11">
        <v>28</v>
      </c>
      <c r="S2384" s="155"/>
      <c r="T2384" s="161">
        <f t="shared" si="607"/>
        <v>274455</v>
      </c>
      <c r="U2384" s="161">
        <f t="shared" si="604"/>
        <v>45742.5</v>
      </c>
      <c r="V2384" s="161">
        <f t="shared" si="605"/>
        <v>1006335.0000000001</v>
      </c>
      <c r="W2384" s="161">
        <f t="shared" si="606"/>
        <v>402534.00000000006</v>
      </c>
    </row>
    <row r="2385" spans="1:244" s="128" customFormat="1" ht="12.75" customHeight="1">
      <c r="A2385" s="118">
        <v>2384</v>
      </c>
      <c r="B2385" s="128">
        <v>25</v>
      </c>
      <c r="C2385" s="156">
        <v>37834</v>
      </c>
      <c r="D2385" s="157" t="s">
        <v>51</v>
      </c>
      <c r="E2385" s="8">
        <v>2003</v>
      </c>
      <c r="F2385" s="158">
        <f t="shared" si="602"/>
        <v>181</v>
      </c>
      <c r="G2385" s="158">
        <f t="shared" si="603"/>
        <v>1</v>
      </c>
      <c r="H2385" s="162">
        <v>37653</v>
      </c>
      <c r="I2385" s="194">
        <v>907712</v>
      </c>
      <c r="J2385" s="15">
        <v>0.2</v>
      </c>
      <c r="K2385" s="15">
        <v>0.3</v>
      </c>
      <c r="L2385" s="15">
        <v>0.1</v>
      </c>
      <c r="M2385" s="174">
        <v>0</v>
      </c>
      <c r="N2385" s="528"/>
      <c r="O2385" s="15">
        <v>0.4</v>
      </c>
      <c r="P2385" s="8"/>
      <c r="Q2385" s="11">
        <v>10.5</v>
      </c>
      <c r="R2385" s="11">
        <v>30</v>
      </c>
      <c r="S2385" s="155"/>
      <c r="T2385" s="161">
        <f t="shared" si="607"/>
        <v>272313.59999999998</v>
      </c>
      <c r="U2385" s="161">
        <f t="shared" si="604"/>
        <v>90771.200000000012</v>
      </c>
      <c r="V2385" s="161">
        <f t="shared" si="605"/>
        <v>363084.80000000005</v>
      </c>
      <c r="W2385" s="161">
        <f t="shared" si="606"/>
        <v>145233.92000000001</v>
      </c>
    </row>
    <row r="2386" spans="1:244" s="128" customFormat="1" ht="12.75" customHeight="1">
      <c r="A2386" s="118">
        <v>2385</v>
      </c>
      <c r="B2386" s="128">
        <v>25</v>
      </c>
      <c r="C2386" s="156">
        <v>37865</v>
      </c>
      <c r="D2386" s="157" t="s">
        <v>52</v>
      </c>
      <c r="E2386" s="8">
        <v>2003</v>
      </c>
      <c r="F2386" s="158">
        <f t="shared" si="602"/>
        <v>212</v>
      </c>
      <c r="G2386" s="158">
        <f t="shared" si="603"/>
        <v>1</v>
      </c>
      <c r="H2386" s="162">
        <v>37653</v>
      </c>
      <c r="I2386" s="194">
        <v>906325</v>
      </c>
      <c r="J2386" s="15">
        <v>0.2</v>
      </c>
      <c r="K2386" s="15">
        <v>0.8</v>
      </c>
      <c r="L2386" s="15">
        <v>0.1</v>
      </c>
      <c r="M2386" s="174">
        <v>0</v>
      </c>
      <c r="N2386" s="528"/>
      <c r="O2386" s="15">
        <v>0.1</v>
      </c>
      <c r="P2386" s="8"/>
      <c r="Q2386" s="11">
        <v>9.4</v>
      </c>
      <c r="R2386" s="11">
        <v>31</v>
      </c>
      <c r="S2386" s="155"/>
      <c r="T2386" s="161">
        <f t="shared" si="607"/>
        <v>725060</v>
      </c>
      <c r="U2386" s="161">
        <f t="shared" si="604"/>
        <v>90632.5</v>
      </c>
      <c r="V2386" s="161">
        <f t="shared" si="605"/>
        <v>90632.5</v>
      </c>
      <c r="W2386" s="161">
        <f t="shared" si="606"/>
        <v>36253</v>
      </c>
    </row>
    <row r="2387" spans="1:244" s="128" customFormat="1" ht="12.75" customHeight="1">
      <c r="A2387" s="118">
        <v>2386</v>
      </c>
      <c r="B2387" s="128">
        <v>25</v>
      </c>
      <c r="C2387" s="156">
        <v>37895</v>
      </c>
      <c r="D2387" s="157" t="s">
        <v>53</v>
      </c>
      <c r="E2387" s="8">
        <v>2003</v>
      </c>
      <c r="F2387" s="158">
        <f t="shared" si="602"/>
        <v>242</v>
      </c>
      <c r="G2387" s="158">
        <f t="shared" si="603"/>
        <v>1</v>
      </c>
      <c r="H2387" s="162">
        <v>37653</v>
      </c>
      <c r="I2387" s="194">
        <v>905000</v>
      </c>
      <c r="J2387" s="15">
        <v>0.87</v>
      </c>
      <c r="K2387" s="15">
        <v>1.83</v>
      </c>
      <c r="L2387" s="15">
        <v>0.5</v>
      </c>
      <c r="M2387" s="174">
        <v>0</v>
      </c>
      <c r="N2387" s="528"/>
      <c r="O2387" s="15">
        <v>0.43</v>
      </c>
      <c r="P2387" s="8"/>
      <c r="Q2387" s="11">
        <v>7.5</v>
      </c>
      <c r="R2387" s="11"/>
      <c r="S2387" s="155"/>
      <c r="T2387" s="161">
        <f t="shared" si="607"/>
        <v>1656150</v>
      </c>
      <c r="U2387" s="161">
        <f t="shared" si="604"/>
        <v>452500</v>
      </c>
      <c r="V2387" s="161">
        <f t="shared" si="605"/>
        <v>389150</v>
      </c>
      <c r="W2387" s="161">
        <f t="shared" si="606"/>
        <v>155660</v>
      </c>
    </row>
    <row r="2388" spans="1:244" s="128" customFormat="1" ht="12.75" customHeight="1">
      <c r="A2388" s="118">
        <v>2387</v>
      </c>
      <c r="B2388" s="128">
        <v>25</v>
      </c>
      <c r="C2388" s="156">
        <v>37926</v>
      </c>
      <c r="D2388" s="157" t="s">
        <v>54</v>
      </c>
      <c r="E2388" s="8">
        <v>2003</v>
      </c>
      <c r="F2388" s="158">
        <f t="shared" si="602"/>
        <v>273</v>
      </c>
      <c r="G2388" s="158">
        <f t="shared" si="603"/>
        <v>1</v>
      </c>
      <c r="H2388" s="162">
        <v>37653</v>
      </c>
      <c r="I2388" s="194">
        <v>905000</v>
      </c>
      <c r="J2388" s="15">
        <v>1</v>
      </c>
      <c r="K2388" s="15">
        <v>5.13</v>
      </c>
      <c r="L2388" s="15">
        <v>1.3</v>
      </c>
      <c r="M2388" s="174"/>
      <c r="N2388" s="528"/>
      <c r="O2388" s="15">
        <v>4.87</v>
      </c>
      <c r="P2388" s="8"/>
      <c r="Q2388" s="11">
        <v>8.5</v>
      </c>
      <c r="R2388" s="11">
        <v>30.5</v>
      </c>
      <c r="S2388" s="155"/>
      <c r="T2388" s="161">
        <f t="shared" si="607"/>
        <v>4642650</v>
      </c>
      <c r="U2388" s="161">
        <f t="shared" si="604"/>
        <v>1176500</v>
      </c>
      <c r="V2388" s="161">
        <f t="shared" si="605"/>
        <v>4407350</v>
      </c>
      <c r="W2388" s="161">
        <f t="shared" si="606"/>
        <v>1762940</v>
      </c>
    </row>
    <row r="2389" spans="1:244" s="128" customFormat="1" ht="12.75" customHeight="1">
      <c r="A2389" s="118">
        <v>2388</v>
      </c>
      <c r="B2389" s="128">
        <v>25</v>
      </c>
      <c r="C2389" s="156">
        <v>37956</v>
      </c>
      <c r="D2389" s="157" t="s">
        <v>55</v>
      </c>
      <c r="E2389" s="8">
        <v>2003</v>
      </c>
      <c r="F2389" s="158">
        <f t="shared" si="602"/>
        <v>303</v>
      </c>
      <c r="G2389" s="158">
        <f t="shared" si="603"/>
        <v>1</v>
      </c>
      <c r="H2389" s="162">
        <v>37653</v>
      </c>
      <c r="I2389" s="194">
        <v>456173</v>
      </c>
      <c r="J2389" s="15"/>
      <c r="K2389" s="15"/>
      <c r="L2389" s="165">
        <v>2.6</v>
      </c>
      <c r="M2389" s="174"/>
      <c r="N2389" s="528" t="s">
        <v>446</v>
      </c>
      <c r="O2389" s="165">
        <v>5</v>
      </c>
      <c r="P2389" s="8"/>
      <c r="Q2389" s="11"/>
      <c r="R2389" s="11"/>
      <c r="S2389" s="155" t="s">
        <v>330</v>
      </c>
      <c r="T2389" s="15"/>
      <c r="U2389" s="161">
        <f t="shared" si="604"/>
        <v>1186049.8</v>
      </c>
      <c r="V2389" s="161">
        <f t="shared" si="605"/>
        <v>2280865</v>
      </c>
      <c r="W2389" s="161">
        <f t="shared" si="606"/>
        <v>912346</v>
      </c>
    </row>
    <row r="2390" spans="1:244" s="11" customFormat="1" ht="12.75" customHeight="1">
      <c r="A2390" s="118">
        <v>2389</v>
      </c>
      <c r="B2390" s="128">
        <v>25</v>
      </c>
      <c r="C2390" s="156">
        <v>37987</v>
      </c>
      <c r="D2390" s="157" t="s">
        <v>44</v>
      </c>
      <c r="E2390" s="8">
        <v>2004</v>
      </c>
      <c r="F2390" s="158"/>
      <c r="H2390" s="162"/>
      <c r="I2390" s="194"/>
      <c r="J2390" s="15"/>
      <c r="K2390" s="15"/>
      <c r="L2390" s="15"/>
      <c r="M2390" s="174"/>
      <c r="N2390" s="528"/>
      <c r="O2390" s="15"/>
      <c r="P2390" s="8"/>
      <c r="S2390" s="180" t="s">
        <v>97</v>
      </c>
      <c r="T2390" s="15"/>
      <c r="U2390" s="161"/>
      <c r="V2390" s="15"/>
      <c r="W2390" s="15"/>
    </row>
    <row r="2391" spans="1:244" s="11" customFormat="1" ht="12.75" customHeight="1">
      <c r="A2391" s="118">
        <v>2390</v>
      </c>
      <c r="B2391" s="128">
        <v>25</v>
      </c>
      <c r="C2391" s="156">
        <v>38018</v>
      </c>
      <c r="D2391" s="157" t="s">
        <v>45</v>
      </c>
      <c r="E2391" s="8">
        <v>2004</v>
      </c>
      <c r="F2391" s="158">
        <f t="shared" ref="F2391:F2400" si="608">C2391-H2391</f>
        <v>0</v>
      </c>
      <c r="G2391" s="158">
        <f t="shared" ref="G2391:G2400" si="609">IF(F2391&lt;365,1,2)</f>
        <v>1</v>
      </c>
      <c r="H2391" s="162">
        <v>38018</v>
      </c>
      <c r="I2391" s="194">
        <v>116563</v>
      </c>
      <c r="J2391" s="15"/>
      <c r="K2391" s="15"/>
      <c r="L2391" s="165">
        <v>0</v>
      </c>
      <c r="M2391" s="174"/>
      <c r="N2391" s="528" t="s">
        <v>794</v>
      </c>
      <c r="O2391" s="165">
        <v>0</v>
      </c>
      <c r="P2391" s="8"/>
      <c r="S2391" s="155" t="s">
        <v>11</v>
      </c>
      <c r="T2391" s="15"/>
      <c r="U2391" s="161">
        <f t="shared" ref="U2391:U2400" si="610">$I2391*L2391</f>
        <v>0</v>
      </c>
      <c r="V2391" s="161">
        <f t="shared" ref="V2391:V2400" si="611">$I2391*O2391</f>
        <v>0</v>
      </c>
      <c r="W2391" s="161">
        <f t="shared" ref="W2391:W2400" si="612">V2391*0.4</f>
        <v>0</v>
      </c>
    </row>
    <row r="2392" spans="1:244" s="11" customFormat="1" ht="12.75" customHeight="1">
      <c r="A2392" s="118">
        <v>2391</v>
      </c>
      <c r="B2392" s="128">
        <v>25</v>
      </c>
      <c r="C2392" s="156">
        <v>38047</v>
      </c>
      <c r="D2392" s="157" t="s">
        <v>46</v>
      </c>
      <c r="E2392" s="8">
        <v>2004</v>
      </c>
      <c r="F2392" s="158">
        <f t="shared" si="608"/>
        <v>29</v>
      </c>
      <c r="G2392" s="158">
        <f t="shared" si="609"/>
        <v>1</v>
      </c>
      <c r="H2392" s="162">
        <v>38018</v>
      </c>
      <c r="I2392" s="194">
        <v>206458</v>
      </c>
      <c r="J2392" s="15"/>
      <c r="K2392" s="15"/>
      <c r="L2392" s="165">
        <v>0</v>
      </c>
      <c r="M2392" s="174"/>
      <c r="N2392" s="528" t="s">
        <v>794</v>
      </c>
      <c r="O2392" s="165">
        <v>0.25</v>
      </c>
      <c r="P2392" s="8"/>
      <c r="S2392" s="155"/>
      <c r="T2392" s="15"/>
      <c r="U2392" s="161">
        <f t="shared" si="610"/>
        <v>0</v>
      </c>
      <c r="V2392" s="161">
        <f t="shared" si="611"/>
        <v>51614.5</v>
      </c>
      <c r="W2392" s="161">
        <f t="shared" si="612"/>
        <v>20645.800000000003</v>
      </c>
    </row>
    <row r="2393" spans="1:244" s="11" customFormat="1" ht="12.75" customHeight="1">
      <c r="A2393" s="118">
        <v>2392</v>
      </c>
      <c r="B2393" s="128">
        <v>25</v>
      </c>
      <c r="C2393" s="156">
        <v>38078</v>
      </c>
      <c r="D2393" s="157" t="s">
        <v>47</v>
      </c>
      <c r="E2393" s="8">
        <v>2004</v>
      </c>
      <c r="F2393" s="158">
        <f t="shared" si="608"/>
        <v>60</v>
      </c>
      <c r="G2393" s="158">
        <f t="shared" si="609"/>
        <v>1</v>
      </c>
      <c r="H2393" s="162">
        <v>38018</v>
      </c>
      <c r="I2393" s="194">
        <v>973316</v>
      </c>
      <c r="J2393" s="15"/>
      <c r="K2393" s="15"/>
      <c r="L2393" s="165">
        <v>0</v>
      </c>
      <c r="M2393" s="174"/>
      <c r="N2393" s="528" t="s">
        <v>794</v>
      </c>
      <c r="O2393" s="165">
        <v>0.5</v>
      </c>
      <c r="P2393" s="8"/>
      <c r="S2393" s="155"/>
      <c r="T2393" s="161"/>
      <c r="U2393" s="161">
        <f t="shared" si="610"/>
        <v>0</v>
      </c>
      <c r="V2393" s="161">
        <f t="shared" si="611"/>
        <v>486658</v>
      </c>
      <c r="W2393" s="161">
        <f t="shared" si="612"/>
        <v>194663.2</v>
      </c>
    </row>
    <row r="2394" spans="1:244" s="11" customFormat="1" ht="12.75" customHeight="1">
      <c r="A2394" s="118">
        <v>2393</v>
      </c>
      <c r="B2394" s="128">
        <v>25</v>
      </c>
      <c r="C2394" s="156">
        <v>38108</v>
      </c>
      <c r="D2394" s="157" t="s">
        <v>48</v>
      </c>
      <c r="E2394" s="8">
        <v>2004</v>
      </c>
      <c r="F2394" s="158">
        <f t="shared" si="608"/>
        <v>90</v>
      </c>
      <c r="G2394" s="158">
        <f t="shared" si="609"/>
        <v>1</v>
      </c>
      <c r="H2394" s="162">
        <v>38018</v>
      </c>
      <c r="I2394" s="194">
        <v>1120665</v>
      </c>
      <c r="J2394" s="15">
        <v>0.35</v>
      </c>
      <c r="K2394" s="15">
        <v>0.45</v>
      </c>
      <c r="L2394" s="15">
        <v>0</v>
      </c>
      <c r="M2394" s="174"/>
      <c r="N2394" s="528"/>
      <c r="O2394" s="15">
        <v>0.75</v>
      </c>
      <c r="P2394" s="8"/>
      <c r="Q2394" s="11">
        <v>9.85</v>
      </c>
      <c r="R2394" s="11">
        <v>31</v>
      </c>
      <c r="S2394" s="155"/>
      <c r="T2394" s="161">
        <f t="shared" ref="T2394:T2399" si="613">$I2394*K2394</f>
        <v>504299.25</v>
      </c>
      <c r="U2394" s="161">
        <f t="shared" si="610"/>
        <v>0</v>
      </c>
      <c r="V2394" s="161">
        <f t="shared" si="611"/>
        <v>840498.75</v>
      </c>
      <c r="W2394" s="161">
        <f t="shared" si="612"/>
        <v>336199.5</v>
      </c>
    </row>
    <row r="2395" spans="1:244" s="11" customFormat="1" ht="12.75" customHeight="1">
      <c r="A2395" s="118">
        <v>2394</v>
      </c>
      <c r="B2395" s="128">
        <v>25</v>
      </c>
      <c r="C2395" s="156">
        <v>38139</v>
      </c>
      <c r="D2395" s="157" t="s">
        <v>49</v>
      </c>
      <c r="E2395" s="8">
        <v>2004</v>
      </c>
      <c r="F2395" s="158">
        <f t="shared" si="608"/>
        <v>121</v>
      </c>
      <c r="G2395" s="158">
        <f t="shared" si="609"/>
        <v>1</v>
      </c>
      <c r="H2395" s="162">
        <v>38018</v>
      </c>
      <c r="I2395" s="194">
        <v>1082434</v>
      </c>
      <c r="J2395" s="15">
        <v>1.55</v>
      </c>
      <c r="K2395" s="15">
        <v>0.85</v>
      </c>
      <c r="L2395" s="15">
        <v>0.05</v>
      </c>
      <c r="M2395" s="174">
        <v>0</v>
      </c>
      <c r="N2395" s="528"/>
      <c r="O2395" s="15">
        <v>0.35</v>
      </c>
      <c r="P2395" s="8"/>
      <c r="S2395" s="155"/>
      <c r="T2395" s="161">
        <f t="shared" si="613"/>
        <v>920068.9</v>
      </c>
      <c r="U2395" s="161">
        <f t="shared" si="610"/>
        <v>54121.700000000004</v>
      </c>
      <c r="V2395" s="161">
        <f t="shared" si="611"/>
        <v>378851.89999999997</v>
      </c>
      <c r="W2395" s="161">
        <f t="shared" si="612"/>
        <v>151540.75999999998</v>
      </c>
    </row>
    <row r="2396" spans="1:244" s="11" customFormat="1" ht="12.75" customHeight="1">
      <c r="A2396" s="118">
        <v>2395</v>
      </c>
      <c r="B2396" s="128">
        <v>25</v>
      </c>
      <c r="C2396" s="156">
        <v>38169</v>
      </c>
      <c r="D2396" s="157" t="s">
        <v>50</v>
      </c>
      <c r="E2396" s="8">
        <v>2004</v>
      </c>
      <c r="F2396" s="158">
        <f t="shared" si="608"/>
        <v>151</v>
      </c>
      <c r="G2396" s="158">
        <f t="shared" si="609"/>
        <v>1</v>
      </c>
      <c r="H2396" s="162">
        <v>38018</v>
      </c>
      <c r="I2396" s="194">
        <v>1071500</v>
      </c>
      <c r="J2396" s="15">
        <v>0.4</v>
      </c>
      <c r="K2396" s="15">
        <v>0.4</v>
      </c>
      <c r="L2396" s="15">
        <v>0.1</v>
      </c>
      <c r="M2396" s="174">
        <v>0</v>
      </c>
      <c r="N2396" s="528"/>
      <c r="O2396" s="15">
        <v>0.3</v>
      </c>
      <c r="P2396" s="8"/>
      <c r="Q2396" s="11">
        <v>10</v>
      </c>
      <c r="R2396" s="11">
        <v>30</v>
      </c>
      <c r="S2396" s="155"/>
      <c r="T2396" s="161">
        <f t="shared" si="613"/>
        <v>428600</v>
      </c>
      <c r="U2396" s="161">
        <f t="shared" si="610"/>
        <v>107150</v>
      </c>
      <c r="V2396" s="161">
        <f t="shared" si="611"/>
        <v>321450</v>
      </c>
      <c r="W2396" s="161">
        <f t="shared" si="612"/>
        <v>128580</v>
      </c>
    </row>
    <row r="2397" spans="1:244" s="11" customFormat="1" ht="12" customHeight="1">
      <c r="A2397" s="118">
        <v>2396</v>
      </c>
      <c r="B2397" s="128">
        <v>25</v>
      </c>
      <c r="C2397" s="156">
        <v>38200</v>
      </c>
      <c r="D2397" s="157" t="s">
        <v>51</v>
      </c>
      <c r="E2397" s="8">
        <v>2004</v>
      </c>
      <c r="F2397" s="158">
        <f t="shared" si="608"/>
        <v>182</v>
      </c>
      <c r="G2397" s="158">
        <f t="shared" si="609"/>
        <v>1</v>
      </c>
      <c r="H2397" s="162">
        <v>38018</v>
      </c>
      <c r="I2397" s="198">
        <v>1071000</v>
      </c>
      <c r="J2397" s="15">
        <v>0.56999999999999995</v>
      </c>
      <c r="K2397" s="15">
        <v>0.83</v>
      </c>
      <c r="L2397" s="15">
        <v>0.2</v>
      </c>
      <c r="M2397" s="174">
        <v>0</v>
      </c>
      <c r="N2397" s="528"/>
      <c r="O2397" s="15">
        <v>0.27</v>
      </c>
      <c r="P2397" s="8"/>
      <c r="Q2397" s="11">
        <v>10.4</v>
      </c>
      <c r="R2397" s="11">
        <v>25.8</v>
      </c>
      <c r="S2397" s="155"/>
      <c r="T2397" s="161">
        <f t="shared" si="613"/>
        <v>888930</v>
      </c>
      <c r="U2397" s="161">
        <f t="shared" si="610"/>
        <v>214200</v>
      </c>
      <c r="V2397" s="161">
        <f t="shared" si="611"/>
        <v>289170</v>
      </c>
      <c r="W2397" s="161">
        <f t="shared" si="612"/>
        <v>115668</v>
      </c>
    </row>
    <row r="2398" spans="1:244" s="189" customFormat="1" ht="12" customHeight="1">
      <c r="A2398" s="118">
        <v>2397</v>
      </c>
      <c r="B2398" s="128">
        <v>25</v>
      </c>
      <c r="C2398" s="156">
        <v>38231</v>
      </c>
      <c r="D2398" s="157" t="s">
        <v>52</v>
      </c>
      <c r="E2398" s="8">
        <v>2004</v>
      </c>
      <c r="F2398" s="158">
        <f t="shared" si="608"/>
        <v>213</v>
      </c>
      <c r="G2398" s="158">
        <f t="shared" si="609"/>
        <v>1</v>
      </c>
      <c r="H2398" s="162">
        <v>38018</v>
      </c>
      <c r="I2398" s="194">
        <v>1049010</v>
      </c>
      <c r="J2398" s="15">
        <v>0.1</v>
      </c>
      <c r="K2398" s="15">
        <v>0.6</v>
      </c>
      <c r="L2398" s="15">
        <v>0.3</v>
      </c>
      <c r="M2398" s="174">
        <v>0</v>
      </c>
      <c r="N2398" s="528"/>
      <c r="O2398" s="15">
        <v>0.3</v>
      </c>
      <c r="P2398" s="8"/>
      <c r="Q2398" s="11">
        <v>9.9</v>
      </c>
      <c r="R2398" s="11">
        <v>27.5</v>
      </c>
      <c r="S2398" s="155"/>
      <c r="T2398" s="161">
        <f t="shared" si="613"/>
        <v>629406</v>
      </c>
      <c r="U2398" s="161">
        <f t="shared" si="610"/>
        <v>314703</v>
      </c>
      <c r="V2398" s="161">
        <f t="shared" si="611"/>
        <v>314703</v>
      </c>
      <c r="W2398" s="161">
        <f t="shared" si="612"/>
        <v>125881.20000000001</v>
      </c>
      <c r="X2398" s="11"/>
      <c r="Y2398" s="11"/>
      <c r="Z2398" s="11"/>
      <c r="AA2398" s="11"/>
      <c r="AB2398" s="11"/>
      <c r="AC2398" s="11"/>
      <c r="AD2398" s="11"/>
      <c r="AE2398" s="11"/>
      <c r="AF2398" s="11"/>
      <c r="AG2398" s="11"/>
      <c r="AH2398" s="11"/>
      <c r="AI2398" s="11"/>
      <c r="AJ2398" s="11"/>
      <c r="AK2398" s="11"/>
      <c r="AL2398" s="11"/>
      <c r="AM2398" s="11"/>
      <c r="AN2398" s="11"/>
      <c r="AO2398" s="11"/>
      <c r="AP2398" s="11"/>
      <c r="AQ2398" s="11"/>
      <c r="AR2398" s="11"/>
      <c r="AS2398" s="11"/>
      <c r="AT2398" s="11"/>
      <c r="AU2398" s="11"/>
      <c r="AV2398" s="11"/>
      <c r="AW2398" s="11"/>
      <c r="AX2398" s="11"/>
      <c r="AY2398" s="11"/>
      <c r="AZ2398" s="11"/>
      <c r="BA2398" s="11"/>
      <c r="BB2398" s="11"/>
      <c r="BC2398" s="11"/>
      <c r="BD2398" s="11"/>
      <c r="BE2398" s="11"/>
      <c r="BF2398" s="11"/>
      <c r="BG2398" s="11"/>
      <c r="BH2398" s="11"/>
      <c r="BI2398" s="11"/>
      <c r="BJ2398" s="11"/>
      <c r="BK2398" s="11"/>
      <c r="BL2398" s="11"/>
      <c r="BM2398" s="11"/>
      <c r="BN2398" s="11"/>
      <c r="BO2398" s="11"/>
      <c r="BP2398" s="11"/>
      <c r="BQ2398" s="11"/>
      <c r="BR2398" s="11"/>
      <c r="BS2398" s="11"/>
      <c r="BT2398" s="11"/>
      <c r="BU2398" s="11"/>
      <c r="BV2398" s="11"/>
      <c r="BW2398" s="11"/>
      <c r="BX2398" s="11"/>
      <c r="BY2398" s="11"/>
      <c r="BZ2398" s="11"/>
      <c r="CA2398" s="11"/>
      <c r="CB2398" s="11"/>
      <c r="CC2398" s="11"/>
      <c r="CD2398" s="11"/>
      <c r="CE2398" s="11"/>
      <c r="CF2398" s="11"/>
      <c r="CG2398" s="11"/>
      <c r="CH2398" s="11"/>
      <c r="CI2398" s="11"/>
      <c r="CJ2398" s="11"/>
      <c r="CK2398" s="11"/>
      <c r="CL2398" s="11"/>
      <c r="CM2398" s="11"/>
      <c r="CN2398" s="11"/>
      <c r="CO2398" s="11"/>
      <c r="CP2398" s="11"/>
      <c r="CQ2398" s="11"/>
      <c r="CR2398" s="11"/>
      <c r="CS2398" s="11"/>
      <c r="CT2398" s="11"/>
      <c r="CU2398" s="11"/>
      <c r="CV2398" s="11"/>
      <c r="CW2398" s="11"/>
      <c r="CX2398" s="11"/>
      <c r="CY2398" s="11"/>
      <c r="CZ2398" s="11"/>
      <c r="DA2398" s="11"/>
      <c r="DB2398" s="11"/>
      <c r="DC2398" s="11"/>
      <c r="DD2398" s="11"/>
      <c r="DE2398" s="11"/>
      <c r="DF2398" s="11"/>
      <c r="DG2398" s="11"/>
      <c r="DH2398" s="11"/>
      <c r="DI2398" s="11"/>
      <c r="DJ2398" s="11"/>
      <c r="DK2398" s="11"/>
      <c r="DL2398" s="11"/>
      <c r="DM2398" s="11"/>
      <c r="DN2398" s="11"/>
      <c r="DO2398" s="11"/>
      <c r="DP2398" s="11"/>
      <c r="DQ2398" s="11"/>
      <c r="DR2398" s="11"/>
      <c r="DS2398" s="11"/>
      <c r="DT2398" s="11"/>
      <c r="DU2398" s="11"/>
      <c r="DV2398" s="11"/>
      <c r="DW2398" s="11"/>
      <c r="DX2398" s="11"/>
      <c r="DY2398" s="11"/>
      <c r="DZ2398" s="11"/>
      <c r="EA2398" s="11"/>
      <c r="EB2398" s="11"/>
      <c r="EC2398" s="11"/>
      <c r="ED2398" s="11"/>
      <c r="EE2398" s="11"/>
      <c r="EF2398" s="11"/>
      <c r="EG2398" s="11"/>
      <c r="EH2398" s="11"/>
      <c r="EI2398" s="11"/>
      <c r="EJ2398" s="11"/>
      <c r="EK2398" s="11"/>
      <c r="EL2398" s="11"/>
      <c r="EM2398" s="11"/>
      <c r="EN2398" s="11"/>
      <c r="EO2398" s="11"/>
      <c r="EP2398" s="11"/>
      <c r="EQ2398" s="11"/>
      <c r="ER2398" s="11"/>
      <c r="ES2398" s="11"/>
      <c r="ET2398" s="11"/>
      <c r="EU2398" s="11"/>
      <c r="EV2398" s="11"/>
      <c r="EW2398" s="11"/>
      <c r="EX2398" s="11"/>
      <c r="EY2398" s="11"/>
      <c r="EZ2398" s="11"/>
      <c r="FA2398" s="11"/>
      <c r="FB2398" s="11"/>
      <c r="FC2398" s="11"/>
      <c r="FD2398" s="11"/>
      <c r="FE2398" s="11"/>
      <c r="FF2398" s="11"/>
      <c r="FG2398" s="11"/>
      <c r="FH2398" s="11"/>
      <c r="FI2398" s="11"/>
      <c r="FJ2398" s="11"/>
      <c r="FK2398" s="11"/>
      <c r="FL2398" s="11"/>
      <c r="FM2398" s="11"/>
      <c r="FN2398" s="11"/>
      <c r="FO2398" s="11"/>
      <c r="FP2398" s="11"/>
      <c r="FQ2398" s="11"/>
      <c r="FR2398" s="11"/>
      <c r="FS2398" s="11"/>
      <c r="FT2398" s="11"/>
      <c r="FU2398" s="11"/>
      <c r="FV2398" s="11"/>
      <c r="FW2398" s="11"/>
      <c r="FX2398" s="11"/>
      <c r="FY2398" s="11"/>
      <c r="FZ2398" s="11"/>
      <c r="GA2398" s="11"/>
      <c r="GB2398" s="11"/>
      <c r="GC2398" s="11"/>
      <c r="GD2398" s="11"/>
      <c r="GE2398" s="11"/>
      <c r="GF2398" s="11"/>
      <c r="GG2398" s="11"/>
      <c r="GH2398" s="11"/>
      <c r="GI2398" s="11"/>
      <c r="GJ2398" s="11"/>
      <c r="GK2398" s="11"/>
      <c r="GL2398" s="11"/>
      <c r="GM2398" s="11"/>
      <c r="GN2398" s="11"/>
      <c r="GO2398" s="11"/>
      <c r="GP2398" s="11"/>
      <c r="GQ2398" s="11"/>
      <c r="GR2398" s="11"/>
      <c r="GS2398" s="11"/>
      <c r="GT2398" s="11"/>
      <c r="GU2398" s="11"/>
      <c r="GV2398" s="11"/>
      <c r="GW2398" s="11"/>
      <c r="GX2398" s="11"/>
      <c r="GY2398" s="11"/>
      <c r="GZ2398" s="11"/>
      <c r="HA2398" s="11"/>
      <c r="HB2398" s="11"/>
      <c r="HC2398" s="11"/>
      <c r="HD2398" s="11"/>
      <c r="HE2398" s="11"/>
      <c r="HF2398" s="11"/>
      <c r="HG2398" s="11"/>
      <c r="HH2398" s="11"/>
      <c r="HI2398" s="11"/>
      <c r="HJ2398" s="11"/>
      <c r="HK2398" s="11"/>
      <c r="HL2398" s="11"/>
      <c r="HM2398" s="11"/>
      <c r="HN2398" s="11"/>
      <c r="HO2398" s="11"/>
      <c r="HP2398" s="11"/>
      <c r="HQ2398" s="11"/>
      <c r="HR2398" s="11"/>
      <c r="HS2398" s="11"/>
      <c r="HT2398" s="11"/>
      <c r="HU2398" s="11"/>
      <c r="HV2398" s="11"/>
      <c r="HW2398" s="11"/>
      <c r="HX2398" s="11"/>
      <c r="HY2398" s="11"/>
      <c r="HZ2398" s="11"/>
      <c r="IA2398" s="11"/>
      <c r="IB2398" s="11"/>
      <c r="IC2398" s="11"/>
      <c r="ID2398" s="11"/>
      <c r="IE2398" s="11"/>
      <c r="IF2398" s="11"/>
      <c r="IG2398" s="11"/>
      <c r="IH2398" s="11"/>
      <c r="II2398" s="11"/>
      <c r="IJ2398" s="11"/>
    </row>
    <row r="2399" spans="1:244" ht="12.75" customHeight="1">
      <c r="A2399" s="118">
        <v>2398</v>
      </c>
      <c r="B2399" s="128">
        <v>25</v>
      </c>
      <c r="C2399" s="156">
        <v>38261</v>
      </c>
      <c r="D2399" s="157" t="s">
        <v>53</v>
      </c>
      <c r="E2399" s="8">
        <v>2004</v>
      </c>
      <c r="F2399" s="158">
        <f t="shared" si="608"/>
        <v>243</v>
      </c>
      <c r="G2399" s="158">
        <f t="shared" si="609"/>
        <v>1</v>
      </c>
      <c r="H2399" s="162">
        <v>38018</v>
      </c>
      <c r="I2399" s="194">
        <v>436348</v>
      </c>
      <c r="J2399" s="15">
        <v>0.37</v>
      </c>
      <c r="K2399" s="15">
        <v>1.03</v>
      </c>
      <c r="L2399" s="15">
        <v>0.33</v>
      </c>
      <c r="O2399" s="15">
        <v>0.17</v>
      </c>
      <c r="Q2399" s="11">
        <v>9.3000000000000007</v>
      </c>
      <c r="R2399" s="11">
        <v>30.2</v>
      </c>
      <c r="S2399" s="155" t="s">
        <v>15</v>
      </c>
      <c r="T2399" s="161">
        <f t="shared" si="613"/>
        <v>449438.44</v>
      </c>
      <c r="U2399" s="161">
        <f t="shared" si="610"/>
        <v>143994.84</v>
      </c>
      <c r="V2399" s="161">
        <f t="shared" si="611"/>
        <v>74179.16</v>
      </c>
      <c r="W2399" s="161">
        <f t="shared" si="612"/>
        <v>29671.664000000004</v>
      </c>
      <c r="X2399" s="11"/>
      <c r="Y2399" s="11"/>
      <c r="Z2399" s="11"/>
      <c r="AA2399" s="11"/>
      <c r="AB2399" s="11"/>
      <c r="AC2399" s="11"/>
      <c r="AD2399" s="11"/>
      <c r="AE2399" s="11"/>
      <c r="AF2399" s="11"/>
      <c r="AG2399" s="11"/>
      <c r="AH2399" s="11"/>
      <c r="AI2399" s="11"/>
      <c r="AJ2399" s="11"/>
      <c r="AK2399" s="11"/>
      <c r="AL2399" s="11"/>
      <c r="AM2399" s="11"/>
      <c r="AN2399" s="11"/>
      <c r="AO2399" s="11"/>
      <c r="AP2399" s="11"/>
      <c r="AQ2399" s="11"/>
      <c r="AR2399" s="11"/>
      <c r="AS2399" s="11"/>
      <c r="AT2399" s="11"/>
      <c r="AU2399" s="11"/>
      <c r="AV2399" s="11"/>
      <c r="AW2399" s="11"/>
      <c r="AX2399" s="11"/>
      <c r="AY2399" s="11"/>
      <c r="AZ2399" s="11"/>
      <c r="BA2399" s="11"/>
      <c r="BB2399" s="11"/>
      <c r="BC2399" s="11"/>
      <c r="BD2399" s="11"/>
      <c r="BE2399" s="11"/>
      <c r="BF2399" s="11"/>
      <c r="BG2399" s="11"/>
      <c r="BH2399" s="11"/>
      <c r="BI2399" s="11"/>
      <c r="BJ2399" s="11"/>
      <c r="BK2399" s="11"/>
      <c r="BL2399" s="11"/>
      <c r="BM2399" s="11"/>
      <c r="BN2399" s="11"/>
      <c r="BO2399" s="11"/>
      <c r="BP2399" s="11"/>
      <c r="BQ2399" s="11"/>
      <c r="BR2399" s="11"/>
      <c r="BS2399" s="11"/>
      <c r="BT2399" s="11"/>
      <c r="BU2399" s="11"/>
      <c r="BV2399" s="11"/>
      <c r="BW2399" s="11"/>
      <c r="BX2399" s="11"/>
      <c r="BY2399" s="11"/>
      <c r="BZ2399" s="11"/>
      <c r="CA2399" s="11"/>
      <c r="CB2399" s="11"/>
      <c r="CC2399" s="11"/>
      <c r="CD2399" s="11"/>
      <c r="CE2399" s="11"/>
      <c r="CF2399" s="11"/>
      <c r="CG2399" s="11"/>
      <c r="CH2399" s="11"/>
      <c r="CI2399" s="11"/>
      <c r="CJ2399" s="11"/>
      <c r="CK2399" s="11"/>
      <c r="CL2399" s="11"/>
      <c r="CM2399" s="11"/>
      <c r="CN2399" s="11"/>
      <c r="CO2399" s="11"/>
      <c r="CP2399" s="11"/>
      <c r="CQ2399" s="11"/>
      <c r="CR2399" s="11"/>
      <c r="CS2399" s="11"/>
      <c r="CT2399" s="11"/>
      <c r="CU2399" s="11"/>
      <c r="CV2399" s="11"/>
      <c r="CW2399" s="11"/>
      <c r="CX2399" s="11"/>
      <c r="CY2399" s="11"/>
      <c r="CZ2399" s="11"/>
      <c r="DA2399" s="11"/>
      <c r="DB2399" s="11"/>
      <c r="DC2399" s="11"/>
      <c r="DD2399" s="11"/>
      <c r="DE2399" s="11"/>
      <c r="DF2399" s="11"/>
      <c r="DG2399" s="11"/>
      <c r="DH2399" s="11"/>
      <c r="DI2399" s="11"/>
      <c r="DJ2399" s="11"/>
      <c r="DK2399" s="11"/>
      <c r="DL2399" s="11"/>
      <c r="DM2399" s="11"/>
      <c r="DN2399" s="11"/>
      <c r="DO2399" s="11"/>
      <c r="DP2399" s="11"/>
      <c r="DQ2399" s="11"/>
      <c r="DR2399" s="11"/>
      <c r="DS2399" s="11"/>
      <c r="DT2399" s="11"/>
      <c r="DU2399" s="11"/>
      <c r="DV2399" s="11"/>
      <c r="DW2399" s="11"/>
      <c r="DX2399" s="11"/>
      <c r="DY2399" s="11"/>
      <c r="DZ2399" s="11"/>
      <c r="EA2399" s="11"/>
      <c r="EB2399" s="11"/>
      <c r="EC2399" s="11"/>
      <c r="ED2399" s="11"/>
      <c r="EE2399" s="11"/>
      <c r="EF2399" s="11"/>
      <c r="EG2399" s="11"/>
      <c r="EH2399" s="11"/>
      <c r="EI2399" s="11"/>
      <c r="EJ2399" s="11"/>
      <c r="EK2399" s="11"/>
      <c r="EL2399" s="11"/>
      <c r="EM2399" s="11"/>
      <c r="EN2399" s="11"/>
      <c r="EO2399" s="11"/>
      <c r="EP2399" s="11"/>
      <c r="EQ2399" s="11"/>
      <c r="ER2399" s="11"/>
      <c r="ES2399" s="11"/>
      <c r="ET2399" s="11"/>
      <c r="EU2399" s="11"/>
      <c r="EV2399" s="11"/>
      <c r="EW2399" s="11"/>
      <c r="EX2399" s="11"/>
      <c r="EY2399" s="11"/>
      <c r="EZ2399" s="11"/>
      <c r="FA2399" s="11"/>
      <c r="FB2399" s="11"/>
      <c r="FC2399" s="11"/>
      <c r="FD2399" s="11"/>
      <c r="FE2399" s="11"/>
      <c r="FF2399" s="11"/>
      <c r="FG2399" s="11"/>
      <c r="FH2399" s="11"/>
      <c r="FI2399" s="11"/>
      <c r="FJ2399" s="11"/>
      <c r="FK2399" s="11"/>
      <c r="FL2399" s="11"/>
      <c r="FM2399" s="11"/>
      <c r="FN2399" s="11"/>
      <c r="FO2399" s="11"/>
      <c r="FP2399" s="11"/>
      <c r="FQ2399" s="11"/>
      <c r="FR2399" s="11"/>
      <c r="FS2399" s="11"/>
      <c r="FT2399" s="11"/>
      <c r="FU2399" s="11"/>
      <c r="FV2399" s="11"/>
      <c r="FW2399" s="11"/>
      <c r="FX2399" s="11"/>
      <c r="FY2399" s="11"/>
      <c r="FZ2399" s="11"/>
      <c r="GA2399" s="11"/>
      <c r="GB2399" s="11"/>
      <c r="GC2399" s="11"/>
      <c r="GD2399" s="11"/>
      <c r="GE2399" s="11"/>
      <c r="GF2399" s="11"/>
      <c r="GG2399" s="11"/>
      <c r="GH2399" s="11"/>
      <c r="GI2399" s="11"/>
      <c r="GJ2399" s="11"/>
      <c r="GK2399" s="11"/>
      <c r="GL2399" s="11"/>
      <c r="GM2399" s="11"/>
      <c r="GN2399" s="11"/>
      <c r="GO2399" s="11"/>
      <c r="GP2399" s="11"/>
      <c r="GQ2399" s="11"/>
      <c r="GR2399" s="11"/>
      <c r="GS2399" s="11"/>
      <c r="GT2399" s="11"/>
      <c r="GU2399" s="11"/>
      <c r="GV2399" s="11"/>
      <c r="GW2399" s="11"/>
      <c r="GX2399" s="11"/>
      <c r="GY2399" s="11"/>
      <c r="GZ2399" s="11"/>
      <c r="HA2399" s="11"/>
      <c r="HB2399" s="11"/>
      <c r="HC2399" s="11"/>
      <c r="HD2399" s="11"/>
      <c r="HE2399" s="11"/>
      <c r="HF2399" s="11"/>
      <c r="HG2399" s="11"/>
      <c r="HH2399" s="11"/>
      <c r="HI2399" s="11"/>
      <c r="HJ2399" s="11"/>
      <c r="HK2399" s="11"/>
      <c r="HL2399" s="11"/>
      <c r="HM2399" s="11"/>
      <c r="HN2399" s="11"/>
      <c r="HO2399" s="11"/>
      <c r="HP2399" s="11"/>
      <c r="HQ2399" s="11"/>
      <c r="HR2399" s="11"/>
      <c r="HS2399" s="11"/>
      <c r="HT2399" s="11"/>
      <c r="HU2399" s="11"/>
      <c r="HV2399" s="11"/>
      <c r="HW2399" s="11"/>
      <c r="HX2399" s="11"/>
      <c r="HY2399" s="11"/>
      <c r="HZ2399" s="11"/>
      <c r="IA2399" s="11"/>
      <c r="IB2399" s="11"/>
      <c r="IC2399" s="11"/>
      <c r="ID2399" s="11"/>
      <c r="IE2399" s="11"/>
      <c r="IF2399" s="11"/>
      <c r="IG2399" s="11"/>
      <c r="IH2399" s="11"/>
      <c r="II2399" s="11"/>
      <c r="IJ2399" s="11"/>
    </row>
    <row r="2400" spans="1:244" ht="12.75" customHeight="1">
      <c r="A2400" s="118">
        <v>2399</v>
      </c>
      <c r="B2400" s="128">
        <v>25</v>
      </c>
      <c r="C2400" s="156">
        <v>38292</v>
      </c>
      <c r="D2400" s="157" t="s">
        <v>54</v>
      </c>
      <c r="E2400" s="8">
        <v>2004</v>
      </c>
      <c r="F2400" s="158">
        <f t="shared" si="608"/>
        <v>274</v>
      </c>
      <c r="G2400" s="158">
        <f t="shared" si="609"/>
        <v>1</v>
      </c>
      <c r="H2400" s="162">
        <v>38018</v>
      </c>
      <c r="I2400" s="194">
        <v>72954</v>
      </c>
      <c r="L2400" s="165">
        <v>0.6</v>
      </c>
      <c r="N2400" s="528" t="s">
        <v>446</v>
      </c>
      <c r="O2400" s="165">
        <v>0.2</v>
      </c>
      <c r="T2400" s="161"/>
      <c r="U2400" s="161">
        <f t="shared" si="610"/>
        <v>43772.4</v>
      </c>
      <c r="V2400" s="161">
        <f t="shared" si="611"/>
        <v>14590.800000000001</v>
      </c>
      <c r="W2400" s="161">
        <f t="shared" si="612"/>
        <v>5836.3200000000006</v>
      </c>
      <c r="X2400" s="11"/>
      <c r="Y2400" s="11"/>
      <c r="Z2400" s="11"/>
      <c r="AA2400" s="11"/>
      <c r="AB2400" s="11"/>
      <c r="AC2400" s="11"/>
      <c r="AD2400" s="11"/>
      <c r="AE2400" s="11"/>
      <c r="AF2400" s="11"/>
      <c r="AG2400" s="11"/>
      <c r="AH2400" s="11"/>
      <c r="AI2400" s="11"/>
      <c r="AJ2400" s="11"/>
      <c r="AK2400" s="11"/>
      <c r="AL2400" s="11"/>
      <c r="AM2400" s="11"/>
      <c r="AN2400" s="11"/>
      <c r="AO2400" s="11"/>
      <c r="AP2400" s="11"/>
      <c r="AQ2400" s="11"/>
      <c r="AR2400" s="11"/>
      <c r="AS2400" s="11"/>
      <c r="AT2400" s="11"/>
      <c r="AU2400" s="11"/>
      <c r="AV2400" s="11"/>
      <c r="AW2400" s="11"/>
      <c r="AX2400" s="11"/>
      <c r="AY2400" s="11"/>
      <c r="AZ2400" s="11"/>
      <c r="BA2400" s="11"/>
      <c r="BB2400" s="11"/>
      <c r="BC2400" s="11"/>
      <c r="BD2400" s="11"/>
      <c r="BE2400" s="11"/>
      <c r="BF2400" s="11"/>
      <c r="BG2400" s="11"/>
      <c r="BH2400" s="11"/>
      <c r="BI2400" s="11"/>
      <c r="BJ2400" s="11"/>
      <c r="BK2400" s="11"/>
      <c r="BL2400" s="11"/>
      <c r="BM2400" s="11"/>
      <c r="BN2400" s="11"/>
      <c r="BO2400" s="11"/>
      <c r="BP2400" s="11"/>
      <c r="BQ2400" s="11"/>
      <c r="BR2400" s="11"/>
      <c r="BS2400" s="11"/>
      <c r="BT2400" s="11"/>
      <c r="BU2400" s="11"/>
      <c r="BV2400" s="11"/>
      <c r="BW2400" s="11"/>
      <c r="BX2400" s="11"/>
      <c r="BY2400" s="11"/>
      <c r="BZ2400" s="11"/>
      <c r="CA2400" s="11"/>
      <c r="CB2400" s="11"/>
      <c r="CC2400" s="11"/>
      <c r="CD2400" s="11"/>
      <c r="CE2400" s="11"/>
      <c r="CF2400" s="11"/>
      <c r="CG2400" s="11"/>
      <c r="CH2400" s="11"/>
      <c r="CI2400" s="11"/>
      <c r="CJ2400" s="11"/>
      <c r="CK2400" s="11"/>
      <c r="CL2400" s="11"/>
      <c r="CM2400" s="11"/>
      <c r="CN2400" s="11"/>
      <c r="CO2400" s="11"/>
      <c r="CP2400" s="11"/>
      <c r="CQ2400" s="11"/>
      <c r="CR2400" s="11"/>
      <c r="CS2400" s="11"/>
      <c r="CT2400" s="11"/>
      <c r="CU2400" s="11"/>
      <c r="CV2400" s="11"/>
      <c r="CW2400" s="11"/>
      <c r="CX2400" s="11"/>
      <c r="CY2400" s="11"/>
      <c r="CZ2400" s="11"/>
      <c r="DA2400" s="11"/>
      <c r="DB2400" s="11"/>
      <c r="DC2400" s="11"/>
      <c r="DD2400" s="11"/>
      <c r="DE2400" s="11"/>
      <c r="DF2400" s="11"/>
      <c r="DG2400" s="11"/>
      <c r="DH2400" s="11"/>
      <c r="DI2400" s="11"/>
      <c r="DJ2400" s="11"/>
      <c r="DK2400" s="11"/>
      <c r="DL2400" s="11"/>
      <c r="DM2400" s="11"/>
      <c r="DN2400" s="11"/>
      <c r="DO2400" s="11"/>
      <c r="DP2400" s="11"/>
      <c r="DQ2400" s="11"/>
      <c r="DR2400" s="11"/>
      <c r="DS2400" s="11"/>
      <c r="DT2400" s="11"/>
      <c r="DU2400" s="11"/>
      <c r="DV2400" s="11"/>
      <c r="DW2400" s="11"/>
      <c r="DX2400" s="11"/>
      <c r="DY2400" s="11"/>
      <c r="DZ2400" s="11"/>
      <c r="EA2400" s="11"/>
      <c r="EB2400" s="11"/>
      <c r="EC2400" s="11"/>
      <c r="ED2400" s="11"/>
      <c r="EE2400" s="11"/>
      <c r="EF2400" s="11"/>
      <c r="EG2400" s="11"/>
      <c r="EH2400" s="11"/>
      <c r="EI2400" s="11"/>
      <c r="EJ2400" s="11"/>
      <c r="EK2400" s="11"/>
      <c r="EL2400" s="11"/>
      <c r="EM2400" s="11"/>
      <c r="EN2400" s="11"/>
      <c r="EO2400" s="11"/>
      <c r="EP2400" s="11"/>
      <c r="EQ2400" s="11"/>
      <c r="ER2400" s="11"/>
      <c r="ES2400" s="11"/>
      <c r="ET2400" s="11"/>
      <c r="EU2400" s="11"/>
      <c r="EV2400" s="11"/>
      <c r="EW2400" s="11"/>
      <c r="EX2400" s="11"/>
      <c r="EY2400" s="11"/>
      <c r="EZ2400" s="11"/>
      <c r="FA2400" s="11"/>
      <c r="FB2400" s="11"/>
      <c r="FC2400" s="11"/>
      <c r="FD2400" s="11"/>
      <c r="FE2400" s="11"/>
      <c r="FF2400" s="11"/>
      <c r="FG2400" s="11"/>
      <c r="FH2400" s="11"/>
      <c r="FI2400" s="11"/>
      <c r="FJ2400" s="11"/>
      <c r="FK2400" s="11"/>
      <c r="FL2400" s="11"/>
      <c r="FM2400" s="11"/>
      <c r="FN2400" s="11"/>
      <c r="FO2400" s="11"/>
      <c r="FP2400" s="11"/>
      <c r="FQ2400" s="11"/>
      <c r="FR2400" s="11"/>
      <c r="FS2400" s="11"/>
      <c r="FT2400" s="11"/>
      <c r="FU2400" s="11"/>
      <c r="FV2400" s="11"/>
      <c r="FW2400" s="11"/>
      <c r="FX2400" s="11"/>
      <c r="FY2400" s="11"/>
      <c r="FZ2400" s="11"/>
      <c r="GA2400" s="11"/>
      <c r="GB2400" s="11"/>
      <c r="GC2400" s="11"/>
      <c r="GD2400" s="11"/>
      <c r="GE2400" s="11"/>
      <c r="GF2400" s="11"/>
      <c r="GG2400" s="11"/>
      <c r="GH2400" s="11"/>
      <c r="GI2400" s="11"/>
      <c r="GJ2400" s="11"/>
      <c r="GK2400" s="11"/>
      <c r="GL2400" s="11"/>
      <c r="GM2400" s="11"/>
      <c r="GN2400" s="11"/>
      <c r="GO2400" s="11"/>
      <c r="GP2400" s="11"/>
      <c r="GQ2400" s="11"/>
      <c r="GR2400" s="11"/>
      <c r="GS2400" s="11"/>
      <c r="GT2400" s="11"/>
      <c r="GU2400" s="11"/>
      <c r="GV2400" s="11"/>
      <c r="GW2400" s="11"/>
      <c r="GX2400" s="11"/>
      <c r="GY2400" s="11"/>
      <c r="GZ2400" s="11"/>
      <c r="HA2400" s="11"/>
      <c r="HB2400" s="11"/>
      <c r="HC2400" s="11"/>
      <c r="HD2400" s="11"/>
      <c r="HE2400" s="11"/>
      <c r="HF2400" s="11"/>
      <c r="HG2400" s="11"/>
      <c r="HH2400" s="11"/>
      <c r="HI2400" s="11"/>
      <c r="HJ2400" s="11"/>
      <c r="HK2400" s="11"/>
      <c r="HL2400" s="11"/>
      <c r="HM2400" s="11"/>
      <c r="HN2400" s="11"/>
      <c r="HO2400" s="11"/>
      <c r="HP2400" s="11"/>
      <c r="HQ2400" s="11"/>
      <c r="HR2400" s="11"/>
      <c r="HS2400" s="11"/>
      <c r="HT2400" s="11"/>
      <c r="HU2400" s="11"/>
      <c r="HV2400" s="11"/>
      <c r="HW2400" s="11"/>
      <c r="HX2400" s="11"/>
      <c r="HY2400" s="11"/>
      <c r="HZ2400" s="11"/>
      <c r="IA2400" s="11"/>
      <c r="IB2400" s="11"/>
      <c r="IC2400" s="11"/>
      <c r="ID2400" s="11"/>
      <c r="IE2400" s="11"/>
      <c r="IF2400" s="11"/>
      <c r="IG2400" s="11"/>
      <c r="IH2400" s="11"/>
      <c r="II2400" s="11"/>
      <c r="IJ2400" s="11"/>
    </row>
    <row r="2401" spans="1:244" ht="12.75" customHeight="1">
      <c r="A2401" s="118">
        <v>2400</v>
      </c>
      <c r="B2401" s="128">
        <v>25</v>
      </c>
      <c r="C2401" s="156">
        <v>38322</v>
      </c>
      <c r="D2401" s="157" t="s">
        <v>55</v>
      </c>
      <c r="E2401" s="8">
        <v>2004</v>
      </c>
      <c r="F2401" s="158"/>
      <c r="H2401" s="162"/>
      <c r="I2401" s="194"/>
      <c r="T2401" s="161"/>
      <c r="V2401" s="161"/>
      <c r="W2401" s="161"/>
      <c r="X2401" s="11"/>
      <c r="Y2401" s="11"/>
      <c r="Z2401" s="11"/>
      <c r="AA2401" s="11"/>
      <c r="AB2401" s="11"/>
      <c r="AC2401" s="11"/>
      <c r="AD2401" s="11"/>
      <c r="AE2401" s="11"/>
      <c r="AF2401" s="11"/>
      <c r="AG2401" s="11"/>
      <c r="AH2401" s="11"/>
      <c r="AI2401" s="11"/>
      <c r="AJ2401" s="11"/>
      <c r="AK2401" s="11"/>
      <c r="AL2401" s="11"/>
      <c r="AM2401" s="11"/>
      <c r="AN2401" s="11"/>
      <c r="AO2401" s="11"/>
      <c r="AP2401" s="11"/>
      <c r="AQ2401" s="11"/>
      <c r="AR2401" s="11"/>
      <c r="AS2401" s="11"/>
      <c r="AT2401" s="11"/>
      <c r="AU2401" s="11"/>
      <c r="AV2401" s="11"/>
      <c r="AW2401" s="11"/>
      <c r="AX2401" s="11"/>
      <c r="AY2401" s="11"/>
      <c r="AZ2401" s="11"/>
      <c r="BA2401" s="11"/>
      <c r="BB2401" s="11"/>
      <c r="BC2401" s="11"/>
      <c r="BD2401" s="11"/>
      <c r="BE2401" s="11"/>
      <c r="BF2401" s="11"/>
      <c r="BG2401" s="11"/>
      <c r="BH2401" s="11"/>
      <c r="BI2401" s="11"/>
      <c r="BJ2401" s="11"/>
      <c r="BK2401" s="11"/>
      <c r="BL2401" s="11"/>
      <c r="BM2401" s="11"/>
      <c r="BN2401" s="11"/>
      <c r="BO2401" s="11"/>
      <c r="BP2401" s="11"/>
      <c r="BQ2401" s="11"/>
      <c r="BR2401" s="11"/>
      <c r="BS2401" s="11"/>
      <c r="BT2401" s="11"/>
      <c r="BU2401" s="11"/>
      <c r="BV2401" s="11"/>
      <c r="BW2401" s="11"/>
      <c r="BX2401" s="11"/>
      <c r="BY2401" s="11"/>
      <c r="BZ2401" s="11"/>
      <c r="CA2401" s="11"/>
      <c r="CB2401" s="11"/>
      <c r="CC2401" s="11"/>
      <c r="CD2401" s="11"/>
      <c r="CE2401" s="11"/>
      <c r="CF2401" s="11"/>
      <c r="CG2401" s="11"/>
      <c r="CH2401" s="11"/>
      <c r="CI2401" s="11"/>
      <c r="CJ2401" s="11"/>
      <c r="CK2401" s="11"/>
      <c r="CL2401" s="11"/>
      <c r="CM2401" s="11"/>
      <c r="CN2401" s="11"/>
      <c r="CO2401" s="11"/>
      <c r="CP2401" s="11"/>
      <c r="CQ2401" s="11"/>
      <c r="CR2401" s="11"/>
      <c r="CS2401" s="11"/>
      <c r="CT2401" s="11"/>
      <c r="CU2401" s="11"/>
      <c r="CV2401" s="11"/>
      <c r="CW2401" s="11"/>
      <c r="CX2401" s="11"/>
      <c r="CY2401" s="11"/>
      <c r="CZ2401" s="11"/>
      <c r="DA2401" s="11"/>
      <c r="DB2401" s="11"/>
      <c r="DC2401" s="11"/>
      <c r="DD2401" s="11"/>
      <c r="DE2401" s="11"/>
      <c r="DF2401" s="11"/>
      <c r="DG2401" s="11"/>
      <c r="DH2401" s="11"/>
      <c r="DI2401" s="11"/>
      <c r="DJ2401" s="11"/>
      <c r="DK2401" s="11"/>
      <c r="DL2401" s="11"/>
      <c r="DM2401" s="11"/>
      <c r="DN2401" s="11"/>
      <c r="DO2401" s="11"/>
      <c r="DP2401" s="11"/>
      <c r="DQ2401" s="11"/>
      <c r="DR2401" s="11"/>
      <c r="DS2401" s="11"/>
      <c r="DT2401" s="11"/>
      <c r="DU2401" s="11"/>
      <c r="DV2401" s="11"/>
      <c r="DW2401" s="11"/>
      <c r="DX2401" s="11"/>
      <c r="DY2401" s="11"/>
      <c r="DZ2401" s="11"/>
      <c r="EA2401" s="11"/>
      <c r="EB2401" s="11"/>
      <c r="EC2401" s="11"/>
      <c r="ED2401" s="11"/>
      <c r="EE2401" s="11"/>
      <c r="EF2401" s="11"/>
      <c r="EG2401" s="11"/>
      <c r="EH2401" s="11"/>
      <c r="EI2401" s="11"/>
      <c r="EJ2401" s="11"/>
      <c r="EK2401" s="11"/>
      <c r="EL2401" s="11"/>
      <c r="EM2401" s="11"/>
      <c r="EN2401" s="11"/>
      <c r="EO2401" s="11"/>
      <c r="EP2401" s="11"/>
      <c r="EQ2401" s="11"/>
      <c r="ER2401" s="11"/>
      <c r="ES2401" s="11"/>
      <c r="ET2401" s="11"/>
      <c r="EU2401" s="11"/>
      <c r="EV2401" s="11"/>
      <c r="EW2401" s="11"/>
      <c r="EX2401" s="11"/>
      <c r="EY2401" s="11"/>
      <c r="EZ2401" s="11"/>
      <c r="FA2401" s="11"/>
      <c r="FB2401" s="11"/>
      <c r="FC2401" s="11"/>
      <c r="FD2401" s="11"/>
      <c r="FE2401" s="11"/>
      <c r="FF2401" s="11"/>
      <c r="FG2401" s="11"/>
      <c r="FH2401" s="11"/>
      <c r="FI2401" s="11"/>
      <c r="FJ2401" s="11"/>
      <c r="FK2401" s="11"/>
      <c r="FL2401" s="11"/>
      <c r="FM2401" s="11"/>
      <c r="FN2401" s="11"/>
      <c r="FO2401" s="11"/>
      <c r="FP2401" s="11"/>
      <c r="FQ2401" s="11"/>
      <c r="FR2401" s="11"/>
      <c r="FS2401" s="11"/>
      <c r="FT2401" s="11"/>
      <c r="FU2401" s="11"/>
      <c r="FV2401" s="11"/>
      <c r="FW2401" s="11"/>
      <c r="FX2401" s="11"/>
      <c r="FY2401" s="11"/>
      <c r="FZ2401" s="11"/>
      <c r="GA2401" s="11"/>
      <c r="GB2401" s="11"/>
      <c r="GC2401" s="11"/>
      <c r="GD2401" s="11"/>
      <c r="GE2401" s="11"/>
      <c r="GF2401" s="11"/>
      <c r="GG2401" s="11"/>
      <c r="GH2401" s="11"/>
      <c r="GI2401" s="11"/>
      <c r="GJ2401" s="11"/>
      <c r="GK2401" s="11"/>
      <c r="GL2401" s="11"/>
      <c r="GM2401" s="11"/>
      <c r="GN2401" s="11"/>
      <c r="GO2401" s="11"/>
      <c r="GP2401" s="11"/>
      <c r="GQ2401" s="11"/>
      <c r="GR2401" s="11"/>
      <c r="GS2401" s="11"/>
      <c r="GT2401" s="11"/>
      <c r="GU2401" s="11"/>
      <c r="GV2401" s="11"/>
      <c r="GW2401" s="11"/>
      <c r="GX2401" s="11"/>
      <c r="GY2401" s="11"/>
      <c r="GZ2401" s="11"/>
      <c r="HA2401" s="11"/>
      <c r="HB2401" s="11"/>
      <c r="HC2401" s="11"/>
      <c r="HD2401" s="11"/>
      <c r="HE2401" s="11"/>
      <c r="HF2401" s="11"/>
      <c r="HG2401" s="11"/>
      <c r="HH2401" s="11"/>
      <c r="HI2401" s="11"/>
      <c r="HJ2401" s="11"/>
      <c r="HK2401" s="11"/>
      <c r="HL2401" s="11"/>
      <c r="HM2401" s="11"/>
      <c r="HN2401" s="11"/>
      <c r="HO2401" s="11"/>
      <c r="HP2401" s="11"/>
      <c r="HQ2401" s="11"/>
      <c r="HR2401" s="11"/>
      <c r="HS2401" s="11"/>
      <c r="HT2401" s="11"/>
      <c r="HU2401" s="11"/>
      <c r="HV2401" s="11"/>
      <c r="HW2401" s="11"/>
      <c r="HX2401" s="11"/>
      <c r="HY2401" s="11"/>
      <c r="HZ2401" s="11"/>
      <c r="IA2401" s="11"/>
      <c r="IB2401" s="11"/>
      <c r="IC2401" s="11"/>
      <c r="ID2401" s="11"/>
      <c r="IE2401" s="11"/>
      <c r="IF2401" s="11"/>
      <c r="IG2401" s="11"/>
      <c r="IH2401" s="11"/>
      <c r="II2401" s="11"/>
      <c r="IJ2401" s="11"/>
    </row>
    <row r="2402" spans="1:244">
      <c r="A2402" s="118">
        <v>2401</v>
      </c>
      <c r="B2402" s="128">
        <v>25</v>
      </c>
      <c r="C2402" s="156">
        <v>38353</v>
      </c>
      <c r="D2402" s="157" t="s">
        <v>44</v>
      </c>
      <c r="E2402" s="8">
        <v>2005</v>
      </c>
      <c r="F2402" s="158"/>
      <c r="H2402" s="162"/>
      <c r="I2402" s="194"/>
      <c r="T2402" s="173"/>
      <c r="V2402" s="173"/>
      <c r="W2402" s="173"/>
      <c r="X2402" s="11"/>
      <c r="Y2402" s="11"/>
      <c r="Z2402" s="11"/>
      <c r="AA2402" s="11"/>
      <c r="AB2402" s="11"/>
      <c r="AC2402" s="11"/>
      <c r="AD2402" s="11"/>
      <c r="AE2402" s="11"/>
      <c r="AF2402" s="11"/>
      <c r="AG2402" s="11"/>
      <c r="AH2402" s="11"/>
      <c r="AI2402" s="11"/>
      <c r="AJ2402" s="11"/>
      <c r="AK2402" s="11"/>
      <c r="AL2402" s="11"/>
      <c r="AM2402" s="11"/>
      <c r="AN2402" s="11"/>
      <c r="AO2402" s="11"/>
      <c r="AP2402" s="11"/>
      <c r="AQ2402" s="11"/>
      <c r="AR2402" s="11"/>
      <c r="AS2402" s="11"/>
      <c r="AT2402" s="11"/>
      <c r="AU2402" s="11"/>
      <c r="AV2402" s="11"/>
      <c r="AW2402" s="11"/>
      <c r="AX2402" s="11"/>
      <c r="AY2402" s="11"/>
      <c r="AZ2402" s="11"/>
      <c r="BA2402" s="11"/>
      <c r="BB2402" s="11"/>
      <c r="BC2402" s="11"/>
      <c r="BD2402" s="11"/>
      <c r="BE2402" s="11"/>
      <c r="BF2402" s="11"/>
      <c r="BG2402" s="11"/>
      <c r="BH2402" s="11"/>
      <c r="BI2402" s="11"/>
      <c r="BJ2402" s="11"/>
      <c r="BK2402" s="11"/>
      <c r="BL2402" s="11"/>
      <c r="BM2402" s="11"/>
      <c r="BN2402" s="11"/>
      <c r="BO2402" s="11"/>
      <c r="BP2402" s="11"/>
      <c r="BQ2402" s="11"/>
      <c r="BR2402" s="11"/>
      <c r="BS2402" s="11"/>
      <c r="BT2402" s="11"/>
      <c r="BU2402" s="11"/>
      <c r="BV2402" s="11"/>
      <c r="BW2402" s="11"/>
      <c r="BX2402" s="11"/>
      <c r="BY2402" s="11"/>
      <c r="BZ2402" s="11"/>
      <c r="CA2402" s="11"/>
      <c r="CB2402" s="11"/>
      <c r="CC2402" s="11"/>
      <c r="CD2402" s="11"/>
      <c r="CE2402" s="11"/>
      <c r="CF2402" s="11"/>
      <c r="CG2402" s="11"/>
      <c r="CH2402" s="11"/>
      <c r="CI2402" s="11"/>
      <c r="CJ2402" s="11"/>
      <c r="CK2402" s="11"/>
      <c r="CL2402" s="11"/>
      <c r="CM2402" s="11"/>
      <c r="CN2402" s="11"/>
      <c r="CO2402" s="11"/>
      <c r="CP2402" s="11"/>
      <c r="CQ2402" s="11"/>
      <c r="CR2402" s="11"/>
      <c r="CS2402" s="11"/>
      <c r="CT2402" s="11"/>
      <c r="CU2402" s="11"/>
      <c r="CV2402" s="11"/>
      <c r="CW2402" s="11"/>
      <c r="CX2402" s="11"/>
      <c r="CY2402" s="11"/>
      <c r="CZ2402" s="11"/>
      <c r="DA2402" s="11"/>
      <c r="DB2402" s="11"/>
      <c r="DC2402" s="11"/>
      <c r="DD2402" s="11"/>
      <c r="DE2402" s="11"/>
      <c r="DF2402" s="11"/>
      <c r="DG2402" s="11"/>
      <c r="DH2402" s="11"/>
      <c r="DI2402" s="11"/>
      <c r="DJ2402" s="11"/>
      <c r="DK2402" s="11"/>
      <c r="DL2402" s="11"/>
      <c r="DM2402" s="11"/>
      <c r="DN2402" s="11"/>
      <c r="DO2402" s="11"/>
      <c r="DP2402" s="11"/>
      <c r="DQ2402" s="11"/>
      <c r="DR2402" s="11"/>
      <c r="DS2402" s="11"/>
      <c r="DT2402" s="11"/>
      <c r="DU2402" s="11"/>
      <c r="DV2402" s="11"/>
      <c r="DW2402" s="11"/>
      <c r="DX2402" s="11"/>
      <c r="DY2402" s="11"/>
      <c r="DZ2402" s="11"/>
      <c r="EA2402" s="11"/>
      <c r="EB2402" s="11"/>
      <c r="EC2402" s="11"/>
      <c r="ED2402" s="11"/>
      <c r="EE2402" s="11"/>
      <c r="EF2402" s="11"/>
      <c r="EG2402" s="11"/>
      <c r="EH2402" s="11"/>
      <c r="EI2402" s="11"/>
      <c r="EJ2402" s="11"/>
      <c r="EK2402" s="11"/>
      <c r="EL2402" s="11"/>
      <c r="EM2402" s="11"/>
      <c r="EN2402" s="11"/>
      <c r="EO2402" s="11"/>
      <c r="EP2402" s="11"/>
      <c r="EQ2402" s="11"/>
      <c r="ER2402" s="11"/>
      <c r="ES2402" s="11"/>
      <c r="ET2402" s="11"/>
      <c r="EU2402" s="11"/>
      <c r="EV2402" s="11"/>
      <c r="EW2402" s="11"/>
      <c r="EX2402" s="11"/>
      <c r="EY2402" s="11"/>
      <c r="EZ2402" s="11"/>
      <c r="FA2402" s="11"/>
      <c r="FB2402" s="11"/>
      <c r="FC2402" s="11"/>
      <c r="FD2402" s="11"/>
      <c r="FE2402" s="11"/>
      <c r="FF2402" s="11"/>
      <c r="FG2402" s="11"/>
      <c r="FH2402" s="11"/>
      <c r="FI2402" s="11"/>
      <c r="FJ2402" s="11"/>
      <c r="FK2402" s="11"/>
      <c r="FL2402" s="11"/>
      <c r="FM2402" s="11"/>
      <c r="FN2402" s="11"/>
      <c r="FO2402" s="11"/>
      <c r="FP2402" s="11"/>
      <c r="FQ2402" s="11"/>
      <c r="FR2402" s="11"/>
      <c r="FS2402" s="11"/>
      <c r="FT2402" s="11"/>
      <c r="FU2402" s="11"/>
      <c r="FV2402" s="11"/>
      <c r="FW2402" s="11"/>
      <c r="FX2402" s="11"/>
      <c r="FY2402" s="11"/>
      <c r="FZ2402" s="11"/>
      <c r="GA2402" s="11"/>
      <c r="GB2402" s="11"/>
      <c r="GC2402" s="11"/>
      <c r="GD2402" s="11"/>
      <c r="GE2402" s="11"/>
      <c r="GF2402" s="11"/>
      <c r="GG2402" s="11"/>
      <c r="GH2402" s="11"/>
      <c r="GI2402" s="11"/>
      <c r="GJ2402" s="11"/>
      <c r="GK2402" s="11"/>
      <c r="GL2402" s="11"/>
      <c r="GM2402" s="11"/>
      <c r="GN2402" s="11"/>
      <c r="GO2402" s="11"/>
      <c r="GP2402" s="11"/>
      <c r="GQ2402" s="11"/>
      <c r="GR2402" s="11"/>
      <c r="GS2402" s="11"/>
      <c r="GT2402" s="11"/>
      <c r="GU2402" s="11"/>
      <c r="GV2402" s="11"/>
      <c r="GW2402" s="11"/>
      <c r="GX2402" s="11"/>
      <c r="GY2402" s="11"/>
      <c r="GZ2402" s="11"/>
      <c r="HA2402" s="11"/>
      <c r="HB2402" s="11"/>
      <c r="HC2402" s="11"/>
      <c r="HD2402" s="11"/>
      <c r="HE2402" s="11"/>
      <c r="HF2402" s="11"/>
      <c r="HG2402" s="11"/>
      <c r="HH2402" s="11"/>
      <c r="HI2402" s="11"/>
      <c r="HJ2402" s="11"/>
      <c r="HK2402" s="11"/>
      <c r="HL2402" s="11"/>
      <c r="HM2402" s="11"/>
      <c r="HN2402" s="11"/>
      <c r="HO2402" s="11"/>
      <c r="HP2402" s="11"/>
      <c r="HQ2402" s="11"/>
      <c r="HR2402" s="11"/>
      <c r="HS2402" s="11"/>
      <c r="HT2402" s="11"/>
      <c r="HU2402" s="11"/>
      <c r="HV2402" s="11"/>
      <c r="HW2402" s="11"/>
      <c r="HX2402" s="11"/>
      <c r="HY2402" s="11"/>
      <c r="HZ2402" s="11"/>
      <c r="IA2402" s="11"/>
      <c r="IB2402" s="11"/>
      <c r="IC2402" s="11"/>
      <c r="ID2402" s="11"/>
      <c r="IE2402" s="11"/>
      <c r="IF2402" s="11"/>
      <c r="IG2402" s="11"/>
      <c r="IH2402" s="11"/>
      <c r="II2402" s="11"/>
      <c r="IJ2402" s="11"/>
    </row>
    <row r="2403" spans="1:244" ht="12.75" customHeight="1">
      <c r="A2403" s="118">
        <v>2402</v>
      </c>
      <c r="B2403" s="128">
        <v>25</v>
      </c>
      <c r="C2403" s="156">
        <v>38384</v>
      </c>
      <c r="D2403" s="157" t="s">
        <v>45</v>
      </c>
      <c r="E2403" s="8">
        <v>2005</v>
      </c>
      <c r="F2403" s="158">
        <f t="shared" ref="F2403:F2422" si="614">C2403-H2403</f>
        <v>0</v>
      </c>
      <c r="G2403" s="158">
        <f t="shared" ref="G2403:G2422" si="615">IF(F2403&lt;365,1,2)</f>
        <v>1</v>
      </c>
      <c r="H2403" s="162">
        <v>38384</v>
      </c>
      <c r="I2403" s="194">
        <v>255784</v>
      </c>
      <c r="L2403" s="165">
        <v>0</v>
      </c>
      <c r="N2403" s="528" t="s">
        <v>794</v>
      </c>
      <c r="O2403" s="165">
        <v>0</v>
      </c>
      <c r="S2403" s="155" t="s">
        <v>11</v>
      </c>
      <c r="U2403" s="161">
        <f t="shared" ref="U2403:U2422" si="616">$I2403*L2403</f>
        <v>0</v>
      </c>
      <c r="V2403" s="161">
        <f t="shared" ref="V2403:V2422" si="617">$I2403*O2403</f>
        <v>0</v>
      </c>
      <c r="W2403" s="161">
        <f t="shared" ref="W2403:W2422" si="618">V2403*0.4</f>
        <v>0</v>
      </c>
      <c r="X2403" s="11"/>
      <c r="Y2403" s="11"/>
      <c r="Z2403" s="11"/>
      <c r="AA2403" s="11"/>
      <c r="AB2403" s="11"/>
      <c r="AC2403" s="11"/>
      <c r="AD2403" s="11"/>
      <c r="AE2403" s="11"/>
      <c r="AF2403" s="11"/>
      <c r="AG2403" s="11"/>
      <c r="AH2403" s="11"/>
      <c r="AI2403" s="11"/>
      <c r="AJ2403" s="11"/>
      <c r="AK2403" s="11"/>
      <c r="AL2403" s="11"/>
      <c r="AM2403" s="11"/>
      <c r="AN2403" s="11"/>
      <c r="AO2403" s="11"/>
      <c r="AP2403" s="11"/>
      <c r="AQ2403" s="11"/>
      <c r="AR2403" s="11"/>
      <c r="AS2403" s="11"/>
      <c r="AT2403" s="11"/>
      <c r="AU2403" s="11"/>
      <c r="AV2403" s="11"/>
      <c r="AW2403" s="11"/>
      <c r="AX2403" s="11"/>
      <c r="AY2403" s="11"/>
      <c r="AZ2403" s="11"/>
      <c r="BA2403" s="11"/>
      <c r="BB2403" s="11"/>
      <c r="BC2403" s="11"/>
      <c r="BD2403" s="11"/>
      <c r="BE2403" s="11"/>
      <c r="BF2403" s="11"/>
      <c r="BG2403" s="11"/>
      <c r="BH2403" s="11"/>
      <c r="BI2403" s="11"/>
      <c r="BJ2403" s="11"/>
      <c r="BK2403" s="11"/>
      <c r="BL2403" s="11"/>
      <c r="BM2403" s="11"/>
      <c r="BN2403" s="11"/>
      <c r="BO2403" s="11"/>
      <c r="BP2403" s="11"/>
      <c r="BQ2403" s="11"/>
      <c r="BR2403" s="11"/>
      <c r="BS2403" s="11"/>
      <c r="BT2403" s="11"/>
      <c r="BU2403" s="11"/>
      <c r="BV2403" s="11"/>
      <c r="BW2403" s="11"/>
      <c r="BX2403" s="11"/>
      <c r="BY2403" s="11"/>
      <c r="BZ2403" s="11"/>
      <c r="CA2403" s="11"/>
      <c r="CB2403" s="11"/>
      <c r="CC2403" s="11"/>
      <c r="CD2403" s="11"/>
      <c r="CE2403" s="11"/>
      <c r="CF2403" s="11"/>
      <c r="CG2403" s="11"/>
      <c r="CH2403" s="11"/>
      <c r="CI2403" s="11"/>
      <c r="CJ2403" s="11"/>
      <c r="CK2403" s="11"/>
      <c r="CL2403" s="11"/>
      <c r="CM2403" s="11"/>
      <c r="CN2403" s="11"/>
      <c r="CO2403" s="11"/>
      <c r="CP2403" s="11"/>
      <c r="CQ2403" s="11"/>
      <c r="CR2403" s="11"/>
      <c r="CS2403" s="11"/>
      <c r="CT2403" s="11"/>
      <c r="CU2403" s="11"/>
      <c r="CV2403" s="11"/>
      <c r="CW2403" s="11"/>
      <c r="CX2403" s="11"/>
      <c r="CY2403" s="11"/>
      <c r="CZ2403" s="11"/>
      <c r="DA2403" s="11"/>
      <c r="DB2403" s="11"/>
      <c r="DC2403" s="11"/>
      <c r="DD2403" s="11"/>
      <c r="DE2403" s="11"/>
      <c r="DF2403" s="11"/>
      <c r="DG2403" s="11"/>
      <c r="DH2403" s="11"/>
      <c r="DI2403" s="11"/>
      <c r="DJ2403" s="11"/>
      <c r="DK2403" s="11"/>
      <c r="DL2403" s="11"/>
      <c r="DM2403" s="11"/>
      <c r="DN2403" s="11"/>
      <c r="DO2403" s="11"/>
      <c r="DP2403" s="11"/>
      <c r="DQ2403" s="11"/>
      <c r="DR2403" s="11"/>
      <c r="DS2403" s="11"/>
      <c r="DT2403" s="11"/>
      <c r="DU2403" s="11"/>
      <c r="DV2403" s="11"/>
      <c r="DW2403" s="11"/>
      <c r="DX2403" s="11"/>
      <c r="DY2403" s="11"/>
      <c r="DZ2403" s="11"/>
      <c r="EA2403" s="11"/>
      <c r="EB2403" s="11"/>
      <c r="EC2403" s="11"/>
      <c r="ED2403" s="11"/>
      <c r="EE2403" s="11"/>
      <c r="EF2403" s="11"/>
      <c r="EG2403" s="11"/>
      <c r="EH2403" s="11"/>
      <c r="EI2403" s="11"/>
      <c r="EJ2403" s="11"/>
      <c r="EK2403" s="11"/>
      <c r="EL2403" s="11"/>
      <c r="EM2403" s="11"/>
      <c r="EN2403" s="11"/>
      <c r="EO2403" s="11"/>
      <c r="EP2403" s="11"/>
      <c r="EQ2403" s="11"/>
      <c r="ER2403" s="11"/>
      <c r="ES2403" s="11"/>
      <c r="ET2403" s="11"/>
      <c r="EU2403" s="11"/>
      <c r="EV2403" s="11"/>
      <c r="EW2403" s="11"/>
      <c r="EX2403" s="11"/>
      <c r="EY2403" s="11"/>
      <c r="EZ2403" s="11"/>
      <c r="FA2403" s="11"/>
      <c r="FB2403" s="11"/>
      <c r="FC2403" s="11"/>
      <c r="FD2403" s="11"/>
      <c r="FE2403" s="11"/>
      <c r="FF2403" s="11"/>
      <c r="FG2403" s="11"/>
      <c r="FH2403" s="11"/>
      <c r="FI2403" s="11"/>
      <c r="FJ2403" s="11"/>
      <c r="FK2403" s="11"/>
      <c r="FL2403" s="11"/>
      <c r="FM2403" s="11"/>
      <c r="FN2403" s="11"/>
      <c r="FO2403" s="11"/>
      <c r="FP2403" s="11"/>
      <c r="FQ2403" s="11"/>
      <c r="FR2403" s="11"/>
      <c r="FS2403" s="11"/>
      <c r="FT2403" s="11"/>
      <c r="FU2403" s="11"/>
      <c r="FV2403" s="11"/>
      <c r="FW2403" s="11"/>
      <c r="FX2403" s="11"/>
      <c r="FY2403" s="11"/>
      <c r="FZ2403" s="11"/>
      <c r="GA2403" s="11"/>
      <c r="GB2403" s="11"/>
      <c r="GC2403" s="11"/>
      <c r="GD2403" s="11"/>
      <c r="GE2403" s="11"/>
      <c r="GF2403" s="11"/>
      <c r="GG2403" s="11"/>
      <c r="GH2403" s="11"/>
      <c r="GI2403" s="11"/>
      <c r="GJ2403" s="11"/>
      <c r="GK2403" s="11"/>
      <c r="GL2403" s="11"/>
      <c r="GM2403" s="11"/>
      <c r="GN2403" s="11"/>
      <c r="GO2403" s="11"/>
      <c r="GP2403" s="11"/>
      <c r="GQ2403" s="11"/>
      <c r="GR2403" s="11"/>
      <c r="GS2403" s="11"/>
      <c r="GT2403" s="11"/>
      <c r="GU2403" s="11"/>
      <c r="GV2403" s="11"/>
      <c r="GW2403" s="11"/>
      <c r="GX2403" s="11"/>
      <c r="GY2403" s="11"/>
      <c r="GZ2403" s="11"/>
      <c r="HA2403" s="11"/>
      <c r="HB2403" s="11"/>
      <c r="HC2403" s="11"/>
      <c r="HD2403" s="11"/>
      <c r="HE2403" s="11"/>
      <c r="HF2403" s="11"/>
      <c r="HG2403" s="11"/>
      <c r="HH2403" s="11"/>
      <c r="HI2403" s="11"/>
      <c r="HJ2403" s="11"/>
      <c r="HK2403" s="11"/>
      <c r="HL2403" s="11"/>
      <c r="HM2403" s="11"/>
      <c r="HN2403" s="11"/>
      <c r="HO2403" s="11"/>
      <c r="HP2403" s="11"/>
      <c r="HQ2403" s="11"/>
      <c r="HR2403" s="11"/>
      <c r="HS2403" s="11"/>
      <c r="HT2403" s="11"/>
      <c r="HU2403" s="11"/>
      <c r="HV2403" s="11"/>
      <c r="HW2403" s="11"/>
      <c r="HX2403" s="11"/>
      <c r="HY2403" s="11"/>
      <c r="HZ2403" s="11"/>
      <c r="IA2403" s="11"/>
      <c r="IB2403" s="11"/>
      <c r="IC2403" s="11"/>
      <c r="ID2403" s="11"/>
      <c r="IE2403" s="11"/>
      <c r="IF2403" s="11"/>
      <c r="IG2403" s="11"/>
      <c r="IH2403" s="11"/>
      <c r="II2403" s="11"/>
      <c r="IJ2403" s="11"/>
    </row>
    <row r="2404" spans="1:244">
      <c r="A2404" s="118">
        <v>2403</v>
      </c>
      <c r="B2404" s="128">
        <v>25</v>
      </c>
      <c r="C2404" s="156">
        <v>38412</v>
      </c>
      <c r="D2404" s="157" t="s">
        <v>46</v>
      </c>
      <c r="E2404" s="8">
        <v>2005</v>
      </c>
      <c r="F2404" s="158">
        <f t="shared" si="614"/>
        <v>28</v>
      </c>
      <c r="G2404" s="158">
        <f t="shared" si="615"/>
        <v>1</v>
      </c>
      <c r="H2404" s="162">
        <v>38384</v>
      </c>
      <c r="I2404" s="194">
        <v>739048</v>
      </c>
      <c r="L2404" s="165">
        <v>0.08</v>
      </c>
      <c r="N2404" s="528" t="s">
        <v>794</v>
      </c>
      <c r="O2404" s="165">
        <v>0.11</v>
      </c>
      <c r="T2404" s="161"/>
      <c r="U2404" s="161">
        <f t="shared" si="616"/>
        <v>59123.840000000004</v>
      </c>
      <c r="V2404" s="161">
        <f t="shared" si="617"/>
        <v>81295.28</v>
      </c>
      <c r="W2404" s="161">
        <f t="shared" si="618"/>
        <v>32518.112000000001</v>
      </c>
      <c r="X2404" s="11"/>
      <c r="Y2404" s="11"/>
      <c r="Z2404" s="11"/>
      <c r="AA2404" s="11"/>
      <c r="AB2404" s="11"/>
      <c r="AC2404" s="11"/>
      <c r="AD2404" s="11"/>
      <c r="AE2404" s="11"/>
      <c r="AF2404" s="11"/>
      <c r="AG2404" s="11"/>
      <c r="AH2404" s="11"/>
      <c r="AI2404" s="11"/>
      <c r="AJ2404" s="11"/>
      <c r="AK2404" s="11"/>
      <c r="AL2404" s="11"/>
      <c r="AM2404" s="11"/>
      <c r="AN2404" s="11"/>
      <c r="AO2404" s="11"/>
      <c r="AP2404" s="11"/>
      <c r="AQ2404" s="11"/>
      <c r="AR2404" s="11"/>
      <c r="AS2404" s="11"/>
      <c r="AT2404" s="11"/>
      <c r="AU2404" s="11"/>
      <c r="AV2404" s="11"/>
      <c r="AW2404" s="11"/>
      <c r="AX2404" s="11"/>
      <c r="AY2404" s="11"/>
      <c r="AZ2404" s="11"/>
      <c r="BA2404" s="11"/>
      <c r="BB2404" s="11"/>
      <c r="BC2404" s="11"/>
      <c r="BD2404" s="11"/>
      <c r="BE2404" s="11"/>
      <c r="BF2404" s="11"/>
      <c r="BG2404" s="11"/>
      <c r="BH2404" s="11"/>
      <c r="BI2404" s="11"/>
      <c r="BJ2404" s="11"/>
      <c r="BK2404" s="11"/>
      <c r="BL2404" s="11"/>
      <c r="BM2404" s="11"/>
      <c r="BN2404" s="11"/>
      <c r="BO2404" s="11"/>
      <c r="BP2404" s="11"/>
      <c r="BQ2404" s="11"/>
      <c r="BR2404" s="11"/>
      <c r="BS2404" s="11"/>
      <c r="BT2404" s="11"/>
      <c r="BU2404" s="11"/>
      <c r="BV2404" s="11"/>
      <c r="BW2404" s="11"/>
      <c r="BX2404" s="11"/>
      <c r="BY2404" s="11"/>
      <c r="BZ2404" s="11"/>
      <c r="CA2404" s="11"/>
      <c r="CB2404" s="11"/>
      <c r="CC2404" s="11"/>
      <c r="CD2404" s="11"/>
      <c r="CE2404" s="11"/>
      <c r="CF2404" s="11"/>
      <c r="CG2404" s="11"/>
      <c r="CH2404" s="11"/>
      <c r="CI2404" s="11"/>
      <c r="CJ2404" s="11"/>
      <c r="CK2404" s="11"/>
      <c r="CL2404" s="11"/>
      <c r="CM2404" s="11"/>
      <c r="CN2404" s="11"/>
      <c r="CO2404" s="11"/>
      <c r="CP2404" s="11"/>
      <c r="CQ2404" s="11"/>
      <c r="CR2404" s="11"/>
      <c r="CS2404" s="11"/>
      <c r="CT2404" s="11"/>
      <c r="CU2404" s="11"/>
      <c r="CV2404" s="11"/>
      <c r="CW2404" s="11"/>
      <c r="CX2404" s="11"/>
      <c r="CY2404" s="11"/>
      <c r="CZ2404" s="11"/>
      <c r="DA2404" s="11"/>
      <c r="DB2404" s="11"/>
      <c r="DC2404" s="11"/>
      <c r="DD2404" s="11"/>
      <c r="DE2404" s="11"/>
      <c r="DF2404" s="11"/>
      <c r="DG2404" s="11"/>
      <c r="DH2404" s="11"/>
      <c r="DI2404" s="11"/>
      <c r="DJ2404" s="11"/>
      <c r="DK2404" s="11"/>
      <c r="DL2404" s="11"/>
      <c r="DM2404" s="11"/>
      <c r="DN2404" s="11"/>
      <c r="DO2404" s="11"/>
      <c r="DP2404" s="11"/>
      <c r="DQ2404" s="11"/>
      <c r="DR2404" s="11"/>
      <c r="DS2404" s="11"/>
      <c r="DT2404" s="11"/>
      <c r="DU2404" s="11"/>
      <c r="DV2404" s="11"/>
      <c r="DW2404" s="11"/>
      <c r="DX2404" s="11"/>
      <c r="DY2404" s="11"/>
      <c r="DZ2404" s="11"/>
      <c r="EA2404" s="11"/>
      <c r="EB2404" s="11"/>
      <c r="EC2404" s="11"/>
      <c r="ED2404" s="11"/>
      <c r="EE2404" s="11"/>
      <c r="EF2404" s="11"/>
      <c r="EG2404" s="11"/>
      <c r="EH2404" s="11"/>
      <c r="EI2404" s="11"/>
      <c r="EJ2404" s="11"/>
      <c r="EK2404" s="11"/>
      <c r="EL2404" s="11"/>
      <c r="EM2404" s="11"/>
      <c r="EN2404" s="11"/>
      <c r="EO2404" s="11"/>
      <c r="EP2404" s="11"/>
      <c r="EQ2404" s="11"/>
      <c r="ER2404" s="11"/>
      <c r="ES2404" s="11"/>
      <c r="ET2404" s="11"/>
      <c r="EU2404" s="11"/>
      <c r="EV2404" s="11"/>
      <c r="EW2404" s="11"/>
      <c r="EX2404" s="11"/>
      <c r="EY2404" s="11"/>
      <c r="EZ2404" s="11"/>
      <c r="FA2404" s="11"/>
      <c r="FB2404" s="11"/>
      <c r="FC2404" s="11"/>
      <c r="FD2404" s="11"/>
      <c r="FE2404" s="11"/>
      <c r="FF2404" s="11"/>
      <c r="FG2404" s="11"/>
      <c r="FH2404" s="11"/>
      <c r="FI2404" s="11"/>
      <c r="FJ2404" s="11"/>
      <c r="FK2404" s="11"/>
      <c r="FL2404" s="11"/>
      <c r="FM2404" s="11"/>
      <c r="FN2404" s="11"/>
      <c r="FO2404" s="11"/>
      <c r="FP2404" s="11"/>
      <c r="FQ2404" s="11"/>
      <c r="FR2404" s="11"/>
      <c r="FS2404" s="11"/>
      <c r="FT2404" s="11"/>
      <c r="FU2404" s="11"/>
      <c r="FV2404" s="11"/>
      <c r="FW2404" s="11"/>
      <c r="FX2404" s="11"/>
      <c r="FY2404" s="11"/>
      <c r="FZ2404" s="11"/>
      <c r="GA2404" s="11"/>
      <c r="GB2404" s="11"/>
      <c r="GC2404" s="11"/>
      <c r="GD2404" s="11"/>
      <c r="GE2404" s="11"/>
      <c r="GF2404" s="11"/>
      <c r="GG2404" s="11"/>
      <c r="GH2404" s="11"/>
      <c r="GI2404" s="11"/>
      <c r="GJ2404" s="11"/>
      <c r="GK2404" s="11"/>
      <c r="GL2404" s="11"/>
      <c r="GM2404" s="11"/>
      <c r="GN2404" s="11"/>
      <c r="GO2404" s="11"/>
      <c r="GP2404" s="11"/>
      <c r="GQ2404" s="11"/>
      <c r="GR2404" s="11"/>
      <c r="GS2404" s="11"/>
      <c r="GT2404" s="11"/>
      <c r="GU2404" s="11"/>
      <c r="GV2404" s="11"/>
      <c r="GW2404" s="11"/>
      <c r="GX2404" s="11"/>
      <c r="GY2404" s="11"/>
      <c r="GZ2404" s="11"/>
      <c r="HA2404" s="11"/>
      <c r="HB2404" s="11"/>
      <c r="HC2404" s="11"/>
      <c r="HD2404" s="11"/>
      <c r="HE2404" s="11"/>
      <c r="HF2404" s="11"/>
      <c r="HG2404" s="11"/>
      <c r="HH2404" s="11"/>
      <c r="HI2404" s="11"/>
      <c r="HJ2404" s="11"/>
      <c r="HK2404" s="11"/>
      <c r="HL2404" s="11"/>
      <c r="HM2404" s="11"/>
      <c r="HN2404" s="11"/>
      <c r="HO2404" s="11"/>
      <c r="HP2404" s="11"/>
      <c r="HQ2404" s="11"/>
      <c r="HR2404" s="11"/>
      <c r="HS2404" s="11"/>
      <c r="HT2404" s="11"/>
      <c r="HU2404" s="11"/>
      <c r="HV2404" s="11"/>
      <c r="HW2404" s="11"/>
      <c r="HX2404" s="11"/>
      <c r="HY2404" s="11"/>
      <c r="HZ2404" s="11"/>
      <c r="IA2404" s="11"/>
      <c r="IB2404" s="11"/>
      <c r="IC2404" s="11"/>
      <c r="ID2404" s="11"/>
      <c r="IE2404" s="11"/>
      <c r="IF2404" s="11"/>
      <c r="IG2404" s="11"/>
      <c r="IH2404" s="11"/>
      <c r="II2404" s="11"/>
      <c r="IJ2404" s="11"/>
    </row>
    <row r="2405" spans="1:244">
      <c r="A2405" s="118">
        <v>2404</v>
      </c>
      <c r="B2405" s="128">
        <v>25</v>
      </c>
      <c r="C2405" s="156">
        <v>38443</v>
      </c>
      <c r="D2405" s="157" t="s">
        <v>47</v>
      </c>
      <c r="E2405" s="8">
        <v>2005</v>
      </c>
      <c r="F2405" s="158">
        <f t="shared" si="614"/>
        <v>59</v>
      </c>
      <c r="G2405" s="158">
        <f t="shared" si="615"/>
        <v>1</v>
      </c>
      <c r="H2405" s="162">
        <v>38384</v>
      </c>
      <c r="I2405" s="194">
        <v>978022</v>
      </c>
      <c r="J2405" s="15">
        <v>1.1399999999999999</v>
      </c>
      <c r="K2405" s="15">
        <v>1.67</v>
      </c>
      <c r="L2405" s="15">
        <v>0.15</v>
      </c>
      <c r="O2405" s="15">
        <v>0.21</v>
      </c>
      <c r="Q2405" s="11">
        <v>8</v>
      </c>
      <c r="R2405" s="11">
        <v>31</v>
      </c>
      <c r="T2405" s="161">
        <f t="shared" ref="T2405:T2413" si="619">$I2405*K2405</f>
        <v>1633296.74</v>
      </c>
      <c r="U2405" s="161">
        <f t="shared" si="616"/>
        <v>146703.29999999999</v>
      </c>
      <c r="V2405" s="161">
        <f t="shared" si="617"/>
        <v>205384.62</v>
      </c>
      <c r="W2405" s="161">
        <f t="shared" si="618"/>
        <v>82153.847999999998</v>
      </c>
      <c r="X2405" s="11"/>
      <c r="Y2405" s="11"/>
      <c r="Z2405" s="11"/>
      <c r="AA2405" s="11"/>
      <c r="AB2405" s="11"/>
      <c r="AC2405" s="11"/>
      <c r="AD2405" s="11"/>
      <c r="AE2405" s="11"/>
      <c r="AF2405" s="11"/>
      <c r="AG2405" s="11"/>
      <c r="AH2405" s="11"/>
      <c r="AI2405" s="11"/>
      <c r="AJ2405" s="11"/>
      <c r="AK2405" s="11"/>
      <c r="AL2405" s="11"/>
      <c r="AM2405" s="11"/>
      <c r="AN2405" s="11"/>
      <c r="AO2405" s="11"/>
      <c r="AP2405" s="11"/>
      <c r="AQ2405" s="11"/>
      <c r="AR2405" s="11"/>
      <c r="AS2405" s="11"/>
      <c r="AT2405" s="11"/>
      <c r="AU2405" s="11"/>
      <c r="AV2405" s="11"/>
      <c r="AW2405" s="11"/>
      <c r="AX2405" s="11"/>
      <c r="AY2405" s="11"/>
      <c r="AZ2405" s="11"/>
      <c r="BA2405" s="11"/>
      <c r="BB2405" s="11"/>
      <c r="BC2405" s="11"/>
      <c r="BD2405" s="11"/>
      <c r="BE2405" s="11"/>
      <c r="BF2405" s="11"/>
      <c r="BG2405" s="11"/>
      <c r="BH2405" s="11"/>
      <c r="BI2405" s="11"/>
      <c r="BJ2405" s="11"/>
      <c r="BK2405" s="11"/>
      <c r="BL2405" s="11"/>
      <c r="BM2405" s="11"/>
      <c r="BN2405" s="11"/>
      <c r="BO2405" s="11"/>
      <c r="BP2405" s="11"/>
      <c r="BQ2405" s="11"/>
      <c r="BR2405" s="11"/>
      <c r="BS2405" s="11"/>
      <c r="BT2405" s="11"/>
      <c r="BU2405" s="11"/>
      <c r="BV2405" s="11"/>
      <c r="BW2405" s="11"/>
      <c r="BX2405" s="11"/>
      <c r="BY2405" s="11"/>
      <c r="BZ2405" s="11"/>
      <c r="CA2405" s="11"/>
      <c r="CB2405" s="11"/>
      <c r="CC2405" s="11"/>
      <c r="CD2405" s="11"/>
      <c r="CE2405" s="11"/>
      <c r="CF2405" s="11"/>
      <c r="CG2405" s="11"/>
      <c r="CH2405" s="11"/>
      <c r="CI2405" s="11"/>
      <c r="CJ2405" s="11"/>
      <c r="CK2405" s="11"/>
      <c r="CL2405" s="11"/>
      <c r="CM2405" s="11"/>
      <c r="CN2405" s="11"/>
      <c r="CO2405" s="11"/>
      <c r="CP2405" s="11"/>
      <c r="CQ2405" s="11"/>
      <c r="CR2405" s="11"/>
      <c r="CS2405" s="11"/>
      <c r="CT2405" s="11"/>
      <c r="CU2405" s="11"/>
      <c r="CV2405" s="11"/>
      <c r="CW2405" s="11"/>
      <c r="CX2405" s="11"/>
      <c r="CY2405" s="11"/>
      <c r="CZ2405" s="11"/>
      <c r="DA2405" s="11"/>
      <c r="DB2405" s="11"/>
      <c r="DC2405" s="11"/>
      <c r="DD2405" s="11"/>
      <c r="DE2405" s="11"/>
      <c r="DF2405" s="11"/>
      <c r="DG2405" s="11"/>
      <c r="DH2405" s="11"/>
      <c r="DI2405" s="11"/>
      <c r="DJ2405" s="11"/>
      <c r="DK2405" s="11"/>
      <c r="DL2405" s="11"/>
      <c r="DM2405" s="11"/>
      <c r="DN2405" s="11"/>
      <c r="DO2405" s="11"/>
      <c r="DP2405" s="11"/>
      <c r="DQ2405" s="11"/>
      <c r="DR2405" s="11"/>
      <c r="DS2405" s="11"/>
      <c r="DT2405" s="11"/>
      <c r="DU2405" s="11"/>
      <c r="DV2405" s="11"/>
      <c r="DW2405" s="11"/>
      <c r="DX2405" s="11"/>
      <c r="DY2405" s="11"/>
      <c r="DZ2405" s="11"/>
      <c r="EA2405" s="11"/>
      <c r="EB2405" s="11"/>
      <c r="EC2405" s="11"/>
      <c r="ED2405" s="11"/>
      <c r="EE2405" s="11"/>
      <c r="EF2405" s="11"/>
      <c r="EG2405" s="11"/>
      <c r="EH2405" s="11"/>
      <c r="EI2405" s="11"/>
      <c r="EJ2405" s="11"/>
      <c r="EK2405" s="11"/>
      <c r="EL2405" s="11"/>
      <c r="EM2405" s="11"/>
      <c r="EN2405" s="11"/>
      <c r="EO2405" s="11"/>
      <c r="EP2405" s="11"/>
      <c r="EQ2405" s="11"/>
      <c r="ER2405" s="11"/>
      <c r="ES2405" s="11"/>
      <c r="ET2405" s="11"/>
      <c r="EU2405" s="11"/>
      <c r="EV2405" s="11"/>
      <c r="EW2405" s="11"/>
      <c r="EX2405" s="11"/>
      <c r="EY2405" s="11"/>
      <c r="EZ2405" s="11"/>
      <c r="FA2405" s="11"/>
      <c r="FB2405" s="11"/>
      <c r="FC2405" s="11"/>
      <c r="FD2405" s="11"/>
      <c r="FE2405" s="11"/>
      <c r="FF2405" s="11"/>
      <c r="FG2405" s="11"/>
      <c r="FH2405" s="11"/>
      <c r="FI2405" s="11"/>
      <c r="FJ2405" s="11"/>
      <c r="FK2405" s="11"/>
      <c r="FL2405" s="11"/>
      <c r="FM2405" s="11"/>
      <c r="FN2405" s="11"/>
      <c r="FO2405" s="11"/>
      <c r="FP2405" s="11"/>
      <c r="FQ2405" s="11"/>
      <c r="FR2405" s="11"/>
      <c r="FS2405" s="11"/>
      <c r="FT2405" s="11"/>
      <c r="FU2405" s="11"/>
      <c r="FV2405" s="11"/>
      <c r="FW2405" s="11"/>
      <c r="FX2405" s="11"/>
      <c r="FY2405" s="11"/>
      <c r="FZ2405" s="11"/>
      <c r="GA2405" s="11"/>
      <c r="GB2405" s="11"/>
      <c r="GC2405" s="11"/>
      <c r="GD2405" s="11"/>
      <c r="GE2405" s="11"/>
      <c r="GF2405" s="11"/>
      <c r="GG2405" s="11"/>
      <c r="GH2405" s="11"/>
      <c r="GI2405" s="11"/>
      <c r="GJ2405" s="11"/>
      <c r="GK2405" s="11"/>
      <c r="GL2405" s="11"/>
      <c r="GM2405" s="11"/>
      <c r="GN2405" s="11"/>
      <c r="GO2405" s="11"/>
      <c r="GP2405" s="11"/>
      <c r="GQ2405" s="11"/>
      <c r="GR2405" s="11"/>
      <c r="GS2405" s="11"/>
      <c r="GT2405" s="11"/>
      <c r="GU2405" s="11"/>
      <c r="GV2405" s="11"/>
      <c r="GW2405" s="11"/>
      <c r="GX2405" s="11"/>
      <c r="GY2405" s="11"/>
      <c r="GZ2405" s="11"/>
      <c r="HA2405" s="11"/>
      <c r="HB2405" s="11"/>
      <c r="HC2405" s="11"/>
      <c r="HD2405" s="11"/>
      <c r="HE2405" s="11"/>
      <c r="HF2405" s="11"/>
      <c r="HG2405" s="11"/>
      <c r="HH2405" s="11"/>
      <c r="HI2405" s="11"/>
      <c r="HJ2405" s="11"/>
      <c r="HK2405" s="11"/>
      <c r="HL2405" s="11"/>
      <c r="HM2405" s="11"/>
      <c r="HN2405" s="11"/>
      <c r="HO2405" s="11"/>
      <c r="HP2405" s="11"/>
      <c r="HQ2405" s="11"/>
      <c r="HR2405" s="11"/>
      <c r="HS2405" s="11"/>
      <c r="HT2405" s="11"/>
      <c r="HU2405" s="11"/>
      <c r="HV2405" s="11"/>
      <c r="HW2405" s="11"/>
      <c r="HX2405" s="11"/>
      <c r="HY2405" s="11"/>
      <c r="HZ2405" s="11"/>
      <c r="IA2405" s="11"/>
      <c r="IB2405" s="11"/>
      <c r="IC2405" s="11"/>
      <c r="ID2405" s="11"/>
      <c r="IE2405" s="11"/>
      <c r="IF2405" s="11"/>
      <c r="IG2405" s="11"/>
      <c r="IH2405" s="11"/>
      <c r="II2405" s="11"/>
      <c r="IJ2405" s="11"/>
    </row>
    <row r="2406" spans="1:244">
      <c r="A2406" s="118">
        <v>2405</v>
      </c>
      <c r="B2406" s="128">
        <v>25</v>
      </c>
      <c r="C2406" s="156">
        <v>38473</v>
      </c>
      <c r="D2406" s="157" t="s">
        <v>48</v>
      </c>
      <c r="E2406" s="8">
        <v>2005</v>
      </c>
      <c r="F2406" s="158">
        <f t="shared" si="614"/>
        <v>89</v>
      </c>
      <c r="G2406" s="158">
        <f t="shared" si="615"/>
        <v>1</v>
      </c>
      <c r="H2406" s="162">
        <v>38384</v>
      </c>
      <c r="I2406" s="194">
        <v>964549</v>
      </c>
      <c r="J2406" s="15">
        <v>1.29</v>
      </c>
      <c r="K2406" s="15">
        <v>0.5</v>
      </c>
      <c r="L2406" s="15">
        <v>7.0000000000000007E-2</v>
      </c>
      <c r="M2406" s="174">
        <v>0</v>
      </c>
      <c r="O2406" s="15">
        <v>0.13</v>
      </c>
      <c r="Q2406" s="11">
        <v>10</v>
      </c>
      <c r="R2406" s="11">
        <v>31</v>
      </c>
      <c r="T2406" s="161">
        <f t="shared" si="619"/>
        <v>482274.5</v>
      </c>
      <c r="U2406" s="161">
        <f t="shared" si="616"/>
        <v>67518.430000000008</v>
      </c>
      <c r="V2406" s="161">
        <f t="shared" si="617"/>
        <v>125391.37000000001</v>
      </c>
      <c r="W2406" s="161">
        <f t="shared" si="618"/>
        <v>50156.54800000001</v>
      </c>
      <c r="X2406" s="11"/>
      <c r="Y2406" s="11"/>
      <c r="Z2406" s="11"/>
      <c r="AA2406" s="11"/>
      <c r="AB2406" s="11"/>
      <c r="AC2406" s="11"/>
      <c r="AD2406" s="11"/>
      <c r="AE2406" s="11"/>
      <c r="AF2406" s="11"/>
      <c r="AG2406" s="11"/>
      <c r="AH2406" s="11"/>
      <c r="AI2406" s="11"/>
      <c r="AJ2406" s="11"/>
      <c r="AK2406" s="11"/>
      <c r="AL2406" s="11"/>
      <c r="AM2406" s="11"/>
      <c r="AN2406" s="11"/>
      <c r="AO2406" s="11"/>
      <c r="AP2406" s="11"/>
      <c r="AQ2406" s="11"/>
      <c r="AR2406" s="11"/>
      <c r="AS2406" s="11"/>
      <c r="AT2406" s="11"/>
      <c r="AU2406" s="11"/>
      <c r="AV2406" s="11"/>
      <c r="AW2406" s="11"/>
      <c r="AX2406" s="11"/>
      <c r="AY2406" s="11"/>
      <c r="AZ2406" s="11"/>
      <c r="BA2406" s="11"/>
      <c r="BB2406" s="11"/>
      <c r="BC2406" s="11"/>
      <c r="BD2406" s="11"/>
      <c r="BE2406" s="11"/>
      <c r="BF2406" s="11"/>
      <c r="BG2406" s="11"/>
      <c r="BH2406" s="11"/>
      <c r="BI2406" s="11"/>
      <c r="BJ2406" s="11"/>
      <c r="BK2406" s="11"/>
      <c r="BL2406" s="11"/>
      <c r="BM2406" s="11"/>
      <c r="BN2406" s="11"/>
      <c r="BO2406" s="11"/>
      <c r="BP2406" s="11"/>
      <c r="BQ2406" s="11"/>
      <c r="BR2406" s="11"/>
      <c r="BS2406" s="11"/>
      <c r="BT2406" s="11"/>
      <c r="BU2406" s="11"/>
      <c r="BV2406" s="11"/>
      <c r="BW2406" s="11"/>
      <c r="BX2406" s="11"/>
      <c r="BY2406" s="11"/>
      <c r="BZ2406" s="11"/>
      <c r="CA2406" s="11"/>
      <c r="CB2406" s="11"/>
      <c r="CC2406" s="11"/>
      <c r="CD2406" s="11"/>
      <c r="CE2406" s="11"/>
      <c r="CF2406" s="11"/>
      <c r="CG2406" s="11"/>
      <c r="CH2406" s="11"/>
      <c r="CI2406" s="11"/>
      <c r="CJ2406" s="11"/>
      <c r="CK2406" s="11"/>
      <c r="CL2406" s="11"/>
      <c r="CM2406" s="11"/>
      <c r="CN2406" s="11"/>
      <c r="CO2406" s="11"/>
      <c r="CP2406" s="11"/>
      <c r="CQ2406" s="11"/>
      <c r="CR2406" s="11"/>
      <c r="CS2406" s="11"/>
      <c r="CT2406" s="11"/>
      <c r="CU2406" s="11"/>
      <c r="CV2406" s="11"/>
      <c r="CW2406" s="11"/>
      <c r="CX2406" s="11"/>
      <c r="CY2406" s="11"/>
      <c r="CZ2406" s="11"/>
      <c r="DA2406" s="11"/>
      <c r="DB2406" s="11"/>
      <c r="DC2406" s="11"/>
      <c r="DD2406" s="11"/>
      <c r="DE2406" s="11"/>
      <c r="DF2406" s="11"/>
      <c r="DG2406" s="11"/>
      <c r="DH2406" s="11"/>
      <c r="DI2406" s="11"/>
      <c r="DJ2406" s="11"/>
      <c r="DK2406" s="11"/>
      <c r="DL2406" s="11"/>
      <c r="DM2406" s="11"/>
      <c r="DN2406" s="11"/>
      <c r="DO2406" s="11"/>
      <c r="DP2406" s="11"/>
      <c r="DQ2406" s="11"/>
      <c r="DR2406" s="11"/>
      <c r="DS2406" s="11"/>
      <c r="DT2406" s="11"/>
      <c r="DU2406" s="11"/>
      <c r="DV2406" s="11"/>
      <c r="DW2406" s="11"/>
      <c r="DX2406" s="11"/>
      <c r="DY2406" s="11"/>
      <c r="DZ2406" s="11"/>
      <c r="EA2406" s="11"/>
      <c r="EB2406" s="11"/>
      <c r="EC2406" s="11"/>
      <c r="ED2406" s="11"/>
      <c r="EE2406" s="11"/>
      <c r="EF2406" s="11"/>
      <c r="EG2406" s="11"/>
      <c r="EH2406" s="11"/>
      <c r="EI2406" s="11"/>
      <c r="EJ2406" s="11"/>
      <c r="EK2406" s="11"/>
      <c r="EL2406" s="11"/>
      <c r="EM2406" s="11"/>
      <c r="EN2406" s="11"/>
      <c r="EO2406" s="11"/>
      <c r="EP2406" s="11"/>
      <c r="EQ2406" s="11"/>
      <c r="ER2406" s="11"/>
      <c r="ES2406" s="11"/>
      <c r="ET2406" s="11"/>
      <c r="EU2406" s="11"/>
      <c r="EV2406" s="11"/>
      <c r="EW2406" s="11"/>
      <c r="EX2406" s="11"/>
      <c r="EY2406" s="11"/>
      <c r="EZ2406" s="11"/>
      <c r="FA2406" s="11"/>
      <c r="FB2406" s="11"/>
      <c r="FC2406" s="11"/>
      <c r="FD2406" s="11"/>
      <c r="FE2406" s="11"/>
      <c r="FF2406" s="11"/>
      <c r="FG2406" s="11"/>
      <c r="FH2406" s="11"/>
      <c r="FI2406" s="11"/>
      <c r="FJ2406" s="11"/>
      <c r="FK2406" s="11"/>
      <c r="FL2406" s="11"/>
      <c r="FM2406" s="11"/>
      <c r="FN2406" s="11"/>
      <c r="FO2406" s="11"/>
      <c r="FP2406" s="11"/>
      <c r="FQ2406" s="11"/>
      <c r="FR2406" s="11"/>
      <c r="FS2406" s="11"/>
      <c r="FT2406" s="11"/>
      <c r="FU2406" s="11"/>
      <c r="FV2406" s="11"/>
      <c r="FW2406" s="11"/>
      <c r="FX2406" s="11"/>
      <c r="FY2406" s="11"/>
      <c r="FZ2406" s="11"/>
      <c r="GA2406" s="11"/>
      <c r="GB2406" s="11"/>
      <c r="GC2406" s="11"/>
      <c r="GD2406" s="11"/>
      <c r="GE2406" s="11"/>
      <c r="GF2406" s="11"/>
      <c r="GG2406" s="11"/>
      <c r="GH2406" s="11"/>
      <c r="GI2406" s="11"/>
      <c r="GJ2406" s="11"/>
      <c r="GK2406" s="11"/>
      <c r="GL2406" s="11"/>
      <c r="GM2406" s="11"/>
      <c r="GN2406" s="11"/>
      <c r="GO2406" s="11"/>
      <c r="GP2406" s="11"/>
      <c r="GQ2406" s="11"/>
      <c r="GR2406" s="11"/>
      <c r="GS2406" s="11"/>
      <c r="GT2406" s="11"/>
      <c r="GU2406" s="11"/>
      <c r="GV2406" s="11"/>
      <c r="GW2406" s="11"/>
      <c r="GX2406" s="11"/>
      <c r="GY2406" s="11"/>
      <c r="GZ2406" s="11"/>
      <c r="HA2406" s="11"/>
      <c r="HB2406" s="11"/>
      <c r="HC2406" s="11"/>
      <c r="HD2406" s="11"/>
      <c r="HE2406" s="11"/>
      <c r="HF2406" s="11"/>
      <c r="HG2406" s="11"/>
      <c r="HH2406" s="11"/>
      <c r="HI2406" s="11"/>
      <c r="HJ2406" s="11"/>
      <c r="HK2406" s="11"/>
      <c r="HL2406" s="11"/>
      <c r="HM2406" s="11"/>
      <c r="HN2406" s="11"/>
      <c r="HO2406" s="11"/>
      <c r="HP2406" s="11"/>
      <c r="HQ2406" s="11"/>
      <c r="HR2406" s="11"/>
      <c r="HS2406" s="11"/>
      <c r="HT2406" s="11"/>
      <c r="HU2406" s="11"/>
      <c r="HV2406" s="11"/>
      <c r="HW2406" s="11"/>
      <c r="HX2406" s="11"/>
      <c r="HY2406" s="11"/>
      <c r="HZ2406" s="11"/>
      <c r="IA2406" s="11"/>
      <c r="IB2406" s="11"/>
      <c r="IC2406" s="11"/>
      <c r="ID2406" s="11"/>
      <c r="IE2406" s="11"/>
      <c r="IF2406" s="11"/>
      <c r="IG2406" s="11"/>
      <c r="IH2406" s="11"/>
      <c r="II2406" s="11"/>
      <c r="IJ2406" s="11"/>
    </row>
    <row r="2407" spans="1:244">
      <c r="A2407" s="118">
        <v>2406</v>
      </c>
      <c r="B2407" s="128">
        <v>25</v>
      </c>
      <c r="C2407" s="156">
        <v>38504</v>
      </c>
      <c r="D2407" s="157" t="s">
        <v>49</v>
      </c>
      <c r="E2407" s="8">
        <v>2005</v>
      </c>
      <c r="F2407" s="158">
        <f t="shared" si="614"/>
        <v>120</v>
      </c>
      <c r="G2407" s="158">
        <f t="shared" si="615"/>
        <v>1</v>
      </c>
      <c r="H2407" s="162">
        <v>38384</v>
      </c>
      <c r="I2407" s="194">
        <v>953211</v>
      </c>
      <c r="J2407" s="15">
        <v>1.32</v>
      </c>
      <c r="K2407" s="15">
        <v>0.28000000000000003</v>
      </c>
      <c r="L2407" s="15">
        <v>0.06</v>
      </c>
      <c r="M2407" s="174">
        <v>0</v>
      </c>
      <c r="O2407" s="15">
        <v>0.33</v>
      </c>
      <c r="Q2407" s="11">
        <v>10</v>
      </c>
      <c r="R2407" s="11">
        <v>30</v>
      </c>
      <c r="T2407" s="161">
        <f t="shared" si="619"/>
        <v>266899.08</v>
      </c>
      <c r="U2407" s="161">
        <f t="shared" si="616"/>
        <v>57192.659999999996</v>
      </c>
      <c r="V2407" s="161">
        <f t="shared" si="617"/>
        <v>314559.63</v>
      </c>
      <c r="W2407" s="161">
        <f t="shared" si="618"/>
        <v>125823.85200000001</v>
      </c>
      <c r="X2407" s="11"/>
      <c r="Y2407" s="11"/>
      <c r="Z2407" s="11"/>
      <c r="AA2407" s="11"/>
      <c r="AB2407" s="11"/>
      <c r="AC2407" s="11"/>
      <c r="AD2407" s="11"/>
      <c r="AE2407" s="11"/>
      <c r="AF2407" s="11"/>
      <c r="AG2407" s="11"/>
      <c r="AH2407" s="11"/>
      <c r="AI2407" s="11"/>
      <c r="AJ2407" s="11"/>
      <c r="AK2407" s="11"/>
      <c r="AL2407" s="11"/>
      <c r="AM2407" s="11"/>
      <c r="AN2407" s="11"/>
      <c r="AO2407" s="11"/>
      <c r="AP2407" s="11"/>
      <c r="AQ2407" s="11"/>
      <c r="AR2407" s="11"/>
      <c r="AS2407" s="11"/>
      <c r="AT2407" s="11"/>
      <c r="AU2407" s="11"/>
      <c r="AV2407" s="11"/>
      <c r="AW2407" s="11"/>
      <c r="AX2407" s="11"/>
      <c r="AY2407" s="11"/>
      <c r="AZ2407" s="11"/>
      <c r="BA2407" s="11"/>
      <c r="BB2407" s="11"/>
      <c r="BC2407" s="11"/>
      <c r="BD2407" s="11"/>
      <c r="BE2407" s="11"/>
      <c r="BF2407" s="11"/>
      <c r="BG2407" s="11"/>
      <c r="BH2407" s="11"/>
      <c r="BI2407" s="11"/>
      <c r="BJ2407" s="11"/>
      <c r="BK2407" s="11"/>
      <c r="BL2407" s="11"/>
      <c r="BM2407" s="11"/>
      <c r="BN2407" s="11"/>
      <c r="BO2407" s="11"/>
      <c r="BP2407" s="11"/>
      <c r="BQ2407" s="11"/>
      <c r="BR2407" s="11"/>
      <c r="BS2407" s="11"/>
      <c r="BT2407" s="11"/>
      <c r="BU2407" s="11"/>
      <c r="BV2407" s="11"/>
      <c r="BW2407" s="11"/>
      <c r="BX2407" s="11"/>
      <c r="BY2407" s="11"/>
      <c r="BZ2407" s="11"/>
      <c r="CA2407" s="11"/>
      <c r="CB2407" s="11"/>
      <c r="CC2407" s="11"/>
      <c r="CD2407" s="11"/>
      <c r="CE2407" s="11"/>
      <c r="CF2407" s="11"/>
      <c r="CG2407" s="11"/>
      <c r="CH2407" s="11"/>
      <c r="CI2407" s="11"/>
      <c r="CJ2407" s="11"/>
      <c r="CK2407" s="11"/>
      <c r="CL2407" s="11"/>
      <c r="CM2407" s="11"/>
      <c r="CN2407" s="11"/>
      <c r="CO2407" s="11"/>
      <c r="CP2407" s="11"/>
      <c r="CQ2407" s="11"/>
      <c r="CR2407" s="11"/>
      <c r="CS2407" s="11"/>
      <c r="CT2407" s="11"/>
      <c r="CU2407" s="11"/>
      <c r="CV2407" s="11"/>
      <c r="CW2407" s="11"/>
      <c r="CX2407" s="11"/>
      <c r="CY2407" s="11"/>
      <c r="CZ2407" s="11"/>
      <c r="DA2407" s="11"/>
      <c r="DB2407" s="11"/>
      <c r="DC2407" s="11"/>
      <c r="DD2407" s="11"/>
      <c r="DE2407" s="11"/>
      <c r="DF2407" s="11"/>
      <c r="DG2407" s="11"/>
      <c r="DH2407" s="11"/>
      <c r="DI2407" s="11"/>
      <c r="DJ2407" s="11"/>
      <c r="DK2407" s="11"/>
      <c r="DL2407" s="11"/>
      <c r="DM2407" s="11"/>
      <c r="DN2407" s="11"/>
      <c r="DO2407" s="11"/>
      <c r="DP2407" s="11"/>
      <c r="DQ2407" s="11"/>
      <c r="DR2407" s="11"/>
      <c r="DS2407" s="11"/>
      <c r="DT2407" s="11"/>
      <c r="DU2407" s="11"/>
      <c r="DV2407" s="11"/>
      <c r="DW2407" s="11"/>
      <c r="DX2407" s="11"/>
      <c r="DY2407" s="11"/>
      <c r="DZ2407" s="11"/>
      <c r="EA2407" s="11"/>
      <c r="EB2407" s="11"/>
      <c r="EC2407" s="11"/>
      <c r="ED2407" s="11"/>
      <c r="EE2407" s="11"/>
      <c r="EF2407" s="11"/>
      <c r="EG2407" s="11"/>
      <c r="EH2407" s="11"/>
      <c r="EI2407" s="11"/>
      <c r="EJ2407" s="11"/>
      <c r="EK2407" s="11"/>
      <c r="EL2407" s="11"/>
      <c r="EM2407" s="11"/>
      <c r="EN2407" s="11"/>
      <c r="EO2407" s="11"/>
      <c r="EP2407" s="11"/>
      <c r="EQ2407" s="11"/>
      <c r="ER2407" s="11"/>
      <c r="ES2407" s="11"/>
      <c r="ET2407" s="11"/>
      <c r="EU2407" s="11"/>
      <c r="EV2407" s="11"/>
      <c r="EW2407" s="11"/>
      <c r="EX2407" s="11"/>
      <c r="EY2407" s="11"/>
      <c r="EZ2407" s="11"/>
      <c r="FA2407" s="11"/>
      <c r="FB2407" s="11"/>
      <c r="FC2407" s="11"/>
      <c r="FD2407" s="11"/>
      <c r="FE2407" s="11"/>
      <c r="FF2407" s="11"/>
      <c r="FG2407" s="11"/>
      <c r="FH2407" s="11"/>
      <c r="FI2407" s="11"/>
      <c r="FJ2407" s="11"/>
      <c r="FK2407" s="11"/>
      <c r="FL2407" s="11"/>
      <c r="FM2407" s="11"/>
      <c r="FN2407" s="11"/>
      <c r="FO2407" s="11"/>
      <c r="FP2407" s="11"/>
      <c r="FQ2407" s="11"/>
      <c r="FR2407" s="11"/>
      <c r="FS2407" s="11"/>
      <c r="FT2407" s="11"/>
      <c r="FU2407" s="11"/>
      <c r="FV2407" s="11"/>
      <c r="FW2407" s="11"/>
      <c r="FX2407" s="11"/>
      <c r="FY2407" s="11"/>
      <c r="FZ2407" s="11"/>
      <c r="GA2407" s="11"/>
      <c r="GB2407" s="11"/>
      <c r="GC2407" s="11"/>
      <c r="GD2407" s="11"/>
      <c r="GE2407" s="11"/>
      <c r="GF2407" s="11"/>
      <c r="GG2407" s="11"/>
      <c r="GH2407" s="11"/>
      <c r="GI2407" s="11"/>
      <c r="GJ2407" s="11"/>
      <c r="GK2407" s="11"/>
      <c r="GL2407" s="11"/>
      <c r="GM2407" s="11"/>
      <c r="GN2407" s="11"/>
      <c r="GO2407" s="11"/>
      <c r="GP2407" s="11"/>
      <c r="GQ2407" s="11"/>
      <c r="GR2407" s="11"/>
      <c r="GS2407" s="11"/>
      <c r="GT2407" s="11"/>
      <c r="GU2407" s="11"/>
      <c r="GV2407" s="11"/>
      <c r="GW2407" s="11"/>
      <c r="GX2407" s="11"/>
      <c r="GY2407" s="11"/>
      <c r="GZ2407" s="11"/>
      <c r="HA2407" s="11"/>
      <c r="HB2407" s="11"/>
      <c r="HC2407" s="11"/>
      <c r="HD2407" s="11"/>
      <c r="HE2407" s="11"/>
      <c r="HF2407" s="11"/>
      <c r="HG2407" s="11"/>
      <c r="HH2407" s="11"/>
      <c r="HI2407" s="11"/>
      <c r="HJ2407" s="11"/>
      <c r="HK2407" s="11"/>
      <c r="HL2407" s="11"/>
      <c r="HM2407" s="11"/>
      <c r="HN2407" s="11"/>
      <c r="HO2407" s="11"/>
      <c r="HP2407" s="11"/>
      <c r="HQ2407" s="11"/>
      <c r="HR2407" s="11"/>
      <c r="HS2407" s="11"/>
      <c r="HT2407" s="11"/>
      <c r="HU2407" s="11"/>
      <c r="HV2407" s="11"/>
      <c r="HW2407" s="11"/>
      <c r="HX2407" s="11"/>
      <c r="HY2407" s="11"/>
      <c r="HZ2407" s="11"/>
      <c r="IA2407" s="11"/>
      <c r="IB2407" s="11"/>
      <c r="IC2407" s="11"/>
      <c r="ID2407" s="11"/>
      <c r="IE2407" s="11"/>
      <c r="IF2407" s="11"/>
      <c r="IG2407" s="11"/>
      <c r="IH2407" s="11"/>
      <c r="II2407" s="11"/>
      <c r="IJ2407" s="11"/>
    </row>
    <row r="2408" spans="1:244">
      <c r="A2408" s="118">
        <v>2407</v>
      </c>
      <c r="B2408" s="128">
        <v>25</v>
      </c>
      <c r="C2408" s="156">
        <v>38534</v>
      </c>
      <c r="D2408" s="157" t="s">
        <v>50</v>
      </c>
      <c r="E2408" s="8">
        <v>2005</v>
      </c>
      <c r="F2408" s="158">
        <f t="shared" si="614"/>
        <v>150</v>
      </c>
      <c r="G2408" s="158">
        <f t="shared" si="615"/>
        <v>1</v>
      </c>
      <c r="H2408" s="162">
        <v>38384</v>
      </c>
      <c r="I2408" s="194">
        <v>947614</v>
      </c>
      <c r="J2408" s="15">
        <v>0.28999999999999998</v>
      </c>
      <c r="K2408" s="15">
        <v>0.66</v>
      </c>
      <c r="L2408" s="15">
        <v>0.19</v>
      </c>
      <c r="M2408" s="174">
        <v>0</v>
      </c>
      <c r="O2408" s="15">
        <v>0.14000000000000001</v>
      </c>
      <c r="Q2408" s="11">
        <v>11</v>
      </c>
      <c r="R2408" s="11">
        <v>29</v>
      </c>
      <c r="T2408" s="161">
        <f t="shared" si="619"/>
        <v>625425.24</v>
      </c>
      <c r="U2408" s="161">
        <f t="shared" si="616"/>
        <v>180046.66</v>
      </c>
      <c r="V2408" s="161">
        <f t="shared" si="617"/>
        <v>132665.96000000002</v>
      </c>
      <c r="W2408" s="161">
        <f t="shared" si="618"/>
        <v>53066.384000000013</v>
      </c>
      <c r="X2408" s="11"/>
      <c r="Y2408" s="11"/>
      <c r="Z2408" s="11"/>
      <c r="AA2408" s="11"/>
      <c r="AB2408" s="11"/>
      <c r="AC2408" s="11"/>
      <c r="AD2408" s="11"/>
      <c r="AE2408" s="11"/>
      <c r="AF2408" s="11"/>
      <c r="AG2408" s="11"/>
      <c r="AH2408" s="11"/>
      <c r="AI2408" s="11"/>
      <c r="AJ2408" s="11"/>
      <c r="AK2408" s="11"/>
      <c r="AL2408" s="11"/>
      <c r="AM2408" s="11"/>
      <c r="AN2408" s="11"/>
      <c r="AO2408" s="11"/>
      <c r="AP2408" s="11"/>
      <c r="AQ2408" s="11"/>
      <c r="AR2408" s="11"/>
      <c r="AS2408" s="11"/>
      <c r="AT2408" s="11"/>
      <c r="AU2408" s="11"/>
      <c r="AV2408" s="11"/>
      <c r="AW2408" s="11"/>
      <c r="AX2408" s="11"/>
      <c r="AY2408" s="11"/>
      <c r="AZ2408" s="11"/>
      <c r="BA2408" s="11"/>
      <c r="BB2408" s="11"/>
      <c r="BC2408" s="11"/>
      <c r="BD2408" s="11"/>
      <c r="BE2408" s="11"/>
      <c r="BF2408" s="11"/>
      <c r="BG2408" s="11"/>
      <c r="BH2408" s="11"/>
      <c r="BI2408" s="11"/>
      <c r="BJ2408" s="11"/>
      <c r="BK2408" s="11"/>
      <c r="BL2408" s="11"/>
      <c r="BM2408" s="11"/>
      <c r="BN2408" s="11"/>
      <c r="BO2408" s="11"/>
      <c r="BP2408" s="11"/>
      <c r="BQ2408" s="11"/>
      <c r="BR2408" s="11"/>
      <c r="BS2408" s="11"/>
      <c r="BT2408" s="11"/>
      <c r="BU2408" s="11"/>
      <c r="BV2408" s="11"/>
      <c r="BW2408" s="11"/>
      <c r="BX2408" s="11"/>
      <c r="BY2408" s="11"/>
      <c r="BZ2408" s="11"/>
      <c r="CA2408" s="11"/>
      <c r="CB2408" s="11"/>
      <c r="CC2408" s="11"/>
      <c r="CD2408" s="11"/>
      <c r="CE2408" s="11"/>
      <c r="CF2408" s="11"/>
      <c r="CG2408" s="11"/>
      <c r="CH2408" s="11"/>
      <c r="CI2408" s="11"/>
      <c r="CJ2408" s="11"/>
      <c r="CK2408" s="11"/>
      <c r="CL2408" s="11"/>
      <c r="CM2408" s="11"/>
      <c r="CN2408" s="11"/>
      <c r="CO2408" s="11"/>
      <c r="CP2408" s="11"/>
      <c r="CQ2408" s="11"/>
      <c r="CR2408" s="11"/>
      <c r="CS2408" s="11"/>
      <c r="CT2408" s="11"/>
      <c r="CU2408" s="11"/>
      <c r="CV2408" s="11"/>
      <c r="CW2408" s="11"/>
      <c r="CX2408" s="11"/>
      <c r="CY2408" s="11"/>
      <c r="CZ2408" s="11"/>
      <c r="DA2408" s="11"/>
      <c r="DB2408" s="11"/>
      <c r="DC2408" s="11"/>
      <c r="DD2408" s="11"/>
      <c r="DE2408" s="11"/>
      <c r="DF2408" s="11"/>
      <c r="DG2408" s="11"/>
      <c r="DH2408" s="11"/>
      <c r="DI2408" s="11"/>
      <c r="DJ2408" s="11"/>
      <c r="DK2408" s="11"/>
      <c r="DL2408" s="11"/>
      <c r="DM2408" s="11"/>
      <c r="DN2408" s="11"/>
      <c r="DO2408" s="11"/>
      <c r="DP2408" s="11"/>
      <c r="DQ2408" s="11"/>
      <c r="DR2408" s="11"/>
      <c r="DS2408" s="11"/>
      <c r="DT2408" s="11"/>
      <c r="DU2408" s="11"/>
      <c r="DV2408" s="11"/>
      <c r="DW2408" s="11"/>
      <c r="DX2408" s="11"/>
      <c r="DY2408" s="11"/>
      <c r="DZ2408" s="11"/>
      <c r="EA2408" s="11"/>
      <c r="EB2408" s="11"/>
      <c r="EC2408" s="11"/>
      <c r="ED2408" s="11"/>
      <c r="EE2408" s="11"/>
      <c r="EF2408" s="11"/>
      <c r="EG2408" s="11"/>
      <c r="EH2408" s="11"/>
      <c r="EI2408" s="11"/>
      <c r="EJ2408" s="11"/>
      <c r="EK2408" s="11"/>
      <c r="EL2408" s="11"/>
      <c r="EM2408" s="11"/>
      <c r="EN2408" s="11"/>
      <c r="EO2408" s="11"/>
      <c r="EP2408" s="11"/>
      <c r="EQ2408" s="11"/>
      <c r="ER2408" s="11"/>
      <c r="ES2408" s="11"/>
      <c r="ET2408" s="11"/>
      <c r="EU2408" s="11"/>
      <c r="EV2408" s="11"/>
      <c r="EW2408" s="11"/>
      <c r="EX2408" s="11"/>
      <c r="EY2408" s="11"/>
      <c r="EZ2408" s="11"/>
      <c r="FA2408" s="11"/>
      <c r="FB2408" s="11"/>
      <c r="FC2408" s="11"/>
      <c r="FD2408" s="11"/>
      <c r="FE2408" s="11"/>
      <c r="FF2408" s="11"/>
      <c r="FG2408" s="11"/>
      <c r="FH2408" s="11"/>
      <c r="FI2408" s="11"/>
      <c r="FJ2408" s="11"/>
      <c r="FK2408" s="11"/>
      <c r="FL2408" s="11"/>
      <c r="FM2408" s="11"/>
      <c r="FN2408" s="11"/>
      <c r="FO2408" s="11"/>
      <c r="FP2408" s="11"/>
      <c r="FQ2408" s="11"/>
      <c r="FR2408" s="11"/>
      <c r="FS2408" s="11"/>
      <c r="FT2408" s="11"/>
      <c r="FU2408" s="11"/>
      <c r="FV2408" s="11"/>
      <c r="FW2408" s="11"/>
      <c r="FX2408" s="11"/>
      <c r="FY2408" s="11"/>
      <c r="FZ2408" s="11"/>
      <c r="GA2408" s="11"/>
      <c r="GB2408" s="11"/>
      <c r="GC2408" s="11"/>
      <c r="GD2408" s="11"/>
      <c r="GE2408" s="11"/>
      <c r="GF2408" s="11"/>
      <c r="GG2408" s="11"/>
      <c r="GH2408" s="11"/>
      <c r="GI2408" s="11"/>
      <c r="GJ2408" s="11"/>
      <c r="GK2408" s="11"/>
      <c r="GL2408" s="11"/>
      <c r="GM2408" s="11"/>
      <c r="GN2408" s="11"/>
      <c r="GO2408" s="11"/>
      <c r="GP2408" s="11"/>
      <c r="GQ2408" s="11"/>
      <c r="GR2408" s="11"/>
      <c r="GS2408" s="11"/>
      <c r="GT2408" s="11"/>
      <c r="GU2408" s="11"/>
      <c r="GV2408" s="11"/>
      <c r="GW2408" s="11"/>
      <c r="GX2408" s="11"/>
      <c r="GY2408" s="11"/>
      <c r="GZ2408" s="11"/>
      <c r="HA2408" s="11"/>
      <c r="HB2408" s="11"/>
      <c r="HC2408" s="11"/>
      <c r="HD2408" s="11"/>
      <c r="HE2408" s="11"/>
      <c r="HF2408" s="11"/>
      <c r="HG2408" s="11"/>
      <c r="HH2408" s="11"/>
      <c r="HI2408" s="11"/>
      <c r="HJ2408" s="11"/>
      <c r="HK2408" s="11"/>
      <c r="HL2408" s="11"/>
      <c r="HM2408" s="11"/>
      <c r="HN2408" s="11"/>
      <c r="HO2408" s="11"/>
      <c r="HP2408" s="11"/>
      <c r="HQ2408" s="11"/>
      <c r="HR2408" s="11"/>
      <c r="HS2408" s="11"/>
      <c r="HT2408" s="11"/>
      <c r="HU2408" s="11"/>
      <c r="HV2408" s="11"/>
      <c r="HW2408" s="11"/>
      <c r="HX2408" s="11"/>
      <c r="HY2408" s="11"/>
      <c r="HZ2408" s="11"/>
      <c r="IA2408" s="11"/>
      <c r="IB2408" s="11"/>
      <c r="IC2408" s="11"/>
      <c r="ID2408" s="11"/>
      <c r="IE2408" s="11"/>
      <c r="IF2408" s="11"/>
      <c r="IG2408" s="11"/>
      <c r="IH2408" s="11"/>
      <c r="II2408" s="11"/>
      <c r="IJ2408" s="11"/>
    </row>
    <row r="2409" spans="1:244">
      <c r="A2409" s="118">
        <v>2408</v>
      </c>
      <c r="B2409" s="128">
        <v>25</v>
      </c>
      <c r="C2409" s="156">
        <v>38565</v>
      </c>
      <c r="D2409" s="157" t="s">
        <v>51</v>
      </c>
      <c r="E2409" s="8">
        <v>2005</v>
      </c>
      <c r="F2409" s="158">
        <f t="shared" si="614"/>
        <v>181</v>
      </c>
      <c r="G2409" s="158">
        <f t="shared" si="615"/>
        <v>1</v>
      </c>
      <c r="H2409" s="162">
        <v>38384</v>
      </c>
      <c r="I2409" s="194">
        <v>942123</v>
      </c>
      <c r="J2409" s="15">
        <v>0.57999999999999996</v>
      </c>
      <c r="K2409" s="15">
        <v>0.42</v>
      </c>
      <c r="L2409" s="15">
        <v>0.18</v>
      </c>
      <c r="M2409" s="174">
        <v>0</v>
      </c>
      <c r="O2409" s="15">
        <v>0.1</v>
      </c>
      <c r="Q2409" s="11">
        <v>11</v>
      </c>
      <c r="R2409" s="11">
        <v>30</v>
      </c>
      <c r="T2409" s="161">
        <f t="shared" si="619"/>
        <v>395691.66</v>
      </c>
      <c r="U2409" s="161">
        <f t="shared" si="616"/>
        <v>169582.13999999998</v>
      </c>
      <c r="V2409" s="161">
        <f t="shared" si="617"/>
        <v>94212.3</v>
      </c>
      <c r="W2409" s="161">
        <f t="shared" si="618"/>
        <v>37684.920000000006</v>
      </c>
      <c r="X2409" s="11"/>
      <c r="Y2409" s="11"/>
      <c r="Z2409" s="11"/>
      <c r="AA2409" s="11"/>
      <c r="AB2409" s="11"/>
      <c r="AC2409" s="11"/>
      <c r="AD2409" s="11"/>
      <c r="AE2409" s="11"/>
      <c r="AF2409" s="11"/>
      <c r="AG2409" s="11"/>
      <c r="AH2409" s="11"/>
      <c r="AI2409" s="11"/>
      <c r="AJ2409" s="11"/>
      <c r="AK2409" s="11"/>
      <c r="AL2409" s="11"/>
      <c r="AM2409" s="11"/>
      <c r="AN2409" s="11"/>
      <c r="AO2409" s="11"/>
      <c r="AP2409" s="11"/>
      <c r="AQ2409" s="11"/>
      <c r="AR2409" s="11"/>
      <c r="AS2409" s="11"/>
      <c r="AT2409" s="11"/>
      <c r="AU2409" s="11"/>
      <c r="AV2409" s="11"/>
      <c r="AW2409" s="11"/>
      <c r="AX2409" s="11"/>
      <c r="AY2409" s="11"/>
      <c r="AZ2409" s="11"/>
      <c r="BA2409" s="11"/>
      <c r="BB2409" s="11"/>
      <c r="BC2409" s="11"/>
      <c r="BD2409" s="11"/>
      <c r="BE2409" s="11"/>
      <c r="BF2409" s="11"/>
      <c r="BG2409" s="11"/>
      <c r="BH2409" s="11"/>
      <c r="BI2409" s="11"/>
      <c r="BJ2409" s="11"/>
      <c r="BK2409" s="11"/>
      <c r="BL2409" s="11"/>
      <c r="BM2409" s="11"/>
      <c r="BN2409" s="11"/>
      <c r="BO2409" s="11"/>
      <c r="BP2409" s="11"/>
      <c r="BQ2409" s="11"/>
      <c r="BR2409" s="11"/>
      <c r="BS2409" s="11"/>
      <c r="BT2409" s="11"/>
      <c r="BU2409" s="11"/>
      <c r="BV2409" s="11"/>
      <c r="BW2409" s="11"/>
      <c r="BX2409" s="11"/>
      <c r="BY2409" s="11"/>
      <c r="BZ2409" s="11"/>
      <c r="CA2409" s="11"/>
      <c r="CB2409" s="11"/>
      <c r="CC2409" s="11"/>
      <c r="CD2409" s="11"/>
      <c r="CE2409" s="11"/>
      <c r="CF2409" s="11"/>
      <c r="CG2409" s="11"/>
      <c r="CH2409" s="11"/>
      <c r="CI2409" s="11"/>
      <c r="CJ2409" s="11"/>
      <c r="CK2409" s="11"/>
      <c r="CL2409" s="11"/>
      <c r="CM2409" s="11"/>
      <c r="CN2409" s="11"/>
      <c r="CO2409" s="11"/>
      <c r="CP2409" s="11"/>
      <c r="CQ2409" s="11"/>
      <c r="CR2409" s="11"/>
      <c r="CS2409" s="11"/>
      <c r="CT2409" s="11"/>
      <c r="CU2409" s="11"/>
      <c r="CV2409" s="11"/>
      <c r="CW2409" s="11"/>
      <c r="CX2409" s="11"/>
      <c r="CY2409" s="11"/>
      <c r="CZ2409" s="11"/>
      <c r="DA2409" s="11"/>
      <c r="DB2409" s="11"/>
      <c r="DC2409" s="11"/>
      <c r="DD2409" s="11"/>
      <c r="DE2409" s="11"/>
      <c r="DF2409" s="11"/>
      <c r="DG2409" s="11"/>
      <c r="DH2409" s="11"/>
      <c r="DI2409" s="11"/>
      <c r="DJ2409" s="11"/>
      <c r="DK2409" s="11"/>
      <c r="DL2409" s="11"/>
      <c r="DM2409" s="11"/>
      <c r="DN2409" s="11"/>
      <c r="DO2409" s="11"/>
      <c r="DP2409" s="11"/>
      <c r="DQ2409" s="11"/>
      <c r="DR2409" s="11"/>
      <c r="DS2409" s="11"/>
      <c r="DT2409" s="11"/>
      <c r="DU2409" s="11"/>
      <c r="DV2409" s="11"/>
      <c r="DW2409" s="11"/>
      <c r="DX2409" s="11"/>
      <c r="DY2409" s="11"/>
      <c r="DZ2409" s="11"/>
      <c r="EA2409" s="11"/>
      <c r="EB2409" s="11"/>
      <c r="EC2409" s="11"/>
      <c r="ED2409" s="11"/>
      <c r="EE2409" s="11"/>
      <c r="EF2409" s="11"/>
      <c r="EG2409" s="11"/>
      <c r="EH2409" s="11"/>
      <c r="EI2409" s="11"/>
      <c r="EJ2409" s="11"/>
      <c r="EK2409" s="11"/>
      <c r="EL2409" s="11"/>
      <c r="EM2409" s="11"/>
      <c r="EN2409" s="11"/>
      <c r="EO2409" s="11"/>
      <c r="EP2409" s="11"/>
      <c r="EQ2409" s="11"/>
      <c r="ER2409" s="11"/>
      <c r="ES2409" s="11"/>
      <c r="ET2409" s="11"/>
      <c r="EU2409" s="11"/>
      <c r="EV2409" s="11"/>
      <c r="EW2409" s="11"/>
      <c r="EX2409" s="11"/>
      <c r="EY2409" s="11"/>
      <c r="EZ2409" s="11"/>
      <c r="FA2409" s="11"/>
      <c r="FB2409" s="11"/>
      <c r="FC2409" s="11"/>
      <c r="FD2409" s="11"/>
      <c r="FE2409" s="11"/>
      <c r="FF2409" s="11"/>
      <c r="FG2409" s="11"/>
      <c r="FH2409" s="11"/>
      <c r="FI2409" s="11"/>
      <c r="FJ2409" s="11"/>
      <c r="FK2409" s="11"/>
      <c r="FL2409" s="11"/>
      <c r="FM2409" s="11"/>
      <c r="FN2409" s="11"/>
      <c r="FO2409" s="11"/>
      <c r="FP2409" s="11"/>
      <c r="FQ2409" s="11"/>
      <c r="FR2409" s="11"/>
      <c r="FS2409" s="11"/>
      <c r="FT2409" s="11"/>
      <c r="FU2409" s="11"/>
      <c r="FV2409" s="11"/>
      <c r="FW2409" s="11"/>
      <c r="FX2409" s="11"/>
      <c r="FY2409" s="11"/>
      <c r="FZ2409" s="11"/>
      <c r="GA2409" s="11"/>
      <c r="GB2409" s="11"/>
      <c r="GC2409" s="11"/>
      <c r="GD2409" s="11"/>
      <c r="GE2409" s="11"/>
      <c r="GF2409" s="11"/>
      <c r="GG2409" s="11"/>
      <c r="GH2409" s="11"/>
      <c r="GI2409" s="11"/>
      <c r="GJ2409" s="11"/>
      <c r="GK2409" s="11"/>
      <c r="GL2409" s="11"/>
      <c r="GM2409" s="11"/>
      <c r="GN2409" s="11"/>
      <c r="GO2409" s="11"/>
      <c r="GP2409" s="11"/>
      <c r="GQ2409" s="11"/>
      <c r="GR2409" s="11"/>
      <c r="GS2409" s="11"/>
      <c r="GT2409" s="11"/>
      <c r="GU2409" s="11"/>
      <c r="GV2409" s="11"/>
      <c r="GW2409" s="11"/>
      <c r="GX2409" s="11"/>
      <c r="GY2409" s="11"/>
      <c r="GZ2409" s="11"/>
      <c r="HA2409" s="11"/>
      <c r="HB2409" s="11"/>
      <c r="HC2409" s="11"/>
      <c r="HD2409" s="11"/>
      <c r="HE2409" s="11"/>
      <c r="HF2409" s="11"/>
      <c r="HG2409" s="11"/>
      <c r="HH2409" s="11"/>
      <c r="HI2409" s="11"/>
      <c r="HJ2409" s="11"/>
      <c r="HK2409" s="11"/>
      <c r="HL2409" s="11"/>
      <c r="HM2409" s="11"/>
      <c r="HN2409" s="11"/>
      <c r="HO2409" s="11"/>
      <c r="HP2409" s="11"/>
      <c r="HQ2409" s="11"/>
      <c r="HR2409" s="11"/>
      <c r="HS2409" s="11"/>
      <c r="HT2409" s="11"/>
      <c r="HU2409" s="11"/>
      <c r="HV2409" s="11"/>
      <c r="HW2409" s="11"/>
      <c r="HX2409" s="11"/>
      <c r="HY2409" s="11"/>
      <c r="HZ2409" s="11"/>
      <c r="IA2409" s="11"/>
      <c r="IB2409" s="11"/>
      <c r="IC2409" s="11"/>
      <c r="ID2409" s="11"/>
      <c r="IE2409" s="11"/>
      <c r="IF2409" s="11"/>
      <c r="IG2409" s="11"/>
      <c r="IH2409" s="11"/>
      <c r="II2409" s="11"/>
      <c r="IJ2409" s="11"/>
    </row>
    <row r="2410" spans="1:244">
      <c r="A2410" s="118">
        <v>2409</v>
      </c>
      <c r="B2410" s="128">
        <v>25</v>
      </c>
      <c r="C2410" s="181">
        <v>38596</v>
      </c>
      <c r="D2410" s="157" t="s">
        <v>52</v>
      </c>
      <c r="E2410" s="8">
        <v>2005</v>
      </c>
      <c r="F2410" s="158">
        <f t="shared" si="614"/>
        <v>212</v>
      </c>
      <c r="G2410" s="158">
        <f t="shared" si="615"/>
        <v>1</v>
      </c>
      <c r="H2410" s="172">
        <v>38384</v>
      </c>
      <c r="I2410" s="194">
        <v>205078</v>
      </c>
      <c r="J2410" s="173">
        <v>0.53</v>
      </c>
      <c r="K2410" s="173">
        <v>1.38</v>
      </c>
      <c r="L2410" s="173">
        <v>0.5</v>
      </c>
      <c r="O2410" s="173">
        <v>0.02</v>
      </c>
      <c r="P2410" s="170"/>
      <c r="Q2410" s="128">
        <v>10</v>
      </c>
      <c r="R2410" s="128">
        <v>30</v>
      </c>
      <c r="S2410" s="180" t="s">
        <v>335</v>
      </c>
      <c r="T2410" s="161">
        <f t="shared" si="619"/>
        <v>283007.63999999996</v>
      </c>
      <c r="U2410" s="161">
        <f t="shared" si="616"/>
        <v>102539</v>
      </c>
      <c r="V2410" s="161">
        <f t="shared" si="617"/>
        <v>4101.5600000000004</v>
      </c>
      <c r="W2410" s="161">
        <f t="shared" si="618"/>
        <v>1640.6240000000003</v>
      </c>
      <c r="X2410" s="11"/>
      <c r="Y2410" s="11"/>
      <c r="Z2410" s="11"/>
      <c r="AA2410" s="11"/>
      <c r="AB2410" s="11"/>
      <c r="AC2410" s="11"/>
      <c r="AD2410" s="11"/>
      <c r="AE2410" s="11"/>
      <c r="AF2410" s="11"/>
      <c r="AG2410" s="11"/>
      <c r="AH2410" s="11"/>
      <c r="AI2410" s="11"/>
      <c r="AJ2410" s="11"/>
      <c r="AK2410" s="11"/>
      <c r="AL2410" s="11"/>
      <c r="AM2410" s="11"/>
      <c r="AN2410" s="11"/>
      <c r="AO2410" s="11"/>
      <c r="AP2410" s="11"/>
      <c r="AQ2410" s="11"/>
      <c r="AR2410" s="11"/>
      <c r="AS2410" s="11"/>
      <c r="AT2410" s="11"/>
      <c r="AU2410" s="11"/>
      <c r="AV2410" s="11"/>
      <c r="AW2410" s="11"/>
      <c r="AX2410" s="11"/>
      <c r="AY2410" s="11"/>
      <c r="AZ2410" s="11"/>
      <c r="BA2410" s="11"/>
      <c r="BB2410" s="11"/>
      <c r="BC2410" s="11"/>
      <c r="BD2410" s="11"/>
      <c r="BE2410" s="11"/>
      <c r="BF2410" s="11"/>
      <c r="BG2410" s="11"/>
      <c r="BH2410" s="11"/>
      <c r="BI2410" s="11"/>
      <c r="BJ2410" s="11"/>
      <c r="BK2410" s="11"/>
      <c r="BL2410" s="11"/>
      <c r="BM2410" s="11"/>
      <c r="BN2410" s="11"/>
      <c r="BO2410" s="11"/>
      <c r="BP2410" s="11"/>
      <c r="BQ2410" s="11"/>
      <c r="BR2410" s="11"/>
      <c r="BS2410" s="11"/>
      <c r="BT2410" s="11"/>
      <c r="BU2410" s="11"/>
      <c r="BV2410" s="11"/>
      <c r="BW2410" s="11"/>
      <c r="BX2410" s="11"/>
      <c r="BY2410" s="11"/>
      <c r="BZ2410" s="11"/>
      <c r="CA2410" s="11"/>
      <c r="CB2410" s="11"/>
      <c r="CC2410" s="11"/>
      <c r="CD2410" s="11"/>
      <c r="CE2410" s="11"/>
      <c r="CF2410" s="11"/>
      <c r="CG2410" s="11"/>
      <c r="CH2410" s="11"/>
      <c r="CI2410" s="11"/>
      <c r="CJ2410" s="11"/>
      <c r="CK2410" s="11"/>
      <c r="CL2410" s="11"/>
      <c r="CM2410" s="11"/>
      <c r="CN2410" s="11"/>
      <c r="CO2410" s="11"/>
      <c r="CP2410" s="11"/>
      <c r="CQ2410" s="11"/>
      <c r="CR2410" s="11"/>
      <c r="CS2410" s="11"/>
      <c r="CT2410" s="11"/>
      <c r="CU2410" s="11"/>
      <c r="CV2410" s="11"/>
      <c r="CW2410" s="11"/>
      <c r="CX2410" s="11"/>
      <c r="CY2410" s="11"/>
      <c r="CZ2410" s="11"/>
      <c r="DA2410" s="11"/>
      <c r="DB2410" s="11"/>
      <c r="DC2410" s="11"/>
      <c r="DD2410" s="11"/>
      <c r="DE2410" s="11"/>
      <c r="DF2410" s="11"/>
      <c r="DG2410" s="11"/>
      <c r="DH2410" s="11"/>
      <c r="DI2410" s="11"/>
      <c r="DJ2410" s="11"/>
      <c r="DK2410" s="11"/>
      <c r="DL2410" s="11"/>
      <c r="DM2410" s="11"/>
      <c r="DN2410" s="11"/>
      <c r="DO2410" s="11"/>
      <c r="DP2410" s="11"/>
      <c r="DQ2410" s="11"/>
      <c r="DR2410" s="11"/>
      <c r="DS2410" s="11"/>
      <c r="DT2410" s="11"/>
      <c r="DU2410" s="11"/>
      <c r="DV2410" s="11"/>
      <c r="DW2410" s="11"/>
      <c r="DX2410" s="11"/>
      <c r="DY2410" s="11"/>
      <c r="DZ2410" s="11"/>
      <c r="EA2410" s="11"/>
      <c r="EB2410" s="11"/>
      <c r="EC2410" s="11"/>
      <c r="ED2410" s="11"/>
      <c r="EE2410" s="11"/>
      <c r="EF2410" s="11"/>
      <c r="EG2410" s="11"/>
      <c r="EH2410" s="11"/>
      <c r="EI2410" s="11"/>
      <c r="EJ2410" s="11"/>
      <c r="EK2410" s="11"/>
      <c r="EL2410" s="11"/>
      <c r="EM2410" s="11"/>
      <c r="EN2410" s="11"/>
      <c r="EO2410" s="11"/>
      <c r="EP2410" s="11"/>
      <c r="EQ2410" s="11"/>
      <c r="ER2410" s="11"/>
      <c r="ES2410" s="11"/>
      <c r="ET2410" s="11"/>
      <c r="EU2410" s="11"/>
      <c r="EV2410" s="11"/>
      <c r="EW2410" s="11"/>
      <c r="EX2410" s="11"/>
      <c r="EY2410" s="11"/>
      <c r="EZ2410" s="11"/>
      <c r="FA2410" s="11"/>
      <c r="FB2410" s="11"/>
      <c r="FC2410" s="11"/>
      <c r="FD2410" s="11"/>
      <c r="FE2410" s="11"/>
      <c r="FF2410" s="11"/>
      <c r="FG2410" s="11"/>
      <c r="FH2410" s="11"/>
      <c r="FI2410" s="11"/>
      <c r="FJ2410" s="11"/>
      <c r="FK2410" s="11"/>
      <c r="FL2410" s="11"/>
      <c r="FM2410" s="11"/>
      <c r="FN2410" s="11"/>
      <c r="FO2410" s="11"/>
      <c r="FP2410" s="11"/>
      <c r="FQ2410" s="11"/>
      <c r="FR2410" s="11"/>
      <c r="FS2410" s="11"/>
      <c r="FT2410" s="11"/>
      <c r="FU2410" s="11"/>
      <c r="FV2410" s="11"/>
      <c r="FW2410" s="11"/>
      <c r="FX2410" s="11"/>
      <c r="FY2410" s="11"/>
      <c r="FZ2410" s="11"/>
      <c r="GA2410" s="11"/>
      <c r="GB2410" s="11"/>
      <c r="GC2410" s="11"/>
      <c r="GD2410" s="11"/>
      <c r="GE2410" s="11"/>
      <c r="GF2410" s="11"/>
      <c r="GG2410" s="11"/>
      <c r="GH2410" s="11"/>
      <c r="GI2410" s="11"/>
      <c r="GJ2410" s="11"/>
      <c r="GK2410" s="11"/>
      <c r="GL2410" s="11"/>
      <c r="GM2410" s="11"/>
      <c r="GN2410" s="11"/>
      <c r="GO2410" s="11"/>
      <c r="GP2410" s="11"/>
      <c r="GQ2410" s="11"/>
      <c r="GR2410" s="11"/>
      <c r="GS2410" s="11"/>
      <c r="GT2410" s="11"/>
      <c r="GU2410" s="11"/>
      <c r="GV2410" s="11"/>
      <c r="GW2410" s="11"/>
      <c r="GX2410" s="11"/>
      <c r="GY2410" s="11"/>
      <c r="GZ2410" s="11"/>
      <c r="HA2410" s="11"/>
      <c r="HB2410" s="11"/>
      <c r="HC2410" s="11"/>
      <c r="HD2410" s="11"/>
      <c r="HE2410" s="11"/>
      <c r="HF2410" s="11"/>
      <c r="HG2410" s="11"/>
      <c r="HH2410" s="11"/>
      <c r="HI2410" s="11"/>
      <c r="HJ2410" s="11"/>
      <c r="HK2410" s="11"/>
      <c r="HL2410" s="11"/>
      <c r="HM2410" s="11"/>
      <c r="HN2410" s="11"/>
      <c r="HO2410" s="11"/>
      <c r="HP2410" s="11"/>
      <c r="HQ2410" s="11"/>
      <c r="HR2410" s="11"/>
      <c r="HS2410" s="11"/>
      <c r="HT2410" s="11"/>
      <c r="HU2410" s="11"/>
      <c r="HV2410" s="11"/>
      <c r="HW2410" s="11"/>
      <c r="HX2410" s="11"/>
      <c r="HY2410" s="11"/>
      <c r="HZ2410" s="11"/>
      <c r="IA2410" s="11"/>
      <c r="IB2410" s="11"/>
      <c r="IC2410" s="11"/>
      <c r="ID2410" s="11"/>
      <c r="IE2410" s="11"/>
      <c r="IF2410" s="11"/>
      <c r="IG2410" s="11"/>
      <c r="IH2410" s="11"/>
      <c r="II2410" s="11"/>
      <c r="IJ2410" s="11"/>
    </row>
    <row r="2411" spans="1:244">
      <c r="A2411" s="118">
        <v>2410</v>
      </c>
      <c r="B2411" s="128">
        <v>25</v>
      </c>
      <c r="C2411" s="181">
        <v>38626</v>
      </c>
      <c r="D2411" s="157" t="s">
        <v>53</v>
      </c>
      <c r="E2411" s="8">
        <v>2005</v>
      </c>
      <c r="F2411" s="158">
        <f t="shared" si="614"/>
        <v>242</v>
      </c>
      <c r="G2411" s="158">
        <f t="shared" si="615"/>
        <v>1</v>
      </c>
      <c r="H2411" s="172">
        <v>38384</v>
      </c>
      <c r="I2411" s="194">
        <v>136507</v>
      </c>
      <c r="J2411" s="173"/>
      <c r="K2411" s="165">
        <f>(K2410+K2412)/2</f>
        <v>4.0150000000000006</v>
      </c>
      <c r="L2411" s="165">
        <f>(L2410+L2412)/2</f>
        <v>1.675</v>
      </c>
      <c r="N2411" s="528">
        <v>1</v>
      </c>
      <c r="O2411" s="165">
        <f>(O2410+O2412)/2</f>
        <v>0.05</v>
      </c>
      <c r="P2411" s="170"/>
      <c r="Q2411" s="128"/>
      <c r="R2411" s="128"/>
      <c r="S2411" s="180"/>
      <c r="T2411" s="161">
        <f t="shared" si="619"/>
        <v>548075.6050000001</v>
      </c>
      <c r="U2411" s="161">
        <f t="shared" si="616"/>
        <v>228649.22500000001</v>
      </c>
      <c r="V2411" s="161">
        <f t="shared" si="617"/>
        <v>6825.35</v>
      </c>
      <c r="W2411" s="161">
        <f t="shared" si="618"/>
        <v>2730.1400000000003</v>
      </c>
      <c r="X2411" s="11"/>
      <c r="Y2411" s="11"/>
      <c r="Z2411" s="11"/>
      <c r="AA2411" s="11"/>
      <c r="AB2411" s="11"/>
      <c r="AC2411" s="11"/>
      <c r="AD2411" s="11"/>
      <c r="AE2411" s="11"/>
      <c r="AF2411" s="11"/>
      <c r="AG2411" s="11"/>
      <c r="AH2411" s="11"/>
      <c r="AI2411" s="11"/>
      <c r="AJ2411" s="11"/>
      <c r="AK2411" s="11"/>
      <c r="AL2411" s="11"/>
      <c r="AM2411" s="11"/>
      <c r="AN2411" s="11"/>
      <c r="AO2411" s="11"/>
      <c r="AP2411" s="11"/>
      <c r="AQ2411" s="11"/>
      <c r="AR2411" s="11"/>
      <c r="AS2411" s="11"/>
      <c r="AT2411" s="11"/>
      <c r="AU2411" s="11"/>
      <c r="AV2411" s="11"/>
      <c r="AW2411" s="11"/>
      <c r="AX2411" s="11"/>
      <c r="AY2411" s="11"/>
      <c r="AZ2411" s="11"/>
      <c r="BA2411" s="11"/>
      <c r="BB2411" s="11"/>
      <c r="BC2411" s="11"/>
      <c r="BD2411" s="11"/>
      <c r="BE2411" s="11"/>
      <c r="BF2411" s="11"/>
      <c r="BG2411" s="11"/>
      <c r="BH2411" s="11"/>
      <c r="BI2411" s="11"/>
      <c r="BJ2411" s="11"/>
      <c r="BK2411" s="11"/>
      <c r="BL2411" s="11"/>
      <c r="BM2411" s="11"/>
      <c r="BN2411" s="11"/>
      <c r="BO2411" s="11"/>
      <c r="BP2411" s="11"/>
      <c r="BQ2411" s="11"/>
      <c r="BR2411" s="11"/>
      <c r="BS2411" s="11"/>
      <c r="BT2411" s="11"/>
      <c r="BU2411" s="11"/>
      <c r="BV2411" s="11"/>
      <c r="BW2411" s="11"/>
      <c r="BX2411" s="11"/>
      <c r="BY2411" s="11"/>
      <c r="BZ2411" s="11"/>
      <c r="CA2411" s="11"/>
      <c r="CB2411" s="11"/>
      <c r="CC2411" s="11"/>
      <c r="CD2411" s="11"/>
      <c r="CE2411" s="11"/>
      <c r="CF2411" s="11"/>
      <c r="CG2411" s="11"/>
      <c r="CH2411" s="11"/>
      <c r="CI2411" s="11"/>
      <c r="CJ2411" s="11"/>
      <c r="CK2411" s="11"/>
      <c r="CL2411" s="11"/>
      <c r="CM2411" s="11"/>
      <c r="CN2411" s="11"/>
      <c r="CO2411" s="11"/>
      <c r="CP2411" s="11"/>
      <c r="CQ2411" s="11"/>
      <c r="CR2411" s="11"/>
      <c r="CS2411" s="11"/>
      <c r="CT2411" s="11"/>
      <c r="CU2411" s="11"/>
      <c r="CV2411" s="11"/>
      <c r="CW2411" s="11"/>
      <c r="CX2411" s="11"/>
      <c r="CY2411" s="11"/>
      <c r="CZ2411" s="11"/>
      <c r="DA2411" s="11"/>
      <c r="DB2411" s="11"/>
      <c r="DC2411" s="11"/>
      <c r="DD2411" s="11"/>
      <c r="DE2411" s="11"/>
      <c r="DF2411" s="11"/>
      <c r="DG2411" s="11"/>
      <c r="DH2411" s="11"/>
      <c r="DI2411" s="11"/>
      <c r="DJ2411" s="11"/>
      <c r="DK2411" s="11"/>
      <c r="DL2411" s="11"/>
      <c r="DM2411" s="11"/>
      <c r="DN2411" s="11"/>
      <c r="DO2411" s="11"/>
      <c r="DP2411" s="11"/>
      <c r="DQ2411" s="11"/>
      <c r="DR2411" s="11"/>
      <c r="DS2411" s="11"/>
      <c r="DT2411" s="11"/>
      <c r="DU2411" s="11"/>
      <c r="DV2411" s="11"/>
      <c r="DW2411" s="11"/>
      <c r="DX2411" s="11"/>
      <c r="DY2411" s="11"/>
      <c r="DZ2411" s="11"/>
      <c r="EA2411" s="11"/>
      <c r="EB2411" s="11"/>
      <c r="EC2411" s="11"/>
      <c r="ED2411" s="11"/>
      <c r="EE2411" s="11"/>
      <c r="EF2411" s="11"/>
      <c r="EG2411" s="11"/>
      <c r="EH2411" s="11"/>
      <c r="EI2411" s="11"/>
      <c r="EJ2411" s="11"/>
      <c r="EK2411" s="11"/>
      <c r="EL2411" s="11"/>
      <c r="EM2411" s="11"/>
      <c r="EN2411" s="11"/>
      <c r="EO2411" s="11"/>
      <c r="EP2411" s="11"/>
      <c r="EQ2411" s="11"/>
      <c r="ER2411" s="11"/>
      <c r="ES2411" s="11"/>
      <c r="ET2411" s="11"/>
      <c r="EU2411" s="11"/>
      <c r="EV2411" s="11"/>
      <c r="EW2411" s="11"/>
      <c r="EX2411" s="11"/>
      <c r="EY2411" s="11"/>
      <c r="EZ2411" s="11"/>
      <c r="FA2411" s="11"/>
      <c r="FB2411" s="11"/>
      <c r="FC2411" s="11"/>
      <c r="FD2411" s="11"/>
      <c r="FE2411" s="11"/>
      <c r="FF2411" s="11"/>
      <c r="FG2411" s="11"/>
      <c r="FH2411" s="11"/>
      <c r="FI2411" s="11"/>
      <c r="FJ2411" s="11"/>
      <c r="FK2411" s="11"/>
      <c r="FL2411" s="11"/>
      <c r="FM2411" s="11"/>
      <c r="FN2411" s="11"/>
      <c r="FO2411" s="11"/>
      <c r="FP2411" s="11"/>
      <c r="FQ2411" s="11"/>
      <c r="FR2411" s="11"/>
      <c r="FS2411" s="11"/>
      <c r="FT2411" s="11"/>
      <c r="FU2411" s="11"/>
      <c r="FV2411" s="11"/>
      <c r="FW2411" s="11"/>
      <c r="FX2411" s="11"/>
      <c r="FY2411" s="11"/>
      <c r="FZ2411" s="11"/>
      <c r="GA2411" s="11"/>
      <c r="GB2411" s="11"/>
      <c r="GC2411" s="11"/>
      <c r="GD2411" s="11"/>
      <c r="GE2411" s="11"/>
      <c r="GF2411" s="11"/>
      <c r="GG2411" s="11"/>
      <c r="GH2411" s="11"/>
      <c r="GI2411" s="11"/>
      <c r="GJ2411" s="11"/>
      <c r="GK2411" s="11"/>
      <c r="GL2411" s="11"/>
      <c r="GM2411" s="11"/>
      <c r="GN2411" s="11"/>
      <c r="GO2411" s="11"/>
      <c r="GP2411" s="11"/>
      <c r="GQ2411" s="11"/>
      <c r="GR2411" s="11"/>
      <c r="GS2411" s="11"/>
      <c r="GT2411" s="11"/>
      <c r="GU2411" s="11"/>
      <c r="GV2411" s="11"/>
      <c r="GW2411" s="11"/>
      <c r="GX2411" s="11"/>
      <c r="GY2411" s="11"/>
      <c r="GZ2411" s="11"/>
      <c r="HA2411" s="11"/>
      <c r="HB2411" s="11"/>
      <c r="HC2411" s="11"/>
      <c r="HD2411" s="11"/>
      <c r="HE2411" s="11"/>
      <c r="HF2411" s="11"/>
      <c r="HG2411" s="11"/>
      <c r="HH2411" s="11"/>
      <c r="HI2411" s="11"/>
      <c r="HJ2411" s="11"/>
      <c r="HK2411" s="11"/>
      <c r="HL2411" s="11"/>
      <c r="HM2411" s="11"/>
      <c r="HN2411" s="11"/>
      <c r="HO2411" s="11"/>
      <c r="HP2411" s="11"/>
      <c r="HQ2411" s="11"/>
      <c r="HR2411" s="11"/>
      <c r="HS2411" s="11"/>
      <c r="HT2411" s="11"/>
      <c r="HU2411" s="11"/>
      <c r="HV2411" s="11"/>
      <c r="HW2411" s="11"/>
      <c r="HX2411" s="11"/>
      <c r="HY2411" s="11"/>
      <c r="HZ2411" s="11"/>
      <c r="IA2411" s="11"/>
      <c r="IB2411" s="11"/>
      <c r="IC2411" s="11"/>
      <c r="ID2411" s="11"/>
      <c r="IE2411" s="11"/>
      <c r="IF2411" s="11"/>
      <c r="IG2411" s="11"/>
      <c r="IH2411" s="11"/>
      <c r="II2411" s="11"/>
      <c r="IJ2411" s="11"/>
    </row>
    <row r="2412" spans="1:244">
      <c r="A2412" s="118">
        <v>2411</v>
      </c>
      <c r="B2412" s="128">
        <v>25</v>
      </c>
      <c r="C2412" s="181">
        <v>38657</v>
      </c>
      <c r="D2412" s="157" t="s">
        <v>54</v>
      </c>
      <c r="E2412" s="8">
        <v>2005</v>
      </c>
      <c r="F2412" s="158">
        <f t="shared" si="614"/>
        <v>273</v>
      </c>
      <c r="G2412" s="158">
        <f t="shared" si="615"/>
        <v>1</v>
      </c>
      <c r="H2412" s="172">
        <v>38384</v>
      </c>
      <c r="I2412" s="194">
        <v>136350</v>
      </c>
      <c r="J2412" s="173">
        <v>0.55000000000000004</v>
      </c>
      <c r="K2412" s="173">
        <v>6.65</v>
      </c>
      <c r="L2412" s="173">
        <v>2.85</v>
      </c>
      <c r="O2412" s="173">
        <v>0.08</v>
      </c>
      <c r="P2412" s="170">
        <v>1</v>
      </c>
      <c r="Q2412" s="128">
        <v>8</v>
      </c>
      <c r="R2412" s="128">
        <v>29</v>
      </c>
      <c r="S2412" s="180"/>
      <c r="T2412" s="161">
        <f t="shared" si="619"/>
        <v>906727.5</v>
      </c>
      <c r="U2412" s="161">
        <f t="shared" si="616"/>
        <v>388597.5</v>
      </c>
      <c r="V2412" s="161">
        <f t="shared" si="617"/>
        <v>10908</v>
      </c>
      <c r="W2412" s="161">
        <f t="shared" si="618"/>
        <v>4363.2</v>
      </c>
      <c r="X2412" s="11"/>
      <c r="Y2412" s="11"/>
      <c r="Z2412" s="11"/>
      <c r="AA2412" s="11"/>
      <c r="AB2412" s="11"/>
      <c r="AC2412" s="11"/>
      <c r="AD2412" s="11"/>
      <c r="AE2412" s="11"/>
      <c r="AF2412" s="11"/>
      <c r="AG2412" s="11"/>
      <c r="AH2412" s="11"/>
      <c r="AI2412" s="11"/>
      <c r="AJ2412" s="11"/>
      <c r="AK2412" s="11"/>
      <c r="AL2412" s="11"/>
      <c r="AM2412" s="11"/>
      <c r="AN2412" s="11"/>
      <c r="AO2412" s="11"/>
      <c r="AP2412" s="11"/>
      <c r="AQ2412" s="11"/>
      <c r="AR2412" s="11"/>
      <c r="AS2412" s="11"/>
      <c r="AT2412" s="11"/>
      <c r="AU2412" s="11"/>
      <c r="AV2412" s="11"/>
      <c r="AW2412" s="11"/>
      <c r="AX2412" s="11"/>
      <c r="AY2412" s="11"/>
      <c r="AZ2412" s="11"/>
      <c r="BA2412" s="11"/>
      <c r="BB2412" s="11"/>
      <c r="BC2412" s="11"/>
      <c r="BD2412" s="11"/>
      <c r="BE2412" s="11"/>
      <c r="BF2412" s="11"/>
      <c r="BG2412" s="11"/>
      <c r="BH2412" s="11"/>
      <c r="BI2412" s="11"/>
      <c r="BJ2412" s="11"/>
      <c r="BK2412" s="11"/>
      <c r="BL2412" s="11"/>
      <c r="BM2412" s="11"/>
      <c r="BN2412" s="11"/>
      <c r="BO2412" s="11"/>
      <c r="BP2412" s="11"/>
      <c r="BQ2412" s="11"/>
      <c r="BR2412" s="11"/>
      <c r="BS2412" s="11"/>
      <c r="BT2412" s="11"/>
      <c r="BU2412" s="11"/>
      <c r="BV2412" s="11"/>
      <c r="BW2412" s="11"/>
      <c r="BX2412" s="11"/>
      <c r="BY2412" s="11"/>
      <c r="BZ2412" s="11"/>
      <c r="CA2412" s="11"/>
      <c r="CB2412" s="11"/>
      <c r="CC2412" s="11"/>
      <c r="CD2412" s="11"/>
      <c r="CE2412" s="11"/>
      <c r="CF2412" s="11"/>
      <c r="CG2412" s="11"/>
      <c r="CH2412" s="11"/>
      <c r="CI2412" s="11"/>
      <c r="CJ2412" s="11"/>
      <c r="CK2412" s="11"/>
      <c r="CL2412" s="11"/>
      <c r="CM2412" s="11"/>
      <c r="CN2412" s="11"/>
      <c r="CO2412" s="11"/>
      <c r="CP2412" s="11"/>
      <c r="CQ2412" s="11"/>
      <c r="CR2412" s="11"/>
      <c r="CS2412" s="11"/>
      <c r="CT2412" s="11"/>
      <c r="CU2412" s="11"/>
      <c r="CV2412" s="11"/>
      <c r="CW2412" s="11"/>
      <c r="CX2412" s="11"/>
      <c r="CY2412" s="11"/>
      <c r="CZ2412" s="11"/>
      <c r="DA2412" s="11"/>
      <c r="DB2412" s="11"/>
      <c r="DC2412" s="11"/>
      <c r="DD2412" s="11"/>
      <c r="DE2412" s="11"/>
      <c r="DF2412" s="11"/>
      <c r="DG2412" s="11"/>
      <c r="DH2412" s="11"/>
      <c r="DI2412" s="11"/>
      <c r="DJ2412" s="11"/>
      <c r="DK2412" s="11"/>
      <c r="DL2412" s="11"/>
      <c r="DM2412" s="11"/>
      <c r="DN2412" s="11"/>
      <c r="DO2412" s="11"/>
      <c r="DP2412" s="11"/>
      <c r="DQ2412" s="11"/>
      <c r="DR2412" s="11"/>
      <c r="DS2412" s="11"/>
      <c r="DT2412" s="11"/>
      <c r="DU2412" s="11"/>
      <c r="DV2412" s="11"/>
      <c r="DW2412" s="11"/>
      <c r="DX2412" s="11"/>
      <c r="DY2412" s="11"/>
      <c r="DZ2412" s="11"/>
      <c r="EA2412" s="11"/>
      <c r="EB2412" s="11"/>
      <c r="EC2412" s="11"/>
      <c r="ED2412" s="11"/>
      <c r="EE2412" s="11"/>
      <c r="EF2412" s="11"/>
      <c r="EG2412" s="11"/>
      <c r="EH2412" s="11"/>
      <c r="EI2412" s="11"/>
      <c r="EJ2412" s="11"/>
      <c r="EK2412" s="11"/>
      <c r="EL2412" s="11"/>
      <c r="EM2412" s="11"/>
      <c r="EN2412" s="11"/>
      <c r="EO2412" s="11"/>
      <c r="EP2412" s="11"/>
      <c r="EQ2412" s="11"/>
      <c r="ER2412" s="11"/>
      <c r="ES2412" s="11"/>
      <c r="ET2412" s="11"/>
      <c r="EU2412" s="11"/>
      <c r="EV2412" s="11"/>
      <c r="EW2412" s="11"/>
      <c r="EX2412" s="11"/>
      <c r="EY2412" s="11"/>
      <c r="EZ2412" s="11"/>
      <c r="FA2412" s="11"/>
      <c r="FB2412" s="11"/>
      <c r="FC2412" s="11"/>
      <c r="FD2412" s="11"/>
      <c r="FE2412" s="11"/>
      <c r="FF2412" s="11"/>
      <c r="FG2412" s="11"/>
      <c r="FH2412" s="11"/>
      <c r="FI2412" s="11"/>
      <c r="FJ2412" s="11"/>
      <c r="FK2412" s="11"/>
      <c r="FL2412" s="11"/>
      <c r="FM2412" s="11"/>
      <c r="FN2412" s="11"/>
      <c r="FO2412" s="11"/>
      <c r="FP2412" s="11"/>
      <c r="FQ2412" s="11"/>
      <c r="FR2412" s="11"/>
      <c r="FS2412" s="11"/>
      <c r="FT2412" s="11"/>
      <c r="FU2412" s="11"/>
      <c r="FV2412" s="11"/>
      <c r="FW2412" s="11"/>
      <c r="FX2412" s="11"/>
      <c r="FY2412" s="11"/>
      <c r="FZ2412" s="11"/>
      <c r="GA2412" s="11"/>
      <c r="GB2412" s="11"/>
      <c r="GC2412" s="11"/>
      <c r="GD2412" s="11"/>
      <c r="GE2412" s="11"/>
      <c r="GF2412" s="11"/>
      <c r="GG2412" s="11"/>
      <c r="GH2412" s="11"/>
      <c r="GI2412" s="11"/>
      <c r="GJ2412" s="11"/>
      <c r="GK2412" s="11"/>
      <c r="GL2412" s="11"/>
      <c r="GM2412" s="11"/>
      <c r="GN2412" s="11"/>
      <c r="GO2412" s="11"/>
      <c r="GP2412" s="11"/>
      <c r="GQ2412" s="11"/>
      <c r="GR2412" s="11"/>
      <c r="GS2412" s="11"/>
      <c r="GT2412" s="11"/>
      <c r="GU2412" s="11"/>
      <c r="GV2412" s="11"/>
      <c r="GW2412" s="11"/>
      <c r="GX2412" s="11"/>
      <c r="GY2412" s="11"/>
      <c r="GZ2412" s="11"/>
      <c r="HA2412" s="11"/>
      <c r="HB2412" s="11"/>
      <c r="HC2412" s="11"/>
      <c r="HD2412" s="11"/>
      <c r="HE2412" s="11"/>
      <c r="HF2412" s="11"/>
      <c r="HG2412" s="11"/>
      <c r="HH2412" s="11"/>
      <c r="HI2412" s="11"/>
      <c r="HJ2412" s="11"/>
      <c r="HK2412" s="11"/>
      <c r="HL2412" s="11"/>
      <c r="HM2412" s="11"/>
      <c r="HN2412" s="11"/>
      <c r="HO2412" s="11"/>
      <c r="HP2412" s="11"/>
      <c r="HQ2412" s="11"/>
      <c r="HR2412" s="11"/>
      <c r="HS2412" s="11"/>
      <c r="HT2412" s="11"/>
      <c r="HU2412" s="11"/>
      <c r="HV2412" s="11"/>
      <c r="HW2412" s="11"/>
      <c r="HX2412" s="11"/>
      <c r="HY2412" s="11"/>
      <c r="HZ2412" s="11"/>
      <c r="IA2412" s="11"/>
      <c r="IB2412" s="11"/>
      <c r="IC2412" s="11"/>
      <c r="ID2412" s="11"/>
      <c r="IE2412" s="11"/>
      <c r="IF2412" s="11"/>
      <c r="IG2412" s="11"/>
      <c r="IH2412" s="11"/>
      <c r="II2412" s="11"/>
      <c r="IJ2412" s="11"/>
    </row>
    <row r="2413" spans="1:244">
      <c r="A2413" s="118">
        <v>2412</v>
      </c>
      <c r="B2413" s="128">
        <v>25</v>
      </c>
      <c r="C2413" s="181">
        <v>38687</v>
      </c>
      <c r="D2413" s="157" t="s">
        <v>55</v>
      </c>
      <c r="E2413" s="8">
        <v>2005</v>
      </c>
      <c r="F2413" s="158">
        <f t="shared" si="614"/>
        <v>303</v>
      </c>
      <c r="G2413" s="158">
        <f t="shared" si="615"/>
        <v>1</v>
      </c>
      <c r="H2413" s="172">
        <v>38384</v>
      </c>
      <c r="I2413" s="194">
        <v>65670</v>
      </c>
      <c r="J2413" s="173">
        <v>0.85</v>
      </c>
      <c r="K2413" s="173">
        <v>2.08</v>
      </c>
      <c r="L2413" s="173">
        <v>0.75</v>
      </c>
      <c r="O2413" s="173">
        <v>7.0000000000000007E-2</v>
      </c>
      <c r="P2413" s="170"/>
      <c r="Q2413" s="128">
        <v>8</v>
      </c>
      <c r="R2413" s="128">
        <v>30</v>
      </c>
      <c r="S2413" s="180" t="s">
        <v>16</v>
      </c>
      <c r="T2413" s="161">
        <f t="shared" si="619"/>
        <v>136593.60000000001</v>
      </c>
      <c r="U2413" s="161">
        <f t="shared" si="616"/>
        <v>49252.5</v>
      </c>
      <c r="V2413" s="161">
        <f t="shared" si="617"/>
        <v>4596.9000000000005</v>
      </c>
      <c r="W2413" s="161">
        <f t="shared" si="618"/>
        <v>1838.7600000000002</v>
      </c>
      <c r="X2413" s="11"/>
      <c r="Y2413" s="11"/>
      <c r="Z2413" s="11"/>
      <c r="AA2413" s="11"/>
      <c r="AB2413" s="11"/>
      <c r="AC2413" s="11"/>
      <c r="AD2413" s="11"/>
      <c r="AE2413" s="11"/>
      <c r="AF2413" s="11"/>
      <c r="AG2413" s="11"/>
      <c r="AH2413" s="11"/>
      <c r="AI2413" s="11"/>
      <c r="AJ2413" s="11"/>
      <c r="AK2413" s="11"/>
      <c r="AL2413" s="11"/>
      <c r="AM2413" s="11"/>
      <c r="AN2413" s="11"/>
      <c r="AO2413" s="11"/>
      <c r="AP2413" s="11"/>
      <c r="AQ2413" s="11"/>
      <c r="AR2413" s="11"/>
      <c r="AS2413" s="11"/>
      <c r="AT2413" s="11"/>
      <c r="AU2413" s="11"/>
      <c r="AV2413" s="11"/>
      <c r="AW2413" s="11"/>
      <c r="AX2413" s="11"/>
      <c r="AY2413" s="11"/>
      <c r="AZ2413" s="11"/>
      <c r="BA2413" s="11"/>
      <c r="BB2413" s="11"/>
      <c r="BC2413" s="11"/>
      <c r="BD2413" s="11"/>
      <c r="BE2413" s="11"/>
      <c r="BF2413" s="11"/>
      <c r="BG2413" s="11"/>
      <c r="BH2413" s="11"/>
      <c r="BI2413" s="11"/>
      <c r="BJ2413" s="11"/>
      <c r="BK2413" s="11"/>
      <c r="BL2413" s="11"/>
      <c r="BM2413" s="11"/>
      <c r="BN2413" s="11"/>
      <c r="BO2413" s="11"/>
      <c r="BP2413" s="11"/>
      <c r="BQ2413" s="11"/>
      <c r="BR2413" s="11"/>
      <c r="BS2413" s="11"/>
      <c r="BT2413" s="11"/>
      <c r="BU2413" s="11"/>
      <c r="BV2413" s="11"/>
      <c r="BW2413" s="11"/>
      <c r="BX2413" s="11"/>
      <c r="BY2413" s="11"/>
      <c r="BZ2413" s="11"/>
      <c r="CA2413" s="11"/>
      <c r="CB2413" s="11"/>
      <c r="CC2413" s="11"/>
      <c r="CD2413" s="11"/>
      <c r="CE2413" s="11"/>
      <c r="CF2413" s="11"/>
      <c r="CG2413" s="11"/>
      <c r="CH2413" s="11"/>
      <c r="CI2413" s="11"/>
      <c r="CJ2413" s="11"/>
      <c r="CK2413" s="11"/>
      <c r="CL2413" s="11"/>
      <c r="CM2413" s="11"/>
      <c r="CN2413" s="11"/>
      <c r="CO2413" s="11"/>
      <c r="CP2413" s="11"/>
      <c r="CQ2413" s="11"/>
      <c r="CR2413" s="11"/>
      <c r="CS2413" s="11"/>
      <c r="CT2413" s="11"/>
      <c r="CU2413" s="11"/>
      <c r="CV2413" s="11"/>
      <c r="CW2413" s="11"/>
      <c r="CX2413" s="11"/>
      <c r="CY2413" s="11"/>
      <c r="CZ2413" s="11"/>
      <c r="DA2413" s="11"/>
      <c r="DB2413" s="11"/>
      <c r="DC2413" s="11"/>
      <c r="DD2413" s="11"/>
      <c r="DE2413" s="11"/>
      <c r="DF2413" s="11"/>
      <c r="DG2413" s="11"/>
      <c r="DH2413" s="11"/>
      <c r="DI2413" s="11"/>
      <c r="DJ2413" s="11"/>
      <c r="DK2413" s="11"/>
      <c r="DL2413" s="11"/>
      <c r="DM2413" s="11"/>
      <c r="DN2413" s="11"/>
      <c r="DO2413" s="11"/>
      <c r="DP2413" s="11"/>
      <c r="DQ2413" s="11"/>
      <c r="DR2413" s="11"/>
      <c r="DS2413" s="11"/>
      <c r="DT2413" s="11"/>
      <c r="DU2413" s="11"/>
      <c r="DV2413" s="11"/>
      <c r="DW2413" s="11"/>
      <c r="DX2413" s="11"/>
      <c r="DY2413" s="11"/>
      <c r="DZ2413" s="11"/>
      <c r="EA2413" s="11"/>
      <c r="EB2413" s="11"/>
      <c r="EC2413" s="11"/>
      <c r="ED2413" s="11"/>
      <c r="EE2413" s="11"/>
      <c r="EF2413" s="11"/>
      <c r="EG2413" s="11"/>
      <c r="EH2413" s="11"/>
      <c r="EI2413" s="11"/>
      <c r="EJ2413" s="11"/>
      <c r="EK2413" s="11"/>
      <c r="EL2413" s="11"/>
      <c r="EM2413" s="11"/>
      <c r="EN2413" s="11"/>
      <c r="EO2413" s="11"/>
      <c r="EP2413" s="11"/>
      <c r="EQ2413" s="11"/>
      <c r="ER2413" s="11"/>
      <c r="ES2413" s="11"/>
      <c r="ET2413" s="11"/>
      <c r="EU2413" s="11"/>
      <c r="EV2413" s="11"/>
      <c r="EW2413" s="11"/>
      <c r="EX2413" s="11"/>
      <c r="EY2413" s="11"/>
      <c r="EZ2413" s="11"/>
      <c r="FA2413" s="11"/>
      <c r="FB2413" s="11"/>
      <c r="FC2413" s="11"/>
      <c r="FD2413" s="11"/>
      <c r="FE2413" s="11"/>
      <c r="FF2413" s="11"/>
      <c r="FG2413" s="11"/>
      <c r="FH2413" s="11"/>
      <c r="FI2413" s="11"/>
      <c r="FJ2413" s="11"/>
      <c r="FK2413" s="11"/>
      <c r="FL2413" s="11"/>
      <c r="FM2413" s="11"/>
      <c r="FN2413" s="11"/>
      <c r="FO2413" s="11"/>
      <c r="FP2413" s="11"/>
      <c r="FQ2413" s="11"/>
      <c r="FR2413" s="11"/>
      <c r="FS2413" s="11"/>
      <c r="FT2413" s="11"/>
      <c r="FU2413" s="11"/>
      <c r="FV2413" s="11"/>
      <c r="FW2413" s="11"/>
      <c r="FX2413" s="11"/>
      <c r="FY2413" s="11"/>
      <c r="FZ2413" s="11"/>
      <c r="GA2413" s="11"/>
      <c r="GB2413" s="11"/>
      <c r="GC2413" s="11"/>
      <c r="GD2413" s="11"/>
      <c r="GE2413" s="11"/>
      <c r="GF2413" s="11"/>
      <c r="GG2413" s="11"/>
      <c r="GH2413" s="11"/>
      <c r="GI2413" s="11"/>
      <c r="GJ2413" s="11"/>
      <c r="GK2413" s="11"/>
      <c r="GL2413" s="11"/>
      <c r="GM2413" s="11"/>
      <c r="GN2413" s="11"/>
      <c r="GO2413" s="11"/>
      <c r="GP2413" s="11"/>
      <c r="GQ2413" s="11"/>
      <c r="GR2413" s="11"/>
      <c r="GS2413" s="11"/>
      <c r="GT2413" s="11"/>
      <c r="GU2413" s="11"/>
      <c r="GV2413" s="11"/>
      <c r="GW2413" s="11"/>
      <c r="GX2413" s="11"/>
      <c r="GY2413" s="11"/>
      <c r="GZ2413" s="11"/>
      <c r="HA2413" s="11"/>
      <c r="HB2413" s="11"/>
      <c r="HC2413" s="11"/>
      <c r="HD2413" s="11"/>
      <c r="HE2413" s="11"/>
      <c r="HF2413" s="11"/>
      <c r="HG2413" s="11"/>
      <c r="HH2413" s="11"/>
      <c r="HI2413" s="11"/>
      <c r="HJ2413" s="11"/>
      <c r="HK2413" s="11"/>
      <c r="HL2413" s="11"/>
      <c r="HM2413" s="11"/>
      <c r="HN2413" s="11"/>
      <c r="HO2413" s="11"/>
      <c r="HP2413" s="11"/>
      <c r="HQ2413" s="11"/>
      <c r="HR2413" s="11"/>
      <c r="HS2413" s="11"/>
      <c r="HT2413" s="11"/>
      <c r="HU2413" s="11"/>
      <c r="HV2413" s="11"/>
      <c r="HW2413" s="11"/>
      <c r="HX2413" s="11"/>
      <c r="HY2413" s="11"/>
      <c r="HZ2413" s="11"/>
      <c r="IA2413" s="11"/>
      <c r="IB2413" s="11"/>
      <c r="IC2413" s="11"/>
      <c r="ID2413" s="11"/>
      <c r="IE2413" s="11"/>
      <c r="IF2413" s="11"/>
      <c r="IG2413" s="11"/>
      <c r="IH2413" s="11"/>
      <c r="II2413" s="11"/>
      <c r="IJ2413" s="11"/>
    </row>
    <row r="2414" spans="1:244">
      <c r="A2414" s="118">
        <v>2413</v>
      </c>
      <c r="B2414" s="128">
        <v>25</v>
      </c>
      <c r="C2414" s="181">
        <v>38718</v>
      </c>
      <c r="D2414" s="157" t="s">
        <v>44</v>
      </c>
      <c r="E2414" s="8">
        <v>2006</v>
      </c>
      <c r="F2414" s="158">
        <f t="shared" si="614"/>
        <v>0</v>
      </c>
      <c r="G2414" s="158">
        <f t="shared" si="615"/>
        <v>1</v>
      </c>
      <c r="H2414" s="172">
        <v>38718</v>
      </c>
      <c r="I2414" s="194">
        <v>300205</v>
      </c>
      <c r="J2414" s="173"/>
      <c r="K2414" s="173"/>
      <c r="L2414" s="165">
        <v>0</v>
      </c>
      <c r="N2414" s="528" t="s">
        <v>794</v>
      </c>
      <c r="O2414" s="165">
        <v>0</v>
      </c>
      <c r="P2414" s="170"/>
      <c r="Q2414" s="128"/>
      <c r="R2414" s="128"/>
      <c r="S2414" s="180" t="s">
        <v>11</v>
      </c>
      <c r="T2414" s="161"/>
      <c r="U2414" s="161">
        <f t="shared" si="616"/>
        <v>0</v>
      </c>
      <c r="V2414" s="161">
        <f t="shared" si="617"/>
        <v>0</v>
      </c>
      <c r="W2414" s="161">
        <f t="shared" si="618"/>
        <v>0</v>
      </c>
      <c r="X2414" s="11"/>
      <c r="Y2414" s="11"/>
      <c r="Z2414" s="11"/>
      <c r="AA2414" s="11"/>
      <c r="AB2414" s="11"/>
      <c r="AC2414" s="11"/>
      <c r="AD2414" s="11"/>
      <c r="AE2414" s="11"/>
      <c r="AF2414" s="11"/>
      <c r="AG2414" s="11"/>
      <c r="AH2414" s="11"/>
      <c r="AI2414" s="11"/>
      <c r="AJ2414" s="11"/>
      <c r="AK2414" s="11"/>
      <c r="AL2414" s="11"/>
      <c r="AM2414" s="11"/>
      <c r="AN2414" s="11"/>
      <c r="AO2414" s="11"/>
      <c r="AP2414" s="11"/>
      <c r="AQ2414" s="11"/>
      <c r="AR2414" s="11"/>
      <c r="AS2414" s="11"/>
      <c r="AT2414" s="11"/>
      <c r="AU2414" s="11"/>
      <c r="AV2414" s="11"/>
      <c r="AW2414" s="11"/>
      <c r="AX2414" s="11"/>
      <c r="AY2414" s="11"/>
      <c r="AZ2414" s="11"/>
      <c r="BA2414" s="11"/>
      <c r="BB2414" s="11"/>
      <c r="BC2414" s="11"/>
      <c r="BD2414" s="11"/>
      <c r="BE2414" s="11"/>
      <c r="BF2414" s="11"/>
      <c r="BG2414" s="11"/>
      <c r="BH2414" s="11"/>
      <c r="BI2414" s="11"/>
      <c r="BJ2414" s="11"/>
      <c r="BK2414" s="11"/>
      <c r="BL2414" s="11"/>
      <c r="BM2414" s="11"/>
      <c r="BN2414" s="11"/>
      <c r="BO2414" s="11"/>
      <c r="BP2414" s="11"/>
      <c r="BQ2414" s="11"/>
      <c r="BR2414" s="11"/>
      <c r="BS2414" s="11"/>
      <c r="BT2414" s="11"/>
      <c r="BU2414" s="11"/>
      <c r="BV2414" s="11"/>
      <c r="BW2414" s="11"/>
      <c r="BX2414" s="11"/>
      <c r="BY2414" s="11"/>
      <c r="BZ2414" s="11"/>
      <c r="CA2414" s="11"/>
      <c r="CB2414" s="11"/>
      <c r="CC2414" s="11"/>
      <c r="CD2414" s="11"/>
      <c r="CE2414" s="11"/>
      <c r="CF2414" s="11"/>
      <c r="CG2414" s="11"/>
      <c r="CH2414" s="11"/>
      <c r="CI2414" s="11"/>
      <c r="CJ2414" s="11"/>
      <c r="CK2414" s="11"/>
      <c r="CL2414" s="11"/>
      <c r="CM2414" s="11"/>
      <c r="CN2414" s="11"/>
      <c r="CO2414" s="11"/>
      <c r="CP2414" s="11"/>
      <c r="CQ2414" s="11"/>
      <c r="CR2414" s="11"/>
      <c r="CS2414" s="11"/>
      <c r="CT2414" s="11"/>
      <c r="CU2414" s="11"/>
      <c r="CV2414" s="11"/>
      <c r="CW2414" s="11"/>
      <c r="CX2414" s="11"/>
      <c r="CY2414" s="11"/>
      <c r="CZ2414" s="11"/>
      <c r="DA2414" s="11"/>
      <c r="DB2414" s="11"/>
      <c r="DC2414" s="11"/>
      <c r="DD2414" s="11"/>
      <c r="DE2414" s="11"/>
      <c r="DF2414" s="11"/>
      <c r="DG2414" s="11"/>
      <c r="DH2414" s="11"/>
      <c r="DI2414" s="11"/>
      <c r="DJ2414" s="11"/>
      <c r="DK2414" s="11"/>
      <c r="DL2414" s="11"/>
      <c r="DM2414" s="11"/>
      <c r="DN2414" s="11"/>
      <c r="DO2414" s="11"/>
      <c r="DP2414" s="11"/>
      <c r="DQ2414" s="11"/>
      <c r="DR2414" s="11"/>
      <c r="DS2414" s="11"/>
      <c r="DT2414" s="11"/>
      <c r="DU2414" s="11"/>
      <c r="DV2414" s="11"/>
      <c r="DW2414" s="11"/>
      <c r="DX2414" s="11"/>
      <c r="DY2414" s="11"/>
      <c r="DZ2414" s="11"/>
      <c r="EA2414" s="11"/>
      <c r="EB2414" s="11"/>
      <c r="EC2414" s="11"/>
      <c r="ED2414" s="11"/>
      <c r="EE2414" s="11"/>
      <c r="EF2414" s="11"/>
      <c r="EG2414" s="11"/>
      <c r="EH2414" s="11"/>
      <c r="EI2414" s="11"/>
      <c r="EJ2414" s="11"/>
      <c r="EK2414" s="11"/>
      <c r="EL2414" s="11"/>
      <c r="EM2414" s="11"/>
      <c r="EN2414" s="11"/>
      <c r="EO2414" s="11"/>
      <c r="EP2414" s="11"/>
      <c r="EQ2414" s="11"/>
      <c r="ER2414" s="11"/>
      <c r="ES2414" s="11"/>
      <c r="ET2414" s="11"/>
      <c r="EU2414" s="11"/>
      <c r="EV2414" s="11"/>
      <c r="EW2414" s="11"/>
      <c r="EX2414" s="11"/>
      <c r="EY2414" s="11"/>
      <c r="EZ2414" s="11"/>
      <c r="FA2414" s="11"/>
      <c r="FB2414" s="11"/>
      <c r="FC2414" s="11"/>
      <c r="FD2414" s="11"/>
      <c r="FE2414" s="11"/>
      <c r="FF2414" s="11"/>
      <c r="FG2414" s="11"/>
      <c r="FH2414" s="11"/>
      <c r="FI2414" s="11"/>
      <c r="FJ2414" s="11"/>
      <c r="FK2414" s="11"/>
      <c r="FL2414" s="11"/>
      <c r="FM2414" s="11"/>
      <c r="FN2414" s="11"/>
      <c r="FO2414" s="11"/>
      <c r="FP2414" s="11"/>
      <c r="FQ2414" s="11"/>
      <c r="FR2414" s="11"/>
      <c r="FS2414" s="11"/>
      <c r="FT2414" s="11"/>
      <c r="FU2414" s="11"/>
      <c r="FV2414" s="11"/>
      <c r="FW2414" s="11"/>
      <c r="FX2414" s="11"/>
      <c r="FY2414" s="11"/>
      <c r="FZ2414" s="11"/>
      <c r="GA2414" s="11"/>
      <c r="GB2414" s="11"/>
      <c r="GC2414" s="11"/>
      <c r="GD2414" s="11"/>
      <c r="GE2414" s="11"/>
      <c r="GF2414" s="11"/>
      <c r="GG2414" s="11"/>
      <c r="GH2414" s="11"/>
      <c r="GI2414" s="11"/>
      <c r="GJ2414" s="11"/>
      <c r="GK2414" s="11"/>
      <c r="GL2414" s="11"/>
      <c r="GM2414" s="11"/>
      <c r="GN2414" s="11"/>
      <c r="GO2414" s="11"/>
      <c r="GP2414" s="11"/>
      <c r="GQ2414" s="11"/>
      <c r="GR2414" s="11"/>
      <c r="GS2414" s="11"/>
      <c r="GT2414" s="11"/>
      <c r="GU2414" s="11"/>
      <c r="GV2414" s="11"/>
      <c r="GW2414" s="11"/>
      <c r="GX2414" s="11"/>
      <c r="GY2414" s="11"/>
      <c r="GZ2414" s="11"/>
      <c r="HA2414" s="11"/>
      <c r="HB2414" s="11"/>
      <c r="HC2414" s="11"/>
      <c r="HD2414" s="11"/>
      <c r="HE2414" s="11"/>
      <c r="HF2414" s="11"/>
      <c r="HG2414" s="11"/>
      <c r="HH2414" s="11"/>
      <c r="HI2414" s="11"/>
      <c r="HJ2414" s="11"/>
      <c r="HK2414" s="11"/>
      <c r="HL2414" s="11"/>
      <c r="HM2414" s="11"/>
      <c r="HN2414" s="11"/>
      <c r="HO2414" s="11"/>
      <c r="HP2414" s="11"/>
      <c r="HQ2414" s="11"/>
      <c r="HR2414" s="11"/>
      <c r="HS2414" s="11"/>
      <c r="HT2414" s="11"/>
      <c r="HU2414" s="11"/>
      <c r="HV2414" s="11"/>
      <c r="HW2414" s="11"/>
      <c r="HX2414" s="11"/>
      <c r="HY2414" s="11"/>
      <c r="HZ2414" s="11"/>
      <c r="IA2414" s="11"/>
      <c r="IB2414" s="11"/>
      <c r="IC2414" s="11"/>
      <c r="ID2414" s="11"/>
      <c r="IE2414" s="11"/>
      <c r="IF2414" s="11"/>
      <c r="IG2414" s="11"/>
      <c r="IH2414" s="11"/>
      <c r="II2414" s="11"/>
      <c r="IJ2414" s="11"/>
    </row>
    <row r="2415" spans="1:244">
      <c r="A2415" s="118">
        <v>2414</v>
      </c>
      <c r="B2415" s="128">
        <v>25</v>
      </c>
      <c r="C2415" s="156">
        <v>38749</v>
      </c>
      <c r="D2415" s="157" t="s">
        <v>45</v>
      </c>
      <c r="E2415" s="8">
        <v>2006</v>
      </c>
      <c r="F2415" s="158">
        <f t="shared" si="614"/>
        <v>31</v>
      </c>
      <c r="G2415" s="158">
        <f t="shared" si="615"/>
        <v>1</v>
      </c>
      <c r="H2415" s="162">
        <v>38718</v>
      </c>
      <c r="I2415" s="194">
        <v>663068</v>
      </c>
      <c r="L2415" s="165">
        <v>0</v>
      </c>
      <c r="N2415" s="528" t="s">
        <v>794</v>
      </c>
      <c r="O2415" s="165">
        <v>0.02</v>
      </c>
      <c r="T2415" s="161"/>
      <c r="U2415" s="161">
        <f t="shared" si="616"/>
        <v>0</v>
      </c>
      <c r="V2415" s="161">
        <f t="shared" si="617"/>
        <v>13261.36</v>
      </c>
      <c r="W2415" s="161">
        <f t="shared" si="618"/>
        <v>5304.5440000000008</v>
      </c>
      <c r="X2415" s="11"/>
      <c r="Y2415" s="11"/>
      <c r="Z2415" s="11"/>
      <c r="AA2415" s="11"/>
      <c r="AB2415" s="11"/>
      <c r="AC2415" s="11"/>
      <c r="AD2415" s="11"/>
      <c r="AE2415" s="11"/>
      <c r="AF2415" s="11"/>
      <c r="AG2415" s="11"/>
      <c r="AH2415" s="11"/>
      <c r="AI2415" s="11"/>
      <c r="AJ2415" s="11"/>
      <c r="AK2415" s="11"/>
      <c r="AL2415" s="11"/>
      <c r="AM2415" s="11"/>
      <c r="AN2415" s="11"/>
      <c r="AO2415" s="11"/>
      <c r="AP2415" s="11"/>
      <c r="AQ2415" s="11"/>
      <c r="AR2415" s="11"/>
      <c r="AS2415" s="11"/>
      <c r="AT2415" s="11"/>
      <c r="AU2415" s="11"/>
      <c r="AV2415" s="11"/>
      <c r="AW2415" s="11"/>
      <c r="AX2415" s="11"/>
      <c r="AY2415" s="11"/>
      <c r="AZ2415" s="11"/>
      <c r="BA2415" s="11"/>
      <c r="BB2415" s="11"/>
      <c r="BC2415" s="11"/>
      <c r="BD2415" s="11"/>
      <c r="BE2415" s="11"/>
      <c r="BF2415" s="11"/>
      <c r="BG2415" s="11"/>
      <c r="BH2415" s="11"/>
      <c r="BI2415" s="11"/>
      <c r="BJ2415" s="11"/>
      <c r="BK2415" s="11"/>
      <c r="BL2415" s="11"/>
      <c r="BM2415" s="11"/>
      <c r="BN2415" s="11"/>
      <c r="BO2415" s="11"/>
      <c r="BP2415" s="11"/>
      <c r="BQ2415" s="11"/>
      <c r="BR2415" s="11"/>
      <c r="BS2415" s="11"/>
      <c r="BT2415" s="11"/>
      <c r="BU2415" s="11"/>
      <c r="BV2415" s="11"/>
      <c r="BW2415" s="11"/>
      <c r="BX2415" s="11"/>
      <c r="BY2415" s="11"/>
      <c r="BZ2415" s="11"/>
      <c r="CA2415" s="11"/>
      <c r="CB2415" s="11"/>
      <c r="CC2415" s="11"/>
      <c r="CD2415" s="11"/>
      <c r="CE2415" s="11"/>
      <c r="CF2415" s="11"/>
      <c r="CG2415" s="11"/>
      <c r="CH2415" s="11"/>
      <c r="CI2415" s="11"/>
      <c r="CJ2415" s="11"/>
      <c r="CK2415" s="11"/>
      <c r="CL2415" s="11"/>
      <c r="CM2415" s="11"/>
      <c r="CN2415" s="11"/>
      <c r="CO2415" s="11"/>
      <c r="CP2415" s="11"/>
      <c r="CQ2415" s="11"/>
      <c r="CR2415" s="11"/>
      <c r="CS2415" s="11"/>
      <c r="CT2415" s="11"/>
      <c r="CU2415" s="11"/>
      <c r="CV2415" s="11"/>
      <c r="CW2415" s="11"/>
      <c r="CX2415" s="11"/>
      <c r="CY2415" s="11"/>
      <c r="CZ2415" s="11"/>
      <c r="DA2415" s="11"/>
      <c r="DB2415" s="11"/>
      <c r="DC2415" s="11"/>
      <c r="DD2415" s="11"/>
      <c r="DE2415" s="11"/>
      <c r="DF2415" s="11"/>
      <c r="DG2415" s="11"/>
      <c r="DH2415" s="11"/>
      <c r="DI2415" s="11"/>
      <c r="DJ2415" s="11"/>
      <c r="DK2415" s="11"/>
      <c r="DL2415" s="11"/>
      <c r="DM2415" s="11"/>
      <c r="DN2415" s="11"/>
      <c r="DO2415" s="11"/>
      <c r="DP2415" s="11"/>
      <c r="DQ2415" s="11"/>
      <c r="DR2415" s="11"/>
      <c r="DS2415" s="11"/>
      <c r="DT2415" s="11"/>
      <c r="DU2415" s="11"/>
      <c r="DV2415" s="11"/>
      <c r="DW2415" s="11"/>
      <c r="DX2415" s="11"/>
      <c r="DY2415" s="11"/>
      <c r="DZ2415" s="11"/>
      <c r="EA2415" s="11"/>
      <c r="EB2415" s="11"/>
      <c r="EC2415" s="11"/>
      <c r="ED2415" s="11"/>
      <c r="EE2415" s="11"/>
      <c r="EF2415" s="11"/>
      <c r="EG2415" s="11"/>
      <c r="EH2415" s="11"/>
      <c r="EI2415" s="11"/>
      <c r="EJ2415" s="11"/>
      <c r="EK2415" s="11"/>
      <c r="EL2415" s="11"/>
      <c r="EM2415" s="11"/>
      <c r="EN2415" s="11"/>
      <c r="EO2415" s="11"/>
      <c r="EP2415" s="11"/>
      <c r="EQ2415" s="11"/>
      <c r="ER2415" s="11"/>
      <c r="ES2415" s="11"/>
      <c r="ET2415" s="11"/>
      <c r="EU2415" s="11"/>
      <c r="EV2415" s="11"/>
      <c r="EW2415" s="11"/>
      <c r="EX2415" s="11"/>
      <c r="EY2415" s="11"/>
      <c r="EZ2415" s="11"/>
      <c r="FA2415" s="11"/>
      <c r="FB2415" s="11"/>
      <c r="FC2415" s="11"/>
      <c r="FD2415" s="11"/>
      <c r="FE2415" s="11"/>
      <c r="FF2415" s="11"/>
      <c r="FG2415" s="11"/>
      <c r="FH2415" s="11"/>
      <c r="FI2415" s="11"/>
      <c r="FJ2415" s="11"/>
      <c r="FK2415" s="11"/>
      <c r="FL2415" s="11"/>
      <c r="FM2415" s="11"/>
      <c r="FN2415" s="11"/>
      <c r="FO2415" s="11"/>
      <c r="FP2415" s="11"/>
      <c r="FQ2415" s="11"/>
      <c r="FR2415" s="11"/>
      <c r="FS2415" s="11"/>
      <c r="FT2415" s="11"/>
      <c r="FU2415" s="11"/>
      <c r="FV2415" s="11"/>
      <c r="FW2415" s="11"/>
      <c r="FX2415" s="11"/>
      <c r="FY2415" s="11"/>
      <c r="FZ2415" s="11"/>
      <c r="GA2415" s="11"/>
      <c r="GB2415" s="11"/>
      <c r="GC2415" s="11"/>
      <c r="GD2415" s="11"/>
      <c r="GE2415" s="11"/>
      <c r="GF2415" s="11"/>
      <c r="GG2415" s="11"/>
      <c r="GH2415" s="11"/>
      <c r="GI2415" s="11"/>
      <c r="GJ2415" s="11"/>
      <c r="GK2415" s="11"/>
      <c r="GL2415" s="11"/>
      <c r="GM2415" s="11"/>
      <c r="GN2415" s="11"/>
      <c r="GO2415" s="11"/>
      <c r="GP2415" s="11"/>
      <c r="GQ2415" s="11"/>
      <c r="GR2415" s="11"/>
      <c r="GS2415" s="11"/>
      <c r="GT2415" s="11"/>
      <c r="GU2415" s="11"/>
      <c r="GV2415" s="11"/>
      <c r="GW2415" s="11"/>
      <c r="GX2415" s="11"/>
      <c r="GY2415" s="11"/>
      <c r="GZ2415" s="11"/>
      <c r="HA2415" s="11"/>
      <c r="HB2415" s="11"/>
      <c r="HC2415" s="11"/>
      <c r="HD2415" s="11"/>
      <c r="HE2415" s="11"/>
      <c r="HF2415" s="11"/>
      <c r="HG2415" s="11"/>
      <c r="HH2415" s="11"/>
      <c r="HI2415" s="11"/>
      <c r="HJ2415" s="11"/>
      <c r="HK2415" s="11"/>
      <c r="HL2415" s="11"/>
      <c r="HM2415" s="11"/>
      <c r="HN2415" s="11"/>
      <c r="HO2415" s="11"/>
      <c r="HP2415" s="11"/>
      <c r="HQ2415" s="11"/>
      <c r="HR2415" s="11"/>
      <c r="HS2415" s="11"/>
      <c r="HT2415" s="11"/>
      <c r="HU2415" s="11"/>
      <c r="HV2415" s="11"/>
      <c r="HW2415" s="11"/>
      <c r="HX2415" s="11"/>
      <c r="HY2415" s="11"/>
      <c r="HZ2415" s="11"/>
      <c r="IA2415" s="11"/>
      <c r="IB2415" s="11"/>
      <c r="IC2415" s="11"/>
      <c r="ID2415" s="11"/>
      <c r="IE2415" s="11"/>
      <c r="IF2415" s="11"/>
      <c r="IG2415" s="11"/>
      <c r="IH2415" s="11"/>
      <c r="II2415" s="11"/>
      <c r="IJ2415" s="11"/>
    </row>
    <row r="2416" spans="1:244" s="11" customFormat="1" ht="12.75" customHeight="1">
      <c r="A2416" s="118">
        <v>2415</v>
      </c>
      <c r="B2416" s="128">
        <v>25</v>
      </c>
      <c r="C2416" s="156">
        <v>38777</v>
      </c>
      <c r="D2416" s="157" t="s">
        <v>46</v>
      </c>
      <c r="E2416" s="8">
        <v>2006</v>
      </c>
      <c r="F2416" s="158">
        <f t="shared" si="614"/>
        <v>59</v>
      </c>
      <c r="G2416" s="158">
        <f t="shared" si="615"/>
        <v>1</v>
      </c>
      <c r="H2416" s="162">
        <v>38718</v>
      </c>
      <c r="I2416" s="194">
        <v>699126</v>
      </c>
      <c r="J2416" s="15">
        <v>0.38</v>
      </c>
      <c r="K2416" s="15">
        <v>0.38</v>
      </c>
      <c r="L2416" s="15">
        <v>0</v>
      </c>
      <c r="M2416" s="174"/>
      <c r="N2416" s="528"/>
      <c r="O2416" s="15">
        <v>0.03</v>
      </c>
      <c r="P2416" s="8"/>
      <c r="Q2416" s="11">
        <v>7</v>
      </c>
      <c r="R2416" s="11">
        <v>31</v>
      </c>
      <c r="S2416" s="155"/>
      <c r="T2416" s="161">
        <f t="shared" ref="T2416:T2422" si="620">$I2416*K2416</f>
        <v>265667.88</v>
      </c>
      <c r="U2416" s="161">
        <f t="shared" si="616"/>
        <v>0</v>
      </c>
      <c r="V2416" s="161">
        <f t="shared" si="617"/>
        <v>20973.78</v>
      </c>
      <c r="W2416" s="161">
        <f t="shared" si="618"/>
        <v>8389.5120000000006</v>
      </c>
    </row>
    <row r="2417" spans="1:244" s="11" customFormat="1" ht="12.75" customHeight="1">
      <c r="A2417" s="118">
        <v>2416</v>
      </c>
      <c r="B2417" s="128">
        <v>25</v>
      </c>
      <c r="C2417" s="156">
        <v>38808</v>
      </c>
      <c r="D2417" s="157" t="s">
        <v>47</v>
      </c>
      <c r="E2417" s="8">
        <v>2006</v>
      </c>
      <c r="F2417" s="158">
        <f t="shared" si="614"/>
        <v>90</v>
      </c>
      <c r="G2417" s="158">
        <f t="shared" si="615"/>
        <v>1</v>
      </c>
      <c r="H2417" s="162">
        <v>38718</v>
      </c>
      <c r="I2417" s="194">
        <v>1163855</v>
      </c>
      <c r="J2417" s="15">
        <v>0.28000000000000003</v>
      </c>
      <c r="K2417" s="15">
        <v>0.59</v>
      </c>
      <c r="L2417" s="15">
        <v>0.08</v>
      </c>
      <c r="M2417" s="174">
        <v>0</v>
      </c>
      <c r="N2417" s="528"/>
      <c r="O2417" s="15">
        <v>0.08</v>
      </c>
      <c r="P2417" s="8"/>
      <c r="Q2417" s="11">
        <v>8</v>
      </c>
      <c r="R2417" s="11">
        <v>30</v>
      </c>
      <c r="S2417" s="155"/>
      <c r="T2417" s="161">
        <f t="shared" si="620"/>
        <v>686674.45</v>
      </c>
      <c r="U2417" s="161">
        <f t="shared" si="616"/>
        <v>93108.400000000009</v>
      </c>
      <c r="V2417" s="161">
        <f t="shared" si="617"/>
        <v>93108.400000000009</v>
      </c>
      <c r="W2417" s="161">
        <f t="shared" si="618"/>
        <v>37243.360000000008</v>
      </c>
    </row>
    <row r="2418" spans="1:244" s="11" customFormat="1" ht="12.75" customHeight="1">
      <c r="A2418" s="118">
        <v>2417</v>
      </c>
      <c r="B2418" s="128">
        <v>25</v>
      </c>
      <c r="C2418" s="156">
        <v>38838</v>
      </c>
      <c r="D2418" s="157" t="s">
        <v>48</v>
      </c>
      <c r="E2418" s="8">
        <v>2006</v>
      </c>
      <c r="F2418" s="158">
        <f t="shared" si="614"/>
        <v>120</v>
      </c>
      <c r="G2418" s="158">
        <f t="shared" si="615"/>
        <v>1</v>
      </c>
      <c r="H2418" s="162">
        <v>38718</v>
      </c>
      <c r="I2418" s="194">
        <v>1154403</v>
      </c>
      <c r="J2418" s="15">
        <v>0.28000000000000003</v>
      </c>
      <c r="K2418" s="15">
        <v>0.68</v>
      </c>
      <c r="L2418" s="15">
        <v>0.16</v>
      </c>
      <c r="M2418" s="174"/>
      <c r="N2418" s="528"/>
      <c r="O2418" s="15">
        <v>0.08</v>
      </c>
      <c r="P2418" s="8"/>
      <c r="Q2418" s="11">
        <v>9</v>
      </c>
      <c r="R2418" s="11">
        <v>31</v>
      </c>
      <c r="S2418" s="155"/>
      <c r="T2418" s="161">
        <f t="shared" si="620"/>
        <v>784994.04</v>
      </c>
      <c r="U2418" s="161">
        <f t="shared" si="616"/>
        <v>184704.48</v>
      </c>
      <c r="V2418" s="161">
        <f t="shared" si="617"/>
        <v>92352.24</v>
      </c>
      <c r="W2418" s="161">
        <f t="shared" si="618"/>
        <v>36940.896000000001</v>
      </c>
    </row>
    <row r="2419" spans="1:244" s="11" customFormat="1" ht="12.75" customHeight="1">
      <c r="A2419" s="118">
        <v>2418</v>
      </c>
      <c r="B2419" s="128">
        <v>25</v>
      </c>
      <c r="C2419" s="156">
        <v>38869</v>
      </c>
      <c r="D2419" s="157" t="s">
        <v>49</v>
      </c>
      <c r="E2419" s="8">
        <v>2006</v>
      </c>
      <c r="F2419" s="158">
        <f t="shared" si="614"/>
        <v>151</v>
      </c>
      <c r="G2419" s="158">
        <f t="shared" si="615"/>
        <v>1</v>
      </c>
      <c r="H2419" s="162">
        <v>38718</v>
      </c>
      <c r="I2419" s="194">
        <v>1147820</v>
      </c>
      <c r="J2419" s="173"/>
      <c r="K2419" s="165">
        <f>(K2418+K2420)/2</f>
        <v>0.53</v>
      </c>
      <c r="L2419" s="165">
        <f>(L2418+L2420)/2</f>
        <v>0.11</v>
      </c>
      <c r="M2419" s="174"/>
      <c r="N2419" s="528">
        <v>1</v>
      </c>
      <c r="O2419" s="165">
        <f>(O2418+O2420)/2</f>
        <v>7.0000000000000007E-2</v>
      </c>
      <c r="P2419" s="8"/>
      <c r="S2419" s="155"/>
      <c r="T2419" s="161">
        <f t="shared" si="620"/>
        <v>608344.6</v>
      </c>
      <c r="U2419" s="161">
        <f t="shared" si="616"/>
        <v>126260.2</v>
      </c>
      <c r="V2419" s="161">
        <f t="shared" si="617"/>
        <v>80347.400000000009</v>
      </c>
      <c r="W2419" s="161">
        <f t="shared" si="618"/>
        <v>32138.960000000006</v>
      </c>
    </row>
    <row r="2420" spans="1:244">
      <c r="A2420" s="118">
        <v>2419</v>
      </c>
      <c r="B2420" s="128">
        <v>25</v>
      </c>
      <c r="C2420" s="156">
        <v>38899</v>
      </c>
      <c r="D2420" s="157" t="s">
        <v>50</v>
      </c>
      <c r="E2420" s="8">
        <v>2006</v>
      </c>
      <c r="F2420" s="158">
        <f t="shared" si="614"/>
        <v>181</v>
      </c>
      <c r="G2420" s="158">
        <f t="shared" si="615"/>
        <v>1</v>
      </c>
      <c r="H2420" s="162">
        <v>38718</v>
      </c>
      <c r="I2420" s="194">
        <v>1146635</v>
      </c>
      <c r="J2420" s="15">
        <v>0.23</v>
      </c>
      <c r="K2420" s="15">
        <v>0.38</v>
      </c>
      <c r="L2420" s="15">
        <v>0.06</v>
      </c>
      <c r="O2420" s="15">
        <v>0.06</v>
      </c>
      <c r="Q2420" s="11">
        <v>10</v>
      </c>
      <c r="R2420" s="11">
        <v>30</v>
      </c>
      <c r="T2420" s="161">
        <f t="shared" si="620"/>
        <v>435721.3</v>
      </c>
      <c r="U2420" s="161">
        <f t="shared" si="616"/>
        <v>68798.099999999991</v>
      </c>
      <c r="V2420" s="161">
        <f t="shared" si="617"/>
        <v>68798.099999999991</v>
      </c>
      <c r="W2420" s="161">
        <f t="shared" si="618"/>
        <v>27519.239999999998</v>
      </c>
      <c r="X2420" s="11"/>
      <c r="Y2420" s="11"/>
      <c r="Z2420" s="11"/>
      <c r="AA2420" s="11"/>
      <c r="AB2420" s="11"/>
      <c r="AC2420" s="11"/>
      <c r="AD2420" s="11"/>
      <c r="AE2420" s="11"/>
      <c r="AF2420" s="11"/>
      <c r="AG2420" s="11"/>
      <c r="AH2420" s="11"/>
      <c r="AI2420" s="11"/>
      <c r="AJ2420" s="11"/>
      <c r="AK2420" s="11"/>
      <c r="AL2420" s="11"/>
      <c r="AM2420" s="11"/>
      <c r="AN2420" s="11"/>
      <c r="AO2420" s="11"/>
      <c r="AP2420" s="11"/>
      <c r="AQ2420" s="11"/>
      <c r="AR2420" s="11"/>
      <c r="AS2420" s="11"/>
      <c r="AT2420" s="11"/>
      <c r="AU2420" s="11"/>
      <c r="AV2420" s="11"/>
      <c r="AW2420" s="11"/>
      <c r="AX2420" s="11"/>
      <c r="AY2420" s="11"/>
      <c r="AZ2420" s="11"/>
      <c r="BA2420" s="11"/>
      <c r="BB2420" s="11"/>
      <c r="BC2420" s="11"/>
      <c r="BD2420" s="11"/>
      <c r="BE2420" s="11"/>
      <c r="BF2420" s="11"/>
      <c r="BG2420" s="11"/>
      <c r="BH2420" s="11"/>
      <c r="BI2420" s="11"/>
      <c r="BJ2420" s="11"/>
      <c r="BK2420" s="11"/>
      <c r="BL2420" s="11"/>
      <c r="BM2420" s="11"/>
      <c r="BN2420" s="11"/>
      <c r="BO2420" s="11"/>
      <c r="BP2420" s="11"/>
      <c r="BQ2420" s="11"/>
      <c r="BR2420" s="11"/>
      <c r="BS2420" s="11"/>
      <c r="BT2420" s="11"/>
      <c r="BU2420" s="11"/>
      <c r="BV2420" s="11"/>
      <c r="BW2420" s="11"/>
      <c r="BX2420" s="11"/>
      <c r="BY2420" s="11"/>
      <c r="BZ2420" s="11"/>
      <c r="CA2420" s="11"/>
      <c r="CB2420" s="11"/>
      <c r="CC2420" s="11"/>
      <c r="CD2420" s="11"/>
      <c r="CE2420" s="11"/>
      <c r="CF2420" s="11"/>
      <c r="CG2420" s="11"/>
      <c r="CH2420" s="11"/>
      <c r="CI2420" s="11"/>
      <c r="CJ2420" s="11"/>
      <c r="CK2420" s="11"/>
      <c r="CL2420" s="11"/>
      <c r="CM2420" s="11"/>
      <c r="CN2420" s="11"/>
      <c r="CO2420" s="11"/>
      <c r="CP2420" s="11"/>
      <c r="CQ2420" s="11"/>
      <c r="CR2420" s="11"/>
      <c r="CS2420" s="11"/>
      <c r="CT2420" s="11"/>
      <c r="CU2420" s="11"/>
      <c r="CV2420" s="11"/>
      <c r="CW2420" s="11"/>
      <c r="CX2420" s="11"/>
      <c r="CY2420" s="11"/>
      <c r="CZ2420" s="11"/>
      <c r="DA2420" s="11"/>
      <c r="DB2420" s="11"/>
      <c r="DC2420" s="11"/>
      <c r="DD2420" s="11"/>
      <c r="DE2420" s="11"/>
      <c r="DF2420" s="11"/>
      <c r="DG2420" s="11"/>
      <c r="DH2420" s="11"/>
      <c r="DI2420" s="11"/>
      <c r="DJ2420" s="11"/>
      <c r="DK2420" s="11"/>
      <c r="DL2420" s="11"/>
      <c r="DM2420" s="11"/>
      <c r="DN2420" s="11"/>
      <c r="DO2420" s="11"/>
      <c r="DP2420" s="11"/>
      <c r="DQ2420" s="11"/>
      <c r="DR2420" s="11"/>
      <c r="DS2420" s="11"/>
      <c r="DT2420" s="11"/>
      <c r="DU2420" s="11"/>
      <c r="DV2420" s="11"/>
      <c r="DW2420" s="11"/>
      <c r="DX2420" s="11"/>
      <c r="DY2420" s="11"/>
      <c r="DZ2420" s="11"/>
      <c r="EA2420" s="11"/>
      <c r="EB2420" s="11"/>
      <c r="EC2420" s="11"/>
      <c r="ED2420" s="11"/>
      <c r="EE2420" s="11"/>
      <c r="EF2420" s="11"/>
      <c r="EG2420" s="11"/>
      <c r="EH2420" s="11"/>
      <c r="EI2420" s="11"/>
      <c r="EJ2420" s="11"/>
      <c r="EK2420" s="11"/>
      <c r="EL2420" s="11"/>
      <c r="EM2420" s="11"/>
      <c r="EN2420" s="11"/>
      <c r="EO2420" s="11"/>
      <c r="EP2420" s="11"/>
      <c r="EQ2420" s="11"/>
      <c r="ER2420" s="11"/>
      <c r="ES2420" s="11"/>
      <c r="ET2420" s="11"/>
      <c r="EU2420" s="11"/>
      <c r="EV2420" s="11"/>
      <c r="EW2420" s="11"/>
      <c r="EX2420" s="11"/>
      <c r="EY2420" s="11"/>
      <c r="EZ2420" s="11"/>
      <c r="FA2420" s="11"/>
      <c r="FB2420" s="11"/>
      <c r="FC2420" s="11"/>
      <c r="FD2420" s="11"/>
      <c r="FE2420" s="11"/>
      <c r="FF2420" s="11"/>
      <c r="FG2420" s="11"/>
      <c r="FH2420" s="11"/>
      <c r="FI2420" s="11"/>
      <c r="FJ2420" s="11"/>
      <c r="FK2420" s="11"/>
      <c r="FL2420" s="11"/>
      <c r="FM2420" s="11"/>
      <c r="FN2420" s="11"/>
      <c r="FO2420" s="11"/>
      <c r="FP2420" s="11"/>
      <c r="FQ2420" s="11"/>
      <c r="FR2420" s="11"/>
      <c r="FS2420" s="11"/>
      <c r="FT2420" s="11"/>
      <c r="FU2420" s="11"/>
      <c r="FV2420" s="11"/>
      <c r="FW2420" s="11"/>
      <c r="FX2420" s="11"/>
      <c r="FY2420" s="11"/>
      <c r="FZ2420" s="11"/>
      <c r="GA2420" s="11"/>
      <c r="GB2420" s="11"/>
      <c r="GC2420" s="11"/>
      <c r="GD2420" s="11"/>
      <c r="GE2420" s="11"/>
      <c r="GF2420" s="11"/>
      <c r="GG2420" s="11"/>
      <c r="GH2420" s="11"/>
      <c r="GI2420" s="11"/>
      <c r="GJ2420" s="11"/>
      <c r="GK2420" s="11"/>
      <c r="GL2420" s="11"/>
      <c r="GM2420" s="11"/>
      <c r="GN2420" s="11"/>
      <c r="GO2420" s="11"/>
      <c r="GP2420" s="11"/>
      <c r="GQ2420" s="11"/>
      <c r="GR2420" s="11"/>
      <c r="GS2420" s="11"/>
      <c r="GT2420" s="11"/>
      <c r="GU2420" s="11"/>
      <c r="GV2420" s="11"/>
      <c r="GW2420" s="11"/>
      <c r="GX2420" s="11"/>
      <c r="GY2420" s="11"/>
      <c r="GZ2420" s="11"/>
      <c r="HA2420" s="11"/>
      <c r="HB2420" s="11"/>
      <c r="HC2420" s="11"/>
      <c r="HD2420" s="11"/>
      <c r="HE2420" s="11"/>
      <c r="HF2420" s="11"/>
      <c r="HG2420" s="11"/>
      <c r="HH2420" s="11"/>
      <c r="HI2420" s="11"/>
      <c r="HJ2420" s="11"/>
      <c r="HK2420" s="11"/>
      <c r="HL2420" s="11"/>
      <c r="HM2420" s="11"/>
      <c r="HN2420" s="11"/>
      <c r="HO2420" s="11"/>
      <c r="HP2420" s="11"/>
      <c r="HQ2420" s="11"/>
      <c r="HR2420" s="11"/>
      <c r="HS2420" s="11"/>
      <c r="HT2420" s="11"/>
      <c r="HU2420" s="11"/>
      <c r="HV2420" s="11"/>
      <c r="HW2420" s="11"/>
      <c r="HX2420" s="11"/>
      <c r="HY2420" s="11"/>
      <c r="HZ2420" s="11"/>
      <c r="IA2420" s="11"/>
      <c r="IB2420" s="11"/>
      <c r="IC2420" s="11"/>
      <c r="ID2420" s="11"/>
      <c r="IE2420" s="11"/>
      <c r="IF2420" s="11"/>
      <c r="IG2420" s="11"/>
      <c r="IH2420" s="11"/>
      <c r="II2420" s="11"/>
      <c r="IJ2420" s="11"/>
    </row>
    <row r="2421" spans="1:244">
      <c r="A2421" s="118">
        <v>2420</v>
      </c>
      <c r="B2421" s="128">
        <v>25</v>
      </c>
      <c r="C2421" s="156">
        <v>38930</v>
      </c>
      <c r="D2421" s="157" t="s">
        <v>51</v>
      </c>
      <c r="E2421" s="8">
        <v>2006</v>
      </c>
      <c r="F2421" s="158">
        <f t="shared" si="614"/>
        <v>212</v>
      </c>
      <c r="G2421" s="158">
        <f t="shared" si="615"/>
        <v>1</v>
      </c>
      <c r="H2421" s="162">
        <v>38718</v>
      </c>
      <c r="I2421" s="194">
        <v>555835</v>
      </c>
      <c r="J2421" s="15">
        <v>0.13333329999999999</v>
      </c>
      <c r="K2421" s="15">
        <v>0.45</v>
      </c>
      <c r="L2421" s="15">
        <v>8.3333299999999999E-2</v>
      </c>
      <c r="M2421" s="174">
        <v>0</v>
      </c>
      <c r="O2421" s="15">
        <v>0</v>
      </c>
      <c r="Q2421" s="11">
        <v>10</v>
      </c>
      <c r="R2421" s="11">
        <v>30</v>
      </c>
      <c r="S2421" s="155" t="s">
        <v>338</v>
      </c>
      <c r="T2421" s="161">
        <f t="shared" si="620"/>
        <v>250125.75</v>
      </c>
      <c r="U2421" s="161">
        <f t="shared" si="616"/>
        <v>46319.564805499998</v>
      </c>
      <c r="V2421" s="161">
        <f t="shared" si="617"/>
        <v>0</v>
      </c>
      <c r="W2421" s="161">
        <f t="shared" si="618"/>
        <v>0</v>
      </c>
      <c r="X2421" s="11"/>
      <c r="Y2421" s="11"/>
      <c r="Z2421" s="11"/>
      <c r="AA2421" s="11"/>
      <c r="AB2421" s="11"/>
      <c r="AC2421" s="11"/>
      <c r="AD2421" s="11"/>
      <c r="AE2421" s="11"/>
      <c r="AF2421" s="11"/>
      <c r="AG2421" s="11"/>
      <c r="AH2421" s="11"/>
      <c r="AI2421" s="11"/>
      <c r="AJ2421" s="11"/>
      <c r="AK2421" s="11"/>
      <c r="AL2421" s="11"/>
      <c r="AM2421" s="11"/>
      <c r="AN2421" s="11"/>
      <c r="AO2421" s="11"/>
      <c r="AP2421" s="11"/>
      <c r="AQ2421" s="11"/>
      <c r="AR2421" s="11"/>
      <c r="AS2421" s="11"/>
      <c r="AT2421" s="11"/>
      <c r="AU2421" s="11"/>
      <c r="AV2421" s="11"/>
      <c r="AW2421" s="11"/>
      <c r="AX2421" s="11"/>
      <c r="AY2421" s="11"/>
      <c r="AZ2421" s="11"/>
      <c r="BA2421" s="11"/>
      <c r="BB2421" s="11"/>
      <c r="BC2421" s="11"/>
      <c r="BD2421" s="11"/>
      <c r="BE2421" s="11"/>
      <c r="BF2421" s="11"/>
      <c r="BG2421" s="11"/>
      <c r="BH2421" s="11"/>
      <c r="BI2421" s="11"/>
      <c r="BJ2421" s="11"/>
      <c r="BK2421" s="11"/>
      <c r="BL2421" s="11"/>
      <c r="BM2421" s="11"/>
      <c r="BN2421" s="11"/>
      <c r="BO2421" s="11"/>
      <c r="BP2421" s="11"/>
      <c r="BQ2421" s="11"/>
      <c r="BR2421" s="11"/>
      <c r="BS2421" s="11"/>
      <c r="BT2421" s="11"/>
      <c r="BU2421" s="11"/>
      <c r="BV2421" s="11"/>
      <c r="BW2421" s="11"/>
      <c r="BX2421" s="11"/>
      <c r="BY2421" s="11"/>
      <c r="BZ2421" s="11"/>
      <c r="CA2421" s="11"/>
      <c r="CB2421" s="11"/>
      <c r="CC2421" s="11"/>
      <c r="CD2421" s="11"/>
      <c r="CE2421" s="11"/>
      <c r="CF2421" s="11"/>
      <c r="CG2421" s="11"/>
      <c r="CH2421" s="11"/>
      <c r="CI2421" s="11"/>
      <c r="CJ2421" s="11"/>
      <c r="CK2421" s="11"/>
      <c r="CL2421" s="11"/>
      <c r="CM2421" s="11"/>
      <c r="CN2421" s="11"/>
      <c r="CO2421" s="11"/>
      <c r="CP2421" s="11"/>
      <c r="CQ2421" s="11"/>
      <c r="CR2421" s="11"/>
      <c r="CS2421" s="11"/>
      <c r="CT2421" s="11"/>
      <c r="CU2421" s="11"/>
      <c r="CV2421" s="11"/>
      <c r="CW2421" s="11"/>
      <c r="CX2421" s="11"/>
      <c r="CY2421" s="11"/>
      <c r="CZ2421" s="11"/>
      <c r="DA2421" s="11"/>
      <c r="DB2421" s="11"/>
      <c r="DC2421" s="11"/>
      <c r="DD2421" s="11"/>
      <c r="DE2421" s="11"/>
      <c r="DF2421" s="11"/>
      <c r="DG2421" s="11"/>
      <c r="DH2421" s="11"/>
      <c r="DI2421" s="11"/>
      <c r="DJ2421" s="11"/>
      <c r="DK2421" s="11"/>
      <c r="DL2421" s="11"/>
      <c r="DM2421" s="11"/>
      <c r="DN2421" s="11"/>
      <c r="DO2421" s="11"/>
      <c r="DP2421" s="11"/>
      <c r="DQ2421" s="11"/>
      <c r="DR2421" s="11"/>
      <c r="DS2421" s="11"/>
      <c r="DT2421" s="11"/>
      <c r="DU2421" s="11"/>
      <c r="DV2421" s="11"/>
      <c r="DW2421" s="11"/>
      <c r="DX2421" s="11"/>
      <c r="DY2421" s="11"/>
      <c r="DZ2421" s="11"/>
      <c r="EA2421" s="11"/>
      <c r="EB2421" s="11"/>
      <c r="EC2421" s="11"/>
      <c r="ED2421" s="11"/>
      <c r="EE2421" s="11"/>
      <c r="EF2421" s="11"/>
      <c r="EG2421" s="11"/>
      <c r="EH2421" s="11"/>
      <c r="EI2421" s="11"/>
      <c r="EJ2421" s="11"/>
      <c r="EK2421" s="11"/>
      <c r="EL2421" s="11"/>
      <c r="EM2421" s="11"/>
      <c r="EN2421" s="11"/>
      <c r="EO2421" s="11"/>
      <c r="EP2421" s="11"/>
      <c r="EQ2421" s="11"/>
      <c r="ER2421" s="11"/>
      <c r="ES2421" s="11"/>
      <c r="ET2421" s="11"/>
      <c r="EU2421" s="11"/>
      <c r="EV2421" s="11"/>
      <c r="EW2421" s="11"/>
      <c r="EX2421" s="11"/>
      <c r="EY2421" s="11"/>
      <c r="EZ2421" s="11"/>
      <c r="FA2421" s="11"/>
      <c r="FB2421" s="11"/>
      <c r="FC2421" s="11"/>
      <c r="FD2421" s="11"/>
      <c r="FE2421" s="11"/>
      <c r="FF2421" s="11"/>
      <c r="FG2421" s="11"/>
      <c r="FH2421" s="11"/>
      <c r="FI2421" s="11"/>
      <c r="FJ2421" s="11"/>
      <c r="FK2421" s="11"/>
      <c r="FL2421" s="11"/>
      <c r="FM2421" s="11"/>
      <c r="FN2421" s="11"/>
      <c r="FO2421" s="11"/>
      <c r="FP2421" s="11"/>
      <c r="FQ2421" s="11"/>
      <c r="FR2421" s="11"/>
      <c r="FS2421" s="11"/>
      <c r="FT2421" s="11"/>
      <c r="FU2421" s="11"/>
      <c r="FV2421" s="11"/>
      <c r="FW2421" s="11"/>
      <c r="FX2421" s="11"/>
      <c r="FY2421" s="11"/>
      <c r="FZ2421" s="11"/>
      <c r="GA2421" s="11"/>
      <c r="GB2421" s="11"/>
      <c r="GC2421" s="11"/>
      <c r="GD2421" s="11"/>
      <c r="GE2421" s="11"/>
      <c r="GF2421" s="11"/>
      <c r="GG2421" s="11"/>
      <c r="GH2421" s="11"/>
      <c r="GI2421" s="11"/>
      <c r="GJ2421" s="11"/>
      <c r="GK2421" s="11"/>
      <c r="GL2421" s="11"/>
      <c r="GM2421" s="11"/>
      <c r="GN2421" s="11"/>
      <c r="GO2421" s="11"/>
      <c r="GP2421" s="11"/>
      <c r="GQ2421" s="11"/>
      <c r="GR2421" s="11"/>
      <c r="GS2421" s="11"/>
      <c r="GT2421" s="11"/>
      <c r="GU2421" s="11"/>
      <c r="GV2421" s="11"/>
      <c r="GW2421" s="11"/>
      <c r="GX2421" s="11"/>
      <c r="GY2421" s="11"/>
      <c r="GZ2421" s="11"/>
      <c r="HA2421" s="11"/>
      <c r="HB2421" s="11"/>
      <c r="HC2421" s="11"/>
      <c r="HD2421" s="11"/>
      <c r="HE2421" s="11"/>
      <c r="HF2421" s="11"/>
      <c r="HG2421" s="11"/>
      <c r="HH2421" s="11"/>
      <c r="HI2421" s="11"/>
      <c r="HJ2421" s="11"/>
      <c r="HK2421" s="11"/>
      <c r="HL2421" s="11"/>
      <c r="HM2421" s="11"/>
      <c r="HN2421" s="11"/>
      <c r="HO2421" s="11"/>
      <c r="HP2421" s="11"/>
      <c r="HQ2421" s="11"/>
      <c r="HR2421" s="11"/>
      <c r="HS2421" s="11"/>
      <c r="HT2421" s="11"/>
      <c r="HU2421" s="11"/>
      <c r="HV2421" s="11"/>
      <c r="HW2421" s="11"/>
      <c r="HX2421" s="11"/>
      <c r="HY2421" s="11"/>
      <c r="HZ2421" s="11"/>
      <c r="IA2421" s="11"/>
      <c r="IB2421" s="11"/>
      <c r="IC2421" s="11"/>
      <c r="ID2421" s="11"/>
      <c r="IE2421" s="11"/>
      <c r="IF2421" s="11"/>
      <c r="IG2421" s="11"/>
      <c r="IH2421" s="11"/>
      <c r="II2421" s="11"/>
      <c r="IJ2421" s="11"/>
    </row>
    <row r="2422" spans="1:244">
      <c r="A2422" s="118">
        <v>2421</v>
      </c>
      <c r="B2422" s="128">
        <v>25</v>
      </c>
      <c r="C2422" s="181">
        <v>38961</v>
      </c>
      <c r="D2422" s="157" t="s">
        <v>52</v>
      </c>
      <c r="E2422" s="8">
        <v>2006</v>
      </c>
      <c r="F2422" s="158">
        <f t="shared" si="614"/>
        <v>243</v>
      </c>
      <c r="G2422" s="158">
        <f t="shared" si="615"/>
        <v>1</v>
      </c>
      <c r="H2422" s="172">
        <v>38718</v>
      </c>
      <c r="I2422" s="194">
        <v>310253</v>
      </c>
      <c r="J2422" s="173">
        <v>1.87</v>
      </c>
      <c r="K2422" s="173">
        <v>0.6</v>
      </c>
      <c r="L2422" s="173">
        <v>0.05</v>
      </c>
      <c r="O2422" s="173">
        <v>0.47</v>
      </c>
      <c r="P2422" s="170"/>
      <c r="Q2422" s="128">
        <v>9</v>
      </c>
      <c r="R2422" s="128">
        <v>28</v>
      </c>
      <c r="S2422" s="180" t="s">
        <v>333</v>
      </c>
      <c r="T2422" s="161">
        <f t="shared" si="620"/>
        <v>186151.8</v>
      </c>
      <c r="U2422" s="161">
        <f t="shared" si="616"/>
        <v>15512.650000000001</v>
      </c>
      <c r="V2422" s="161">
        <f t="shared" si="617"/>
        <v>145818.91</v>
      </c>
      <c r="W2422" s="161">
        <f t="shared" si="618"/>
        <v>58327.564000000006</v>
      </c>
      <c r="X2422" s="11"/>
      <c r="Y2422" s="11"/>
      <c r="Z2422" s="11"/>
      <c r="AA2422" s="11"/>
      <c r="AB2422" s="11"/>
      <c r="AC2422" s="11"/>
      <c r="AD2422" s="11"/>
      <c r="AE2422" s="11"/>
      <c r="AF2422" s="11"/>
      <c r="AG2422" s="11"/>
      <c r="AH2422" s="11"/>
      <c r="AI2422" s="11"/>
      <c r="AJ2422" s="11"/>
      <c r="AK2422" s="11"/>
      <c r="AL2422" s="11"/>
      <c r="AM2422" s="11"/>
      <c r="AN2422" s="11"/>
      <c r="AO2422" s="11"/>
      <c r="AP2422" s="11"/>
      <c r="AQ2422" s="11"/>
      <c r="AR2422" s="11"/>
      <c r="AS2422" s="11"/>
      <c r="AT2422" s="11"/>
      <c r="AU2422" s="11"/>
      <c r="AV2422" s="11"/>
      <c r="AW2422" s="11"/>
      <c r="AX2422" s="11"/>
      <c r="AY2422" s="11"/>
      <c r="AZ2422" s="11"/>
      <c r="BA2422" s="11"/>
      <c r="BB2422" s="11"/>
      <c r="BC2422" s="11"/>
      <c r="BD2422" s="11"/>
      <c r="BE2422" s="11"/>
      <c r="BF2422" s="11"/>
      <c r="BG2422" s="11"/>
      <c r="BH2422" s="11"/>
      <c r="BI2422" s="11"/>
      <c r="BJ2422" s="11"/>
      <c r="BK2422" s="11"/>
      <c r="BL2422" s="11"/>
      <c r="BM2422" s="11"/>
      <c r="BN2422" s="11"/>
      <c r="BO2422" s="11"/>
      <c r="BP2422" s="11"/>
      <c r="BQ2422" s="11"/>
      <c r="BR2422" s="11"/>
      <c r="BS2422" s="11"/>
      <c r="BT2422" s="11"/>
      <c r="BU2422" s="11"/>
      <c r="BV2422" s="11"/>
      <c r="BW2422" s="11"/>
      <c r="BX2422" s="11"/>
      <c r="BY2422" s="11"/>
      <c r="BZ2422" s="11"/>
      <c r="CA2422" s="11"/>
      <c r="CB2422" s="11"/>
      <c r="CC2422" s="11"/>
      <c r="CD2422" s="11"/>
      <c r="CE2422" s="11"/>
      <c r="CF2422" s="11"/>
      <c r="CG2422" s="11"/>
      <c r="CH2422" s="11"/>
      <c r="CI2422" s="11"/>
      <c r="CJ2422" s="11"/>
      <c r="CK2422" s="11"/>
      <c r="CL2422" s="11"/>
      <c r="CM2422" s="11"/>
      <c r="CN2422" s="11"/>
      <c r="CO2422" s="11"/>
      <c r="CP2422" s="11"/>
      <c r="CQ2422" s="11"/>
      <c r="CR2422" s="11"/>
      <c r="CS2422" s="11"/>
      <c r="CT2422" s="11"/>
      <c r="CU2422" s="11"/>
      <c r="CV2422" s="11"/>
      <c r="CW2422" s="11"/>
      <c r="CX2422" s="11"/>
      <c r="CY2422" s="11"/>
      <c r="CZ2422" s="11"/>
      <c r="DA2422" s="11"/>
      <c r="DB2422" s="11"/>
      <c r="DC2422" s="11"/>
      <c r="DD2422" s="11"/>
      <c r="DE2422" s="11"/>
      <c r="DF2422" s="11"/>
      <c r="DG2422" s="11"/>
      <c r="DH2422" s="11"/>
      <c r="DI2422" s="11"/>
      <c r="DJ2422" s="11"/>
      <c r="DK2422" s="11"/>
      <c r="DL2422" s="11"/>
      <c r="DM2422" s="11"/>
      <c r="DN2422" s="11"/>
      <c r="DO2422" s="11"/>
      <c r="DP2422" s="11"/>
      <c r="DQ2422" s="11"/>
      <c r="DR2422" s="11"/>
      <c r="DS2422" s="11"/>
      <c r="DT2422" s="11"/>
      <c r="DU2422" s="11"/>
      <c r="DV2422" s="11"/>
      <c r="DW2422" s="11"/>
      <c r="DX2422" s="11"/>
      <c r="DY2422" s="11"/>
      <c r="DZ2422" s="11"/>
      <c r="EA2422" s="11"/>
      <c r="EB2422" s="11"/>
      <c r="EC2422" s="11"/>
      <c r="ED2422" s="11"/>
      <c r="EE2422" s="11"/>
      <c r="EF2422" s="11"/>
      <c r="EG2422" s="11"/>
      <c r="EH2422" s="11"/>
      <c r="EI2422" s="11"/>
      <c r="EJ2422" s="11"/>
      <c r="EK2422" s="11"/>
      <c r="EL2422" s="11"/>
      <c r="EM2422" s="11"/>
      <c r="EN2422" s="11"/>
      <c r="EO2422" s="11"/>
      <c r="EP2422" s="11"/>
      <c r="EQ2422" s="11"/>
      <c r="ER2422" s="11"/>
      <c r="ES2422" s="11"/>
      <c r="ET2422" s="11"/>
      <c r="EU2422" s="11"/>
      <c r="EV2422" s="11"/>
      <c r="EW2422" s="11"/>
      <c r="EX2422" s="11"/>
      <c r="EY2422" s="11"/>
      <c r="EZ2422" s="11"/>
      <c r="FA2422" s="11"/>
      <c r="FB2422" s="11"/>
      <c r="FC2422" s="11"/>
      <c r="FD2422" s="11"/>
      <c r="FE2422" s="11"/>
      <c r="FF2422" s="11"/>
      <c r="FG2422" s="11"/>
      <c r="FH2422" s="11"/>
      <c r="FI2422" s="11"/>
      <c r="FJ2422" s="11"/>
      <c r="FK2422" s="11"/>
      <c r="FL2422" s="11"/>
      <c r="FM2422" s="11"/>
      <c r="FN2422" s="11"/>
      <c r="FO2422" s="11"/>
      <c r="FP2422" s="11"/>
      <c r="FQ2422" s="11"/>
      <c r="FR2422" s="11"/>
      <c r="FS2422" s="11"/>
      <c r="FT2422" s="11"/>
      <c r="FU2422" s="11"/>
      <c r="FV2422" s="11"/>
      <c r="FW2422" s="11"/>
      <c r="FX2422" s="11"/>
      <c r="FY2422" s="11"/>
      <c r="FZ2422" s="11"/>
      <c r="GA2422" s="11"/>
      <c r="GB2422" s="11"/>
      <c r="GC2422" s="11"/>
      <c r="GD2422" s="11"/>
      <c r="GE2422" s="11"/>
      <c r="GF2422" s="11"/>
      <c r="GG2422" s="11"/>
      <c r="GH2422" s="11"/>
      <c r="GI2422" s="11"/>
      <c r="GJ2422" s="11"/>
      <c r="GK2422" s="11"/>
      <c r="GL2422" s="11"/>
      <c r="GM2422" s="11"/>
      <c r="GN2422" s="11"/>
      <c r="GO2422" s="11"/>
      <c r="GP2422" s="11"/>
      <c r="GQ2422" s="11"/>
      <c r="GR2422" s="11"/>
      <c r="GS2422" s="11"/>
      <c r="GT2422" s="11"/>
      <c r="GU2422" s="11"/>
      <c r="GV2422" s="11"/>
      <c r="GW2422" s="11"/>
      <c r="GX2422" s="11"/>
      <c r="GY2422" s="11"/>
      <c r="GZ2422" s="11"/>
      <c r="HA2422" s="11"/>
      <c r="HB2422" s="11"/>
      <c r="HC2422" s="11"/>
      <c r="HD2422" s="11"/>
      <c r="HE2422" s="11"/>
      <c r="HF2422" s="11"/>
      <c r="HG2422" s="11"/>
      <c r="HH2422" s="11"/>
      <c r="HI2422" s="11"/>
      <c r="HJ2422" s="11"/>
      <c r="HK2422" s="11"/>
      <c r="HL2422" s="11"/>
      <c r="HM2422" s="11"/>
      <c r="HN2422" s="11"/>
      <c r="HO2422" s="11"/>
      <c r="HP2422" s="11"/>
      <c r="HQ2422" s="11"/>
      <c r="HR2422" s="11"/>
      <c r="HS2422" s="11"/>
      <c r="HT2422" s="11"/>
      <c r="HU2422" s="11"/>
      <c r="HV2422" s="11"/>
      <c r="HW2422" s="11"/>
      <c r="HX2422" s="11"/>
      <c r="HY2422" s="11"/>
      <c r="HZ2422" s="11"/>
      <c r="IA2422" s="11"/>
      <c r="IB2422" s="11"/>
      <c r="IC2422" s="11"/>
      <c r="ID2422" s="11"/>
      <c r="IE2422" s="11"/>
      <c r="IF2422" s="11"/>
      <c r="IG2422" s="11"/>
      <c r="IH2422" s="11"/>
      <c r="II2422" s="11"/>
      <c r="IJ2422" s="11"/>
    </row>
    <row r="2423" spans="1:244">
      <c r="A2423" s="118">
        <v>2422</v>
      </c>
      <c r="B2423" s="128">
        <v>25</v>
      </c>
      <c r="C2423" s="181">
        <v>38991</v>
      </c>
      <c r="D2423" s="157" t="s">
        <v>53</v>
      </c>
      <c r="E2423" s="8">
        <v>2006</v>
      </c>
      <c r="F2423" s="158"/>
      <c r="G2423" s="128"/>
      <c r="H2423" s="172"/>
      <c r="I2423" s="194"/>
      <c r="J2423" s="173"/>
      <c r="K2423" s="173"/>
      <c r="L2423" s="173"/>
      <c r="O2423" s="173"/>
      <c r="P2423" s="170"/>
      <c r="Q2423" s="128"/>
      <c r="R2423" s="128"/>
      <c r="S2423" s="180"/>
      <c r="T2423" s="191"/>
      <c r="U2423" s="202"/>
      <c r="V2423" s="191"/>
      <c r="W2423" s="191"/>
      <c r="X2423" s="11"/>
      <c r="Y2423" s="11"/>
      <c r="Z2423" s="11"/>
      <c r="AA2423" s="11"/>
      <c r="AB2423" s="11"/>
      <c r="AC2423" s="11"/>
      <c r="AD2423" s="11"/>
      <c r="AE2423" s="11"/>
      <c r="AF2423" s="11"/>
      <c r="AG2423" s="11"/>
      <c r="AH2423" s="11"/>
      <c r="AI2423" s="11"/>
      <c r="AJ2423" s="11"/>
      <c r="AK2423" s="11"/>
      <c r="AL2423" s="11"/>
      <c r="AM2423" s="11"/>
      <c r="AN2423" s="11"/>
      <c r="AO2423" s="11"/>
      <c r="AP2423" s="11"/>
      <c r="AQ2423" s="11"/>
      <c r="AR2423" s="11"/>
      <c r="AS2423" s="11"/>
      <c r="AT2423" s="11"/>
      <c r="AU2423" s="11"/>
      <c r="AV2423" s="11"/>
      <c r="AW2423" s="11"/>
      <c r="AX2423" s="11"/>
      <c r="AY2423" s="11"/>
      <c r="AZ2423" s="11"/>
      <c r="BA2423" s="11"/>
      <c r="BB2423" s="11"/>
      <c r="BC2423" s="11"/>
      <c r="BD2423" s="11"/>
      <c r="BE2423" s="11"/>
      <c r="BF2423" s="11"/>
      <c r="BG2423" s="11"/>
      <c r="BH2423" s="11"/>
      <c r="BI2423" s="11"/>
      <c r="BJ2423" s="11"/>
      <c r="BK2423" s="11"/>
      <c r="BL2423" s="11"/>
      <c r="BM2423" s="11"/>
      <c r="BN2423" s="11"/>
      <c r="BO2423" s="11"/>
      <c r="BP2423" s="11"/>
      <c r="BQ2423" s="11"/>
      <c r="BR2423" s="11"/>
      <c r="BS2423" s="11"/>
      <c r="BT2423" s="11"/>
      <c r="BU2423" s="11"/>
      <c r="BV2423" s="11"/>
      <c r="BW2423" s="11"/>
      <c r="BX2423" s="11"/>
      <c r="BY2423" s="11"/>
      <c r="BZ2423" s="11"/>
      <c r="CA2423" s="11"/>
      <c r="CB2423" s="11"/>
      <c r="CC2423" s="11"/>
      <c r="CD2423" s="11"/>
      <c r="CE2423" s="11"/>
      <c r="CF2423" s="11"/>
      <c r="CG2423" s="11"/>
      <c r="CH2423" s="11"/>
      <c r="CI2423" s="11"/>
      <c r="CJ2423" s="11"/>
      <c r="CK2423" s="11"/>
      <c r="CL2423" s="11"/>
      <c r="CM2423" s="11"/>
      <c r="CN2423" s="11"/>
      <c r="CO2423" s="11"/>
      <c r="CP2423" s="11"/>
      <c r="CQ2423" s="11"/>
      <c r="CR2423" s="11"/>
      <c r="CS2423" s="11"/>
      <c r="CT2423" s="11"/>
      <c r="CU2423" s="11"/>
      <c r="CV2423" s="11"/>
      <c r="CW2423" s="11"/>
      <c r="CX2423" s="11"/>
      <c r="CY2423" s="11"/>
      <c r="CZ2423" s="11"/>
      <c r="DA2423" s="11"/>
      <c r="DB2423" s="11"/>
      <c r="DC2423" s="11"/>
      <c r="DD2423" s="11"/>
      <c r="DE2423" s="11"/>
      <c r="DF2423" s="11"/>
      <c r="DG2423" s="11"/>
      <c r="DH2423" s="11"/>
      <c r="DI2423" s="11"/>
      <c r="DJ2423" s="11"/>
      <c r="DK2423" s="11"/>
      <c r="DL2423" s="11"/>
      <c r="DM2423" s="11"/>
      <c r="DN2423" s="11"/>
      <c r="DO2423" s="11"/>
      <c r="DP2423" s="11"/>
      <c r="DQ2423" s="11"/>
      <c r="DR2423" s="11"/>
      <c r="DS2423" s="11"/>
      <c r="DT2423" s="11"/>
      <c r="DU2423" s="11"/>
      <c r="DV2423" s="11"/>
      <c r="DW2423" s="11"/>
      <c r="DX2423" s="11"/>
      <c r="DY2423" s="11"/>
      <c r="DZ2423" s="11"/>
      <c r="EA2423" s="11"/>
      <c r="EB2423" s="11"/>
      <c r="EC2423" s="11"/>
      <c r="ED2423" s="11"/>
      <c r="EE2423" s="11"/>
      <c r="EF2423" s="11"/>
      <c r="EG2423" s="11"/>
      <c r="EH2423" s="11"/>
      <c r="EI2423" s="11"/>
      <c r="EJ2423" s="11"/>
      <c r="EK2423" s="11"/>
      <c r="EL2423" s="11"/>
      <c r="EM2423" s="11"/>
      <c r="EN2423" s="11"/>
      <c r="EO2423" s="11"/>
      <c r="EP2423" s="11"/>
      <c r="EQ2423" s="11"/>
      <c r="ER2423" s="11"/>
      <c r="ES2423" s="11"/>
      <c r="ET2423" s="11"/>
      <c r="EU2423" s="11"/>
      <c r="EV2423" s="11"/>
      <c r="EW2423" s="11"/>
      <c r="EX2423" s="11"/>
      <c r="EY2423" s="11"/>
      <c r="EZ2423" s="11"/>
      <c r="FA2423" s="11"/>
      <c r="FB2423" s="11"/>
      <c r="FC2423" s="11"/>
      <c r="FD2423" s="11"/>
      <c r="FE2423" s="11"/>
      <c r="FF2423" s="11"/>
      <c r="FG2423" s="11"/>
      <c r="FH2423" s="11"/>
      <c r="FI2423" s="11"/>
      <c r="FJ2423" s="11"/>
      <c r="FK2423" s="11"/>
      <c r="FL2423" s="11"/>
      <c r="FM2423" s="11"/>
      <c r="FN2423" s="11"/>
      <c r="FO2423" s="11"/>
      <c r="FP2423" s="11"/>
      <c r="FQ2423" s="11"/>
      <c r="FR2423" s="11"/>
      <c r="FS2423" s="11"/>
      <c r="FT2423" s="11"/>
      <c r="FU2423" s="11"/>
      <c r="FV2423" s="11"/>
      <c r="FW2423" s="11"/>
      <c r="FX2423" s="11"/>
      <c r="FY2423" s="11"/>
      <c r="FZ2423" s="11"/>
      <c r="GA2423" s="11"/>
      <c r="GB2423" s="11"/>
      <c r="GC2423" s="11"/>
      <c r="GD2423" s="11"/>
      <c r="GE2423" s="11"/>
      <c r="GF2423" s="11"/>
      <c r="GG2423" s="11"/>
      <c r="GH2423" s="11"/>
      <c r="GI2423" s="11"/>
      <c r="GJ2423" s="11"/>
      <c r="GK2423" s="11"/>
      <c r="GL2423" s="11"/>
      <c r="GM2423" s="11"/>
      <c r="GN2423" s="11"/>
      <c r="GO2423" s="11"/>
      <c r="GP2423" s="11"/>
      <c r="GQ2423" s="11"/>
      <c r="GR2423" s="11"/>
      <c r="GS2423" s="11"/>
      <c r="GT2423" s="11"/>
      <c r="GU2423" s="11"/>
      <c r="GV2423" s="11"/>
      <c r="GW2423" s="11"/>
      <c r="GX2423" s="11"/>
      <c r="GY2423" s="11"/>
      <c r="GZ2423" s="11"/>
      <c r="HA2423" s="11"/>
      <c r="HB2423" s="11"/>
      <c r="HC2423" s="11"/>
      <c r="HD2423" s="11"/>
      <c r="HE2423" s="11"/>
      <c r="HF2423" s="11"/>
      <c r="HG2423" s="11"/>
      <c r="HH2423" s="11"/>
      <c r="HI2423" s="11"/>
      <c r="HJ2423" s="11"/>
      <c r="HK2423" s="11"/>
      <c r="HL2423" s="11"/>
      <c r="HM2423" s="11"/>
      <c r="HN2423" s="11"/>
      <c r="HO2423" s="11"/>
      <c r="HP2423" s="11"/>
      <c r="HQ2423" s="11"/>
      <c r="HR2423" s="11"/>
      <c r="HS2423" s="11"/>
      <c r="HT2423" s="11"/>
      <c r="HU2423" s="11"/>
      <c r="HV2423" s="11"/>
      <c r="HW2423" s="11"/>
      <c r="HX2423" s="11"/>
      <c r="HY2423" s="11"/>
      <c r="HZ2423" s="11"/>
      <c r="IA2423" s="11"/>
      <c r="IB2423" s="11"/>
      <c r="IC2423" s="11"/>
      <c r="ID2423" s="11"/>
      <c r="IE2423" s="11"/>
      <c r="IF2423" s="11"/>
      <c r="IG2423" s="11"/>
      <c r="IH2423" s="11"/>
      <c r="II2423" s="11"/>
      <c r="IJ2423" s="11"/>
    </row>
    <row r="2424" spans="1:244">
      <c r="A2424" s="118">
        <v>2423</v>
      </c>
      <c r="B2424" s="128">
        <v>25</v>
      </c>
      <c r="C2424" s="181">
        <v>39022</v>
      </c>
      <c r="D2424" s="157" t="s">
        <v>54</v>
      </c>
      <c r="E2424" s="8">
        <v>2006</v>
      </c>
      <c r="F2424" s="158"/>
      <c r="G2424" s="128"/>
      <c r="H2424" s="172"/>
      <c r="I2424" s="194"/>
      <c r="J2424" s="173"/>
      <c r="K2424" s="173"/>
      <c r="L2424" s="173"/>
      <c r="O2424" s="173"/>
      <c r="P2424" s="170"/>
      <c r="Q2424" s="128"/>
      <c r="R2424" s="128"/>
      <c r="S2424" s="180"/>
      <c r="T2424" s="191"/>
      <c r="U2424" s="202"/>
      <c r="V2424" s="191"/>
      <c r="W2424" s="191"/>
      <c r="X2424" s="11"/>
      <c r="Y2424" s="11"/>
      <c r="Z2424" s="11"/>
      <c r="AA2424" s="11"/>
      <c r="AB2424" s="11"/>
      <c r="AC2424" s="11"/>
      <c r="AD2424" s="11"/>
      <c r="AE2424" s="11"/>
      <c r="AF2424" s="11"/>
      <c r="AG2424" s="11"/>
      <c r="AH2424" s="11"/>
      <c r="AI2424" s="11"/>
      <c r="AJ2424" s="11"/>
      <c r="AK2424" s="11"/>
      <c r="AL2424" s="11"/>
      <c r="AM2424" s="11"/>
      <c r="AN2424" s="11"/>
      <c r="AO2424" s="11"/>
      <c r="AP2424" s="11"/>
      <c r="AQ2424" s="11"/>
      <c r="AR2424" s="11"/>
      <c r="AS2424" s="11"/>
      <c r="AT2424" s="11"/>
      <c r="AU2424" s="11"/>
      <c r="AV2424" s="11"/>
      <c r="AW2424" s="11"/>
      <c r="AX2424" s="11"/>
      <c r="AY2424" s="11"/>
      <c r="AZ2424" s="11"/>
      <c r="BA2424" s="11"/>
      <c r="BB2424" s="11"/>
      <c r="BC2424" s="11"/>
      <c r="BD2424" s="11"/>
      <c r="BE2424" s="11"/>
      <c r="BF2424" s="11"/>
      <c r="BG2424" s="11"/>
      <c r="BH2424" s="11"/>
      <c r="BI2424" s="11"/>
      <c r="BJ2424" s="11"/>
      <c r="BK2424" s="11"/>
      <c r="BL2424" s="11"/>
      <c r="BM2424" s="11"/>
      <c r="BN2424" s="11"/>
      <c r="BO2424" s="11"/>
      <c r="BP2424" s="11"/>
      <c r="BQ2424" s="11"/>
      <c r="BR2424" s="11"/>
      <c r="BS2424" s="11"/>
      <c r="BT2424" s="11"/>
      <c r="BU2424" s="11"/>
      <c r="BV2424" s="11"/>
      <c r="BW2424" s="11"/>
      <c r="BX2424" s="11"/>
      <c r="BY2424" s="11"/>
      <c r="BZ2424" s="11"/>
      <c r="CA2424" s="11"/>
      <c r="CB2424" s="11"/>
      <c r="CC2424" s="11"/>
      <c r="CD2424" s="11"/>
      <c r="CE2424" s="11"/>
      <c r="CF2424" s="11"/>
      <c r="CG2424" s="11"/>
      <c r="CH2424" s="11"/>
      <c r="CI2424" s="11"/>
      <c r="CJ2424" s="11"/>
      <c r="CK2424" s="11"/>
      <c r="CL2424" s="11"/>
      <c r="CM2424" s="11"/>
      <c r="CN2424" s="11"/>
      <c r="CO2424" s="11"/>
      <c r="CP2424" s="11"/>
      <c r="CQ2424" s="11"/>
      <c r="CR2424" s="11"/>
      <c r="CS2424" s="11"/>
      <c r="CT2424" s="11"/>
      <c r="CU2424" s="11"/>
      <c r="CV2424" s="11"/>
      <c r="CW2424" s="11"/>
      <c r="CX2424" s="11"/>
      <c r="CY2424" s="11"/>
      <c r="CZ2424" s="11"/>
      <c r="DA2424" s="11"/>
      <c r="DB2424" s="11"/>
      <c r="DC2424" s="11"/>
      <c r="DD2424" s="11"/>
      <c r="DE2424" s="11"/>
      <c r="DF2424" s="11"/>
      <c r="DG2424" s="11"/>
      <c r="DH2424" s="11"/>
      <c r="DI2424" s="11"/>
      <c r="DJ2424" s="11"/>
      <c r="DK2424" s="11"/>
      <c r="DL2424" s="11"/>
      <c r="DM2424" s="11"/>
      <c r="DN2424" s="11"/>
      <c r="DO2424" s="11"/>
      <c r="DP2424" s="11"/>
      <c r="DQ2424" s="11"/>
      <c r="DR2424" s="11"/>
      <c r="DS2424" s="11"/>
      <c r="DT2424" s="11"/>
      <c r="DU2424" s="11"/>
      <c r="DV2424" s="11"/>
      <c r="DW2424" s="11"/>
      <c r="DX2424" s="11"/>
      <c r="DY2424" s="11"/>
      <c r="DZ2424" s="11"/>
      <c r="EA2424" s="11"/>
      <c r="EB2424" s="11"/>
      <c r="EC2424" s="11"/>
      <c r="ED2424" s="11"/>
      <c r="EE2424" s="11"/>
      <c r="EF2424" s="11"/>
      <c r="EG2424" s="11"/>
      <c r="EH2424" s="11"/>
      <c r="EI2424" s="11"/>
      <c r="EJ2424" s="11"/>
      <c r="EK2424" s="11"/>
      <c r="EL2424" s="11"/>
      <c r="EM2424" s="11"/>
      <c r="EN2424" s="11"/>
      <c r="EO2424" s="11"/>
      <c r="EP2424" s="11"/>
      <c r="EQ2424" s="11"/>
      <c r="ER2424" s="11"/>
      <c r="ES2424" s="11"/>
      <c r="ET2424" s="11"/>
      <c r="EU2424" s="11"/>
      <c r="EV2424" s="11"/>
      <c r="EW2424" s="11"/>
      <c r="EX2424" s="11"/>
      <c r="EY2424" s="11"/>
      <c r="EZ2424" s="11"/>
      <c r="FA2424" s="11"/>
      <c r="FB2424" s="11"/>
      <c r="FC2424" s="11"/>
      <c r="FD2424" s="11"/>
      <c r="FE2424" s="11"/>
      <c r="FF2424" s="11"/>
      <c r="FG2424" s="11"/>
      <c r="FH2424" s="11"/>
      <c r="FI2424" s="11"/>
      <c r="FJ2424" s="11"/>
      <c r="FK2424" s="11"/>
      <c r="FL2424" s="11"/>
      <c r="FM2424" s="11"/>
      <c r="FN2424" s="11"/>
      <c r="FO2424" s="11"/>
      <c r="FP2424" s="11"/>
      <c r="FQ2424" s="11"/>
      <c r="FR2424" s="11"/>
      <c r="FS2424" s="11"/>
      <c r="FT2424" s="11"/>
      <c r="FU2424" s="11"/>
      <c r="FV2424" s="11"/>
      <c r="FW2424" s="11"/>
      <c r="FX2424" s="11"/>
      <c r="FY2424" s="11"/>
      <c r="FZ2424" s="11"/>
      <c r="GA2424" s="11"/>
      <c r="GB2424" s="11"/>
      <c r="GC2424" s="11"/>
      <c r="GD2424" s="11"/>
      <c r="GE2424" s="11"/>
      <c r="GF2424" s="11"/>
      <c r="GG2424" s="11"/>
      <c r="GH2424" s="11"/>
      <c r="GI2424" s="11"/>
      <c r="GJ2424" s="11"/>
      <c r="GK2424" s="11"/>
      <c r="GL2424" s="11"/>
      <c r="GM2424" s="11"/>
      <c r="GN2424" s="11"/>
      <c r="GO2424" s="11"/>
      <c r="GP2424" s="11"/>
      <c r="GQ2424" s="11"/>
      <c r="GR2424" s="11"/>
      <c r="GS2424" s="11"/>
      <c r="GT2424" s="11"/>
      <c r="GU2424" s="11"/>
      <c r="GV2424" s="11"/>
      <c r="GW2424" s="11"/>
      <c r="GX2424" s="11"/>
      <c r="GY2424" s="11"/>
      <c r="GZ2424" s="11"/>
      <c r="HA2424" s="11"/>
      <c r="HB2424" s="11"/>
      <c r="HC2424" s="11"/>
      <c r="HD2424" s="11"/>
      <c r="HE2424" s="11"/>
      <c r="HF2424" s="11"/>
      <c r="HG2424" s="11"/>
      <c r="HH2424" s="11"/>
      <c r="HI2424" s="11"/>
      <c r="HJ2424" s="11"/>
      <c r="HK2424" s="11"/>
      <c r="HL2424" s="11"/>
      <c r="HM2424" s="11"/>
      <c r="HN2424" s="11"/>
      <c r="HO2424" s="11"/>
      <c r="HP2424" s="11"/>
      <c r="HQ2424" s="11"/>
      <c r="HR2424" s="11"/>
      <c r="HS2424" s="11"/>
      <c r="HT2424" s="11"/>
      <c r="HU2424" s="11"/>
      <c r="HV2424" s="11"/>
      <c r="HW2424" s="11"/>
      <c r="HX2424" s="11"/>
      <c r="HY2424" s="11"/>
      <c r="HZ2424" s="11"/>
      <c r="IA2424" s="11"/>
      <c r="IB2424" s="11"/>
      <c r="IC2424" s="11"/>
      <c r="ID2424" s="11"/>
      <c r="IE2424" s="11"/>
      <c r="IF2424" s="11"/>
      <c r="IG2424" s="11"/>
      <c r="IH2424" s="11"/>
      <c r="II2424" s="11"/>
      <c r="IJ2424" s="11"/>
    </row>
    <row r="2425" spans="1:244">
      <c r="A2425" s="118">
        <v>2424</v>
      </c>
      <c r="B2425" s="128">
        <v>25</v>
      </c>
      <c r="C2425" s="181">
        <v>39052</v>
      </c>
      <c r="D2425" s="157" t="s">
        <v>55</v>
      </c>
      <c r="E2425" s="8">
        <v>2006</v>
      </c>
      <c r="F2425" s="158">
        <f t="shared" ref="F2425:F2434" si="621">C2425-H2425</f>
        <v>0</v>
      </c>
      <c r="G2425" s="158">
        <f t="shared" ref="G2425:G2434" si="622">IF(F2425&lt;365,1,2)</f>
        <v>1</v>
      </c>
      <c r="H2425" s="172">
        <v>39052</v>
      </c>
      <c r="I2425" s="194">
        <v>72822</v>
      </c>
      <c r="J2425" s="173"/>
      <c r="K2425" s="173"/>
      <c r="L2425" s="165">
        <v>0</v>
      </c>
      <c r="N2425" s="528" t="s">
        <v>794</v>
      </c>
      <c r="O2425" s="165">
        <v>0</v>
      </c>
      <c r="P2425" s="170"/>
      <c r="Q2425" s="128"/>
      <c r="R2425" s="128"/>
      <c r="S2425" s="180" t="s">
        <v>11</v>
      </c>
      <c r="T2425" s="191"/>
      <c r="U2425" s="161">
        <f t="shared" ref="U2425:U2434" si="623">$I2425*L2425</f>
        <v>0</v>
      </c>
      <c r="V2425" s="161">
        <f t="shared" ref="V2425:V2434" si="624">$I2425*O2425</f>
        <v>0</v>
      </c>
      <c r="W2425" s="161">
        <f t="shared" ref="W2425:W2434" si="625">V2425*0.4</f>
        <v>0</v>
      </c>
      <c r="X2425" s="11"/>
      <c r="Y2425" s="11"/>
      <c r="Z2425" s="11"/>
      <c r="AA2425" s="11"/>
      <c r="AB2425" s="11"/>
      <c r="AC2425" s="11"/>
      <c r="AD2425" s="11"/>
      <c r="AE2425" s="11"/>
      <c r="AF2425" s="11"/>
      <c r="AG2425" s="11"/>
      <c r="AH2425" s="11"/>
      <c r="AI2425" s="11"/>
      <c r="AJ2425" s="11"/>
      <c r="AK2425" s="11"/>
      <c r="AL2425" s="11"/>
      <c r="AM2425" s="11"/>
      <c r="AN2425" s="11"/>
      <c r="AO2425" s="11"/>
      <c r="AP2425" s="11"/>
      <c r="AQ2425" s="11"/>
      <c r="AR2425" s="11"/>
      <c r="AS2425" s="11"/>
      <c r="AT2425" s="11"/>
      <c r="AU2425" s="11"/>
      <c r="AV2425" s="11"/>
      <c r="AW2425" s="11"/>
      <c r="AX2425" s="11"/>
      <c r="AY2425" s="11"/>
      <c r="AZ2425" s="11"/>
      <c r="BA2425" s="11"/>
      <c r="BB2425" s="11"/>
      <c r="BC2425" s="11"/>
      <c r="BD2425" s="11"/>
      <c r="BE2425" s="11"/>
      <c r="BF2425" s="11"/>
      <c r="BG2425" s="11"/>
      <c r="BH2425" s="11"/>
      <c r="BI2425" s="11"/>
      <c r="BJ2425" s="11"/>
      <c r="BK2425" s="11"/>
      <c r="BL2425" s="11"/>
      <c r="BM2425" s="11"/>
      <c r="BN2425" s="11"/>
      <c r="BO2425" s="11"/>
      <c r="BP2425" s="11"/>
      <c r="BQ2425" s="11"/>
      <c r="BR2425" s="11"/>
      <c r="BS2425" s="11"/>
      <c r="BT2425" s="11"/>
      <c r="BU2425" s="11"/>
      <c r="BV2425" s="11"/>
      <c r="BW2425" s="11"/>
      <c r="BX2425" s="11"/>
      <c r="BY2425" s="11"/>
      <c r="BZ2425" s="11"/>
      <c r="CA2425" s="11"/>
      <c r="CB2425" s="11"/>
      <c r="CC2425" s="11"/>
      <c r="CD2425" s="11"/>
      <c r="CE2425" s="11"/>
      <c r="CF2425" s="11"/>
      <c r="CG2425" s="11"/>
      <c r="CH2425" s="11"/>
      <c r="CI2425" s="11"/>
      <c r="CJ2425" s="11"/>
      <c r="CK2425" s="11"/>
      <c r="CL2425" s="11"/>
      <c r="CM2425" s="11"/>
      <c r="CN2425" s="11"/>
      <c r="CO2425" s="11"/>
      <c r="CP2425" s="11"/>
      <c r="CQ2425" s="11"/>
      <c r="CR2425" s="11"/>
      <c r="CS2425" s="11"/>
      <c r="CT2425" s="11"/>
      <c r="CU2425" s="11"/>
      <c r="CV2425" s="11"/>
      <c r="CW2425" s="11"/>
      <c r="CX2425" s="11"/>
      <c r="CY2425" s="11"/>
      <c r="CZ2425" s="11"/>
      <c r="DA2425" s="11"/>
      <c r="DB2425" s="11"/>
      <c r="DC2425" s="11"/>
      <c r="DD2425" s="11"/>
      <c r="DE2425" s="11"/>
      <c r="DF2425" s="11"/>
      <c r="DG2425" s="11"/>
      <c r="DH2425" s="11"/>
      <c r="DI2425" s="11"/>
      <c r="DJ2425" s="11"/>
      <c r="DK2425" s="11"/>
      <c r="DL2425" s="11"/>
      <c r="DM2425" s="11"/>
      <c r="DN2425" s="11"/>
      <c r="DO2425" s="11"/>
      <c r="DP2425" s="11"/>
      <c r="DQ2425" s="11"/>
      <c r="DR2425" s="11"/>
      <c r="DS2425" s="11"/>
      <c r="DT2425" s="11"/>
      <c r="DU2425" s="11"/>
      <c r="DV2425" s="11"/>
      <c r="DW2425" s="11"/>
      <c r="DX2425" s="11"/>
      <c r="DY2425" s="11"/>
      <c r="DZ2425" s="11"/>
      <c r="EA2425" s="11"/>
      <c r="EB2425" s="11"/>
      <c r="EC2425" s="11"/>
      <c r="ED2425" s="11"/>
      <c r="EE2425" s="11"/>
      <c r="EF2425" s="11"/>
      <c r="EG2425" s="11"/>
      <c r="EH2425" s="11"/>
      <c r="EI2425" s="11"/>
      <c r="EJ2425" s="11"/>
      <c r="EK2425" s="11"/>
      <c r="EL2425" s="11"/>
      <c r="EM2425" s="11"/>
      <c r="EN2425" s="11"/>
      <c r="EO2425" s="11"/>
      <c r="EP2425" s="11"/>
      <c r="EQ2425" s="11"/>
      <c r="ER2425" s="11"/>
      <c r="ES2425" s="11"/>
      <c r="ET2425" s="11"/>
      <c r="EU2425" s="11"/>
      <c r="EV2425" s="11"/>
      <c r="EW2425" s="11"/>
      <c r="EX2425" s="11"/>
      <c r="EY2425" s="11"/>
      <c r="EZ2425" s="11"/>
      <c r="FA2425" s="11"/>
      <c r="FB2425" s="11"/>
      <c r="FC2425" s="11"/>
      <c r="FD2425" s="11"/>
      <c r="FE2425" s="11"/>
      <c r="FF2425" s="11"/>
      <c r="FG2425" s="11"/>
      <c r="FH2425" s="11"/>
      <c r="FI2425" s="11"/>
      <c r="FJ2425" s="11"/>
      <c r="FK2425" s="11"/>
      <c r="FL2425" s="11"/>
      <c r="FM2425" s="11"/>
      <c r="FN2425" s="11"/>
      <c r="FO2425" s="11"/>
      <c r="FP2425" s="11"/>
      <c r="FQ2425" s="11"/>
      <c r="FR2425" s="11"/>
      <c r="FS2425" s="11"/>
      <c r="FT2425" s="11"/>
      <c r="FU2425" s="11"/>
      <c r="FV2425" s="11"/>
      <c r="FW2425" s="11"/>
      <c r="FX2425" s="11"/>
      <c r="FY2425" s="11"/>
      <c r="FZ2425" s="11"/>
      <c r="GA2425" s="11"/>
      <c r="GB2425" s="11"/>
      <c r="GC2425" s="11"/>
      <c r="GD2425" s="11"/>
      <c r="GE2425" s="11"/>
      <c r="GF2425" s="11"/>
      <c r="GG2425" s="11"/>
      <c r="GH2425" s="11"/>
      <c r="GI2425" s="11"/>
      <c r="GJ2425" s="11"/>
      <c r="GK2425" s="11"/>
      <c r="GL2425" s="11"/>
      <c r="GM2425" s="11"/>
      <c r="GN2425" s="11"/>
      <c r="GO2425" s="11"/>
      <c r="GP2425" s="11"/>
      <c r="GQ2425" s="11"/>
      <c r="GR2425" s="11"/>
      <c r="GS2425" s="11"/>
      <c r="GT2425" s="11"/>
      <c r="GU2425" s="11"/>
      <c r="GV2425" s="11"/>
      <c r="GW2425" s="11"/>
      <c r="GX2425" s="11"/>
      <c r="GY2425" s="11"/>
      <c r="GZ2425" s="11"/>
      <c r="HA2425" s="11"/>
      <c r="HB2425" s="11"/>
      <c r="HC2425" s="11"/>
      <c r="HD2425" s="11"/>
      <c r="HE2425" s="11"/>
      <c r="HF2425" s="11"/>
      <c r="HG2425" s="11"/>
      <c r="HH2425" s="11"/>
      <c r="HI2425" s="11"/>
      <c r="HJ2425" s="11"/>
      <c r="HK2425" s="11"/>
      <c r="HL2425" s="11"/>
      <c r="HM2425" s="11"/>
      <c r="HN2425" s="11"/>
      <c r="HO2425" s="11"/>
      <c r="HP2425" s="11"/>
      <c r="HQ2425" s="11"/>
      <c r="HR2425" s="11"/>
      <c r="HS2425" s="11"/>
      <c r="HT2425" s="11"/>
      <c r="HU2425" s="11"/>
      <c r="HV2425" s="11"/>
      <c r="HW2425" s="11"/>
      <c r="HX2425" s="11"/>
      <c r="HY2425" s="11"/>
      <c r="HZ2425" s="11"/>
      <c r="IA2425" s="11"/>
      <c r="IB2425" s="11"/>
      <c r="IC2425" s="11"/>
      <c r="ID2425" s="11"/>
      <c r="IE2425" s="11"/>
      <c r="IF2425" s="11"/>
      <c r="IG2425" s="11"/>
      <c r="IH2425" s="11"/>
      <c r="II2425" s="11"/>
      <c r="IJ2425" s="11"/>
    </row>
    <row r="2426" spans="1:244" s="11" customFormat="1" ht="12.75" customHeight="1">
      <c r="A2426" s="118">
        <v>2425</v>
      </c>
      <c r="B2426" s="128">
        <v>25</v>
      </c>
      <c r="C2426" s="156">
        <v>39083</v>
      </c>
      <c r="D2426" s="157" t="s">
        <v>44</v>
      </c>
      <c r="E2426" s="127">
        <v>2007</v>
      </c>
      <c r="F2426" s="158">
        <f t="shared" si="621"/>
        <v>31</v>
      </c>
      <c r="G2426" s="158">
        <f t="shared" si="622"/>
        <v>1</v>
      </c>
      <c r="H2426" s="175">
        <v>39052</v>
      </c>
      <c r="I2426" s="160">
        <v>72500</v>
      </c>
      <c r="J2426" s="191">
        <v>0.32</v>
      </c>
      <c r="K2426" s="191">
        <v>0.12</v>
      </c>
      <c r="L2426" s="191">
        <v>0</v>
      </c>
      <c r="M2426" s="193"/>
      <c r="N2426" s="529"/>
      <c r="O2426" s="191">
        <v>0.05</v>
      </c>
      <c r="P2426" s="192"/>
      <c r="Q2426" s="127">
        <v>7</v>
      </c>
      <c r="R2426" s="127">
        <v>31</v>
      </c>
      <c r="S2426" s="140" t="s">
        <v>6</v>
      </c>
      <c r="T2426" s="161">
        <f t="shared" ref="T2426:T2431" si="626">$I2426*K2426</f>
        <v>8700</v>
      </c>
      <c r="U2426" s="161">
        <f t="shared" si="623"/>
        <v>0</v>
      </c>
      <c r="V2426" s="161">
        <f t="shared" si="624"/>
        <v>3625</v>
      </c>
      <c r="W2426" s="161">
        <f t="shared" si="625"/>
        <v>1450</v>
      </c>
      <c r="X2426" s="128"/>
      <c r="Y2426" s="128"/>
      <c r="Z2426" s="128"/>
      <c r="AA2426" s="128"/>
      <c r="AB2426" s="128"/>
      <c r="AC2426" s="128"/>
      <c r="AD2426" s="128"/>
      <c r="AE2426" s="128"/>
      <c r="AF2426" s="128"/>
      <c r="AG2426" s="128"/>
      <c r="AH2426" s="128"/>
      <c r="AI2426" s="128"/>
      <c r="AJ2426" s="128"/>
      <c r="AK2426" s="128"/>
      <c r="AL2426" s="128"/>
      <c r="AM2426" s="128"/>
      <c r="AN2426" s="128"/>
      <c r="AO2426" s="128"/>
      <c r="AP2426" s="128"/>
      <c r="AQ2426" s="128"/>
      <c r="AR2426" s="128"/>
      <c r="AS2426" s="128"/>
      <c r="AT2426" s="128"/>
      <c r="AU2426" s="128"/>
      <c r="AV2426" s="128"/>
      <c r="AW2426" s="128"/>
      <c r="AX2426" s="128"/>
      <c r="AY2426" s="128"/>
      <c r="AZ2426" s="128"/>
      <c r="BA2426" s="128"/>
      <c r="BB2426" s="128"/>
      <c r="BC2426" s="128"/>
      <c r="BD2426" s="128"/>
      <c r="BE2426" s="128"/>
      <c r="BF2426" s="128"/>
      <c r="BG2426" s="128"/>
      <c r="BH2426" s="128"/>
      <c r="BI2426" s="128"/>
      <c r="BJ2426" s="128"/>
      <c r="BK2426" s="128"/>
      <c r="BL2426" s="128"/>
      <c r="BM2426" s="128"/>
      <c r="BN2426" s="128"/>
      <c r="BO2426" s="128"/>
      <c r="BP2426" s="128"/>
      <c r="BQ2426" s="128"/>
      <c r="BR2426" s="128"/>
      <c r="BS2426" s="128"/>
      <c r="BT2426" s="128"/>
      <c r="BU2426" s="128"/>
      <c r="BV2426" s="128"/>
      <c r="BW2426" s="128"/>
      <c r="BX2426" s="128"/>
      <c r="BY2426" s="128"/>
      <c r="BZ2426" s="128"/>
      <c r="CA2426" s="128"/>
      <c r="CB2426" s="128"/>
      <c r="CC2426" s="128"/>
      <c r="CD2426" s="128"/>
      <c r="CE2426" s="128"/>
      <c r="CF2426" s="128"/>
      <c r="CG2426" s="128"/>
      <c r="CH2426" s="128"/>
      <c r="CI2426" s="128"/>
      <c r="CJ2426" s="128"/>
      <c r="CK2426" s="128"/>
      <c r="CL2426" s="128"/>
      <c r="CM2426" s="128"/>
      <c r="CN2426" s="128"/>
      <c r="CO2426" s="128"/>
      <c r="CP2426" s="128"/>
      <c r="CQ2426" s="128"/>
      <c r="CR2426" s="128"/>
      <c r="CS2426" s="128"/>
      <c r="CT2426" s="128"/>
      <c r="CU2426" s="128"/>
      <c r="CV2426" s="128"/>
      <c r="CW2426" s="128"/>
      <c r="CX2426" s="128"/>
      <c r="CY2426" s="128"/>
      <c r="CZ2426" s="128"/>
      <c r="DA2426" s="128"/>
      <c r="DB2426" s="128"/>
      <c r="DC2426" s="128"/>
      <c r="DD2426" s="128"/>
      <c r="DE2426" s="128"/>
      <c r="DF2426" s="128"/>
      <c r="DG2426" s="128"/>
      <c r="DH2426" s="128"/>
      <c r="DI2426" s="128"/>
      <c r="DJ2426" s="128"/>
      <c r="DK2426" s="128"/>
      <c r="DL2426" s="128"/>
      <c r="DM2426" s="128"/>
      <c r="DN2426" s="128"/>
      <c r="DO2426" s="128"/>
      <c r="DP2426" s="128"/>
      <c r="DQ2426" s="128"/>
      <c r="DR2426" s="128"/>
      <c r="DS2426" s="128"/>
      <c r="DT2426" s="128"/>
      <c r="DU2426" s="128"/>
      <c r="DV2426" s="128"/>
      <c r="DW2426" s="128"/>
      <c r="DX2426" s="128"/>
      <c r="DY2426" s="128"/>
      <c r="DZ2426" s="128"/>
      <c r="EA2426" s="128"/>
      <c r="EB2426" s="128"/>
      <c r="EC2426" s="128"/>
      <c r="ED2426" s="128"/>
      <c r="EE2426" s="128"/>
      <c r="EF2426" s="128"/>
      <c r="EG2426" s="128"/>
      <c r="EH2426" s="128"/>
      <c r="EI2426" s="128"/>
      <c r="EJ2426" s="128"/>
      <c r="EK2426" s="128"/>
      <c r="EL2426" s="128"/>
      <c r="EM2426" s="128"/>
      <c r="EN2426" s="128"/>
      <c r="EO2426" s="128"/>
      <c r="EP2426" s="128"/>
      <c r="EQ2426" s="128"/>
      <c r="ER2426" s="128"/>
      <c r="ES2426" s="128"/>
      <c r="ET2426" s="128"/>
      <c r="EU2426" s="128"/>
      <c r="EV2426" s="128"/>
      <c r="EW2426" s="128"/>
      <c r="EX2426" s="128"/>
      <c r="EY2426" s="128"/>
      <c r="EZ2426" s="128"/>
      <c r="FA2426" s="128"/>
      <c r="FB2426" s="128"/>
      <c r="FC2426" s="128"/>
      <c r="FD2426" s="128"/>
      <c r="FE2426" s="128"/>
      <c r="FF2426" s="128"/>
      <c r="FG2426" s="128"/>
      <c r="FH2426" s="128"/>
      <c r="FI2426" s="128"/>
      <c r="FJ2426" s="128"/>
      <c r="FK2426" s="128"/>
      <c r="FL2426" s="128"/>
      <c r="FM2426" s="128"/>
      <c r="FN2426" s="128"/>
      <c r="FO2426" s="128"/>
      <c r="FP2426" s="128"/>
      <c r="FQ2426" s="128"/>
      <c r="FR2426" s="128"/>
      <c r="FS2426" s="128"/>
      <c r="FT2426" s="128"/>
      <c r="FU2426" s="128"/>
      <c r="FV2426" s="128"/>
      <c r="FW2426" s="128"/>
      <c r="FX2426" s="128"/>
      <c r="FY2426" s="128"/>
      <c r="FZ2426" s="128"/>
      <c r="GA2426" s="128"/>
      <c r="GB2426" s="128"/>
      <c r="GC2426" s="128"/>
      <c r="GD2426" s="128"/>
      <c r="GE2426" s="128"/>
      <c r="GF2426" s="128"/>
      <c r="GG2426" s="128"/>
      <c r="GH2426" s="128"/>
      <c r="GI2426" s="128"/>
      <c r="GJ2426" s="128"/>
      <c r="GK2426" s="128"/>
      <c r="GL2426" s="128"/>
      <c r="GM2426" s="128"/>
      <c r="GN2426" s="128"/>
      <c r="GO2426" s="128"/>
      <c r="GP2426" s="128"/>
      <c r="GQ2426" s="128"/>
      <c r="GR2426" s="128"/>
      <c r="GS2426" s="128"/>
      <c r="GT2426" s="128"/>
      <c r="GU2426" s="128"/>
      <c r="GV2426" s="128"/>
      <c r="GW2426" s="128"/>
      <c r="GX2426" s="128"/>
      <c r="GY2426" s="128"/>
      <c r="GZ2426" s="128"/>
      <c r="HA2426" s="128"/>
      <c r="HB2426" s="128"/>
      <c r="HC2426" s="128"/>
      <c r="HD2426" s="128"/>
      <c r="HE2426" s="128"/>
      <c r="HF2426" s="128"/>
      <c r="HG2426" s="128"/>
      <c r="HH2426" s="128"/>
      <c r="HI2426" s="128"/>
      <c r="HJ2426" s="128"/>
      <c r="HK2426" s="128"/>
      <c r="HL2426" s="128"/>
      <c r="HM2426" s="128"/>
      <c r="HN2426" s="128"/>
      <c r="HO2426" s="128"/>
      <c r="HP2426" s="128"/>
      <c r="HQ2426" s="128"/>
      <c r="HR2426" s="128"/>
      <c r="HS2426" s="128"/>
      <c r="HT2426" s="128"/>
      <c r="HU2426" s="128"/>
      <c r="HV2426" s="128"/>
      <c r="HW2426" s="128"/>
      <c r="HX2426" s="128"/>
      <c r="HY2426" s="128"/>
      <c r="HZ2426" s="128"/>
      <c r="IA2426" s="128"/>
      <c r="IB2426" s="128"/>
      <c r="IC2426" s="128"/>
      <c r="ID2426" s="128"/>
      <c r="IE2426" s="128"/>
      <c r="IF2426" s="128"/>
      <c r="IG2426" s="128"/>
      <c r="IH2426" s="128"/>
      <c r="II2426" s="128"/>
      <c r="IJ2426" s="128"/>
    </row>
    <row r="2427" spans="1:244" s="11" customFormat="1" ht="12.75" customHeight="1">
      <c r="A2427" s="118">
        <v>2426</v>
      </c>
      <c r="B2427" s="128">
        <v>25</v>
      </c>
      <c r="C2427" s="156">
        <v>39114</v>
      </c>
      <c r="D2427" s="157" t="s">
        <v>45</v>
      </c>
      <c r="E2427" s="127">
        <v>2007</v>
      </c>
      <c r="F2427" s="158">
        <f t="shared" si="621"/>
        <v>62</v>
      </c>
      <c r="G2427" s="158">
        <f t="shared" si="622"/>
        <v>1</v>
      </c>
      <c r="H2427" s="175">
        <v>39052</v>
      </c>
      <c r="I2427" s="160">
        <v>956133</v>
      </c>
      <c r="J2427" s="191">
        <v>0.4</v>
      </c>
      <c r="K2427" s="191">
        <v>0.8</v>
      </c>
      <c r="L2427" s="191">
        <v>0</v>
      </c>
      <c r="M2427" s="193">
        <v>0</v>
      </c>
      <c r="N2427" s="529"/>
      <c r="O2427" s="191">
        <v>0.1</v>
      </c>
      <c r="P2427" s="192"/>
      <c r="Q2427" s="127">
        <v>7</v>
      </c>
      <c r="R2427" s="127">
        <v>30</v>
      </c>
      <c r="S2427" s="140"/>
      <c r="T2427" s="161">
        <f t="shared" si="626"/>
        <v>764906.4</v>
      </c>
      <c r="U2427" s="161">
        <f t="shared" si="623"/>
        <v>0</v>
      </c>
      <c r="V2427" s="161">
        <f t="shared" si="624"/>
        <v>95613.3</v>
      </c>
      <c r="W2427" s="161">
        <f t="shared" si="625"/>
        <v>38245.32</v>
      </c>
      <c r="X2427" s="128"/>
      <c r="Y2427" s="128"/>
      <c r="Z2427" s="128"/>
      <c r="AA2427" s="128"/>
      <c r="AB2427" s="128"/>
      <c r="AC2427" s="128"/>
      <c r="AD2427" s="128"/>
      <c r="AE2427" s="128"/>
      <c r="AF2427" s="128"/>
      <c r="AG2427" s="128"/>
      <c r="AH2427" s="128"/>
      <c r="AI2427" s="128"/>
      <c r="AJ2427" s="128"/>
      <c r="AK2427" s="128"/>
      <c r="AL2427" s="128"/>
      <c r="AM2427" s="128"/>
      <c r="AN2427" s="128"/>
      <c r="AO2427" s="128"/>
      <c r="AP2427" s="128"/>
      <c r="AQ2427" s="128"/>
      <c r="AR2427" s="128"/>
      <c r="AS2427" s="128"/>
      <c r="AT2427" s="128"/>
      <c r="AU2427" s="128"/>
      <c r="AV2427" s="128"/>
      <c r="AW2427" s="128"/>
      <c r="AX2427" s="128"/>
      <c r="AY2427" s="128"/>
      <c r="AZ2427" s="128"/>
      <c r="BA2427" s="128"/>
      <c r="BB2427" s="128"/>
      <c r="BC2427" s="128"/>
      <c r="BD2427" s="128"/>
      <c r="BE2427" s="128"/>
      <c r="BF2427" s="128"/>
      <c r="BG2427" s="128"/>
      <c r="BH2427" s="128"/>
      <c r="BI2427" s="128"/>
      <c r="BJ2427" s="128"/>
      <c r="BK2427" s="128"/>
      <c r="BL2427" s="128"/>
      <c r="BM2427" s="128"/>
      <c r="BN2427" s="128"/>
      <c r="BO2427" s="128"/>
      <c r="BP2427" s="128"/>
      <c r="BQ2427" s="128"/>
      <c r="BR2427" s="128"/>
      <c r="BS2427" s="128"/>
      <c r="BT2427" s="128"/>
      <c r="BU2427" s="128"/>
      <c r="BV2427" s="128"/>
      <c r="BW2427" s="128"/>
      <c r="BX2427" s="128"/>
      <c r="BY2427" s="128"/>
      <c r="BZ2427" s="128"/>
      <c r="CA2427" s="128"/>
      <c r="CB2427" s="128"/>
      <c r="CC2427" s="128"/>
      <c r="CD2427" s="128"/>
      <c r="CE2427" s="128"/>
      <c r="CF2427" s="128"/>
      <c r="CG2427" s="128"/>
      <c r="CH2427" s="128"/>
      <c r="CI2427" s="128"/>
      <c r="CJ2427" s="128"/>
      <c r="CK2427" s="128"/>
      <c r="CL2427" s="128"/>
      <c r="CM2427" s="128"/>
      <c r="CN2427" s="128"/>
      <c r="CO2427" s="128"/>
      <c r="CP2427" s="128"/>
      <c r="CQ2427" s="128"/>
      <c r="CR2427" s="128"/>
      <c r="CS2427" s="128"/>
      <c r="CT2427" s="128"/>
      <c r="CU2427" s="128"/>
      <c r="CV2427" s="128"/>
      <c r="CW2427" s="128"/>
      <c r="CX2427" s="128"/>
      <c r="CY2427" s="128"/>
      <c r="CZ2427" s="128"/>
      <c r="DA2427" s="128"/>
      <c r="DB2427" s="128"/>
      <c r="DC2427" s="128"/>
      <c r="DD2427" s="128"/>
      <c r="DE2427" s="128"/>
      <c r="DF2427" s="128"/>
      <c r="DG2427" s="128"/>
      <c r="DH2427" s="128"/>
      <c r="DI2427" s="128"/>
      <c r="DJ2427" s="128"/>
      <c r="DK2427" s="128"/>
      <c r="DL2427" s="128"/>
      <c r="DM2427" s="128"/>
      <c r="DN2427" s="128"/>
      <c r="DO2427" s="128"/>
      <c r="DP2427" s="128"/>
      <c r="DQ2427" s="128"/>
      <c r="DR2427" s="128"/>
      <c r="DS2427" s="128"/>
      <c r="DT2427" s="128"/>
      <c r="DU2427" s="128"/>
      <c r="DV2427" s="128"/>
      <c r="DW2427" s="128"/>
      <c r="DX2427" s="128"/>
      <c r="DY2427" s="128"/>
      <c r="DZ2427" s="128"/>
      <c r="EA2427" s="128"/>
      <c r="EB2427" s="128"/>
      <c r="EC2427" s="128"/>
      <c r="ED2427" s="128"/>
      <c r="EE2427" s="128"/>
      <c r="EF2427" s="128"/>
      <c r="EG2427" s="128"/>
      <c r="EH2427" s="128"/>
      <c r="EI2427" s="128"/>
      <c r="EJ2427" s="128"/>
      <c r="EK2427" s="128"/>
      <c r="EL2427" s="128"/>
      <c r="EM2427" s="128"/>
      <c r="EN2427" s="128"/>
      <c r="EO2427" s="128"/>
      <c r="EP2427" s="128"/>
      <c r="EQ2427" s="128"/>
      <c r="ER2427" s="128"/>
      <c r="ES2427" s="128"/>
      <c r="ET2427" s="128"/>
      <c r="EU2427" s="128"/>
      <c r="EV2427" s="128"/>
      <c r="EW2427" s="128"/>
      <c r="EX2427" s="128"/>
      <c r="EY2427" s="128"/>
      <c r="EZ2427" s="128"/>
      <c r="FA2427" s="128"/>
      <c r="FB2427" s="128"/>
      <c r="FC2427" s="128"/>
      <c r="FD2427" s="128"/>
      <c r="FE2427" s="128"/>
      <c r="FF2427" s="128"/>
      <c r="FG2427" s="128"/>
      <c r="FH2427" s="128"/>
      <c r="FI2427" s="128"/>
      <c r="FJ2427" s="128"/>
      <c r="FK2427" s="128"/>
      <c r="FL2427" s="128"/>
      <c r="FM2427" s="128"/>
      <c r="FN2427" s="128"/>
      <c r="FO2427" s="128"/>
      <c r="FP2427" s="128"/>
      <c r="FQ2427" s="128"/>
      <c r="FR2427" s="128"/>
      <c r="FS2427" s="128"/>
      <c r="FT2427" s="128"/>
      <c r="FU2427" s="128"/>
      <c r="FV2427" s="128"/>
      <c r="FW2427" s="128"/>
      <c r="FX2427" s="128"/>
      <c r="FY2427" s="128"/>
      <c r="FZ2427" s="128"/>
      <c r="GA2427" s="128"/>
      <c r="GB2427" s="128"/>
      <c r="GC2427" s="128"/>
      <c r="GD2427" s="128"/>
      <c r="GE2427" s="128"/>
      <c r="GF2427" s="128"/>
      <c r="GG2427" s="128"/>
      <c r="GH2427" s="128"/>
      <c r="GI2427" s="128"/>
      <c r="GJ2427" s="128"/>
      <c r="GK2427" s="128"/>
      <c r="GL2427" s="128"/>
      <c r="GM2427" s="128"/>
      <c r="GN2427" s="128"/>
      <c r="GO2427" s="128"/>
      <c r="GP2427" s="128"/>
      <c r="GQ2427" s="128"/>
      <c r="GR2427" s="128"/>
      <c r="GS2427" s="128"/>
      <c r="GT2427" s="128"/>
      <c r="GU2427" s="128"/>
      <c r="GV2427" s="128"/>
      <c r="GW2427" s="128"/>
      <c r="GX2427" s="128"/>
      <c r="GY2427" s="128"/>
      <c r="GZ2427" s="128"/>
      <c r="HA2427" s="128"/>
      <c r="HB2427" s="128"/>
      <c r="HC2427" s="128"/>
      <c r="HD2427" s="128"/>
      <c r="HE2427" s="128"/>
      <c r="HF2427" s="128"/>
      <c r="HG2427" s="128"/>
      <c r="HH2427" s="128"/>
      <c r="HI2427" s="128"/>
      <c r="HJ2427" s="128"/>
      <c r="HK2427" s="128"/>
      <c r="HL2427" s="128"/>
      <c r="HM2427" s="128"/>
      <c r="HN2427" s="128"/>
      <c r="HO2427" s="128"/>
      <c r="HP2427" s="128"/>
      <c r="HQ2427" s="128"/>
      <c r="HR2427" s="128"/>
      <c r="HS2427" s="128"/>
      <c r="HT2427" s="128"/>
      <c r="HU2427" s="128"/>
      <c r="HV2427" s="128"/>
      <c r="HW2427" s="128"/>
      <c r="HX2427" s="128"/>
      <c r="HY2427" s="128"/>
      <c r="HZ2427" s="128"/>
      <c r="IA2427" s="128"/>
      <c r="IB2427" s="128"/>
      <c r="IC2427" s="128"/>
      <c r="ID2427" s="128"/>
      <c r="IE2427" s="128"/>
      <c r="IF2427" s="128"/>
      <c r="IG2427" s="128"/>
      <c r="IH2427" s="128"/>
      <c r="II2427" s="128"/>
      <c r="IJ2427" s="128"/>
    </row>
    <row r="2428" spans="1:244" s="11" customFormat="1" ht="12.75" customHeight="1">
      <c r="A2428" s="118">
        <v>2427</v>
      </c>
      <c r="B2428" s="128">
        <v>25</v>
      </c>
      <c r="C2428" s="156">
        <v>39142</v>
      </c>
      <c r="D2428" s="157" t="s">
        <v>46</v>
      </c>
      <c r="E2428" s="127">
        <v>2007</v>
      </c>
      <c r="F2428" s="158">
        <f t="shared" si="621"/>
        <v>90</v>
      </c>
      <c r="G2428" s="158">
        <f t="shared" si="622"/>
        <v>1</v>
      </c>
      <c r="H2428" s="175">
        <v>39052</v>
      </c>
      <c r="I2428" s="160">
        <v>953758</v>
      </c>
      <c r="J2428" s="191">
        <v>0.57999999999999996</v>
      </c>
      <c r="K2428" s="191">
        <v>1.02</v>
      </c>
      <c r="L2428" s="191">
        <v>0.28000000000000003</v>
      </c>
      <c r="M2428" s="193">
        <v>0</v>
      </c>
      <c r="N2428" s="529"/>
      <c r="O2428" s="191">
        <v>0.2</v>
      </c>
      <c r="P2428" s="192"/>
      <c r="Q2428" s="127">
        <v>8</v>
      </c>
      <c r="R2428" s="127">
        <v>30</v>
      </c>
      <c r="S2428" s="140"/>
      <c r="T2428" s="161">
        <f t="shared" si="626"/>
        <v>972833.16</v>
      </c>
      <c r="U2428" s="161">
        <f t="shared" si="623"/>
        <v>267052.24000000005</v>
      </c>
      <c r="V2428" s="161">
        <f t="shared" si="624"/>
        <v>190751.6</v>
      </c>
      <c r="W2428" s="161">
        <f t="shared" si="625"/>
        <v>76300.639999999999</v>
      </c>
      <c r="X2428" s="128"/>
      <c r="Y2428" s="128"/>
      <c r="Z2428" s="128"/>
      <c r="AA2428" s="128"/>
      <c r="AB2428" s="128"/>
      <c r="AC2428" s="128"/>
      <c r="AD2428" s="128"/>
      <c r="AE2428" s="128"/>
      <c r="AF2428" s="128"/>
      <c r="AG2428" s="128"/>
      <c r="AH2428" s="128"/>
      <c r="AI2428" s="128"/>
      <c r="AJ2428" s="128"/>
      <c r="AK2428" s="128"/>
      <c r="AL2428" s="128"/>
      <c r="AM2428" s="128"/>
      <c r="AN2428" s="128"/>
      <c r="AO2428" s="128"/>
      <c r="AP2428" s="128"/>
      <c r="AQ2428" s="128"/>
      <c r="AR2428" s="128"/>
      <c r="AS2428" s="128"/>
      <c r="AT2428" s="128"/>
      <c r="AU2428" s="128"/>
      <c r="AV2428" s="128"/>
      <c r="AW2428" s="128"/>
      <c r="AX2428" s="128"/>
      <c r="AY2428" s="128"/>
      <c r="AZ2428" s="128"/>
      <c r="BA2428" s="128"/>
      <c r="BB2428" s="128"/>
      <c r="BC2428" s="128"/>
      <c r="BD2428" s="128"/>
      <c r="BE2428" s="128"/>
      <c r="BF2428" s="128"/>
      <c r="BG2428" s="128"/>
      <c r="BH2428" s="128"/>
      <c r="BI2428" s="128"/>
      <c r="BJ2428" s="128"/>
      <c r="BK2428" s="128"/>
      <c r="BL2428" s="128"/>
      <c r="BM2428" s="128"/>
      <c r="BN2428" s="128"/>
      <c r="BO2428" s="128"/>
      <c r="BP2428" s="128"/>
      <c r="BQ2428" s="128"/>
      <c r="BR2428" s="128"/>
      <c r="BS2428" s="128"/>
      <c r="BT2428" s="128"/>
      <c r="BU2428" s="128"/>
      <c r="BV2428" s="128"/>
      <c r="BW2428" s="128"/>
      <c r="BX2428" s="128"/>
      <c r="BY2428" s="128"/>
      <c r="BZ2428" s="128"/>
      <c r="CA2428" s="128"/>
      <c r="CB2428" s="128"/>
      <c r="CC2428" s="128"/>
      <c r="CD2428" s="128"/>
      <c r="CE2428" s="128"/>
      <c r="CF2428" s="128"/>
      <c r="CG2428" s="128"/>
      <c r="CH2428" s="128"/>
      <c r="CI2428" s="128"/>
      <c r="CJ2428" s="128"/>
      <c r="CK2428" s="128"/>
      <c r="CL2428" s="128"/>
      <c r="CM2428" s="128"/>
      <c r="CN2428" s="128"/>
      <c r="CO2428" s="128"/>
      <c r="CP2428" s="128"/>
      <c r="CQ2428" s="128"/>
      <c r="CR2428" s="128"/>
      <c r="CS2428" s="128"/>
      <c r="CT2428" s="128"/>
      <c r="CU2428" s="128"/>
      <c r="CV2428" s="128"/>
      <c r="CW2428" s="128"/>
      <c r="CX2428" s="128"/>
      <c r="CY2428" s="128"/>
      <c r="CZ2428" s="128"/>
      <c r="DA2428" s="128"/>
      <c r="DB2428" s="128"/>
      <c r="DC2428" s="128"/>
      <c r="DD2428" s="128"/>
      <c r="DE2428" s="128"/>
      <c r="DF2428" s="128"/>
      <c r="DG2428" s="128"/>
      <c r="DH2428" s="128"/>
      <c r="DI2428" s="128"/>
      <c r="DJ2428" s="128"/>
      <c r="DK2428" s="128"/>
      <c r="DL2428" s="128"/>
      <c r="DM2428" s="128"/>
      <c r="DN2428" s="128"/>
      <c r="DO2428" s="128"/>
      <c r="DP2428" s="128"/>
      <c r="DQ2428" s="128"/>
      <c r="DR2428" s="128"/>
      <c r="DS2428" s="128"/>
      <c r="DT2428" s="128"/>
      <c r="DU2428" s="128"/>
      <c r="DV2428" s="128"/>
      <c r="DW2428" s="128"/>
      <c r="DX2428" s="128"/>
      <c r="DY2428" s="128"/>
      <c r="DZ2428" s="128"/>
      <c r="EA2428" s="128"/>
      <c r="EB2428" s="128"/>
      <c r="EC2428" s="128"/>
      <c r="ED2428" s="128"/>
      <c r="EE2428" s="128"/>
      <c r="EF2428" s="128"/>
      <c r="EG2428" s="128"/>
      <c r="EH2428" s="128"/>
      <c r="EI2428" s="128"/>
      <c r="EJ2428" s="128"/>
      <c r="EK2428" s="128"/>
      <c r="EL2428" s="128"/>
      <c r="EM2428" s="128"/>
      <c r="EN2428" s="128"/>
      <c r="EO2428" s="128"/>
      <c r="EP2428" s="128"/>
      <c r="EQ2428" s="128"/>
      <c r="ER2428" s="128"/>
      <c r="ES2428" s="128"/>
      <c r="ET2428" s="128"/>
      <c r="EU2428" s="128"/>
      <c r="EV2428" s="128"/>
      <c r="EW2428" s="128"/>
      <c r="EX2428" s="128"/>
      <c r="EY2428" s="128"/>
      <c r="EZ2428" s="128"/>
      <c r="FA2428" s="128"/>
      <c r="FB2428" s="128"/>
      <c r="FC2428" s="128"/>
      <c r="FD2428" s="128"/>
      <c r="FE2428" s="128"/>
      <c r="FF2428" s="128"/>
      <c r="FG2428" s="128"/>
      <c r="FH2428" s="128"/>
      <c r="FI2428" s="128"/>
      <c r="FJ2428" s="128"/>
      <c r="FK2428" s="128"/>
      <c r="FL2428" s="128"/>
      <c r="FM2428" s="128"/>
      <c r="FN2428" s="128"/>
      <c r="FO2428" s="128"/>
      <c r="FP2428" s="128"/>
      <c r="FQ2428" s="128"/>
      <c r="FR2428" s="128"/>
      <c r="FS2428" s="128"/>
      <c r="FT2428" s="128"/>
      <c r="FU2428" s="128"/>
      <c r="FV2428" s="128"/>
      <c r="FW2428" s="128"/>
      <c r="FX2428" s="128"/>
      <c r="FY2428" s="128"/>
      <c r="FZ2428" s="128"/>
      <c r="GA2428" s="128"/>
      <c r="GB2428" s="128"/>
      <c r="GC2428" s="128"/>
      <c r="GD2428" s="128"/>
      <c r="GE2428" s="128"/>
      <c r="GF2428" s="128"/>
      <c r="GG2428" s="128"/>
      <c r="GH2428" s="128"/>
      <c r="GI2428" s="128"/>
      <c r="GJ2428" s="128"/>
      <c r="GK2428" s="128"/>
      <c r="GL2428" s="128"/>
      <c r="GM2428" s="128"/>
      <c r="GN2428" s="128"/>
      <c r="GO2428" s="128"/>
      <c r="GP2428" s="128"/>
      <c r="GQ2428" s="128"/>
      <c r="GR2428" s="128"/>
      <c r="GS2428" s="128"/>
      <c r="GT2428" s="128"/>
      <c r="GU2428" s="128"/>
      <c r="GV2428" s="128"/>
      <c r="GW2428" s="128"/>
      <c r="GX2428" s="128"/>
      <c r="GY2428" s="128"/>
      <c r="GZ2428" s="128"/>
      <c r="HA2428" s="128"/>
      <c r="HB2428" s="128"/>
      <c r="HC2428" s="128"/>
      <c r="HD2428" s="128"/>
      <c r="HE2428" s="128"/>
      <c r="HF2428" s="128"/>
      <c r="HG2428" s="128"/>
      <c r="HH2428" s="128"/>
      <c r="HI2428" s="128"/>
      <c r="HJ2428" s="128"/>
      <c r="HK2428" s="128"/>
      <c r="HL2428" s="128"/>
      <c r="HM2428" s="128"/>
      <c r="HN2428" s="128"/>
      <c r="HO2428" s="128"/>
      <c r="HP2428" s="128"/>
      <c r="HQ2428" s="128"/>
      <c r="HR2428" s="128"/>
      <c r="HS2428" s="128"/>
      <c r="HT2428" s="128"/>
      <c r="HU2428" s="128"/>
      <c r="HV2428" s="128"/>
      <c r="HW2428" s="128"/>
      <c r="HX2428" s="128"/>
      <c r="HY2428" s="128"/>
      <c r="HZ2428" s="128"/>
      <c r="IA2428" s="128"/>
      <c r="IB2428" s="128"/>
      <c r="IC2428" s="128"/>
      <c r="ID2428" s="128"/>
      <c r="IE2428" s="128"/>
      <c r="IF2428" s="128"/>
      <c r="IG2428" s="128"/>
      <c r="IH2428" s="128"/>
      <c r="II2428" s="128"/>
      <c r="IJ2428" s="128"/>
    </row>
    <row r="2429" spans="1:244" s="11" customFormat="1" ht="12.75" customHeight="1">
      <c r="A2429" s="118">
        <v>2428</v>
      </c>
      <c r="B2429" s="128">
        <v>25</v>
      </c>
      <c r="C2429" s="156">
        <v>39173</v>
      </c>
      <c r="D2429" s="157" t="s">
        <v>47</v>
      </c>
      <c r="E2429" s="127">
        <v>2007</v>
      </c>
      <c r="F2429" s="158">
        <f t="shared" si="621"/>
        <v>121</v>
      </c>
      <c r="G2429" s="158">
        <f t="shared" si="622"/>
        <v>1</v>
      </c>
      <c r="H2429" s="175">
        <v>39052</v>
      </c>
      <c r="I2429" s="160">
        <v>1262500</v>
      </c>
      <c r="J2429" s="191">
        <v>1.03</v>
      </c>
      <c r="K2429" s="191">
        <v>0.67</v>
      </c>
      <c r="L2429" s="191">
        <v>0.38</v>
      </c>
      <c r="M2429" s="193">
        <v>0</v>
      </c>
      <c r="N2429" s="529"/>
      <c r="O2429" s="191">
        <v>0.32</v>
      </c>
      <c r="P2429" s="192"/>
      <c r="Q2429" s="127">
        <v>9</v>
      </c>
      <c r="R2429" s="127">
        <v>29</v>
      </c>
      <c r="S2429" s="140"/>
      <c r="T2429" s="161">
        <f t="shared" si="626"/>
        <v>845875</v>
      </c>
      <c r="U2429" s="161">
        <f t="shared" si="623"/>
        <v>479750</v>
      </c>
      <c r="V2429" s="161">
        <f t="shared" si="624"/>
        <v>404000</v>
      </c>
      <c r="W2429" s="161">
        <f t="shared" si="625"/>
        <v>161600</v>
      </c>
      <c r="X2429" s="128"/>
      <c r="Y2429" s="128"/>
      <c r="Z2429" s="128"/>
      <c r="AA2429" s="128"/>
      <c r="AB2429" s="128"/>
      <c r="AC2429" s="128"/>
      <c r="AD2429" s="128"/>
      <c r="AE2429" s="128"/>
      <c r="AF2429" s="128"/>
      <c r="AG2429" s="128"/>
      <c r="AH2429" s="128"/>
      <c r="AI2429" s="128"/>
      <c r="AJ2429" s="128"/>
      <c r="AK2429" s="128"/>
      <c r="AL2429" s="128"/>
      <c r="AM2429" s="128"/>
      <c r="AN2429" s="128"/>
      <c r="AO2429" s="128"/>
      <c r="AP2429" s="128"/>
      <c r="AQ2429" s="128"/>
      <c r="AR2429" s="128"/>
      <c r="AS2429" s="128"/>
      <c r="AT2429" s="128"/>
      <c r="AU2429" s="128"/>
      <c r="AV2429" s="128"/>
      <c r="AW2429" s="128"/>
      <c r="AX2429" s="128"/>
      <c r="AY2429" s="128"/>
      <c r="AZ2429" s="128"/>
      <c r="BA2429" s="128"/>
      <c r="BB2429" s="128"/>
      <c r="BC2429" s="128"/>
      <c r="BD2429" s="128"/>
      <c r="BE2429" s="128"/>
      <c r="BF2429" s="128"/>
      <c r="BG2429" s="128"/>
      <c r="BH2429" s="128"/>
      <c r="BI2429" s="128"/>
      <c r="BJ2429" s="128"/>
      <c r="BK2429" s="128"/>
      <c r="BL2429" s="128"/>
      <c r="BM2429" s="128"/>
      <c r="BN2429" s="128"/>
      <c r="BO2429" s="128"/>
      <c r="BP2429" s="128"/>
      <c r="BQ2429" s="128"/>
      <c r="BR2429" s="128"/>
      <c r="BS2429" s="128"/>
      <c r="BT2429" s="128"/>
      <c r="BU2429" s="128"/>
      <c r="BV2429" s="128"/>
      <c r="BW2429" s="128"/>
      <c r="BX2429" s="128"/>
      <c r="BY2429" s="128"/>
      <c r="BZ2429" s="128"/>
      <c r="CA2429" s="128"/>
      <c r="CB2429" s="128"/>
      <c r="CC2429" s="128"/>
      <c r="CD2429" s="128"/>
      <c r="CE2429" s="128"/>
      <c r="CF2429" s="128"/>
      <c r="CG2429" s="128"/>
      <c r="CH2429" s="128"/>
      <c r="CI2429" s="128"/>
      <c r="CJ2429" s="128"/>
      <c r="CK2429" s="128"/>
      <c r="CL2429" s="128"/>
      <c r="CM2429" s="128"/>
      <c r="CN2429" s="128"/>
      <c r="CO2429" s="128"/>
      <c r="CP2429" s="128"/>
      <c r="CQ2429" s="128"/>
      <c r="CR2429" s="128"/>
      <c r="CS2429" s="128"/>
      <c r="CT2429" s="128"/>
      <c r="CU2429" s="128"/>
      <c r="CV2429" s="128"/>
      <c r="CW2429" s="128"/>
      <c r="CX2429" s="128"/>
      <c r="CY2429" s="128"/>
      <c r="CZ2429" s="128"/>
      <c r="DA2429" s="128"/>
      <c r="DB2429" s="128"/>
      <c r="DC2429" s="128"/>
      <c r="DD2429" s="128"/>
      <c r="DE2429" s="128"/>
      <c r="DF2429" s="128"/>
      <c r="DG2429" s="128"/>
      <c r="DH2429" s="128"/>
      <c r="DI2429" s="128"/>
      <c r="DJ2429" s="128"/>
      <c r="DK2429" s="128"/>
      <c r="DL2429" s="128"/>
      <c r="DM2429" s="128"/>
      <c r="DN2429" s="128"/>
      <c r="DO2429" s="128"/>
      <c r="DP2429" s="128"/>
      <c r="DQ2429" s="128"/>
      <c r="DR2429" s="128"/>
      <c r="DS2429" s="128"/>
      <c r="DT2429" s="128"/>
      <c r="DU2429" s="128"/>
      <c r="DV2429" s="128"/>
      <c r="DW2429" s="128"/>
      <c r="DX2429" s="128"/>
      <c r="DY2429" s="128"/>
      <c r="DZ2429" s="128"/>
      <c r="EA2429" s="128"/>
      <c r="EB2429" s="128"/>
      <c r="EC2429" s="128"/>
      <c r="ED2429" s="128"/>
      <c r="EE2429" s="128"/>
      <c r="EF2429" s="128"/>
      <c r="EG2429" s="128"/>
      <c r="EH2429" s="128"/>
      <c r="EI2429" s="128"/>
      <c r="EJ2429" s="128"/>
      <c r="EK2429" s="128"/>
      <c r="EL2429" s="128"/>
      <c r="EM2429" s="128"/>
      <c r="EN2429" s="128"/>
      <c r="EO2429" s="128"/>
      <c r="EP2429" s="128"/>
      <c r="EQ2429" s="128"/>
      <c r="ER2429" s="128"/>
      <c r="ES2429" s="128"/>
      <c r="ET2429" s="128"/>
      <c r="EU2429" s="128"/>
      <c r="EV2429" s="128"/>
      <c r="EW2429" s="128"/>
      <c r="EX2429" s="128"/>
      <c r="EY2429" s="128"/>
      <c r="EZ2429" s="128"/>
      <c r="FA2429" s="128"/>
      <c r="FB2429" s="128"/>
      <c r="FC2429" s="128"/>
      <c r="FD2429" s="128"/>
      <c r="FE2429" s="128"/>
      <c r="FF2429" s="128"/>
      <c r="FG2429" s="128"/>
      <c r="FH2429" s="128"/>
      <c r="FI2429" s="128"/>
      <c r="FJ2429" s="128"/>
      <c r="FK2429" s="128"/>
      <c r="FL2429" s="128"/>
      <c r="FM2429" s="128"/>
      <c r="FN2429" s="128"/>
      <c r="FO2429" s="128"/>
      <c r="FP2429" s="128"/>
      <c r="FQ2429" s="128"/>
      <c r="FR2429" s="128"/>
      <c r="FS2429" s="128"/>
      <c r="FT2429" s="128"/>
      <c r="FU2429" s="128"/>
      <c r="FV2429" s="128"/>
      <c r="FW2429" s="128"/>
      <c r="FX2429" s="128"/>
      <c r="FY2429" s="128"/>
      <c r="FZ2429" s="128"/>
      <c r="GA2429" s="128"/>
      <c r="GB2429" s="128"/>
      <c r="GC2429" s="128"/>
      <c r="GD2429" s="128"/>
      <c r="GE2429" s="128"/>
      <c r="GF2429" s="128"/>
      <c r="GG2429" s="128"/>
      <c r="GH2429" s="128"/>
      <c r="GI2429" s="128"/>
      <c r="GJ2429" s="128"/>
      <c r="GK2429" s="128"/>
      <c r="GL2429" s="128"/>
      <c r="GM2429" s="128"/>
      <c r="GN2429" s="128"/>
      <c r="GO2429" s="128"/>
      <c r="GP2429" s="128"/>
      <c r="GQ2429" s="128"/>
      <c r="GR2429" s="128"/>
      <c r="GS2429" s="128"/>
      <c r="GT2429" s="128"/>
      <c r="GU2429" s="128"/>
      <c r="GV2429" s="128"/>
      <c r="GW2429" s="128"/>
      <c r="GX2429" s="128"/>
      <c r="GY2429" s="128"/>
      <c r="GZ2429" s="128"/>
      <c r="HA2429" s="128"/>
      <c r="HB2429" s="128"/>
      <c r="HC2429" s="128"/>
      <c r="HD2429" s="128"/>
      <c r="HE2429" s="128"/>
      <c r="HF2429" s="128"/>
      <c r="HG2429" s="128"/>
      <c r="HH2429" s="128"/>
      <c r="HI2429" s="128"/>
      <c r="HJ2429" s="128"/>
      <c r="HK2429" s="128"/>
      <c r="HL2429" s="128"/>
      <c r="HM2429" s="128"/>
      <c r="HN2429" s="128"/>
      <c r="HO2429" s="128"/>
      <c r="HP2429" s="128"/>
      <c r="HQ2429" s="128"/>
      <c r="HR2429" s="128"/>
      <c r="HS2429" s="128"/>
      <c r="HT2429" s="128"/>
      <c r="HU2429" s="128"/>
      <c r="HV2429" s="128"/>
      <c r="HW2429" s="128"/>
      <c r="HX2429" s="128"/>
      <c r="HY2429" s="128"/>
      <c r="HZ2429" s="128"/>
      <c r="IA2429" s="128"/>
      <c r="IB2429" s="128"/>
      <c r="IC2429" s="128"/>
      <c r="ID2429" s="128"/>
      <c r="IE2429" s="128"/>
      <c r="IF2429" s="128"/>
      <c r="IG2429" s="128"/>
      <c r="IH2429" s="128"/>
      <c r="II2429" s="128"/>
      <c r="IJ2429" s="128"/>
    </row>
    <row r="2430" spans="1:244" s="11" customFormat="1" ht="12.75" customHeight="1">
      <c r="A2430" s="118">
        <v>2429</v>
      </c>
      <c r="B2430" s="128">
        <v>25</v>
      </c>
      <c r="C2430" s="156">
        <v>39203</v>
      </c>
      <c r="D2430" s="157" t="s">
        <v>48</v>
      </c>
      <c r="E2430" s="127">
        <v>2007</v>
      </c>
      <c r="F2430" s="158">
        <f t="shared" si="621"/>
        <v>151</v>
      </c>
      <c r="G2430" s="158">
        <f t="shared" si="622"/>
        <v>1</v>
      </c>
      <c r="H2430" s="175">
        <v>39052</v>
      </c>
      <c r="I2430" s="160">
        <v>1363061</v>
      </c>
      <c r="J2430" s="191">
        <v>0.1</v>
      </c>
      <c r="K2430" s="191">
        <v>0.35</v>
      </c>
      <c r="L2430" s="191">
        <v>7.0000000000000007E-2</v>
      </c>
      <c r="M2430" s="193">
        <v>0</v>
      </c>
      <c r="N2430" s="529"/>
      <c r="O2430" s="191">
        <v>0.12</v>
      </c>
      <c r="P2430" s="192"/>
      <c r="Q2430" s="127">
        <v>10</v>
      </c>
      <c r="R2430" s="127">
        <v>27</v>
      </c>
      <c r="S2430" s="140"/>
      <c r="T2430" s="161">
        <f t="shared" si="626"/>
        <v>477071.35</v>
      </c>
      <c r="U2430" s="161">
        <f t="shared" si="623"/>
        <v>95414.27</v>
      </c>
      <c r="V2430" s="161">
        <f t="shared" si="624"/>
        <v>163567.32</v>
      </c>
      <c r="W2430" s="161">
        <f t="shared" si="625"/>
        <v>65426.928000000007</v>
      </c>
      <c r="X2430" s="128"/>
      <c r="Y2430" s="128"/>
      <c r="Z2430" s="128"/>
      <c r="AA2430" s="128"/>
      <c r="AB2430" s="128"/>
      <c r="AC2430" s="128"/>
      <c r="AD2430" s="128"/>
      <c r="AE2430" s="128"/>
      <c r="AF2430" s="128"/>
      <c r="AG2430" s="128"/>
      <c r="AH2430" s="128"/>
      <c r="AI2430" s="128"/>
      <c r="AJ2430" s="128"/>
      <c r="AK2430" s="128"/>
      <c r="AL2430" s="128"/>
      <c r="AM2430" s="128"/>
      <c r="AN2430" s="128"/>
      <c r="AO2430" s="128"/>
      <c r="AP2430" s="128"/>
      <c r="AQ2430" s="128"/>
      <c r="AR2430" s="128"/>
      <c r="AS2430" s="128"/>
      <c r="AT2430" s="128"/>
      <c r="AU2430" s="128"/>
      <c r="AV2430" s="128"/>
      <c r="AW2430" s="128"/>
      <c r="AX2430" s="128"/>
      <c r="AY2430" s="128"/>
      <c r="AZ2430" s="128"/>
      <c r="BA2430" s="128"/>
      <c r="BB2430" s="128"/>
      <c r="BC2430" s="128"/>
      <c r="BD2430" s="128"/>
      <c r="BE2430" s="128"/>
      <c r="BF2430" s="128"/>
      <c r="BG2430" s="128"/>
      <c r="BH2430" s="128"/>
      <c r="BI2430" s="128"/>
      <c r="BJ2430" s="128"/>
      <c r="BK2430" s="128"/>
      <c r="BL2430" s="128"/>
      <c r="BM2430" s="128"/>
      <c r="BN2430" s="128"/>
      <c r="BO2430" s="128"/>
      <c r="BP2430" s="128"/>
      <c r="BQ2430" s="128"/>
      <c r="BR2430" s="128"/>
      <c r="BS2430" s="128"/>
      <c r="BT2430" s="128"/>
      <c r="BU2430" s="128"/>
      <c r="BV2430" s="128"/>
      <c r="BW2430" s="128"/>
      <c r="BX2430" s="128"/>
      <c r="BY2430" s="128"/>
      <c r="BZ2430" s="128"/>
      <c r="CA2430" s="128"/>
      <c r="CB2430" s="128"/>
      <c r="CC2430" s="128"/>
      <c r="CD2430" s="128"/>
      <c r="CE2430" s="128"/>
      <c r="CF2430" s="128"/>
      <c r="CG2430" s="128"/>
      <c r="CH2430" s="128"/>
      <c r="CI2430" s="128"/>
      <c r="CJ2430" s="128"/>
      <c r="CK2430" s="128"/>
      <c r="CL2430" s="128"/>
      <c r="CM2430" s="128"/>
      <c r="CN2430" s="128"/>
      <c r="CO2430" s="128"/>
      <c r="CP2430" s="128"/>
      <c r="CQ2430" s="128"/>
      <c r="CR2430" s="128"/>
      <c r="CS2430" s="128"/>
      <c r="CT2430" s="128"/>
      <c r="CU2430" s="128"/>
      <c r="CV2430" s="128"/>
      <c r="CW2430" s="128"/>
      <c r="CX2430" s="128"/>
      <c r="CY2430" s="128"/>
      <c r="CZ2430" s="128"/>
      <c r="DA2430" s="128"/>
      <c r="DB2430" s="128"/>
      <c r="DC2430" s="128"/>
      <c r="DD2430" s="128"/>
      <c r="DE2430" s="128"/>
      <c r="DF2430" s="128"/>
      <c r="DG2430" s="128"/>
      <c r="DH2430" s="128"/>
      <c r="DI2430" s="128"/>
      <c r="DJ2430" s="128"/>
      <c r="DK2430" s="128"/>
      <c r="DL2430" s="128"/>
      <c r="DM2430" s="128"/>
      <c r="DN2430" s="128"/>
      <c r="DO2430" s="128"/>
      <c r="DP2430" s="128"/>
      <c r="DQ2430" s="128"/>
      <c r="DR2430" s="128"/>
      <c r="DS2430" s="128"/>
      <c r="DT2430" s="128"/>
      <c r="DU2430" s="128"/>
      <c r="DV2430" s="128"/>
      <c r="DW2430" s="128"/>
      <c r="DX2430" s="128"/>
      <c r="DY2430" s="128"/>
      <c r="DZ2430" s="128"/>
      <c r="EA2430" s="128"/>
      <c r="EB2430" s="128"/>
      <c r="EC2430" s="128"/>
      <c r="ED2430" s="128"/>
      <c r="EE2430" s="128"/>
      <c r="EF2430" s="128"/>
      <c r="EG2430" s="128"/>
      <c r="EH2430" s="128"/>
      <c r="EI2430" s="128"/>
      <c r="EJ2430" s="128"/>
      <c r="EK2430" s="128"/>
      <c r="EL2430" s="128"/>
      <c r="EM2430" s="128"/>
      <c r="EN2430" s="128"/>
      <c r="EO2430" s="128"/>
      <c r="EP2430" s="128"/>
      <c r="EQ2430" s="128"/>
      <c r="ER2430" s="128"/>
      <c r="ES2430" s="128"/>
      <c r="ET2430" s="128"/>
      <c r="EU2430" s="128"/>
      <c r="EV2430" s="128"/>
      <c r="EW2430" s="128"/>
      <c r="EX2430" s="128"/>
      <c r="EY2430" s="128"/>
      <c r="EZ2430" s="128"/>
      <c r="FA2430" s="128"/>
      <c r="FB2430" s="128"/>
      <c r="FC2430" s="128"/>
      <c r="FD2430" s="128"/>
      <c r="FE2430" s="128"/>
      <c r="FF2430" s="128"/>
      <c r="FG2430" s="128"/>
      <c r="FH2430" s="128"/>
      <c r="FI2430" s="128"/>
      <c r="FJ2430" s="128"/>
      <c r="FK2430" s="128"/>
      <c r="FL2430" s="128"/>
      <c r="FM2430" s="128"/>
      <c r="FN2430" s="128"/>
      <c r="FO2430" s="128"/>
      <c r="FP2430" s="128"/>
      <c r="FQ2430" s="128"/>
      <c r="FR2430" s="128"/>
      <c r="FS2430" s="128"/>
      <c r="FT2430" s="128"/>
      <c r="FU2430" s="128"/>
      <c r="FV2430" s="128"/>
      <c r="FW2430" s="128"/>
      <c r="FX2430" s="128"/>
      <c r="FY2430" s="128"/>
      <c r="FZ2430" s="128"/>
      <c r="GA2430" s="128"/>
      <c r="GB2430" s="128"/>
      <c r="GC2430" s="128"/>
      <c r="GD2430" s="128"/>
      <c r="GE2430" s="128"/>
      <c r="GF2430" s="128"/>
      <c r="GG2430" s="128"/>
      <c r="GH2430" s="128"/>
      <c r="GI2430" s="128"/>
      <c r="GJ2430" s="128"/>
      <c r="GK2430" s="128"/>
      <c r="GL2430" s="128"/>
      <c r="GM2430" s="128"/>
      <c r="GN2430" s="128"/>
      <c r="GO2430" s="128"/>
      <c r="GP2430" s="128"/>
      <c r="GQ2430" s="128"/>
      <c r="GR2430" s="128"/>
      <c r="GS2430" s="128"/>
      <c r="GT2430" s="128"/>
      <c r="GU2430" s="128"/>
      <c r="GV2430" s="128"/>
      <c r="GW2430" s="128"/>
      <c r="GX2430" s="128"/>
      <c r="GY2430" s="128"/>
      <c r="GZ2430" s="128"/>
      <c r="HA2430" s="128"/>
      <c r="HB2430" s="128"/>
      <c r="HC2430" s="128"/>
      <c r="HD2430" s="128"/>
      <c r="HE2430" s="128"/>
      <c r="HF2430" s="128"/>
      <c r="HG2430" s="128"/>
      <c r="HH2430" s="128"/>
      <c r="HI2430" s="128"/>
      <c r="HJ2430" s="128"/>
      <c r="HK2430" s="128"/>
      <c r="HL2430" s="128"/>
      <c r="HM2430" s="128"/>
      <c r="HN2430" s="128"/>
      <c r="HO2430" s="128"/>
      <c r="HP2430" s="128"/>
      <c r="HQ2430" s="128"/>
      <c r="HR2430" s="128"/>
      <c r="HS2430" s="128"/>
      <c r="HT2430" s="128"/>
      <c r="HU2430" s="128"/>
      <c r="HV2430" s="128"/>
      <c r="HW2430" s="128"/>
      <c r="HX2430" s="128"/>
      <c r="HY2430" s="128"/>
      <c r="HZ2430" s="128"/>
      <c r="IA2430" s="128"/>
      <c r="IB2430" s="128"/>
      <c r="IC2430" s="128"/>
      <c r="ID2430" s="128"/>
      <c r="IE2430" s="128"/>
      <c r="IF2430" s="128"/>
      <c r="IG2430" s="128"/>
      <c r="IH2430" s="128"/>
      <c r="II2430" s="128"/>
      <c r="IJ2430" s="128"/>
    </row>
    <row r="2431" spans="1:244" s="11" customFormat="1" ht="12.75" customHeight="1">
      <c r="A2431" s="118">
        <v>2430</v>
      </c>
      <c r="B2431" s="128">
        <v>25</v>
      </c>
      <c r="C2431" s="156">
        <v>39234</v>
      </c>
      <c r="D2431" s="157" t="s">
        <v>49</v>
      </c>
      <c r="E2431" s="127">
        <v>2007</v>
      </c>
      <c r="F2431" s="158">
        <f t="shared" si="621"/>
        <v>182</v>
      </c>
      <c r="G2431" s="158">
        <f t="shared" si="622"/>
        <v>1</v>
      </c>
      <c r="H2431" s="175">
        <v>39052</v>
      </c>
      <c r="I2431" s="160">
        <v>1359593</v>
      </c>
      <c r="J2431" s="191">
        <v>0.15</v>
      </c>
      <c r="K2431" s="191">
        <v>0.18</v>
      </c>
      <c r="L2431" s="191">
        <v>0.03</v>
      </c>
      <c r="M2431" s="193"/>
      <c r="N2431" s="529"/>
      <c r="O2431" s="191">
        <v>0.2</v>
      </c>
      <c r="P2431" s="192"/>
      <c r="Q2431" s="127">
        <v>10</v>
      </c>
      <c r="R2431" s="127">
        <v>32</v>
      </c>
      <c r="S2431" s="140"/>
      <c r="T2431" s="161">
        <f t="shared" si="626"/>
        <v>244726.74</v>
      </c>
      <c r="U2431" s="161">
        <f t="shared" si="623"/>
        <v>40787.79</v>
      </c>
      <c r="V2431" s="161">
        <f t="shared" si="624"/>
        <v>271918.60000000003</v>
      </c>
      <c r="W2431" s="161">
        <f t="shared" si="625"/>
        <v>108767.44000000002</v>
      </c>
      <c r="X2431" s="128"/>
      <c r="Y2431" s="128"/>
      <c r="Z2431" s="128"/>
      <c r="AA2431" s="128"/>
      <c r="AB2431" s="128"/>
      <c r="AC2431" s="128"/>
      <c r="AD2431" s="128"/>
      <c r="AE2431" s="128"/>
      <c r="AF2431" s="128"/>
      <c r="AG2431" s="128"/>
      <c r="AH2431" s="128"/>
      <c r="AI2431" s="128"/>
      <c r="AJ2431" s="128"/>
      <c r="AK2431" s="128"/>
      <c r="AL2431" s="128"/>
      <c r="AM2431" s="128"/>
      <c r="AN2431" s="128"/>
      <c r="AO2431" s="128"/>
      <c r="AP2431" s="128"/>
      <c r="AQ2431" s="128"/>
      <c r="AR2431" s="128"/>
      <c r="AS2431" s="128"/>
      <c r="AT2431" s="128"/>
      <c r="AU2431" s="128"/>
      <c r="AV2431" s="128"/>
      <c r="AW2431" s="128"/>
      <c r="AX2431" s="128"/>
      <c r="AY2431" s="128"/>
      <c r="AZ2431" s="128"/>
      <c r="BA2431" s="128"/>
      <c r="BB2431" s="128"/>
      <c r="BC2431" s="128"/>
      <c r="BD2431" s="128"/>
      <c r="BE2431" s="128"/>
      <c r="BF2431" s="128"/>
      <c r="BG2431" s="128"/>
      <c r="BH2431" s="128"/>
      <c r="BI2431" s="128"/>
      <c r="BJ2431" s="128"/>
      <c r="BK2431" s="128"/>
      <c r="BL2431" s="128"/>
      <c r="BM2431" s="128"/>
      <c r="BN2431" s="128"/>
      <c r="BO2431" s="128"/>
      <c r="BP2431" s="128"/>
      <c r="BQ2431" s="128"/>
      <c r="BR2431" s="128"/>
      <c r="BS2431" s="128"/>
      <c r="BT2431" s="128"/>
      <c r="BU2431" s="128"/>
      <c r="BV2431" s="128"/>
      <c r="BW2431" s="128"/>
      <c r="BX2431" s="128"/>
      <c r="BY2431" s="128"/>
      <c r="BZ2431" s="128"/>
      <c r="CA2431" s="128"/>
      <c r="CB2431" s="128"/>
      <c r="CC2431" s="128"/>
      <c r="CD2431" s="128"/>
      <c r="CE2431" s="128"/>
      <c r="CF2431" s="128"/>
      <c r="CG2431" s="128"/>
      <c r="CH2431" s="128"/>
      <c r="CI2431" s="128"/>
      <c r="CJ2431" s="128"/>
      <c r="CK2431" s="128"/>
      <c r="CL2431" s="128"/>
      <c r="CM2431" s="128"/>
      <c r="CN2431" s="128"/>
      <c r="CO2431" s="128"/>
      <c r="CP2431" s="128"/>
      <c r="CQ2431" s="128"/>
      <c r="CR2431" s="128"/>
      <c r="CS2431" s="128"/>
      <c r="CT2431" s="128"/>
      <c r="CU2431" s="128"/>
      <c r="CV2431" s="128"/>
      <c r="CW2431" s="128"/>
      <c r="CX2431" s="128"/>
      <c r="CY2431" s="128"/>
      <c r="CZ2431" s="128"/>
      <c r="DA2431" s="128"/>
      <c r="DB2431" s="128"/>
      <c r="DC2431" s="128"/>
      <c r="DD2431" s="128"/>
      <c r="DE2431" s="128"/>
      <c r="DF2431" s="128"/>
      <c r="DG2431" s="128"/>
      <c r="DH2431" s="128"/>
      <c r="DI2431" s="128"/>
      <c r="DJ2431" s="128"/>
      <c r="DK2431" s="128"/>
      <c r="DL2431" s="128"/>
      <c r="DM2431" s="128"/>
      <c r="DN2431" s="128"/>
      <c r="DO2431" s="128"/>
      <c r="DP2431" s="128"/>
      <c r="DQ2431" s="128"/>
      <c r="DR2431" s="128"/>
      <c r="DS2431" s="128"/>
      <c r="DT2431" s="128"/>
      <c r="DU2431" s="128"/>
      <c r="DV2431" s="128"/>
      <c r="DW2431" s="128"/>
      <c r="DX2431" s="128"/>
      <c r="DY2431" s="128"/>
      <c r="DZ2431" s="128"/>
      <c r="EA2431" s="128"/>
      <c r="EB2431" s="128"/>
      <c r="EC2431" s="128"/>
      <c r="ED2431" s="128"/>
      <c r="EE2431" s="128"/>
      <c r="EF2431" s="128"/>
      <c r="EG2431" s="128"/>
      <c r="EH2431" s="128"/>
      <c r="EI2431" s="128"/>
      <c r="EJ2431" s="128"/>
      <c r="EK2431" s="128"/>
      <c r="EL2431" s="128"/>
      <c r="EM2431" s="128"/>
      <c r="EN2431" s="128"/>
      <c r="EO2431" s="128"/>
      <c r="EP2431" s="128"/>
      <c r="EQ2431" s="128"/>
      <c r="ER2431" s="128"/>
      <c r="ES2431" s="128"/>
      <c r="ET2431" s="128"/>
      <c r="EU2431" s="128"/>
      <c r="EV2431" s="128"/>
      <c r="EW2431" s="128"/>
      <c r="EX2431" s="128"/>
      <c r="EY2431" s="128"/>
      <c r="EZ2431" s="128"/>
      <c r="FA2431" s="128"/>
      <c r="FB2431" s="128"/>
      <c r="FC2431" s="128"/>
      <c r="FD2431" s="128"/>
      <c r="FE2431" s="128"/>
      <c r="FF2431" s="128"/>
      <c r="FG2431" s="128"/>
      <c r="FH2431" s="128"/>
      <c r="FI2431" s="128"/>
      <c r="FJ2431" s="128"/>
      <c r="FK2431" s="128"/>
      <c r="FL2431" s="128"/>
      <c r="FM2431" s="128"/>
      <c r="FN2431" s="128"/>
      <c r="FO2431" s="128"/>
      <c r="FP2431" s="128"/>
      <c r="FQ2431" s="128"/>
      <c r="FR2431" s="128"/>
      <c r="FS2431" s="128"/>
      <c r="FT2431" s="128"/>
      <c r="FU2431" s="128"/>
      <c r="FV2431" s="128"/>
      <c r="FW2431" s="128"/>
      <c r="FX2431" s="128"/>
      <c r="FY2431" s="128"/>
      <c r="FZ2431" s="128"/>
      <c r="GA2431" s="128"/>
      <c r="GB2431" s="128"/>
      <c r="GC2431" s="128"/>
      <c r="GD2431" s="128"/>
      <c r="GE2431" s="128"/>
      <c r="GF2431" s="128"/>
      <c r="GG2431" s="128"/>
      <c r="GH2431" s="128"/>
      <c r="GI2431" s="128"/>
      <c r="GJ2431" s="128"/>
      <c r="GK2431" s="128"/>
      <c r="GL2431" s="128"/>
      <c r="GM2431" s="128"/>
      <c r="GN2431" s="128"/>
      <c r="GO2431" s="128"/>
      <c r="GP2431" s="128"/>
      <c r="GQ2431" s="128"/>
      <c r="GR2431" s="128"/>
      <c r="GS2431" s="128"/>
      <c r="GT2431" s="128"/>
      <c r="GU2431" s="128"/>
      <c r="GV2431" s="128"/>
      <c r="GW2431" s="128"/>
      <c r="GX2431" s="128"/>
      <c r="GY2431" s="128"/>
      <c r="GZ2431" s="128"/>
      <c r="HA2431" s="128"/>
      <c r="HB2431" s="128"/>
      <c r="HC2431" s="128"/>
      <c r="HD2431" s="128"/>
      <c r="HE2431" s="128"/>
      <c r="HF2431" s="128"/>
      <c r="HG2431" s="128"/>
      <c r="HH2431" s="128"/>
      <c r="HI2431" s="128"/>
      <c r="HJ2431" s="128"/>
      <c r="HK2431" s="128"/>
      <c r="HL2431" s="128"/>
      <c r="HM2431" s="128"/>
      <c r="HN2431" s="128"/>
      <c r="HO2431" s="128"/>
      <c r="HP2431" s="128"/>
      <c r="HQ2431" s="128"/>
      <c r="HR2431" s="128"/>
      <c r="HS2431" s="128"/>
      <c r="HT2431" s="128"/>
      <c r="HU2431" s="128"/>
      <c r="HV2431" s="128"/>
      <c r="HW2431" s="128"/>
      <c r="HX2431" s="128"/>
      <c r="HY2431" s="128"/>
      <c r="HZ2431" s="128"/>
      <c r="IA2431" s="128"/>
      <c r="IB2431" s="128"/>
      <c r="IC2431" s="128"/>
      <c r="ID2431" s="128"/>
      <c r="IE2431" s="128"/>
      <c r="IF2431" s="128"/>
      <c r="IG2431" s="128"/>
      <c r="IH2431" s="128"/>
      <c r="II2431" s="128"/>
      <c r="IJ2431" s="128"/>
    </row>
    <row r="2432" spans="1:244" s="11" customFormat="1" ht="12.75" customHeight="1">
      <c r="A2432" s="118">
        <v>2431</v>
      </c>
      <c r="B2432" s="128">
        <v>25</v>
      </c>
      <c r="C2432" s="156">
        <v>39264</v>
      </c>
      <c r="D2432" s="157" t="s">
        <v>50</v>
      </c>
      <c r="E2432" s="127">
        <v>2007</v>
      </c>
      <c r="F2432" s="158">
        <f t="shared" si="621"/>
        <v>212</v>
      </c>
      <c r="G2432" s="158">
        <f t="shared" si="622"/>
        <v>1</v>
      </c>
      <c r="H2432" s="175">
        <v>39052</v>
      </c>
      <c r="I2432" s="160">
        <v>1275237</v>
      </c>
      <c r="J2432" s="191"/>
      <c r="K2432" s="191"/>
      <c r="L2432" s="195">
        <v>0.03</v>
      </c>
      <c r="M2432" s="193"/>
      <c r="N2432" s="529" t="s">
        <v>446</v>
      </c>
      <c r="O2432" s="195">
        <v>0.2</v>
      </c>
      <c r="P2432" s="192"/>
      <c r="Q2432" s="127"/>
      <c r="R2432" s="127"/>
      <c r="S2432" s="140"/>
      <c r="T2432" s="127"/>
      <c r="U2432" s="161">
        <f t="shared" si="623"/>
        <v>38257.11</v>
      </c>
      <c r="V2432" s="171">
        <f t="shared" si="624"/>
        <v>255047.40000000002</v>
      </c>
      <c r="W2432" s="161">
        <f t="shared" si="625"/>
        <v>102018.96000000002</v>
      </c>
      <c r="X2432" s="128"/>
      <c r="Y2432" s="128"/>
      <c r="Z2432" s="128"/>
      <c r="AA2432" s="128"/>
      <c r="AB2432" s="128"/>
      <c r="AC2432" s="128"/>
      <c r="AD2432" s="128"/>
      <c r="AE2432" s="128"/>
      <c r="AF2432" s="128"/>
      <c r="AG2432" s="128"/>
      <c r="AH2432" s="128"/>
      <c r="AI2432" s="128"/>
      <c r="AJ2432" s="128"/>
      <c r="AK2432" s="128"/>
      <c r="AL2432" s="128"/>
      <c r="AM2432" s="128"/>
      <c r="AN2432" s="128"/>
      <c r="AO2432" s="128"/>
      <c r="AP2432" s="128"/>
      <c r="AQ2432" s="128"/>
      <c r="AR2432" s="128"/>
      <c r="AS2432" s="128"/>
      <c r="AT2432" s="128"/>
      <c r="AU2432" s="128"/>
      <c r="AV2432" s="128"/>
      <c r="AW2432" s="128"/>
      <c r="AX2432" s="128"/>
      <c r="AY2432" s="128"/>
      <c r="AZ2432" s="128"/>
      <c r="BA2432" s="128"/>
      <c r="BB2432" s="128"/>
      <c r="BC2432" s="128"/>
      <c r="BD2432" s="128"/>
      <c r="BE2432" s="128"/>
      <c r="BF2432" s="128"/>
      <c r="BG2432" s="128"/>
      <c r="BH2432" s="128"/>
      <c r="BI2432" s="128"/>
      <c r="BJ2432" s="128"/>
      <c r="BK2432" s="128"/>
      <c r="BL2432" s="128"/>
      <c r="BM2432" s="128"/>
      <c r="BN2432" s="128"/>
      <c r="BO2432" s="128"/>
      <c r="BP2432" s="128"/>
      <c r="BQ2432" s="128"/>
      <c r="BR2432" s="128"/>
      <c r="BS2432" s="128"/>
      <c r="BT2432" s="128"/>
      <c r="BU2432" s="128"/>
      <c r="BV2432" s="128"/>
      <c r="BW2432" s="128"/>
      <c r="BX2432" s="128"/>
      <c r="BY2432" s="128"/>
      <c r="BZ2432" s="128"/>
      <c r="CA2432" s="128"/>
      <c r="CB2432" s="128"/>
      <c r="CC2432" s="128"/>
      <c r="CD2432" s="128"/>
      <c r="CE2432" s="128"/>
      <c r="CF2432" s="128"/>
      <c r="CG2432" s="128"/>
      <c r="CH2432" s="128"/>
      <c r="CI2432" s="128"/>
      <c r="CJ2432" s="128"/>
      <c r="CK2432" s="128"/>
      <c r="CL2432" s="128"/>
      <c r="CM2432" s="128"/>
      <c r="CN2432" s="128"/>
      <c r="CO2432" s="128"/>
      <c r="CP2432" s="128"/>
      <c r="CQ2432" s="128"/>
      <c r="CR2432" s="128"/>
      <c r="CS2432" s="128"/>
      <c r="CT2432" s="128"/>
      <c r="CU2432" s="128"/>
      <c r="CV2432" s="128"/>
      <c r="CW2432" s="128"/>
      <c r="CX2432" s="128"/>
      <c r="CY2432" s="128"/>
      <c r="CZ2432" s="128"/>
      <c r="DA2432" s="128"/>
      <c r="DB2432" s="128"/>
      <c r="DC2432" s="128"/>
      <c r="DD2432" s="128"/>
      <c r="DE2432" s="128"/>
      <c r="DF2432" s="128"/>
      <c r="DG2432" s="128"/>
      <c r="DH2432" s="128"/>
      <c r="DI2432" s="128"/>
      <c r="DJ2432" s="128"/>
      <c r="DK2432" s="128"/>
      <c r="DL2432" s="128"/>
      <c r="DM2432" s="128"/>
      <c r="DN2432" s="128"/>
      <c r="DO2432" s="128"/>
      <c r="DP2432" s="128"/>
      <c r="DQ2432" s="128"/>
      <c r="DR2432" s="128"/>
      <c r="DS2432" s="128"/>
      <c r="DT2432" s="128"/>
      <c r="DU2432" s="128"/>
      <c r="DV2432" s="128"/>
      <c r="DW2432" s="128"/>
      <c r="DX2432" s="128"/>
      <c r="DY2432" s="128"/>
      <c r="DZ2432" s="128"/>
      <c r="EA2432" s="128"/>
      <c r="EB2432" s="128"/>
      <c r="EC2432" s="128"/>
      <c r="ED2432" s="128"/>
      <c r="EE2432" s="128"/>
      <c r="EF2432" s="128"/>
      <c r="EG2432" s="128"/>
      <c r="EH2432" s="128"/>
      <c r="EI2432" s="128"/>
      <c r="EJ2432" s="128"/>
      <c r="EK2432" s="128"/>
      <c r="EL2432" s="128"/>
      <c r="EM2432" s="128"/>
      <c r="EN2432" s="128"/>
      <c r="EO2432" s="128"/>
      <c r="EP2432" s="128"/>
      <c r="EQ2432" s="128"/>
      <c r="ER2432" s="128"/>
      <c r="ES2432" s="128"/>
      <c r="ET2432" s="128"/>
      <c r="EU2432" s="128"/>
      <c r="EV2432" s="128"/>
      <c r="EW2432" s="128"/>
      <c r="EX2432" s="128"/>
      <c r="EY2432" s="128"/>
      <c r="EZ2432" s="128"/>
      <c r="FA2432" s="128"/>
      <c r="FB2432" s="128"/>
      <c r="FC2432" s="128"/>
      <c r="FD2432" s="128"/>
      <c r="FE2432" s="128"/>
      <c r="FF2432" s="128"/>
      <c r="FG2432" s="128"/>
      <c r="FH2432" s="128"/>
      <c r="FI2432" s="128"/>
      <c r="FJ2432" s="128"/>
      <c r="FK2432" s="128"/>
      <c r="FL2432" s="128"/>
      <c r="FM2432" s="128"/>
      <c r="FN2432" s="128"/>
      <c r="FO2432" s="128"/>
      <c r="FP2432" s="128"/>
      <c r="FQ2432" s="128"/>
      <c r="FR2432" s="128"/>
      <c r="FS2432" s="128"/>
      <c r="FT2432" s="128"/>
      <c r="FU2432" s="128"/>
      <c r="FV2432" s="128"/>
      <c r="FW2432" s="128"/>
      <c r="FX2432" s="128"/>
      <c r="FY2432" s="128"/>
      <c r="FZ2432" s="128"/>
      <c r="GA2432" s="128"/>
      <c r="GB2432" s="128"/>
      <c r="GC2432" s="128"/>
      <c r="GD2432" s="128"/>
      <c r="GE2432" s="128"/>
      <c r="GF2432" s="128"/>
      <c r="GG2432" s="128"/>
      <c r="GH2432" s="128"/>
      <c r="GI2432" s="128"/>
      <c r="GJ2432" s="128"/>
      <c r="GK2432" s="128"/>
      <c r="GL2432" s="128"/>
      <c r="GM2432" s="128"/>
      <c r="GN2432" s="128"/>
      <c r="GO2432" s="128"/>
      <c r="GP2432" s="128"/>
      <c r="GQ2432" s="128"/>
      <c r="GR2432" s="128"/>
      <c r="GS2432" s="128"/>
      <c r="GT2432" s="128"/>
      <c r="GU2432" s="128"/>
      <c r="GV2432" s="128"/>
      <c r="GW2432" s="128"/>
      <c r="GX2432" s="128"/>
      <c r="GY2432" s="128"/>
      <c r="GZ2432" s="128"/>
      <c r="HA2432" s="128"/>
      <c r="HB2432" s="128"/>
      <c r="HC2432" s="128"/>
      <c r="HD2432" s="128"/>
      <c r="HE2432" s="128"/>
      <c r="HF2432" s="128"/>
      <c r="HG2432" s="128"/>
      <c r="HH2432" s="128"/>
      <c r="HI2432" s="128"/>
      <c r="HJ2432" s="128"/>
      <c r="HK2432" s="128"/>
      <c r="HL2432" s="128"/>
      <c r="HM2432" s="128"/>
      <c r="HN2432" s="128"/>
      <c r="HO2432" s="128"/>
      <c r="HP2432" s="128"/>
      <c r="HQ2432" s="128"/>
      <c r="HR2432" s="128"/>
      <c r="HS2432" s="128"/>
      <c r="HT2432" s="128"/>
      <c r="HU2432" s="128"/>
      <c r="HV2432" s="128"/>
      <c r="HW2432" s="128"/>
      <c r="HX2432" s="128"/>
      <c r="HY2432" s="128"/>
      <c r="HZ2432" s="128"/>
      <c r="IA2432" s="128"/>
      <c r="IB2432" s="128"/>
      <c r="IC2432" s="128"/>
      <c r="ID2432" s="128"/>
      <c r="IE2432" s="128"/>
      <c r="IF2432" s="128"/>
      <c r="IG2432" s="128"/>
      <c r="IH2432" s="128"/>
      <c r="II2432" s="128"/>
      <c r="IJ2432" s="128"/>
    </row>
    <row r="2433" spans="1:244" s="11" customFormat="1" ht="12.75" customHeight="1">
      <c r="A2433" s="118">
        <v>2432</v>
      </c>
      <c r="B2433" s="128">
        <v>25</v>
      </c>
      <c r="C2433" s="156">
        <v>39295</v>
      </c>
      <c r="D2433" s="157" t="s">
        <v>51</v>
      </c>
      <c r="E2433" s="127">
        <v>2007</v>
      </c>
      <c r="F2433" s="158">
        <f t="shared" si="621"/>
        <v>243</v>
      </c>
      <c r="G2433" s="158">
        <f t="shared" si="622"/>
        <v>1</v>
      </c>
      <c r="H2433" s="175">
        <v>39052</v>
      </c>
      <c r="I2433" s="160">
        <v>1272283</v>
      </c>
      <c r="J2433" s="191"/>
      <c r="K2433" s="191"/>
      <c r="L2433" s="195">
        <v>0.03</v>
      </c>
      <c r="M2433" s="193"/>
      <c r="N2433" s="529" t="s">
        <v>446</v>
      </c>
      <c r="O2433" s="195">
        <v>0.2</v>
      </c>
      <c r="P2433" s="192"/>
      <c r="Q2433" s="127"/>
      <c r="R2433" s="127"/>
      <c r="S2433" s="140" t="s">
        <v>334</v>
      </c>
      <c r="T2433" s="127"/>
      <c r="U2433" s="161">
        <f t="shared" si="623"/>
        <v>38168.49</v>
      </c>
      <c r="V2433" s="171">
        <f t="shared" si="624"/>
        <v>254456.6</v>
      </c>
      <c r="W2433" s="161">
        <f t="shared" si="625"/>
        <v>101782.64000000001</v>
      </c>
      <c r="X2433" s="128"/>
      <c r="Y2433" s="128"/>
      <c r="Z2433" s="128"/>
      <c r="AA2433" s="128"/>
      <c r="AB2433" s="128"/>
      <c r="AC2433" s="128"/>
      <c r="AD2433" s="128"/>
      <c r="AE2433" s="128"/>
      <c r="AF2433" s="128"/>
      <c r="AG2433" s="128"/>
      <c r="AH2433" s="128"/>
      <c r="AI2433" s="128"/>
      <c r="AJ2433" s="128"/>
      <c r="AK2433" s="128"/>
      <c r="AL2433" s="128"/>
      <c r="AM2433" s="128"/>
      <c r="AN2433" s="128"/>
      <c r="AO2433" s="128"/>
      <c r="AP2433" s="128"/>
      <c r="AQ2433" s="128"/>
      <c r="AR2433" s="128"/>
      <c r="AS2433" s="128"/>
      <c r="AT2433" s="128"/>
      <c r="AU2433" s="128"/>
      <c r="AV2433" s="128"/>
      <c r="AW2433" s="128"/>
      <c r="AX2433" s="128"/>
      <c r="AY2433" s="128"/>
      <c r="AZ2433" s="128"/>
      <c r="BA2433" s="128"/>
      <c r="BB2433" s="128"/>
      <c r="BC2433" s="128"/>
      <c r="BD2433" s="128"/>
      <c r="BE2433" s="128"/>
      <c r="BF2433" s="128"/>
      <c r="BG2433" s="128"/>
      <c r="BH2433" s="128"/>
      <c r="BI2433" s="128"/>
      <c r="BJ2433" s="128"/>
      <c r="BK2433" s="128"/>
      <c r="BL2433" s="128"/>
      <c r="BM2433" s="128"/>
      <c r="BN2433" s="128"/>
      <c r="BO2433" s="128"/>
      <c r="BP2433" s="128"/>
      <c r="BQ2433" s="128"/>
      <c r="BR2433" s="128"/>
      <c r="BS2433" s="128"/>
      <c r="BT2433" s="128"/>
      <c r="BU2433" s="128"/>
      <c r="BV2433" s="128"/>
      <c r="BW2433" s="128"/>
      <c r="BX2433" s="128"/>
      <c r="BY2433" s="128"/>
      <c r="BZ2433" s="128"/>
      <c r="CA2433" s="128"/>
      <c r="CB2433" s="128"/>
      <c r="CC2433" s="128"/>
      <c r="CD2433" s="128"/>
      <c r="CE2433" s="128"/>
      <c r="CF2433" s="128"/>
      <c r="CG2433" s="128"/>
      <c r="CH2433" s="128"/>
      <c r="CI2433" s="128"/>
      <c r="CJ2433" s="128"/>
      <c r="CK2433" s="128"/>
      <c r="CL2433" s="128"/>
      <c r="CM2433" s="128"/>
      <c r="CN2433" s="128"/>
      <c r="CO2433" s="128"/>
      <c r="CP2433" s="128"/>
      <c r="CQ2433" s="128"/>
      <c r="CR2433" s="128"/>
      <c r="CS2433" s="128"/>
      <c r="CT2433" s="128"/>
      <c r="CU2433" s="128"/>
      <c r="CV2433" s="128"/>
      <c r="CW2433" s="128"/>
      <c r="CX2433" s="128"/>
      <c r="CY2433" s="128"/>
      <c r="CZ2433" s="128"/>
      <c r="DA2433" s="128"/>
      <c r="DB2433" s="128"/>
      <c r="DC2433" s="128"/>
      <c r="DD2433" s="128"/>
      <c r="DE2433" s="128"/>
      <c r="DF2433" s="128"/>
      <c r="DG2433" s="128"/>
      <c r="DH2433" s="128"/>
      <c r="DI2433" s="128"/>
      <c r="DJ2433" s="128"/>
      <c r="DK2433" s="128"/>
      <c r="DL2433" s="128"/>
      <c r="DM2433" s="128"/>
      <c r="DN2433" s="128"/>
      <c r="DO2433" s="128"/>
      <c r="DP2433" s="128"/>
      <c r="DQ2433" s="128"/>
      <c r="DR2433" s="128"/>
      <c r="DS2433" s="128"/>
      <c r="DT2433" s="128"/>
      <c r="DU2433" s="128"/>
      <c r="DV2433" s="128"/>
      <c r="DW2433" s="128"/>
      <c r="DX2433" s="128"/>
      <c r="DY2433" s="128"/>
      <c r="DZ2433" s="128"/>
      <c r="EA2433" s="128"/>
      <c r="EB2433" s="128"/>
      <c r="EC2433" s="128"/>
      <c r="ED2433" s="128"/>
      <c r="EE2433" s="128"/>
      <c r="EF2433" s="128"/>
      <c r="EG2433" s="128"/>
      <c r="EH2433" s="128"/>
      <c r="EI2433" s="128"/>
      <c r="EJ2433" s="128"/>
      <c r="EK2433" s="128"/>
      <c r="EL2433" s="128"/>
      <c r="EM2433" s="128"/>
      <c r="EN2433" s="128"/>
      <c r="EO2433" s="128"/>
      <c r="EP2433" s="128"/>
      <c r="EQ2433" s="128"/>
      <c r="ER2433" s="128"/>
      <c r="ES2433" s="128"/>
      <c r="ET2433" s="128"/>
      <c r="EU2433" s="128"/>
      <c r="EV2433" s="128"/>
      <c r="EW2433" s="128"/>
      <c r="EX2433" s="128"/>
      <c r="EY2433" s="128"/>
      <c r="EZ2433" s="128"/>
      <c r="FA2433" s="128"/>
      <c r="FB2433" s="128"/>
      <c r="FC2433" s="128"/>
      <c r="FD2433" s="128"/>
      <c r="FE2433" s="128"/>
      <c r="FF2433" s="128"/>
      <c r="FG2433" s="128"/>
      <c r="FH2433" s="128"/>
      <c r="FI2433" s="128"/>
      <c r="FJ2433" s="128"/>
      <c r="FK2433" s="128"/>
      <c r="FL2433" s="128"/>
      <c r="FM2433" s="128"/>
      <c r="FN2433" s="128"/>
      <c r="FO2433" s="128"/>
      <c r="FP2433" s="128"/>
      <c r="FQ2433" s="128"/>
      <c r="FR2433" s="128"/>
      <c r="FS2433" s="128"/>
      <c r="FT2433" s="128"/>
      <c r="FU2433" s="128"/>
      <c r="FV2433" s="128"/>
      <c r="FW2433" s="128"/>
      <c r="FX2433" s="128"/>
      <c r="FY2433" s="128"/>
      <c r="FZ2433" s="128"/>
      <c r="GA2433" s="128"/>
      <c r="GB2433" s="128"/>
      <c r="GC2433" s="128"/>
      <c r="GD2433" s="128"/>
      <c r="GE2433" s="128"/>
      <c r="GF2433" s="128"/>
      <c r="GG2433" s="128"/>
      <c r="GH2433" s="128"/>
      <c r="GI2433" s="128"/>
      <c r="GJ2433" s="128"/>
      <c r="GK2433" s="128"/>
      <c r="GL2433" s="128"/>
      <c r="GM2433" s="128"/>
      <c r="GN2433" s="128"/>
      <c r="GO2433" s="128"/>
      <c r="GP2433" s="128"/>
      <c r="GQ2433" s="128"/>
      <c r="GR2433" s="128"/>
      <c r="GS2433" s="128"/>
      <c r="GT2433" s="128"/>
      <c r="GU2433" s="128"/>
      <c r="GV2433" s="128"/>
      <c r="GW2433" s="128"/>
      <c r="GX2433" s="128"/>
      <c r="GY2433" s="128"/>
      <c r="GZ2433" s="128"/>
      <c r="HA2433" s="128"/>
      <c r="HB2433" s="128"/>
      <c r="HC2433" s="128"/>
      <c r="HD2433" s="128"/>
      <c r="HE2433" s="128"/>
      <c r="HF2433" s="128"/>
      <c r="HG2433" s="128"/>
      <c r="HH2433" s="128"/>
      <c r="HI2433" s="128"/>
      <c r="HJ2433" s="128"/>
      <c r="HK2433" s="128"/>
      <c r="HL2433" s="128"/>
      <c r="HM2433" s="128"/>
      <c r="HN2433" s="128"/>
      <c r="HO2433" s="128"/>
      <c r="HP2433" s="128"/>
      <c r="HQ2433" s="128"/>
      <c r="HR2433" s="128"/>
      <c r="HS2433" s="128"/>
      <c r="HT2433" s="128"/>
      <c r="HU2433" s="128"/>
      <c r="HV2433" s="128"/>
      <c r="HW2433" s="128"/>
      <c r="HX2433" s="128"/>
      <c r="HY2433" s="128"/>
      <c r="HZ2433" s="128"/>
      <c r="IA2433" s="128"/>
      <c r="IB2433" s="128"/>
      <c r="IC2433" s="128"/>
      <c r="ID2433" s="128"/>
      <c r="IE2433" s="128"/>
      <c r="IF2433" s="128"/>
      <c r="IG2433" s="128"/>
      <c r="IH2433" s="128"/>
      <c r="II2433" s="128"/>
      <c r="IJ2433" s="128"/>
    </row>
    <row r="2434" spans="1:244" s="11" customFormat="1" ht="12.75" customHeight="1">
      <c r="A2434" s="118">
        <v>2433</v>
      </c>
      <c r="B2434" s="128">
        <v>25</v>
      </c>
      <c r="C2434" s="156">
        <v>39326</v>
      </c>
      <c r="D2434" s="157" t="s">
        <v>52</v>
      </c>
      <c r="E2434" s="127">
        <v>2007</v>
      </c>
      <c r="F2434" s="158">
        <f t="shared" si="621"/>
        <v>274</v>
      </c>
      <c r="G2434" s="158">
        <f t="shared" si="622"/>
        <v>1</v>
      </c>
      <c r="H2434" s="175">
        <v>39052</v>
      </c>
      <c r="I2434" s="160">
        <v>308246</v>
      </c>
      <c r="J2434" s="191"/>
      <c r="K2434" s="191"/>
      <c r="L2434" s="195">
        <v>0.03</v>
      </c>
      <c r="M2434" s="193"/>
      <c r="N2434" s="529" t="s">
        <v>446</v>
      </c>
      <c r="O2434" s="195">
        <v>0.2</v>
      </c>
      <c r="P2434" s="192"/>
      <c r="Q2434" s="127"/>
      <c r="R2434" s="127"/>
      <c r="S2434" s="140" t="s">
        <v>376</v>
      </c>
      <c r="T2434" s="127"/>
      <c r="U2434" s="161">
        <f t="shared" si="623"/>
        <v>9247.3799999999992</v>
      </c>
      <c r="V2434" s="171">
        <f t="shared" si="624"/>
        <v>61649.200000000004</v>
      </c>
      <c r="W2434" s="161">
        <f t="shared" si="625"/>
        <v>24659.680000000004</v>
      </c>
      <c r="X2434" s="128"/>
      <c r="Y2434" s="128"/>
      <c r="Z2434" s="128"/>
      <c r="AA2434" s="128"/>
      <c r="AB2434" s="128"/>
      <c r="AC2434" s="128"/>
      <c r="AD2434" s="128"/>
      <c r="AE2434" s="128"/>
      <c r="AF2434" s="128"/>
      <c r="AG2434" s="128"/>
      <c r="AH2434" s="128"/>
      <c r="AI2434" s="128"/>
      <c r="AJ2434" s="128"/>
      <c r="AK2434" s="128"/>
      <c r="AL2434" s="128"/>
      <c r="AM2434" s="128"/>
      <c r="AN2434" s="128"/>
      <c r="AO2434" s="128"/>
      <c r="AP2434" s="128"/>
      <c r="AQ2434" s="128"/>
      <c r="AR2434" s="128"/>
      <c r="AS2434" s="128"/>
      <c r="AT2434" s="128"/>
      <c r="AU2434" s="128"/>
      <c r="AV2434" s="128"/>
      <c r="AW2434" s="128"/>
      <c r="AX2434" s="128"/>
      <c r="AY2434" s="128"/>
      <c r="AZ2434" s="128"/>
      <c r="BA2434" s="128"/>
      <c r="BB2434" s="128"/>
      <c r="BC2434" s="128"/>
      <c r="BD2434" s="128"/>
      <c r="BE2434" s="128"/>
      <c r="BF2434" s="128"/>
      <c r="BG2434" s="128"/>
      <c r="BH2434" s="128"/>
      <c r="BI2434" s="128"/>
      <c r="BJ2434" s="128"/>
      <c r="BK2434" s="128"/>
      <c r="BL2434" s="128"/>
      <c r="BM2434" s="128"/>
      <c r="BN2434" s="128"/>
      <c r="BO2434" s="128"/>
      <c r="BP2434" s="128"/>
      <c r="BQ2434" s="128"/>
      <c r="BR2434" s="128"/>
      <c r="BS2434" s="128"/>
      <c r="BT2434" s="128"/>
      <c r="BU2434" s="128"/>
      <c r="BV2434" s="128"/>
      <c r="BW2434" s="128"/>
      <c r="BX2434" s="128"/>
      <c r="BY2434" s="128"/>
      <c r="BZ2434" s="128"/>
      <c r="CA2434" s="128"/>
      <c r="CB2434" s="128"/>
      <c r="CC2434" s="128"/>
      <c r="CD2434" s="128"/>
      <c r="CE2434" s="128"/>
      <c r="CF2434" s="128"/>
      <c r="CG2434" s="128"/>
      <c r="CH2434" s="128"/>
      <c r="CI2434" s="128"/>
      <c r="CJ2434" s="128"/>
      <c r="CK2434" s="128"/>
      <c r="CL2434" s="128"/>
      <c r="CM2434" s="128"/>
      <c r="CN2434" s="128"/>
      <c r="CO2434" s="128"/>
      <c r="CP2434" s="128"/>
      <c r="CQ2434" s="128"/>
      <c r="CR2434" s="128"/>
      <c r="CS2434" s="128"/>
      <c r="CT2434" s="128"/>
      <c r="CU2434" s="128"/>
      <c r="CV2434" s="128"/>
      <c r="CW2434" s="128"/>
      <c r="CX2434" s="128"/>
      <c r="CY2434" s="128"/>
      <c r="CZ2434" s="128"/>
      <c r="DA2434" s="128"/>
      <c r="DB2434" s="128"/>
      <c r="DC2434" s="128"/>
      <c r="DD2434" s="128"/>
      <c r="DE2434" s="128"/>
      <c r="DF2434" s="128"/>
      <c r="DG2434" s="128"/>
      <c r="DH2434" s="128"/>
      <c r="DI2434" s="128"/>
      <c r="DJ2434" s="128"/>
      <c r="DK2434" s="128"/>
      <c r="DL2434" s="128"/>
      <c r="DM2434" s="128"/>
      <c r="DN2434" s="128"/>
      <c r="DO2434" s="128"/>
      <c r="DP2434" s="128"/>
      <c r="DQ2434" s="128"/>
      <c r="DR2434" s="128"/>
      <c r="DS2434" s="128"/>
      <c r="DT2434" s="128"/>
      <c r="DU2434" s="128"/>
      <c r="DV2434" s="128"/>
      <c r="DW2434" s="128"/>
      <c r="DX2434" s="128"/>
      <c r="DY2434" s="128"/>
      <c r="DZ2434" s="128"/>
      <c r="EA2434" s="128"/>
      <c r="EB2434" s="128"/>
      <c r="EC2434" s="128"/>
      <c r="ED2434" s="128"/>
      <c r="EE2434" s="128"/>
      <c r="EF2434" s="128"/>
      <c r="EG2434" s="128"/>
      <c r="EH2434" s="128"/>
      <c r="EI2434" s="128"/>
      <c r="EJ2434" s="128"/>
      <c r="EK2434" s="128"/>
      <c r="EL2434" s="128"/>
      <c r="EM2434" s="128"/>
      <c r="EN2434" s="128"/>
      <c r="EO2434" s="128"/>
      <c r="EP2434" s="128"/>
      <c r="EQ2434" s="128"/>
      <c r="ER2434" s="128"/>
      <c r="ES2434" s="128"/>
      <c r="ET2434" s="128"/>
      <c r="EU2434" s="128"/>
      <c r="EV2434" s="128"/>
      <c r="EW2434" s="128"/>
      <c r="EX2434" s="128"/>
      <c r="EY2434" s="128"/>
      <c r="EZ2434" s="128"/>
      <c r="FA2434" s="128"/>
      <c r="FB2434" s="128"/>
      <c r="FC2434" s="128"/>
      <c r="FD2434" s="128"/>
      <c r="FE2434" s="128"/>
      <c r="FF2434" s="128"/>
      <c r="FG2434" s="128"/>
      <c r="FH2434" s="128"/>
      <c r="FI2434" s="128"/>
      <c r="FJ2434" s="128"/>
      <c r="FK2434" s="128"/>
      <c r="FL2434" s="128"/>
      <c r="FM2434" s="128"/>
      <c r="FN2434" s="128"/>
      <c r="FO2434" s="128"/>
      <c r="FP2434" s="128"/>
      <c r="FQ2434" s="128"/>
      <c r="FR2434" s="128"/>
      <c r="FS2434" s="128"/>
      <c r="FT2434" s="128"/>
      <c r="FU2434" s="128"/>
      <c r="FV2434" s="128"/>
      <c r="FW2434" s="128"/>
      <c r="FX2434" s="128"/>
      <c r="FY2434" s="128"/>
      <c r="FZ2434" s="128"/>
      <c r="GA2434" s="128"/>
      <c r="GB2434" s="128"/>
      <c r="GC2434" s="128"/>
      <c r="GD2434" s="128"/>
      <c r="GE2434" s="128"/>
      <c r="GF2434" s="128"/>
      <c r="GG2434" s="128"/>
      <c r="GH2434" s="128"/>
      <c r="GI2434" s="128"/>
      <c r="GJ2434" s="128"/>
      <c r="GK2434" s="128"/>
      <c r="GL2434" s="128"/>
      <c r="GM2434" s="128"/>
      <c r="GN2434" s="128"/>
      <c r="GO2434" s="128"/>
      <c r="GP2434" s="128"/>
      <c r="GQ2434" s="128"/>
      <c r="GR2434" s="128"/>
      <c r="GS2434" s="128"/>
      <c r="GT2434" s="128"/>
      <c r="GU2434" s="128"/>
      <c r="GV2434" s="128"/>
      <c r="GW2434" s="128"/>
      <c r="GX2434" s="128"/>
      <c r="GY2434" s="128"/>
      <c r="GZ2434" s="128"/>
      <c r="HA2434" s="128"/>
      <c r="HB2434" s="128"/>
      <c r="HC2434" s="128"/>
      <c r="HD2434" s="128"/>
      <c r="HE2434" s="128"/>
      <c r="HF2434" s="128"/>
      <c r="HG2434" s="128"/>
      <c r="HH2434" s="128"/>
      <c r="HI2434" s="128"/>
      <c r="HJ2434" s="128"/>
      <c r="HK2434" s="128"/>
      <c r="HL2434" s="128"/>
      <c r="HM2434" s="128"/>
      <c r="HN2434" s="128"/>
      <c r="HO2434" s="128"/>
      <c r="HP2434" s="128"/>
      <c r="HQ2434" s="128"/>
      <c r="HR2434" s="128"/>
      <c r="HS2434" s="128"/>
      <c r="HT2434" s="128"/>
      <c r="HU2434" s="128"/>
      <c r="HV2434" s="128"/>
      <c r="HW2434" s="128"/>
      <c r="HX2434" s="128"/>
      <c r="HY2434" s="128"/>
      <c r="HZ2434" s="128"/>
      <c r="IA2434" s="128"/>
      <c r="IB2434" s="128"/>
      <c r="IC2434" s="128"/>
      <c r="ID2434" s="128"/>
      <c r="IE2434" s="128"/>
      <c r="IF2434" s="128"/>
      <c r="IG2434" s="128"/>
      <c r="IH2434" s="128"/>
      <c r="II2434" s="128"/>
      <c r="IJ2434" s="128"/>
    </row>
    <row r="2435" spans="1:244" s="11" customFormat="1" ht="12.75" customHeight="1">
      <c r="A2435" s="118">
        <v>2434</v>
      </c>
      <c r="B2435" s="128">
        <v>25</v>
      </c>
      <c r="C2435" s="156">
        <v>39356</v>
      </c>
      <c r="D2435" s="157" t="s">
        <v>53</v>
      </c>
      <c r="E2435" s="127">
        <v>2007</v>
      </c>
      <c r="F2435" s="127"/>
      <c r="G2435" s="127"/>
      <c r="H2435" s="127"/>
      <c r="I2435" s="160"/>
      <c r="J2435" s="191"/>
      <c r="K2435" s="191"/>
      <c r="L2435" s="191"/>
      <c r="M2435" s="193"/>
      <c r="N2435" s="529"/>
      <c r="O2435" s="191"/>
      <c r="P2435" s="192"/>
      <c r="Q2435" s="127"/>
      <c r="R2435" s="127"/>
      <c r="S2435" s="140"/>
      <c r="T2435" s="127"/>
      <c r="U2435" s="202"/>
      <c r="V2435" s="127"/>
      <c r="W2435" s="127"/>
      <c r="X2435" s="128"/>
      <c r="Y2435" s="128"/>
      <c r="Z2435" s="128"/>
      <c r="AA2435" s="128"/>
      <c r="AB2435" s="128"/>
      <c r="AC2435" s="128"/>
      <c r="AD2435" s="128"/>
      <c r="AE2435" s="128"/>
      <c r="AF2435" s="128"/>
      <c r="AG2435" s="128"/>
      <c r="AH2435" s="128"/>
      <c r="AI2435" s="128"/>
      <c r="AJ2435" s="128"/>
      <c r="AK2435" s="128"/>
      <c r="AL2435" s="128"/>
      <c r="AM2435" s="128"/>
      <c r="AN2435" s="128"/>
      <c r="AO2435" s="128"/>
      <c r="AP2435" s="128"/>
      <c r="AQ2435" s="128"/>
      <c r="AR2435" s="128"/>
      <c r="AS2435" s="128"/>
      <c r="AT2435" s="128"/>
      <c r="AU2435" s="128"/>
      <c r="AV2435" s="128"/>
      <c r="AW2435" s="128"/>
      <c r="AX2435" s="128"/>
      <c r="AY2435" s="128"/>
      <c r="AZ2435" s="128"/>
      <c r="BA2435" s="128"/>
      <c r="BB2435" s="128"/>
      <c r="BC2435" s="128"/>
      <c r="BD2435" s="128"/>
      <c r="BE2435" s="128"/>
      <c r="BF2435" s="128"/>
      <c r="BG2435" s="128"/>
      <c r="BH2435" s="128"/>
      <c r="BI2435" s="128"/>
      <c r="BJ2435" s="128"/>
      <c r="BK2435" s="128"/>
      <c r="BL2435" s="128"/>
      <c r="BM2435" s="128"/>
      <c r="BN2435" s="128"/>
      <c r="BO2435" s="128"/>
      <c r="BP2435" s="128"/>
      <c r="BQ2435" s="128"/>
      <c r="BR2435" s="128"/>
      <c r="BS2435" s="128"/>
      <c r="BT2435" s="128"/>
      <c r="BU2435" s="128"/>
      <c r="BV2435" s="128"/>
      <c r="BW2435" s="128"/>
      <c r="BX2435" s="128"/>
      <c r="BY2435" s="128"/>
      <c r="BZ2435" s="128"/>
      <c r="CA2435" s="128"/>
      <c r="CB2435" s="128"/>
      <c r="CC2435" s="128"/>
      <c r="CD2435" s="128"/>
      <c r="CE2435" s="128"/>
      <c r="CF2435" s="128"/>
      <c r="CG2435" s="128"/>
      <c r="CH2435" s="128"/>
      <c r="CI2435" s="128"/>
      <c r="CJ2435" s="128"/>
      <c r="CK2435" s="128"/>
      <c r="CL2435" s="128"/>
      <c r="CM2435" s="128"/>
      <c r="CN2435" s="128"/>
      <c r="CO2435" s="128"/>
      <c r="CP2435" s="128"/>
      <c r="CQ2435" s="128"/>
      <c r="CR2435" s="128"/>
      <c r="CS2435" s="128"/>
      <c r="CT2435" s="128"/>
      <c r="CU2435" s="128"/>
      <c r="CV2435" s="128"/>
      <c r="CW2435" s="128"/>
      <c r="CX2435" s="128"/>
      <c r="CY2435" s="128"/>
      <c r="CZ2435" s="128"/>
      <c r="DA2435" s="128"/>
      <c r="DB2435" s="128"/>
      <c r="DC2435" s="128"/>
      <c r="DD2435" s="128"/>
      <c r="DE2435" s="128"/>
      <c r="DF2435" s="128"/>
      <c r="DG2435" s="128"/>
      <c r="DH2435" s="128"/>
      <c r="DI2435" s="128"/>
      <c r="DJ2435" s="128"/>
      <c r="DK2435" s="128"/>
      <c r="DL2435" s="128"/>
      <c r="DM2435" s="128"/>
      <c r="DN2435" s="128"/>
      <c r="DO2435" s="128"/>
      <c r="DP2435" s="128"/>
      <c r="DQ2435" s="128"/>
      <c r="DR2435" s="128"/>
      <c r="DS2435" s="128"/>
      <c r="DT2435" s="128"/>
      <c r="DU2435" s="128"/>
      <c r="DV2435" s="128"/>
      <c r="DW2435" s="128"/>
      <c r="DX2435" s="128"/>
      <c r="DY2435" s="128"/>
      <c r="DZ2435" s="128"/>
      <c r="EA2435" s="128"/>
      <c r="EB2435" s="128"/>
      <c r="EC2435" s="128"/>
      <c r="ED2435" s="128"/>
      <c r="EE2435" s="128"/>
      <c r="EF2435" s="128"/>
      <c r="EG2435" s="128"/>
      <c r="EH2435" s="128"/>
      <c r="EI2435" s="128"/>
      <c r="EJ2435" s="128"/>
      <c r="EK2435" s="128"/>
      <c r="EL2435" s="128"/>
      <c r="EM2435" s="128"/>
      <c r="EN2435" s="128"/>
      <c r="EO2435" s="128"/>
      <c r="EP2435" s="128"/>
      <c r="EQ2435" s="128"/>
      <c r="ER2435" s="128"/>
      <c r="ES2435" s="128"/>
      <c r="ET2435" s="128"/>
      <c r="EU2435" s="128"/>
      <c r="EV2435" s="128"/>
      <c r="EW2435" s="128"/>
      <c r="EX2435" s="128"/>
      <c r="EY2435" s="128"/>
      <c r="EZ2435" s="128"/>
      <c r="FA2435" s="128"/>
      <c r="FB2435" s="128"/>
      <c r="FC2435" s="128"/>
      <c r="FD2435" s="128"/>
      <c r="FE2435" s="128"/>
      <c r="FF2435" s="128"/>
      <c r="FG2435" s="128"/>
      <c r="FH2435" s="128"/>
      <c r="FI2435" s="128"/>
      <c r="FJ2435" s="128"/>
      <c r="FK2435" s="128"/>
      <c r="FL2435" s="128"/>
      <c r="FM2435" s="128"/>
      <c r="FN2435" s="128"/>
      <c r="FO2435" s="128"/>
      <c r="FP2435" s="128"/>
      <c r="FQ2435" s="128"/>
      <c r="FR2435" s="128"/>
      <c r="FS2435" s="128"/>
      <c r="FT2435" s="128"/>
      <c r="FU2435" s="128"/>
      <c r="FV2435" s="128"/>
      <c r="FW2435" s="128"/>
      <c r="FX2435" s="128"/>
      <c r="FY2435" s="128"/>
      <c r="FZ2435" s="128"/>
      <c r="GA2435" s="128"/>
      <c r="GB2435" s="128"/>
      <c r="GC2435" s="128"/>
      <c r="GD2435" s="128"/>
      <c r="GE2435" s="128"/>
      <c r="GF2435" s="128"/>
      <c r="GG2435" s="128"/>
      <c r="GH2435" s="128"/>
      <c r="GI2435" s="128"/>
      <c r="GJ2435" s="128"/>
      <c r="GK2435" s="128"/>
      <c r="GL2435" s="128"/>
      <c r="GM2435" s="128"/>
      <c r="GN2435" s="128"/>
      <c r="GO2435" s="128"/>
      <c r="GP2435" s="128"/>
      <c r="GQ2435" s="128"/>
      <c r="GR2435" s="128"/>
      <c r="GS2435" s="128"/>
      <c r="GT2435" s="128"/>
      <c r="GU2435" s="128"/>
      <c r="GV2435" s="128"/>
      <c r="GW2435" s="128"/>
      <c r="GX2435" s="128"/>
      <c r="GY2435" s="128"/>
      <c r="GZ2435" s="128"/>
      <c r="HA2435" s="128"/>
      <c r="HB2435" s="128"/>
      <c r="HC2435" s="128"/>
      <c r="HD2435" s="128"/>
      <c r="HE2435" s="128"/>
      <c r="HF2435" s="128"/>
      <c r="HG2435" s="128"/>
      <c r="HH2435" s="128"/>
      <c r="HI2435" s="128"/>
      <c r="HJ2435" s="128"/>
      <c r="HK2435" s="128"/>
      <c r="HL2435" s="128"/>
      <c r="HM2435" s="128"/>
      <c r="HN2435" s="128"/>
      <c r="HO2435" s="128"/>
      <c r="HP2435" s="128"/>
      <c r="HQ2435" s="128"/>
      <c r="HR2435" s="128"/>
      <c r="HS2435" s="128"/>
      <c r="HT2435" s="128"/>
      <c r="HU2435" s="128"/>
      <c r="HV2435" s="128"/>
      <c r="HW2435" s="128"/>
      <c r="HX2435" s="128"/>
      <c r="HY2435" s="128"/>
      <c r="HZ2435" s="128"/>
      <c r="IA2435" s="128"/>
      <c r="IB2435" s="128"/>
      <c r="IC2435" s="128"/>
      <c r="ID2435" s="128"/>
      <c r="IE2435" s="128"/>
      <c r="IF2435" s="128"/>
      <c r="IG2435" s="128"/>
      <c r="IH2435" s="128"/>
      <c r="II2435" s="128"/>
      <c r="IJ2435" s="128"/>
    </row>
    <row r="2436" spans="1:244" s="11" customFormat="1" ht="12.75" customHeight="1">
      <c r="A2436" s="118">
        <v>2435</v>
      </c>
      <c r="B2436" s="128">
        <v>25</v>
      </c>
      <c r="C2436" s="156">
        <v>39387</v>
      </c>
      <c r="D2436" s="157" t="s">
        <v>54</v>
      </c>
      <c r="E2436" s="127">
        <v>2007</v>
      </c>
      <c r="F2436" s="127"/>
      <c r="G2436" s="127"/>
      <c r="H2436" s="127"/>
      <c r="I2436" s="160"/>
      <c r="J2436" s="191"/>
      <c r="K2436" s="191"/>
      <c r="L2436" s="191"/>
      <c r="M2436" s="193"/>
      <c r="N2436" s="529"/>
      <c r="O2436" s="191"/>
      <c r="P2436" s="192"/>
      <c r="Q2436" s="127"/>
      <c r="R2436" s="127"/>
      <c r="S2436" s="140"/>
      <c r="T2436" s="127"/>
      <c r="U2436" s="202"/>
      <c r="V2436" s="127"/>
      <c r="W2436" s="127"/>
      <c r="X2436" s="128"/>
      <c r="Y2436" s="128"/>
      <c r="Z2436" s="128"/>
      <c r="AA2436" s="128"/>
      <c r="AB2436" s="128"/>
      <c r="AC2436" s="128"/>
      <c r="AD2436" s="128"/>
      <c r="AE2436" s="128"/>
      <c r="AF2436" s="128"/>
      <c r="AG2436" s="128"/>
      <c r="AH2436" s="128"/>
      <c r="AI2436" s="128"/>
      <c r="AJ2436" s="128"/>
      <c r="AK2436" s="128"/>
      <c r="AL2436" s="128"/>
      <c r="AM2436" s="128"/>
      <c r="AN2436" s="128"/>
      <c r="AO2436" s="128"/>
      <c r="AP2436" s="128"/>
      <c r="AQ2436" s="128"/>
      <c r="AR2436" s="128"/>
      <c r="AS2436" s="128"/>
      <c r="AT2436" s="128"/>
      <c r="AU2436" s="128"/>
      <c r="AV2436" s="128"/>
      <c r="AW2436" s="128"/>
      <c r="AX2436" s="128"/>
      <c r="AY2436" s="128"/>
      <c r="AZ2436" s="128"/>
      <c r="BA2436" s="128"/>
      <c r="BB2436" s="128"/>
      <c r="BC2436" s="128"/>
      <c r="BD2436" s="128"/>
      <c r="BE2436" s="128"/>
      <c r="BF2436" s="128"/>
      <c r="BG2436" s="128"/>
      <c r="BH2436" s="128"/>
      <c r="BI2436" s="128"/>
      <c r="BJ2436" s="128"/>
      <c r="BK2436" s="128"/>
      <c r="BL2436" s="128"/>
      <c r="BM2436" s="128"/>
      <c r="BN2436" s="128"/>
      <c r="BO2436" s="128"/>
      <c r="BP2436" s="128"/>
      <c r="BQ2436" s="128"/>
      <c r="BR2436" s="128"/>
      <c r="BS2436" s="128"/>
      <c r="BT2436" s="128"/>
      <c r="BU2436" s="128"/>
      <c r="BV2436" s="128"/>
      <c r="BW2436" s="128"/>
      <c r="BX2436" s="128"/>
      <c r="BY2436" s="128"/>
      <c r="BZ2436" s="128"/>
      <c r="CA2436" s="128"/>
      <c r="CB2436" s="128"/>
      <c r="CC2436" s="128"/>
      <c r="CD2436" s="128"/>
      <c r="CE2436" s="128"/>
      <c r="CF2436" s="128"/>
      <c r="CG2436" s="128"/>
      <c r="CH2436" s="128"/>
      <c r="CI2436" s="128"/>
      <c r="CJ2436" s="128"/>
      <c r="CK2436" s="128"/>
      <c r="CL2436" s="128"/>
      <c r="CM2436" s="128"/>
      <c r="CN2436" s="128"/>
      <c r="CO2436" s="128"/>
      <c r="CP2436" s="128"/>
      <c r="CQ2436" s="128"/>
      <c r="CR2436" s="128"/>
      <c r="CS2436" s="128"/>
      <c r="CT2436" s="128"/>
      <c r="CU2436" s="128"/>
      <c r="CV2436" s="128"/>
      <c r="CW2436" s="128"/>
      <c r="CX2436" s="128"/>
      <c r="CY2436" s="128"/>
      <c r="CZ2436" s="128"/>
      <c r="DA2436" s="128"/>
      <c r="DB2436" s="128"/>
      <c r="DC2436" s="128"/>
      <c r="DD2436" s="128"/>
      <c r="DE2436" s="128"/>
      <c r="DF2436" s="128"/>
      <c r="DG2436" s="128"/>
      <c r="DH2436" s="128"/>
      <c r="DI2436" s="128"/>
      <c r="DJ2436" s="128"/>
      <c r="DK2436" s="128"/>
      <c r="DL2436" s="128"/>
      <c r="DM2436" s="128"/>
      <c r="DN2436" s="128"/>
      <c r="DO2436" s="128"/>
      <c r="DP2436" s="128"/>
      <c r="DQ2436" s="128"/>
      <c r="DR2436" s="128"/>
      <c r="DS2436" s="128"/>
      <c r="DT2436" s="128"/>
      <c r="DU2436" s="128"/>
      <c r="DV2436" s="128"/>
      <c r="DW2436" s="128"/>
      <c r="DX2436" s="128"/>
      <c r="DY2436" s="128"/>
      <c r="DZ2436" s="128"/>
      <c r="EA2436" s="128"/>
      <c r="EB2436" s="128"/>
      <c r="EC2436" s="128"/>
      <c r="ED2436" s="128"/>
      <c r="EE2436" s="128"/>
      <c r="EF2436" s="128"/>
      <c r="EG2436" s="128"/>
      <c r="EH2436" s="128"/>
      <c r="EI2436" s="128"/>
      <c r="EJ2436" s="128"/>
      <c r="EK2436" s="128"/>
      <c r="EL2436" s="128"/>
      <c r="EM2436" s="128"/>
      <c r="EN2436" s="128"/>
      <c r="EO2436" s="128"/>
      <c r="EP2436" s="128"/>
      <c r="EQ2436" s="128"/>
      <c r="ER2436" s="128"/>
      <c r="ES2436" s="128"/>
      <c r="ET2436" s="128"/>
      <c r="EU2436" s="128"/>
      <c r="EV2436" s="128"/>
      <c r="EW2436" s="128"/>
      <c r="EX2436" s="128"/>
      <c r="EY2436" s="128"/>
      <c r="EZ2436" s="128"/>
      <c r="FA2436" s="128"/>
      <c r="FB2436" s="128"/>
      <c r="FC2436" s="128"/>
      <c r="FD2436" s="128"/>
      <c r="FE2436" s="128"/>
      <c r="FF2436" s="128"/>
      <c r="FG2436" s="128"/>
      <c r="FH2436" s="128"/>
      <c r="FI2436" s="128"/>
      <c r="FJ2436" s="128"/>
      <c r="FK2436" s="128"/>
      <c r="FL2436" s="128"/>
      <c r="FM2436" s="128"/>
      <c r="FN2436" s="128"/>
      <c r="FO2436" s="128"/>
      <c r="FP2436" s="128"/>
      <c r="FQ2436" s="128"/>
      <c r="FR2436" s="128"/>
      <c r="FS2436" s="128"/>
      <c r="FT2436" s="128"/>
      <c r="FU2436" s="128"/>
      <c r="FV2436" s="128"/>
      <c r="FW2436" s="128"/>
      <c r="FX2436" s="128"/>
      <c r="FY2436" s="128"/>
      <c r="FZ2436" s="128"/>
      <c r="GA2436" s="128"/>
      <c r="GB2436" s="128"/>
      <c r="GC2436" s="128"/>
      <c r="GD2436" s="128"/>
      <c r="GE2436" s="128"/>
      <c r="GF2436" s="128"/>
      <c r="GG2436" s="128"/>
      <c r="GH2436" s="128"/>
      <c r="GI2436" s="128"/>
      <c r="GJ2436" s="128"/>
      <c r="GK2436" s="128"/>
      <c r="GL2436" s="128"/>
      <c r="GM2436" s="128"/>
      <c r="GN2436" s="128"/>
      <c r="GO2436" s="128"/>
      <c r="GP2436" s="128"/>
      <c r="GQ2436" s="128"/>
      <c r="GR2436" s="128"/>
      <c r="GS2436" s="128"/>
      <c r="GT2436" s="128"/>
      <c r="GU2436" s="128"/>
      <c r="GV2436" s="128"/>
      <c r="GW2436" s="128"/>
      <c r="GX2436" s="128"/>
      <c r="GY2436" s="128"/>
      <c r="GZ2436" s="128"/>
      <c r="HA2436" s="128"/>
      <c r="HB2436" s="128"/>
      <c r="HC2436" s="128"/>
      <c r="HD2436" s="128"/>
      <c r="HE2436" s="128"/>
      <c r="HF2436" s="128"/>
      <c r="HG2436" s="128"/>
      <c r="HH2436" s="128"/>
      <c r="HI2436" s="128"/>
      <c r="HJ2436" s="128"/>
      <c r="HK2436" s="128"/>
      <c r="HL2436" s="128"/>
      <c r="HM2436" s="128"/>
      <c r="HN2436" s="128"/>
      <c r="HO2436" s="128"/>
      <c r="HP2436" s="128"/>
      <c r="HQ2436" s="128"/>
      <c r="HR2436" s="128"/>
      <c r="HS2436" s="128"/>
      <c r="HT2436" s="128"/>
      <c r="HU2436" s="128"/>
      <c r="HV2436" s="128"/>
      <c r="HW2436" s="128"/>
      <c r="HX2436" s="128"/>
      <c r="HY2436" s="128"/>
      <c r="HZ2436" s="128"/>
      <c r="IA2436" s="128"/>
      <c r="IB2436" s="128"/>
      <c r="IC2436" s="128"/>
      <c r="ID2436" s="128"/>
      <c r="IE2436" s="128"/>
      <c r="IF2436" s="128"/>
      <c r="IG2436" s="128"/>
      <c r="IH2436" s="128"/>
      <c r="II2436" s="128"/>
      <c r="IJ2436" s="128"/>
    </row>
    <row r="2437" spans="1:244" s="11" customFormat="1" ht="12.75" customHeight="1">
      <c r="A2437" s="118">
        <v>2436</v>
      </c>
      <c r="B2437" s="128">
        <v>25</v>
      </c>
      <c r="C2437" s="156">
        <v>39417</v>
      </c>
      <c r="D2437" s="157" t="s">
        <v>55</v>
      </c>
      <c r="E2437" s="127">
        <v>2007</v>
      </c>
      <c r="F2437" s="158">
        <f t="shared" ref="F2437:F2444" si="627">C2437-H2437</f>
        <v>0</v>
      </c>
      <c r="G2437" s="158">
        <f t="shared" ref="G2437:G2444" si="628">IF(F2437&lt;365,1,2)</f>
        <v>1</v>
      </c>
      <c r="H2437" s="175">
        <v>39417</v>
      </c>
      <c r="I2437" s="160">
        <v>773617</v>
      </c>
      <c r="J2437" s="191"/>
      <c r="K2437" s="191"/>
      <c r="L2437" s="195">
        <v>0</v>
      </c>
      <c r="M2437" s="193"/>
      <c r="N2437" s="529" t="s">
        <v>794</v>
      </c>
      <c r="O2437" s="195">
        <v>0</v>
      </c>
      <c r="P2437" s="192"/>
      <c r="Q2437" s="127"/>
      <c r="R2437" s="127"/>
      <c r="S2437" s="140" t="s">
        <v>11</v>
      </c>
      <c r="T2437" s="127"/>
      <c r="U2437" s="161">
        <f t="shared" ref="U2437:U2444" si="629">$I2437*L2437</f>
        <v>0</v>
      </c>
      <c r="V2437" s="161">
        <f t="shared" ref="V2437:V2444" si="630">$I2437*O2437</f>
        <v>0</v>
      </c>
      <c r="W2437" s="161">
        <f t="shared" ref="W2437:W2444" si="631">V2437*0.4</f>
        <v>0</v>
      </c>
      <c r="X2437" s="128"/>
      <c r="Y2437" s="128"/>
      <c r="Z2437" s="128"/>
      <c r="AA2437" s="128"/>
      <c r="AB2437" s="128"/>
      <c r="AC2437" s="128"/>
      <c r="AD2437" s="128"/>
      <c r="AE2437" s="128"/>
      <c r="AF2437" s="128"/>
      <c r="AG2437" s="128"/>
      <c r="AH2437" s="128"/>
      <c r="AI2437" s="128"/>
      <c r="AJ2437" s="128"/>
      <c r="AK2437" s="128"/>
      <c r="AL2437" s="128"/>
      <c r="AM2437" s="128"/>
      <c r="AN2437" s="128"/>
      <c r="AO2437" s="128"/>
      <c r="AP2437" s="128"/>
      <c r="AQ2437" s="128"/>
      <c r="AR2437" s="128"/>
      <c r="AS2437" s="128"/>
      <c r="AT2437" s="128"/>
      <c r="AU2437" s="128"/>
      <c r="AV2437" s="128"/>
      <c r="AW2437" s="128"/>
      <c r="AX2437" s="128"/>
      <c r="AY2437" s="128"/>
      <c r="AZ2437" s="128"/>
      <c r="BA2437" s="128"/>
      <c r="BB2437" s="128"/>
      <c r="BC2437" s="128"/>
      <c r="BD2437" s="128"/>
      <c r="BE2437" s="128"/>
      <c r="BF2437" s="128"/>
      <c r="BG2437" s="128"/>
      <c r="BH2437" s="128"/>
      <c r="BI2437" s="128"/>
      <c r="BJ2437" s="128"/>
      <c r="BK2437" s="128"/>
      <c r="BL2437" s="128"/>
      <c r="BM2437" s="128"/>
      <c r="BN2437" s="128"/>
      <c r="BO2437" s="128"/>
      <c r="BP2437" s="128"/>
      <c r="BQ2437" s="128"/>
      <c r="BR2437" s="128"/>
      <c r="BS2437" s="128"/>
      <c r="BT2437" s="128"/>
      <c r="BU2437" s="128"/>
      <c r="BV2437" s="128"/>
      <c r="BW2437" s="128"/>
      <c r="BX2437" s="128"/>
      <c r="BY2437" s="128"/>
      <c r="BZ2437" s="128"/>
      <c r="CA2437" s="128"/>
      <c r="CB2437" s="128"/>
      <c r="CC2437" s="128"/>
      <c r="CD2437" s="128"/>
      <c r="CE2437" s="128"/>
      <c r="CF2437" s="128"/>
      <c r="CG2437" s="128"/>
      <c r="CH2437" s="128"/>
      <c r="CI2437" s="128"/>
      <c r="CJ2437" s="128"/>
      <c r="CK2437" s="128"/>
      <c r="CL2437" s="128"/>
      <c r="CM2437" s="128"/>
      <c r="CN2437" s="128"/>
      <c r="CO2437" s="128"/>
      <c r="CP2437" s="128"/>
      <c r="CQ2437" s="128"/>
      <c r="CR2437" s="128"/>
      <c r="CS2437" s="128"/>
      <c r="CT2437" s="128"/>
      <c r="CU2437" s="128"/>
      <c r="CV2437" s="128"/>
      <c r="CW2437" s="128"/>
      <c r="CX2437" s="128"/>
      <c r="CY2437" s="128"/>
      <c r="CZ2437" s="128"/>
      <c r="DA2437" s="128"/>
      <c r="DB2437" s="128"/>
      <c r="DC2437" s="128"/>
      <c r="DD2437" s="128"/>
      <c r="DE2437" s="128"/>
      <c r="DF2437" s="128"/>
      <c r="DG2437" s="128"/>
      <c r="DH2437" s="128"/>
      <c r="DI2437" s="128"/>
      <c r="DJ2437" s="128"/>
      <c r="DK2437" s="128"/>
      <c r="DL2437" s="128"/>
      <c r="DM2437" s="128"/>
      <c r="DN2437" s="128"/>
      <c r="DO2437" s="128"/>
      <c r="DP2437" s="128"/>
      <c r="DQ2437" s="128"/>
      <c r="DR2437" s="128"/>
      <c r="DS2437" s="128"/>
      <c r="DT2437" s="128"/>
      <c r="DU2437" s="128"/>
      <c r="DV2437" s="128"/>
      <c r="DW2437" s="128"/>
      <c r="DX2437" s="128"/>
      <c r="DY2437" s="128"/>
      <c r="DZ2437" s="128"/>
      <c r="EA2437" s="128"/>
      <c r="EB2437" s="128"/>
      <c r="EC2437" s="128"/>
      <c r="ED2437" s="128"/>
      <c r="EE2437" s="128"/>
      <c r="EF2437" s="128"/>
      <c r="EG2437" s="128"/>
      <c r="EH2437" s="128"/>
      <c r="EI2437" s="128"/>
      <c r="EJ2437" s="128"/>
      <c r="EK2437" s="128"/>
      <c r="EL2437" s="128"/>
      <c r="EM2437" s="128"/>
      <c r="EN2437" s="128"/>
      <c r="EO2437" s="128"/>
      <c r="EP2437" s="128"/>
      <c r="EQ2437" s="128"/>
      <c r="ER2437" s="128"/>
      <c r="ES2437" s="128"/>
      <c r="ET2437" s="128"/>
      <c r="EU2437" s="128"/>
      <c r="EV2437" s="128"/>
      <c r="EW2437" s="128"/>
      <c r="EX2437" s="128"/>
      <c r="EY2437" s="128"/>
      <c r="EZ2437" s="128"/>
      <c r="FA2437" s="128"/>
      <c r="FB2437" s="128"/>
      <c r="FC2437" s="128"/>
      <c r="FD2437" s="128"/>
      <c r="FE2437" s="128"/>
      <c r="FF2437" s="128"/>
      <c r="FG2437" s="128"/>
      <c r="FH2437" s="128"/>
      <c r="FI2437" s="128"/>
      <c r="FJ2437" s="128"/>
      <c r="FK2437" s="128"/>
      <c r="FL2437" s="128"/>
      <c r="FM2437" s="128"/>
      <c r="FN2437" s="128"/>
      <c r="FO2437" s="128"/>
      <c r="FP2437" s="128"/>
      <c r="FQ2437" s="128"/>
      <c r="FR2437" s="128"/>
      <c r="FS2437" s="128"/>
      <c r="FT2437" s="128"/>
      <c r="FU2437" s="128"/>
      <c r="FV2437" s="128"/>
      <c r="FW2437" s="128"/>
      <c r="FX2437" s="128"/>
      <c r="FY2437" s="128"/>
      <c r="FZ2437" s="128"/>
      <c r="GA2437" s="128"/>
      <c r="GB2437" s="128"/>
      <c r="GC2437" s="128"/>
      <c r="GD2437" s="128"/>
      <c r="GE2437" s="128"/>
      <c r="GF2437" s="128"/>
      <c r="GG2437" s="128"/>
      <c r="GH2437" s="128"/>
      <c r="GI2437" s="128"/>
      <c r="GJ2437" s="128"/>
      <c r="GK2437" s="128"/>
      <c r="GL2437" s="128"/>
      <c r="GM2437" s="128"/>
      <c r="GN2437" s="128"/>
      <c r="GO2437" s="128"/>
      <c r="GP2437" s="128"/>
      <c r="GQ2437" s="128"/>
      <c r="GR2437" s="128"/>
      <c r="GS2437" s="128"/>
      <c r="GT2437" s="128"/>
      <c r="GU2437" s="128"/>
      <c r="GV2437" s="128"/>
      <c r="GW2437" s="128"/>
      <c r="GX2437" s="128"/>
      <c r="GY2437" s="128"/>
      <c r="GZ2437" s="128"/>
      <c r="HA2437" s="128"/>
      <c r="HB2437" s="128"/>
      <c r="HC2437" s="128"/>
      <c r="HD2437" s="128"/>
      <c r="HE2437" s="128"/>
      <c r="HF2437" s="128"/>
      <c r="HG2437" s="128"/>
      <c r="HH2437" s="128"/>
      <c r="HI2437" s="128"/>
      <c r="HJ2437" s="128"/>
      <c r="HK2437" s="128"/>
      <c r="HL2437" s="128"/>
      <c r="HM2437" s="128"/>
      <c r="HN2437" s="128"/>
      <c r="HO2437" s="128"/>
      <c r="HP2437" s="128"/>
      <c r="HQ2437" s="128"/>
      <c r="HR2437" s="128"/>
      <c r="HS2437" s="128"/>
      <c r="HT2437" s="128"/>
      <c r="HU2437" s="128"/>
      <c r="HV2437" s="128"/>
      <c r="HW2437" s="128"/>
      <c r="HX2437" s="128"/>
      <c r="HY2437" s="128"/>
      <c r="HZ2437" s="128"/>
      <c r="IA2437" s="128"/>
      <c r="IB2437" s="128"/>
      <c r="IC2437" s="128"/>
      <c r="ID2437" s="128"/>
      <c r="IE2437" s="128"/>
      <c r="IF2437" s="128"/>
      <c r="IG2437" s="128"/>
      <c r="IH2437" s="128"/>
      <c r="II2437" s="128"/>
      <c r="IJ2437" s="128"/>
    </row>
    <row r="2438" spans="1:244" s="11" customFormat="1" ht="12.75" customHeight="1">
      <c r="A2438" s="118">
        <v>2437</v>
      </c>
      <c r="B2438" s="128">
        <v>25</v>
      </c>
      <c r="C2438" s="156">
        <v>39448</v>
      </c>
      <c r="D2438" s="157" t="s">
        <v>44</v>
      </c>
      <c r="E2438" s="127">
        <v>2008</v>
      </c>
      <c r="F2438" s="158">
        <f t="shared" si="627"/>
        <v>31</v>
      </c>
      <c r="G2438" s="158">
        <f t="shared" si="628"/>
        <v>1</v>
      </c>
      <c r="H2438" s="175">
        <v>39417</v>
      </c>
      <c r="I2438" s="160">
        <v>1232000</v>
      </c>
      <c r="J2438" s="191"/>
      <c r="K2438" s="191"/>
      <c r="L2438" s="195">
        <v>0</v>
      </c>
      <c r="M2438" s="193"/>
      <c r="N2438" s="529" t="s">
        <v>794</v>
      </c>
      <c r="O2438" s="195">
        <v>0.01</v>
      </c>
      <c r="P2438" s="192"/>
      <c r="Q2438" s="193"/>
      <c r="R2438" s="193"/>
      <c r="S2438" s="140"/>
      <c r="T2438" s="128"/>
      <c r="U2438" s="161">
        <f t="shared" si="629"/>
        <v>0</v>
      </c>
      <c r="V2438" s="161">
        <f t="shared" si="630"/>
        <v>12320</v>
      </c>
      <c r="W2438" s="161">
        <f t="shared" si="631"/>
        <v>4928</v>
      </c>
      <c r="X2438" s="128"/>
      <c r="Y2438" s="128"/>
      <c r="Z2438" s="128"/>
      <c r="AA2438" s="128"/>
      <c r="AB2438" s="128"/>
      <c r="AC2438" s="128"/>
      <c r="AD2438" s="128"/>
      <c r="AE2438" s="128"/>
      <c r="AF2438" s="128"/>
      <c r="AG2438" s="128"/>
      <c r="AH2438" s="128"/>
      <c r="AI2438" s="128"/>
      <c r="AJ2438" s="128"/>
      <c r="AK2438" s="128"/>
      <c r="AL2438" s="128"/>
      <c r="AM2438" s="128"/>
      <c r="AN2438" s="128"/>
      <c r="AO2438" s="128"/>
      <c r="AP2438" s="128"/>
      <c r="AQ2438" s="128"/>
      <c r="AR2438" s="128"/>
      <c r="AS2438" s="128"/>
      <c r="AT2438" s="128"/>
      <c r="AU2438" s="128"/>
      <c r="AV2438" s="128"/>
      <c r="AW2438" s="128"/>
      <c r="AX2438" s="128"/>
      <c r="AY2438" s="128"/>
      <c r="AZ2438" s="128"/>
      <c r="BA2438" s="128"/>
      <c r="BB2438" s="128"/>
      <c r="BC2438" s="128"/>
      <c r="BD2438" s="128"/>
      <c r="BE2438" s="128"/>
      <c r="BF2438" s="128"/>
      <c r="BG2438" s="128"/>
      <c r="BH2438" s="128"/>
      <c r="BI2438" s="128"/>
      <c r="BJ2438" s="128"/>
      <c r="BK2438" s="128"/>
      <c r="BL2438" s="128"/>
      <c r="BM2438" s="128"/>
      <c r="BN2438" s="128"/>
      <c r="BO2438" s="128"/>
      <c r="BP2438" s="128"/>
      <c r="BQ2438" s="128"/>
      <c r="BR2438" s="128"/>
      <c r="BS2438" s="128"/>
      <c r="BT2438" s="128"/>
      <c r="BU2438" s="128"/>
      <c r="BV2438" s="128"/>
      <c r="BW2438" s="128"/>
      <c r="BX2438" s="128"/>
      <c r="BY2438" s="128"/>
      <c r="BZ2438" s="128"/>
      <c r="CA2438" s="128"/>
      <c r="CB2438" s="128"/>
      <c r="CC2438" s="128"/>
      <c r="CD2438" s="128"/>
      <c r="CE2438" s="128"/>
      <c r="CF2438" s="128"/>
      <c r="CG2438" s="128"/>
      <c r="CH2438" s="128"/>
      <c r="CI2438" s="128"/>
      <c r="CJ2438" s="128"/>
      <c r="CK2438" s="128"/>
      <c r="CL2438" s="128"/>
      <c r="CM2438" s="128"/>
      <c r="CN2438" s="128"/>
      <c r="CO2438" s="128"/>
      <c r="CP2438" s="128"/>
      <c r="CQ2438" s="128"/>
      <c r="CR2438" s="128"/>
      <c r="CS2438" s="128"/>
      <c r="CT2438" s="128"/>
      <c r="CU2438" s="128"/>
      <c r="CV2438" s="128"/>
      <c r="CW2438" s="128"/>
      <c r="CX2438" s="128"/>
      <c r="CY2438" s="128"/>
      <c r="CZ2438" s="128"/>
      <c r="DA2438" s="128"/>
      <c r="DB2438" s="128"/>
      <c r="DC2438" s="128"/>
      <c r="DD2438" s="128"/>
      <c r="DE2438" s="128"/>
      <c r="DF2438" s="128"/>
      <c r="DG2438" s="128"/>
      <c r="DH2438" s="128"/>
      <c r="DI2438" s="128"/>
      <c r="DJ2438" s="128"/>
      <c r="DK2438" s="128"/>
      <c r="DL2438" s="128"/>
      <c r="DM2438" s="128"/>
      <c r="DN2438" s="128"/>
      <c r="DO2438" s="128"/>
      <c r="DP2438" s="128"/>
      <c r="DQ2438" s="128"/>
      <c r="DR2438" s="128"/>
      <c r="DS2438" s="128"/>
      <c r="DT2438" s="128"/>
      <c r="DU2438" s="128"/>
      <c r="DV2438" s="128"/>
      <c r="DW2438" s="128"/>
      <c r="DX2438" s="128"/>
      <c r="DY2438" s="128"/>
      <c r="DZ2438" s="128"/>
      <c r="EA2438" s="128"/>
      <c r="EB2438" s="128"/>
      <c r="EC2438" s="128"/>
      <c r="ED2438" s="128"/>
      <c r="EE2438" s="128"/>
      <c r="EF2438" s="128"/>
      <c r="EG2438" s="128"/>
      <c r="EH2438" s="128"/>
      <c r="EI2438" s="128"/>
      <c r="EJ2438" s="128"/>
      <c r="EK2438" s="128"/>
      <c r="EL2438" s="128"/>
      <c r="EM2438" s="128"/>
      <c r="EN2438" s="128"/>
      <c r="EO2438" s="128"/>
      <c r="EP2438" s="128"/>
      <c r="EQ2438" s="128"/>
      <c r="ER2438" s="128"/>
      <c r="ES2438" s="128"/>
      <c r="ET2438" s="128"/>
      <c r="EU2438" s="128"/>
      <c r="EV2438" s="128"/>
      <c r="EW2438" s="128"/>
      <c r="EX2438" s="128"/>
      <c r="EY2438" s="128"/>
      <c r="EZ2438" s="128"/>
      <c r="FA2438" s="128"/>
      <c r="FB2438" s="128"/>
      <c r="FC2438" s="128"/>
      <c r="FD2438" s="128"/>
      <c r="FE2438" s="128"/>
      <c r="FF2438" s="128"/>
      <c r="FG2438" s="128"/>
      <c r="FH2438" s="128"/>
      <c r="FI2438" s="128"/>
      <c r="FJ2438" s="128"/>
      <c r="FK2438" s="128"/>
      <c r="FL2438" s="128"/>
      <c r="FM2438" s="128"/>
      <c r="FN2438" s="128"/>
      <c r="FO2438" s="128"/>
      <c r="FP2438" s="128"/>
      <c r="FQ2438" s="128"/>
      <c r="FR2438" s="128"/>
      <c r="FS2438" s="128"/>
      <c r="FT2438" s="128"/>
      <c r="FU2438" s="128"/>
      <c r="FV2438" s="128"/>
      <c r="FW2438" s="128"/>
      <c r="FX2438" s="128"/>
      <c r="FY2438" s="128"/>
      <c r="FZ2438" s="128"/>
      <c r="GA2438" s="128"/>
      <c r="GB2438" s="128"/>
      <c r="GC2438" s="128"/>
      <c r="GD2438" s="128"/>
      <c r="GE2438" s="128"/>
      <c r="GF2438" s="128"/>
      <c r="GG2438" s="128"/>
      <c r="GH2438" s="128"/>
      <c r="GI2438" s="128"/>
      <c r="GJ2438" s="128"/>
      <c r="GK2438" s="128"/>
      <c r="GL2438" s="128"/>
      <c r="GM2438" s="128"/>
      <c r="GN2438" s="128"/>
      <c r="GO2438" s="128"/>
      <c r="GP2438" s="128"/>
      <c r="GQ2438" s="128"/>
      <c r="GR2438" s="128"/>
      <c r="GS2438" s="128"/>
      <c r="GT2438" s="128"/>
      <c r="GU2438" s="128"/>
      <c r="GV2438" s="128"/>
      <c r="GW2438" s="128"/>
      <c r="GX2438" s="128"/>
      <c r="GY2438" s="128"/>
      <c r="GZ2438" s="128"/>
      <c r="HA2438" s="128"/>
      <c r="HB2438" s="128"/>
      <c r="HC2438" s="128"/>
      <c r="HD2438" s="128"/>
      <c r="HE2438" s="128"/>
      <c r="HF2438" s="128"/>
      <c r="HG2438" s="128"/>
      <c r="HH2438" s="128"/>
      <c r="HI2438" s="128"/>
      <c r="HJ2438" s="128"/>
      <c r="HK2438" s="128"/>
      <c r="HL2438" s="128"/>
      <c r="HM2438" s="128"/>
      <c r="HN2438" s="128"/>
      <c r="HO2438" s="128"/>
      <c r="HP2438" s="128"/>
      <c r="HQ2438" s="128"/>
      <c r="HR2438" s="128"/>
      <c r="HS2438" s="128"/>
      <c r="HT2438" s="128"/>
      <c r="HU2438" s="128"/>
      <c r="HV2438" s="128"/>
      <c r="HW2438" s="128"/>
      <c r="HX2438" s="128"/>
      <c r="HY2438" s="128"/>
      <c r="HZ2438" s="128"/>
      <c r="IA2438" s="128"/>
      <c r="IB2438" s="128"/>
      <c r="IC2438" s="128"/>
      <c r="ID2438" s="128"/>
      <c r="IE2438" s="128"/>
      <c r="IF2438" s="128"/>
      <c r="IG2438" s="128"/>
      <c r="IH2438" s="128"/>
      <c r="II2438" s="128"/>
      <c r="IJ2438" s="128"/>
    </row>
    <row r="2439" spans="1:244" s="11" customFormat="1" ht="12.75" customHeight="1">
      <c r="A2439" s="118">
        <v>2438</v>
      </c>
      <c r="B2439" s="128">
        <v>25</v>
      </c>
      <c r="C2439" s="156">
        <v>39479</v>
      </c>
      <c r="D2439" s="157" t="s">
        <v>45</v>
      </c>
      <c r="E2439" s="127">
        <v>2008</v>
      </c>
      <c r="F2439" s="158">
        <f t="shared" si="627"/>
        <v>62</v>
      </c>
      <c r="G2439" s="158">
        <f t="shared" si="628"/>
        <v>1</v>
      </c>
      <c r="H2439" s="175">
        <v>39417</v>
      </c>
      <c r="I2439" s="160">
        <v>1216944</v>
      </c>
      <c r="J2439" s="164">
        <v>0.13333329999999999</v>
      </c>
      <c r="K2439" s="164">
        <v>0.1833333</v>
      </c>
      <c r="L2439" s="164">
        <v>0</v>
      </c>
      <c r="M2439" s="193"/>
      <c r="N2439" s="529"/>
      <c r="O2439" s="164">
        <v>1.66666E-2</v>
      </c>
      <c r="P2439" s="192"/>
      <c r="Q2439" s="193"/>
      <c r="R2439" s="193"/>
      <c r="S2439" s="140"/>
      <c r="T2439" s="161">
        <f t="shared" ref="T2439:T2444" si="632">$I2439*K2439</f>
        <v>223106.35943519999</v>
      </c>
      <c r="U2439" s="161">
        <f t="shared" si="629"/>
        <v>0</v>
      </c>
      <c r="V2439" s="161">
        <f t="shared" si="630"/>
        <v>20282.318870399999</v>
      </c>
      <c r="W2439" s="161">
        <f t="shared" si="631"/>
        <v>8112.9275481599998</v>
      </c>
      <c r="X2439" s="128"/>
      <c r="Y2439" s="128"/>
      <c r="Z2439" s="128"/>
      <c r="AA2439" s="128"/>
      <c r="AB2439" s="128"/>
      <c r="AC2439" s="128"/>
      <c r="AD2439" s="128"/>
      <c r="AE2439" s="128"/>
      <c r="AF2439" s="128"/>
      <c r="AG2439" s="128"/>
      <c r="AH2439" s="128"/>
      <c r="AI2439" s="128"/>
      <c r="AJ2439" s="128"/>
      <c r="AK2439" s="128"/>
      <c r="AL2439" s="128"/>
      <c r="AM2439" s="128"/>
      <c r="AN2439" s="128"/>
      <c r="AO2439" s="128"/>
      <c r="AP2439" s="128"/>
      <c r="AQ2439" s="128"/>
      <c r="AR2439" s="128"/>
      <c r="AS2439" s="128"/>
      <c r="AT2439" s="128"/>
      <c r="AU2439" s="128"/>
      <c r="AV2439" s="128"/>
      <c r="AW2439" s="128"/>
      <c r="AX2439" s="128"/>
      <c r="AY2439" s="128"/>
      <c r="AZ2439" s="128"/>
      <c r="BA2439" s="128"/>
      <c r="BB2439" s="128"/>
      <c r="BC2439" s="128"/>
      <c r="BD2439" s="128"/>
      <c r="BE2439" s="128"/>
      <c r="BF2439" s="128"/>
      <c r="BG2439" s="128"/>
      <c r="BH2439" s="128"/>
      <c r="BI2439" s="128"/>
      <c r="BJ2439" s="128"/>
      <c r="BK2439" s="128"/>
      <c r="BL2439" s="128"/>
      <c r="BM2439" s="128"/>
      <c r="BN2439" s="128"/>
      <c r="BO2439" s="128"/>
      <c r="BP2439" s="128"/>
      <c r="BQ2439" s="128"/>
      <c r="BR2439" s="128"/>
      <c r="BS2439" s="128"/>
      <c r="BT2439" s="128"/>
      <c r="BU2439" s="128"/>
      <c r="BV2439" s="128"/>
      <c r="BW2439" s="128"/>
      <c r="BX2439" s="128"/>
      <c r="BY2439" s="128"/>
      <c r="BZ2439" s="128"/>
      <c r="CA2439" s="128"/>
      <c r="CB2439" s="128"/>
      <c r="CC2439" s="128"/>
      <c r="CD2439" s="128"/>
      <c r="CE2439" s="128"/>
      <c r="CF2439" s="128"/>
      <c r="CG2439" s="128"/>
      <c r="CH2439" s="128"/>
      <c r="CI2439" s="128"/>
      <c r="CJ2439" s="128"/>
      <c r="CK2439" s="128"/>
      <c r="CL2439" s="128"/>
      <c r="CM2439" s="128"/>
      <c r="CN2439" s="128"/>
      <c r="CO2439" s="128"/>
      <c r="CP2439" s="128"/>
      <c r="CQ2439" s="128"/>
      <c r="CR2439" s="128"/>
      <c r="CS2439" s="128"/>
      <c r="CT2439" s="128"/>
      <c r="CU2439" s="128"/>
      <c r="CV2439" s="128"/>
      <c r="CW2439" s="128"/>
      <c r="CX2439" s="128"/>
      <c r="CY2439" s="128"/>
      <c r="CZ2439" s="128"/>
      <c r="DA2439" s="128"/>
      <c r="DB2439" s="128"/>
      <c r="DC2439" s="128"/>
      <c r="DD2439" s="128"/>
      <c r="DE2439" s="128"/>
      <c r="DF2439" s="128"/>
      <c r="DG2439" s="128"/>
      <c r="DH2439" s="128"/>
      <c r="DI2439" s="128"/>
      <c r="DJ2439" s="128"/>
      <c r="DK2439" s="128"/>
      <c r="DL2439" s="128"/>
      <c r="DM2439" s="128"/>
      <c r="DN2439" s="128"/>
      <c r="DO2439" s="128"/>
      <c r="DP2439" s="128"/>
      <c r="DQ2439" s="128"/>
      <c r="DR2439" s="128"/>
      <c r="DS2439" s="128"/>
      <c r="DT2439" s="128"/>
      <c r="DU2439" s="128"/>
      <c r="DV2439" s="128"/>
      <c r="DW2439" s="128"/>
      <c r="DX2439" s="128"/>
      <c r="DY2439" s="128"/>
      <c r="DZ2439" s="128"/>
      <c r="EA2439" s="128"/>
      <c r="EB2439" s="128"/>
      <c r="EC2439" s="128"/>
      <c r="ED2439" s="128"/>
      <c r="EE2439" s="128"/>
      <c r="EF2439" s="128"/>
      <c r="EG2439" s="128"/>
      <c r="EH2439" s="128"/>
      <c r="EI2439" s="128"/>
      <c r="EJ2439" s="128"/>
      <c r="EK2439" s="128"/>
      <c r="EL2439" s="128"/>
      <c r="EM2439" s="128"/>
      <c r="EN2439" s="128"/>
      <c r="EO2439" s="128"/>
      <c r="EP2439" s="128"/>
      <c r="EQ2439" s="128"/>
      <c r="ER2439" s="128"/>
      <c r="ES2439" s="128"/>
      <c r="ET2439" s="128"/>
      <c r="EU2439" s="128"/>
      <c r="EV2439" s="128"/>
      <c r="EW2439" s="128"/>
      <c r="EX2439" s="128"/>
      <c r="EY2439" s="128"/>
      <c r="EZ2439" s="128"/>
      <c r="FA2439" s="128"/>
      <c r="FB2439" s="128"/>
      <c r="FC2439" s="128"/>
      <c r="FD2439" s="128"/>
      <c r="FE2439" s="128"/>
      <c r="FF2439" s="128"/>
      <c r="FG2439" s="128"/>
      <c r="FH2439" s="128"/>
      <c r="FI2439" s="128"/>
      <c r="FJ2439" s="128"/>
      <c r="FK2439" s="128"/>
      <c r="FL2439" s="128"/>
      <c r="FM2439" s="128"/>
      <c r="FN2439" s="128"/>
      <c r="FO2439" s="128"/>
      <c r="FP2439" s="128"/>
      <c r="FQ2439" s="128"/>
      <c r="FR2439" s="128"/>
      <c r="FS2439" s="128"/>
      <c r="FT2439" s="128"/>
      <c r="FU2439" s="128"/>
      <c r="FV2439" s="128"/>
      <c r="FW2439" s="128"/>
      <c r="FX2439" s="128"/>
      <c r="FY2439" s="128"/>
      <c r="FZ2439" s="128"/>
      <c r="GA2439" s="128"/>
      <c r="GB2439" s="128"/>
      <c r="GC2439" s="128"/>
      <c r="GD2439" s="128"/>
      <c r="GE2439" s="128"/>
      <c r="GF2439" s="128"/>
      <c r="GG2439" s="128"/>
      <c r="GH2439" s="128"/>
      <c r="GI2439" s="128"/>
      <c r="GJ2439" s="128"/>
      <c r="GK2439" s="128"/>
      <c r="GL2439" s="128"/>
      <c r="GM2439" s="128"/>
      <c r="GN2439" s="128"/>
      <c r="GO2439" s="128"/>
      <c r="GP2439" s="128"/>
      <c r="GQ2439" s="128"/>
      <c r="GR2439" s="128"/>
      <c r="GS2439" s="128"/>
      <c r="GT2439" s="128"/>
      <c r="GU2439" s="128"/>
      <c r="GV2439" s="128"/>
      <c r="GW2439" s="128"/>
      <c r="GX2439" s="128"/>
      <c r="GY2439" s="128"/>
      <c r="GZ2439" s="128"/>
      <c r="HA2439" s="128"/>
      <c r="HB2439" s="128"/>
      <c r="HC2439" s="128"/>
      <c r="HD2439" s="128"/>
      <c r="HE2439" s="128"/>
      <c r="HF2439" s="128"/>
      <c r="HG2439" s="128"/>
      <c r="HH2439" s="128"/>
      <c r="HI2439" s="128"/>
      <c r="HJ2439" s="128"/>
      <c r="HK2439" s="128"/>
      <c r="HL2439" s="128"/>
      <c r="HM2439" s="128"/>
      <c r="HN2439" s="128"/>
      <c r="HO2439" s="128"/>
      <c r="HP2439" s="128"/>
      <c r="HQ2439" s="128"/>
      <c r="HR2439" s="128"/>
      <c r="HS2439" s="128"/>
      <c r="HT2439" s="128"/>
      <c r="HU2439" s="128"/>
      <c r="HV2439" s="128"/>
      <c r="HW2439" s="128"/>
      <c r="HX2439" s="128"/>
      <c r="HY2439" s="128"/>
      <c r="HZ2439" s="128"/>
      <c r="IA2439" s="128"/>
      <c r="IB2439" s="128"/>
      <c r="IC2439" s="128"/>
      <c r="ID2439" s="128"/>
      <c r="IE2439" s="128"/>
      <c r="IF2439" s="128"/>
      <c r="IG2439" s="128"/>
      <c r="IH2439" s="128"/>
      <c r="II2439" s="128"/>
      <c r="IJ2439" s="128"/>
    </row>
    <row r="2440" spans="1:244" s="11" customFormat="1" ht="12.75" customHeight="1">
      <c r="A2440" s="118">
        <v>2439</v>
      </c>
      <c r="B2440" s="128">
        <v>25</v>
      </c>
      <c r="C2440" s="156">
        <v>39508</v>
      </c>
      <c r="D2440" s="157" t="s">
        <v>46</v>
      </c>
      <c r="E2440" s="127">
        <v>2008</v>
      </c>
      <c r="F2440" s="158">
        <f t="shared" si="627"/>
        <v>91</v>
      </c>
      <c r="G2440" s="158">
        <f t="shared" si="628"/>
        <v>1</v>
      </c>
      <c r="H2440" s="175">
        <v>39417</v>
      </c>
      <c r="I2440" s="160">
        <v>1194641</v>
      </c>
      <c r="J2440" s="164">
        <v>0.2</v>
      </c>
      <c r="K2440" s="164">
        <v>0.15</v>
      </c>
      <c r="L2440" s="164">
        <v>0.02</v>
      </c>
      <c r="M2440" s="193">
        <v>0</v>
      </c>
      <c r="N2440" s="529"/>
      <c r="O2440" s="164">
        <v>0</v>
      </c>
      <c r="P2440" s="192"/>
      <c r="Q2440" s="193"/>
      <c r="R2440" s="193"/>
      <c r="S2440" s="140"/>
      <c r="T2440" s="161">
        <f t="shared" si="632"/>
        <v>179196.15</v>
      </c>
      <c r="U2440" s="161">
        <f t="shared" si="629"/>
        <v>23892.82</v>
      </c>
      <c r="V2440" s="161">
        <f t="shared" si="630"/>
        <v>0</v>
      </c>
      <c r="W2440" s="161">
        <f t="shared" si="631"/>
        <v>0</v>
      </c>
      <c r="X2440" s="128"/>
      <c r="Y2440" s="128"/>
      <c r="Z2440" s="128"/>
      <c r="AA2440" s="128"/>
      <c r="AB2440" s="128"/>
      <c r="AC2440" s="128"/>
      <c r="AD2440" s="128"/>
      <c r="AE2440" s="128"/>
      <c r="AF2440" s="128"/>
      <c r="AG2440" s="128"/>
      <c r="AH2440" s="128"/>
      <c r="AI2440" s="128"/>
      <c r="AJ2440" s="128"/>
      <c r="AK2440" s="128"/>
      <c r="AL2440" s="128"/>
      <c r="AM2440" s="128"/>
      <c r="AN2440" s="128"/>
      <c r="AO2440" s="128"/>
      <c r="AP2440" s="128"/>
      <c r="AQ2440" s="128"/>
      <c r="AR2440" s="128"/>
      <c r="AS2440" s="128"/>
      <c r="AT2440" s="128"/>
      <c r="AU2440" s="128"/>
      <c r="AV2440" s="128"/>
      <c r="AW2440" s="128"/>
      <c r="AX2440" s="128"/>
      <c r="AY2440" s="128"/>
      <c r="AZ2440" s="128"/>
      <c r="BA2440" s="128"/>
      <c r="BB2440" s="128"/>
      <c r="BC2440" s="128"/>
      <c r="BD2440" s="128"/>
      <c r="BE2440" s="128"/>
      <c r="BF2440" s="128"/>
      <c r="BG2440" s="128"/>
      <c r="BH2440" s="128"/>
      <c r="BI2440" s="128"/>
      <c r="BJ2440" s="128"/>
      <c r="BK2440" s="128"/>
      <c r="BL2440" s="128"/>
      <c r="BM2440" s="128"/>
      <c r="BN2440" s="128"/>
      <c r="BO2440" s="128"/>
      <c r="BP2440" s="128"/>
      <c r="BQ2440" s="128"/>
      <c r="BR2440" s="128"/>
      <c r="BS2440" s="128"/>
      <c r="BT2440" s="128"/>
      <c r="BU2440" s="128"/>
      <c r="BV2440" s="128"/>
      <c r="BW2440" s="128"/>
      <c r="BX2440" s="128"/>
      <c r="BY2440" s="128"/>
      <c r="BZ2440" s="128"/>
      <c r="CA2440" s="128"/>
      <c r="CB2440" s="128"/>
      <c r="CC2440" s="128"/>
      <c r="CD2440" s="128"/>
      <c r="CE2440" s="128"/>
      <c r="CF2440" s="128"/>
      <c r="CG2440" s="128"/>
      <c r="CH2440" s="128"/>
      <c r="CI2440" s="128"/>
      <c r="CJ2440" s="128"/>
      <c r="CK2440" s="128"/>
      <c r="CL2440" s="128"/>
      <c r="CM2440" s="128"/>
      <c r="CN2440" s="128"/>
      <c r="CO2440" s="128"/>
      <c r="CP2440" s="128"/>
      <c r="CQ2440" s="128"/>
      <c r="CR2440" s="128"/>
      <c r="CS2440" s="128"/>
      <c r="CT2440" s="128"/>
      <c r="CU2440" s="128"/>
      <c r="CV2440" s="128"/>
      <c r="CW2440" s="128"/>
      <c r="CX2440" s="128"/>
      <c r="CY2440" s="128"/>
      <c r="CZ2440" s="128"/>
      <c r="DA2440" s="128"/>
      <c r="DB2440" s="128"/>
      <c r="DC2440" s="128"/>
      <c r="DD2440" s="128"/>
      <c r="DE2440" s="128"/>
      <c r="DF2440" s="128"/>
      <c r="DG2440" s="128"/>
      <c r="DH2440" s="128"/>
      <c r="DI2440" s="128"/>
      <c r="DJ2440" s="128"/>
      <c r="DK2440" s="128"/>
      <c r="DL2440" s="128"/>
      <c r="DM2440" s="128"/>
      <c r="DN2440" s="128"/>
      <c r="DO2440" s="128"/>
      <c r="DP2440" s="128"/>
      <c r="DQ2440" s="128"/>
      <c r="DR2440" s="128"/>
      <c r="DS2440" s="128"/>
      <c r="DT2440" s="128"/>
      <c r="DU2440" s="128"/>
      <c r="DV2440" s="128"/>
      <c r="DW2440" s="128"/>
      <c r="DX2440" s="128"/>
      <c r="DY2440" s="128"/>
      <c r="DZ2440" s="128"/>
      <c r="EA2440" s="128"/>
      <c r="EB2440" s="128"/>
      <c r="EC2440" s="128"/>
      <c r="ED2440" s="128"/>
      <c r="EE2440" s="128"/>
      <c r="EF2440" s="128"/>
      <c r="EG2440" s="128"/>
      <c r="EH2440" s="128"/>
      <c r="EI2440" s="128"/>
      <c r="EJ2440" s="128"/>
      <c r="EK2440" s="128"/>
      <c r="EL2440" s="128"/>
      <c r="EM2440" s="128"/>
      <c r="EN2440" s="128"/>
      <c r="EO2440" s="128"/>
      <c r="EP2440" s="128"/>
      <c r="EQ2440" s="128"/>
      <c r="ER2440" s="128"/>
      <c r="ES2440" s="128"/>
      <c r="ET2440" s="128"/>
      <c r="EU2440" s="128"/>
      <c r="EV2440" s="128"/>
      <c r="EW2440" s="128"/>
      <c r="EX2440" s="128"/>
      <c r="EY2440" s="128"/>
      <c r="EZ2440" s="128"/>
      <c r="FA2440" s="128"/>
      <c r="FB2440" s="128"/>
      <c r="FC2440" s="128"/>
      <c r="FD2440" s="128"/>
      <c r="FE2440" s="128"/>
      <c r="FF2440" s="128"/>
      <c r="FG2440" s="128"/>
      <c r="FH2440" s="128"/>
      <c r="FI2440" s="128"/>
      <c r="FJ2440" s="128"/>
      <c r="FK2440" s="128"/>
      <c r="FL2440" s="128"/>
      <c r="FM2440" s="128"/>
      <c r="FN2440" s="128"/>
      <c r="FO2440" s="128"/>
      <c r="FP2440" s="128"/>
      <c r="FQ2440" s="128"/>
      <c r="FR2440" s="128"/>
      <c r="FS2440" s="128"/>
      <c r="FT2440" s="128"/>
      <c r="FU2440" s="128"/>
      <c r="FV2440" s="128"/>
      <c r="FW2440" s="128"/>
      <c r="FX2440" s="128"/>
      <c r="FY2440" s="128"/>
      <c r="FZ2440" s="128"/>
      <c r="GA2440" s="128"/>
      <c r="GB2440" s="128"/>
      <c r="GC2440" s="128"/>
      <c r="GD2440" s="128"/>
      <c r="GE2440" s="128"/>
      <c r="GF2440" s="128"/>
      <c r="GG2440" s="128"/>
      <c r="GH2440" s="128"/>
      <c r="GI2440" s="128"/>
      <c r="GJ2440" s="128"/>
      <c r="GK2440" s="128"/>
      <c r="GL2440" s="128"/>
      <c r="GM2440" s="128"/>
      <c r="GN2440" s="128"/>
      <c r="GO2440" s="128"/>
      <c r="GP2440" s="128"/>
      <c r="GQ2440" s="128"/>
      <c r="GR2440" s="128"/>
      <c r="GS2440" s="128"/>
      <c r="GT2440" s="128"/>
      <c r="GU2440" s="128"/>
      <c r="GV2440" s="128"/>
      <c r="GW2440" s="128"/>
      <c r="GX2440" s="128"/>
      <c r="GY2440" s="128"/>
      <c r="GZ2440" s="128"/>
      <c r="HA2440" s="128"/>
      <c r="HB2440" s="128"/>
      <c r="HC2440" s="128"/>
      <c r="HD2440" s="128"/>
      <c r="HE2440" s="128"/>
      <c r="HF2440" s="128"/>
      <c r="HG2440" s="128"/>
      <c r="HH2440" s="128"/>
      <c r="HI2440" s="128"/>
      <c r="HJ2440" s="128"/>
      <c r="HK2440" s="128"/>
      <c r="HL2440" s="128"/>
      <c r="HM2440" s="128"/>
      <c r="HN2440" s="128"/>
      <c r="HO2440" s="128"/>
      <c r="HP2440" s="128"/>
      <c r="HQ2440" s="128"/>
      <c r="HR2440" s="128"/>
      <c r="HS2440" s="128"/>
      <c r="HT2440" s="128"/>
      <c r="HU2440" s="128"/>
      <c r="HV2440" s="128"/>
      <c r="HW2440" s="128"/>
      <c r="HX2440" s="128"/>
      <c r="HY2440" s="128"/>
      <c r="HZ2440" s="128"/>
      <c r="IA2440" s="128"/>
      <c r="IB2440" s="128"/>
      <c r="IC2440" s="128"/>
      <c r="ID2440" s="128"/>
      <c r="IE2440" s="128"/>
      <c r="IF2440" s="128"/>
      <c r="IG2440" s="128"/>
      <c r="IH2440" s="128"/>
      <c r="II2440" s="128"/>
      <c r="IJ2440" s="128"/>
    </row>
    <row r="2441" spans="1:244" s="11" customFormat="1" ht="12.75" customHeight="1">
      <c r="A2441" s="118">
        <v>2440</v>
      </c>
      <c r="B2441" s="128">
        <v>25</v>
      </c>
      <c r="C2441" s="156">
        <v>39539</v>
      </c>
      <c r="D2441" s="157" t="s">
        <v>47</v>
      </c>
      <c r="E2441" s="127">
        <v>2008</v>
      </c>
      <c r="F2441" s="158">
        <f t="shared" si="627"/>
        <v>122</v>
      </c>
      <c r="G2441" s="158">
        <f t="shared" si="628"/>
        <v>1</v>
      </c>
      <c r="H2441" s="175">
        <v>39417</v>
      </c>
      <c r="I2441" s="160">
        <v>1185583</v>
      </c>
      <c r="J2441" s="164">
        <v>0.42</v>
      </c>
      <c r="K2441" s="164">
        <v>0.5</v>
      </c>
      <c r="L2441" s="164">
        <v>0.02</v>
      </c>
      <c r="M2441" s="193">
        <v>0</v>
      </c>
      <c r="N2441" s="529"/>
      <c r="O2441" s="164">
        <v>0.15</v>
      </c>
      <c r="P2441" s="192"/>
      <c r="Q2441" s="193"/>
      <c r="R2441" s="193"/>
      <c r="S2441" s="140"/>
      <c r="T2441" s="161">
        <f t="shared" si="632"/>
        <v>592791.5</v>
      </c>
      <c r="U2441" s="161">
        <f t="shared" si="629"/>
        <v>23711.66</v>
      </c>
      <c r="V2441" s="161">
        <f t="shared" si="630"/>
        <v>177837.44999999998</v>
      </c>
      <c r="W2441" s="161">
        <f t="shared" si="631"/>
        <v>71134.98</v>
      </c>
      <c r="X2441" s="128"/>
      <c r="Y2441" s="128"/>
      <c r="Z2441" s="128"/>
      <c r="AA2441" s="128"/>
      <c r="AB2441" s="128"/>
      <c r="AC2441" s="128"/>
      <c r="AD2441" s="128"/>
      <c r="AE2441" s="128"/>
      <c r="AF2441" s="128"/>
      <c r="AG2441" s="128"/>
      <c r="AH2441" s="128"/>
      <c r="AI2441" s="128"/>
      <c r="AJ2441" s="128"/>
      <c r="AK2441" s="128"/>
      <c r="AL2441" s="128"/>
      <c r="AM2441" s="128"/>
      <c r="AN2441" s="128"/>
      <c r="AO2441" s="128"/>
      <c r="AP2441" s="128"/>
      <c r="AQ2441" s="128"/>
      <c r="AR2441" s="128"/>
      <c r="AS2441" s="128"/>
      <c r="AT2441" s="128"/>
      <c r="AU2441" s="128"/>
      <c r="AV2441" s="128"/>
      <c r="AW2441" s="128"/>
      <c r="AX2441" s="128"/>
      <c r="AY2441" s="128"/>
      <c r="AZ2441" s="128"/>
      <c r="BA2441" s="128"/>
      <c r="BB2441" s="128"/>
      <c r="BC2441" s="128"/>
      <c r="BD2441" s="128"/>
      <c r="BE2441" s="128"/>
      <c r="BF2441" s="128"/>
      <c r="BG2441" s="128"/>
      <c r="BH2441" s="128"/>
      <c r="BI2441" s="128"/>
      <c r="BJ2441" s="128"/>
      <c r="BK2441" s="128"/>
      <c r="BL2441" s="128"/>
      <c r="BM2441" s="128"/>
      <c r="BN2441" s="128"/>
      <c r="BO2441" s="128"/>
      <c r="BP2441" s="128"/>
      <c r="BQ2441" s="128"/>
      <c r="BR2441" s="128"/>
      <c r="BS2441" s="128"/>
      <c r="BT2441" s="128"/>
      <c r="BU2441" s="128"/>
      <c r="BV2441" s="128"/>
      <c r="BW2441" s="128"/>
      <c r="BX2441" s="128"/>
      <c r="BY2441" s="128"/>
      <c r="BZ2441" s="128"/>
      <c r="CA2441" s="128"/>
      <c r="CB2441" s="128"/>
      <c r="CC2441" s="128"/>
      <c r="CD2441" s="128"/>
      <c r="CE2441" s="128"/>
      <c r="CF2441" s="128"/>
      <c r="CG2441" s="128"/>
      <c r="CH2441" s="128"/>
      <c r="CI2441" s="128"/>
      <c r="CJ2441" s="128"/>
      <c r="CK2441" s="128"/>
      <c r="CL2441" s="128"/>
      <c r="CM2441" s="128"/>
      <c r="CN2441" s="128"/>
      <c r="CO2441" s="128"/>
      <c r="CP2441" s="128"/>
      <c r="CQ2441" s="128"/>
      <c r="CR2441" s="128"/>
      <c r="CS2441" s="128"/>
      <c r="CT2441" s="128"/>
      <c r="CU2441" s="128"/>
      <c r="CV2441" s="128"/>
      <c r="CW2441" s="128"/>
      <c r="CX2441" s="128"/>
      <c r="CY2441" s="128"/>
      <c r="CZ2441" s="128"/>
      <c r="DA2441" s="128"/>
      <c r="DB2441" s="128"/>
      <c r="DC2441" s="128"/>
      <c r="DD2441" s="128"/>
      <c r="DE2441" s="128"/>
      <c r="DF2441" s="128"/>
      <c r="DG2441" s="128"/>
      <c r="DH2441" s="128"/>
      <c r="DI2441" s="128"/>
      <c r="DJ2441" s="128"/>
      <c r="DK2441" s="128"/>
      <c r="DL2441" s="128"/>
      <c r="DM2441" s="128"/>
      <c r="DN2441" s="128"/>
      <c r="DO2441" s="128"/>
      <c r="DP2441" s="128"/>
      <c r="DQ2441" s="128"/>
      <c r="DR2441" s="128"/>
      <c r="DS2441" s="128"/>
      <c r="DT2441" s="128"/>
      <c r="DU2441" s="128"/>
      <c r="DV2441" s="128"/>
      <c r="DW2441" s="128"/>
      <c r="DX2441" s="128"/>
      <c r="DY2441" s="128"/>
      <c r="DZ2441" s="128"/>
      <c r="EA2441" s="128"/>
      <c r="EB2441" s="128"/>
      <c r="EC2441" s="128"/>
      <c r="ED2441" s="128"/>
      <c r="EE2441" s="128"/>
      <c r="EF2441" s="128"/>
      <c r="EG2441" s="128"/>
      <c r="EH2441" s="128"/>
      <c r="EI2441" s="128"/>
      <c r="EJ2441" s="128"/>
      <c r="EK2441" s="128"/>
      <c r="EL2441" s="128"/>
      <c r="EM2441" s="128"/>
      <c r="EN2441" s="128"/>
      <c r="EO2441" s="128"/>
      <c r="EP2441" s="128"/>
      <c r="EQ2441" s="128"/>
      <c r="ER2441" s="128"/>
      <c r="ES2441" s="128"/>
      <c r="ET2441" s="128"/>
      <c r="EU2441" s="128"/>
      <c r="EV2441" s="128"/>
      <c r="EW2441" s="128"/>
      <c r="EX2441" s="128"/>
      <c r="EY2441" s="128"/>
      <c r="EZ2441" s="128"/>
      <c r="FA2441" s="128"/>
      <c r="FB2441" s="128"/>
      <c r="FC2441" s="128"/>
      <c r="FD2441" s="128"/>
      <c r="FE2441" s="128"/>
      <c r="FF2441" s="128"/>
      <c r="FG2441" s="128"/>
      <c r="FH2441" s="128"/>
      <c r="FI2441" s="128"/>
      <c r="FJ2441" s="128"/>
      <c r="FK2441" s="128"/>
      <c r="FL2441" s="128"/>
      <c r="FM2441" s="128"/>
      <c r="FN2441" s="128"/>
      <c r="FO2441" s="128"/>
      <c r="FP2441" s="128"/>
      <c r="FQ2441" s="128"/>
      <c r="FR2441" s="128"/>
      <c r="FS2441" s="128"/>
      <c r="FT2441" s="128"/>
      <c r="FU2441" s="128"/>
      <c r="FV2441" s="128"/>
      <c r="FW2441" s="128"/>
      <c r="FX2441" s="128"/>
      <c r="FY2441" s="128"/>
      <c r="FZ2441" s="128"/>
      <c r="GA2441" s="128"/>
      <c r="GB2441" s="128"/>
      <c r="GC2441" s="128"/>
      <c r="GD2441" s="128"/>
      <c r="GE2441" s="128"/>
      <c r="GF2441" s="128"/>
      <c r="GG2441" s="128"/>
      <c r="GH2441" s="128"/>
      <c r="GI2441" s="128"/>
      <c r="GJ2441" s="128"/>
      <c r="GK2441" s="128"/>
      <c r="GL2441" s="128"/>
      <c r="GM2441" s="128"/>
      <c r="GN2441" s="128"/>
      <c r="GO2441" s="128"/>
      <c r="GP2441" s="128"/>
      <c r="GQ2441" s="128"/>
      <c r="GR2441" s="128"/>
      <c r="GS2441" s="128"/>
      <c r="GT2441" s="128"/>
      <c r="GU2441" s="128"/>
      <c r="GV2441" s="128"/>
      <c r="GW2441" s="128"/>
      <c r="GX2441" s="128"/>
      <c r="GY2441" s="128"/>
      <c r="GZ2441" s="128"/>
      <c r="HA2441" s="128"/>
      <c r="HB2441" s="128"/>
      <c r="HC2441" s="128"/>
      <c r="HD2441" s="128"/>
      <c r="HE2441" s="128"/>
      <c r="HF2441" s="128"/>
      <c r="HG2441" s="128"/>
      <c r="HH2441" s="128"/>
      <c r="HI2441" s="128"/>
      <c r="HJ2441" s="128"/>
      <c r="HK2441" s="128"/>
      <c r="HL2441" s="128"/>
      <c r="HM2441" s="128"/>
      <c r="HN2441" s="128"/>
      <c r="HO2441" s="128"/>
      <c r="HP2441" s="128"/>
      <c r="HQ2441" s="128"/>
      <c r="HR2441" s="128"/>
      <c r="HS2441" s="128"/>
      <c r="HT2441" s="128"/>
      <c r="HU2441" s="128"/>
      <c r="HV2441" s="128"/>
      <c r="HW2441" s="128"/>
      <c r="HX2441" s="128"/>
      <c r="HY2441" s="128"/>
      <c r="HZ2441" s="128"/>
      <c r="IA2441" s="128"/>
      <c r="IB2441" s="128"/>
      <c r="IC2441" s="128"/>
      <c r="ID2441" s="128"/>
      <c r="IE2441" s="128"/>
      <c r="IF2441" s="128"/>
      <c r="IG2441" s="128"/>
      <c r="IH2441" s="128"/>
      <c r="II2441" s="128"/>
      <c r="IJ2441" s="128"/>
    </row>
    <row r="2442" spans="1:244" ht="12.75" customHeight="1">
      <c r="A2442" s="118">
        <v>2441</v>
      </c>
      <c r="B2442" s="128">
        <v>25</v>
      </c>
      <c r="C2442" s="156">
        <v>39569</v>
      </c>
      <c r="D2442" s="157" t="s">
        <v>48</v>
      </c>
      <c r="E2442" s="127">
        <v>2008</v>
      </c>
      <c r="F2442" s="158">
        <f t="shared" si="627"/>
        <v>152</v>
      </c>
      <c r="G2442" s="158">
        <f t="shared" si="628"/>
        <v>1</v>
      </c>
      <c r="H2442" s="175">
        <v>39417</v>
      </c>
      <c r="I2442" s="160">
        <v>1182398</v>
      </c>
      <c r="J2442" s="191">
        <v>0.2</v>
      </c>
      <c r="K2442" s="191">
        <v>0.37</v>
      </c>
      <c r="L2442" s="191">
        <v>7.0000000000000007E-2</v>
      </c>
      <c r="M2442" s="193">
        <v>0</v>
      </c>
      <c r="N2442" s="529"/>
      <c r="O2442" s="191">
        <v>0.05</v>
      </c>
      <c r="P2442" s="192"/>
      <c r="Q2442" s="193"/>
      <c r="R2442" s="193"/>
      <c r="S2442" s="140"/>
      <c r="T2442" s="161">
        <f t="shared" si="632"/>
        <v>437487.26</v>
      </c>
      <c r="U2442" s="161">
        <f t="shared" si="629"/>
        <v>82767.860000000015</v>
      </c>
      <c r="V2442" s="161">
        <f t="shared" si="630"/>
        <v>59119.9</v>
      </c>
      <c r="W2442" s="161">
        <f t="shared" si="631"/>
        <v>23647.960000000003</v>
      </c>
      <c r="X2442" s="128"/>
      <c r="Y2442" s="128"/>
      <c r="Z2442" s="128"/>
      <c r="AA2442" s="128"/>
      <c r="AB2442" s="128"/>
      <c r="AC2442" s="128"/>
      <c r="AD2442" s="128"/>
      <c r="AE2442" s="128"/>
      <c r="AF2442" s="128"/>
      <c r="AG2442" s="128"/>
      <c r="AH2442" s="128"/>
      <c r="AI2442" s="128"/>
      <c r="AJ2442" s="128"/>
      <c r="AK2442" s="128"/>
      <c r="AL2442" s="128"/>
      <c r="AM2442" s="128"/>
      <c r="AN2442" s="128"/>
      <c r="AO2442" s="128"/>
      <c r="AP2442" s="128"/>
      <c r="AQ2442" s="128"/>
      <c r="AR2442" s="128"/>
      <c r="AS2442" s="128"/>
      <c r="AT2442" s="128"/>
      <c r="AU2442" s="128"/>
      <c r="AV2442" s="128"/>
      <c r="AW2442" s="128"/>
      <c r="AX2442" s="128"/>
      <c r="AY2442" s="128"/>
      <c r="AZ2442" s="128"/>
      <c r="BA2442" s="128"/>
      <c r="BB2442" s="128"/>
      <c r="BC2442" s="128"/>
      <c r="BD2442" s="128"/>
      <c r="BE2442" s="128"/>
      <c r="BF2442" s="128"/>
      <c r="BG2442" s="128"/>
      <c r="BH2442" s="128"/>
      <c r="BI2442" s="128"/>
      <c r="BJ2442" s="128"/>
      <c r="BK2442" s="128"/>
      <c r="BL2442" s="128"/>
      <c r="BM2442" s="128"/>
      <c r="BN2442" s="128"/>
      <c r="BO2442" s="128"/>
      <c r="BP2442" s="128"/>
      <c r="BQ2442" s="128"/>
      <c r="BR2442" s="128"/>
      <c r="BS2442" s="128"/>
      <c r="BT2442" s="128"/>
      <c r="BU2442" s="128"/>
      <c r="BV2442" s="128"/>
      <c r="BW2442" s="128"/>
      <c r="BX2442" s="128"/>
      <c r="BY2442" s="128"/>
      <c r="BZ2442" s="128"/>
      <c r="CA2442" s="128"/>
      <c r="CB2442" s="128"/>
      <c r="CC2442" s="128"/>
      <c r="CD2442" s="128"/>
      <c r="CE2442" s="128"/>
      <c r="CF2442" s="128"/>
      <c r="CG2442" s="128"/>
      <c r="CH2442" s="128"/>
      <c r="CI2442" s="128"/>
      <c r="CJ2442" s="128"/>
      <c r="CK2442" s="128"/>
      <c r="CL2442" s="128"/>
      <c r="CM2442" s="128"/>
      <c r="CN2442" s="128"/>
      <c r="CO2442" s="128"/>
      <c r="CP2442" s="128"/>
      <c r="CQ2442" s="128"/>
      <c r="CR2442" s="128"/>
      <c r="CS2442" s="128"/>
      <c r="CT2442" s="128"/>
      <c r="CU2442" s="128"/>
      <c r="CV2442" s="128"/>
      <c r="CW2442" s="128"/>
      <c r="CX2442" s="128"/>
      <c r="CY2442" s="128"/>
      <c r="CZ2442" s="128"/>
      <c r="DA2442" s="128"/>
      <c r="DB2442" s="128"/>
      <c r="DC2442" s="128"/>
      <c r="DD2442" s="128"/>
      <c r="DE2442" s="128"/>
      <c r="DF2442" s="128"/>
      <c r="DG2442" s="128"/>
      <c r="DH2442" s="128"/>
      <c r="DI2442" s="128"/>
      <c r="DJ2442" s="128"/>
      <c r="DK2442" s="128"/>
      <c r="DL2442" s="128"/>
      <c r="DM2442" s="128"/>
      <c r="DN2442" s="128"/>
      <c r="DO2442" s="128"/>
      <c r="DP2442" s="128"/>
      <c r="DQ2442" s="128"/>
      <c r="DR2442" s="128"/>
      <c r="DS2442" s="128"/>
      <c r="DT2442" s="128"/>
      <c r="DU2442" s="128"/>
      <c r="DV2442" s="128"/>
      <c r="DW2442" s="128"/>
      <c r="DX2442" s="128"/>
      <c r="DY2442" s="128"/>
      <c r="DZ2442" s="128"/>
      <c r="EA2442" s="128"/>
      <c r="EB2442" s="128"/>
      <c r="EC2442" s="128"/>
      <c r="ED2442" s="128"/>
      <c r="EE2442" s="128"/>
      <c r="EF2442" s="128"/>
      <c r="EG2442" s="128"/>
      <c r="EH2442" s="128"/>
      <c r="EI2442" s="128"/>
      <c r="EJ2442" s="128"/>
      <c r="EK2442" s="128"/>
      <c r="EL2442" s="128"/>
      <c r="EM2442" s="128"/>
      <c r="EN2442" s="128"/>
      <c r="EO2442" s="128"/>
      <c r="EP2442" s="128"/>
      <c r="EQ2442" s="128"/>
      <c r="ER2442" s="128"/>
      <c r="ES2442" s="128"/>
      <c r="ET2442" s="128"/>
      <c r="EU2442" s="128"/>
      <c r="EV2442" s="128"/>
      <c r="EW2442" s="128"/>
      <c r="EX2442" s="128"/>
      <c r="EY2442" s="128"/>
      <c r="EZ2442" s="128"/>
      <c r="FA2442" s="128"/>
      <c r="FB2442" s="128"/>
      <c r="FC2442" s="128"/>
      <c r="FD2442" s="128"/>
      <c r="FE2442" s="128"/>
      <c r="FF2442" s="128"/>
      <c r="FG2442" s="128"/>
      <c r="FH2442" s="128"/>
      <c r="FI2442" s="128"/>
      <c r="FJ2442" s="128"/>
      <c r="FK2442" s="128"/>
      <c r="FL2442" s="128"/>
      <c r="FM2442" s="128"/>
      <c r="FN2442" s="128"/>
      <c r="FO2442" s="128"/>
      <c r="FP2442" s="128"/>
      <c r="FQ2442" s="128"/>
      <c r="FR2442" s="128"/>
      <c r="FS2442" s="128"/>
      <c r="FT2442" s="128"/>
      <c r="FU2442" s="128"/>
      <c r="FV2442" s="128"/>
      <c r="FW2442" s="128"/>
      <c r="FX2442" s="128"/>
      <c r="FY2442" s="128"/>
      <c r="FZ2442" s="128"/>
      <c r="GA2442" s="128"/>
      <c r="GB2442" s="128"/>
      <c r="GC2442" s="128"/>
      <c r="GD2442" s="128"/>
      <c r="GE2442" s="128"/>
      <c r="GF2442" s="128"/>
      <c r="GG2442" s="128"/>
      <c r="GH2442" s="128"/>
      <c r="GI2442" s="128"/>
      <c r="GJ2442" s="128"/>
      <c r="GK2442" s="128"/>
      <c r="GL2442" s="128"/>
      <c r="GM2442" s="128"/>
      <c r="GN2442" s="128"/>
      <c r="GO2442" s="128"/>
      <c r="GP2442" s="128"/>
      <c r="GQ2442" s="128"/>
      <c r="GR2442" s="128"/>
      <c r="GS2442" s="128"/>
      <c r="GT2442" s="128"/>
      <c r="GU2442" s="128"/>
      <c r="GV2442" s="128"/>
      <c r="GW2442" s="128"/>
      <c r="GX2442" s="128"/>
      <c r="GY2442" s="128"/>
      <c r="GZ2442" s="128"/>
      <c r="HA2442" s="128"/>
      <c r="HB2442" s="128"/>
      <c r="HC2442" s="128"/>
      <c r="HD2442" s="128"/>
      <c r="HE2442" s="128"/>
      <c r="HF2442" s="128"/>
      <c r="HG2442" s="128"/>
      <c r="HH2442" s="128"/>
      <c r="HI2442" s="128"/>
      <c r="HJ2442" s="128"/>
      <c r="HK2442" s="128"/>
      <c r="HL2442" s="128"/>
      <c r="HM2442" s="128"/>
      <c r="HN2442" s="128"/>
      <c r="HO2442" s="128"/>
      <c r="HP2442" s="128"/>
      <c r="HQ2442" s="128"/>
      <c r="HR2442" s="128"/>
      <c r="HS2442" s="128"/>
      <c r="HT2442" s="128"/>
      <c r="HU2442" s="128"/>
      <c r="HV2442" s="128"/>
      <c r="HW2442" s="128"/>
      <c r="HX2442" s="128"/>
      <c r="HY2442" s="128"/>
      <c r="HZ2442" s="128"/>
      <c r="IA2442" s="128"/>
      <c r="IB2442" s="128"/>
      <c r="IC2442" s="128"/>
      <c r="ID2442" s="128"/>
      <c r="IE2442" s="128"/>
      <c r="IF2442" s="128"/>
      <c r="IG2442" s="128"/>
      <c r="IH2442" s="128"/>
      <c r="II2442" s="128"/>
      <c r="IJ2442" s="128"/>
    </row>
    <row r="2443" spans="1:244" ht="12.75" customHeight="1">
      <c r="A2443" s="118">
        <v>2442</v>
      </c>
      <c r="B2443" s="128">
        <v>25</v>
      </c>
      <c r="C2443" s="156">
        <v>39600</v>
      </c>
      <c r="D2443" s="157" t="s">
        <v>49</v>
      </c>
      <c r="E2443" s="127">
        <v>2008</v>
      </c>
      <c r="F2443" s="158">
        <f t="shared" si="627"/>
        <v>183</v>
      </c>
      <c r="G2443" s="158">
        <f t="shared" si="628"/>
        <v>1</v>
      </c>
      <c r="H2443" s="175">
        <v>39417</v>
      </c>
      <c r="I2443" s="160">
        <v>1174044</v>
      </c>
      <c r="J2443" s="191">
        <v>0.12</v>
      </c>
      <c r="K2443" s="191">
        <v>0.23</v>
      </c>
      <c r="L2443" s="191">
        <v>0.04</v>
      </c>
      <c r="M2443" s="193"/>
      <c r="N2443" s="529"/>
      <c r="O2443" s="191">
        <v>0.09</v>
      </c>
      <c r="P2443" s="192"/>
      <c r="Q2443" s="193"/>
      <c r="R2443" s="193"/>
      <c r="S2443" s="140"/>
      <c r="T2443" s="161">
        <f t="shared" si="632"/>
        <v>270030.12</v>
      </c>
      <c r="U2443" s="161">
        <f t="shared" si="629"/>
        <v>46961.760000000002</v>
      </c>
      <c r="V2443" s="161">
        <f t="shared" si="630"/>
        <v>105663.95999999999</v>
      </c>
      <c r="W2443" s="161">
        <f t="shared" si="631"/>
        <v>42265.584000000003</v>
      </c>
      <c r="X2443" s="128"/>
      <c r="Y2443" s="128"/>
      <c r="Z2443" s="128"/>
      <c r="AA2443" s="128"/>
      <c r="AB2443" s="128"/>
      <c r="AC2443" s="128"/>
      <c r="AD2443" s="128"/>
      <c r="AE2443" s="128"/>
      <c r="AF2443" s="128"/>
      <c r="AG2443" s="128"/>
      <c r="AH2443" s="128"/>
      <c r="AI2443" s="128"/>
      <c r="AJ2443" s="128"/>
      <c r="AK2443" s="128"/>
      <c r="AL2443" s="128"/>
      <c r="AM2443" s="128"/>
      <c r="AN2443" s="128"/>
      <c r="AO2443" s="128"/>
      <c r="AP2443" s="128"/>
      <c r="AQ2443" s="128"/>
      <c r="AR2443" s="128"/>
      <c r="AS2443" s="128"/>
      <c r="AT2443" s="128"/>
      <c r="AU2443" s="128"/>
      <c r="AV2443" s="128"/>
      <c r="AW2443" s="128"/>
      <c r="AX2443" s="128"/>
      <c r="AY2443" s="128"/>
      <c r="AZ2443" s="128"/>
      <c r="BA2443" s="128"/>
      <c r="BB2443" s="128"/>
      <c r="BC2443" s="128"/>
      <c r="BD2443" s="128"/>
      <c r="BE2443" s="128"/>
      <c r="BF2443" s="128"/>
      <c r="BG2443" s="128"/>
      <c r="BH2443" s="128"/>
      <c r="BI2443" s="128"/>
      <c r="BJ2443" s="128"/>
      <c r="BK2443" s="128"/>
      <c r="BL2443" s="128"/>
      <c r="BM2443" s="128"/>
      <c r="BN2443" s="128"/>
      <c r="BO2443" s="128"/>
      <c r="BP2443" s="128"/>
      <c r="BQ2443" s="128"/>
      <c r="BR2443" s="128"/>
      <c r="BS2443" s="128"/>
      <c r="BT2443" s="128"/>
      <c r="BU2443" s="128"/>
      <c r="BV2443" s="128"/>
      <c r="BW2443" s="128"/>
      <c r="BX2443" s="128"/>
      <c r="BY2443" s="128"/>
      <c r="BZ2443" s="128"/>
      <c r="CA2443" s="128"/>
      <c r="CB2443" s="128"/>
      <c r="CC2443" s="128"/>
      <c r="CD2443" s="128"/>
      <c r="CE2443" s="128"/>
      <c r="CF2443" s="128"/>
      <c r="CG2443" s="128"/>
      <c r="CH2443" s="128"/>
      <c r="CI2443" s="128"/>
      <c r="CJ2443" s="128"/>
      <c r="CK2443" s="128"/>
      <c r="CL2443" s="128"/>
      <c r="CM2443" s="128"/>
      <c r="CN2443" s="128"/>
      <c r="CO2443" s="128"/>
      <c r="CP2443" s="128"/>
      <c r="CQ2443" s="128"/>
      <c r="CR2443" s="128"/>
      <c r="CS2443" s="128"/>
      <c r="CT2443" s="128"/>
      <c r="CU2443" s="128"/>
      <c r="CV2443" s="128"/>
      <c r="CW2443" s="128"/>
      <c r="CX2443" s="128"/>
      <c r="CY2443" s="128"/>
      <c r="CZ2443" s="128"/>
      <c r="DA2443" s="128"/>
      <c r="DB2443" s="128"/>
      <c r="DC2443" s="128"/>
      <c r="DD2443" s="128"/>
      <c r="DE2443" s="128"/>
      <c r="DF2443" s="128"/>
      <c r="DG2443" s="128"/>
      <c r="DH2443" s="128"/>
      <c r="DI2443" s="128"/>
      <c r="DJ2443" s="128"/>
      <c r="DK2443" s="128"/>
      <c r="DL2443" s="128"/>
      <c r="DM2443" s="128"/>
      <c r="DN2443" s="128"/>
      <c r="DO2443" s="128"/>
      <c r="DP2443" s="128"/>
      <c r="DQ2443" s="128"/>
      <c r="DR2443" s="128"/>
      <c r="DS2443" s="128"/>
      <c r="DT2443" s="128"/>
      <c r="DU2443" s="128"/>
      <c r="DV2443" s="128"/>
      <c r="DW2443" s="128"/>
      <c r="DX2443" s="128"/>
      <c r="DY2443" s="128"/>
      <c r="DZ2443" s="128"/>
      <c r="EA2443" s="128"/>
      <c r="EB2443" s="128"/>
      <c r="EC2443" s="128"/>
      <c r="ED2443" s="128"/>
      <c r="EE2443" s="128"/>
      <c r="EF2443" s="128"/>
      <c r="EG2443" s="128"/>
      <c r="EH2443" s="128"/>
      <c r="EI2443" s="128"/>
      <c r="EJ2443" s="128"/>
      <c r="EK2443" s="128"/>
      <c r="EL2443" s="128"/>
      <c r="EM2443" s="128"/>
      <c r="EN2443" s="128"/>
      <c r="EO2443" s="128"/>
      <c r="EP2443" s="128"/>
      <c r="EQ2443" s="128"/>
      <c r="ER2443" s="128"/>
      <c r="ES2443" s="128"/>
      <c r="ET2443" s="128"/>
      <c r="EU2443" s="128"/>
      <c r="EV2443" s="128"/>
      <c r="EW2443" s="128"/>
      <c r="EX2443" s="128"/>
      <c r="EY2443" s="128"/>
      <c r="EZ2443" s="128"/>
      <c r="FA2443" s="128"/>
      <c r="FB2443" s="128"/>
      <c r="FC2443" s="128"/>
      <c r="FD2443" s="128"/>
      <c r="FE2443" s="128"/>
      <c r="FF2443" s="128"/>
      <c r="FG2443" s="128"/>
      <c r="FH2443" s="128"/>
      <c r="FI2443" s="128"/>
      <c r="FJ2443" s="128"/>
      <c r="FK2443" s="128"/>
      <c r="FL2443" s="128"/>
      <c r="FM2443" s="128"/>
      <c r="FN2443" s="128"/>
      <c r="FO2443" s="128"/>
      <c r="FP2443" s="128"/>
      <c r="FQ2443" s="128"/>
      <c r="FR2443" s="128"/>
      <c r="FS2443" s="128"/>
      <c r="FT2443" s="128"/>
      <c r="FU2443" s="128"/>
      <c r="FV2443" s="128"/>
      <c r="FW2443" s="128"/>
      <c r="FX2443" s="128"/>
      <c r="FY2443" s="128"/>
      <c r="FZ2443" s="128"/>
      <c r="GA2443" s="128"/>
      <c r="GB2443" s="128"/>
      <c r="GC2443" s="128"/>
      <c r="GD2443" s="128"/>
      <c r="GE2443" s="128"/>
      <c r="GF2443" s="128"/>
      <c r="GG2443" s="128"/>
      <c r="GH2443" s="128"/>
      <c r="GI2443" s="128"/>
      <c r="GJ2443" s="128"/>
      <c r="GK2443" s="128"/>
      <c r="GL2443" s="128"/>
      <c r="GM2443" s="128"/>
      <c r="GN2443" s="128"/>
      <c r="GO2443" s="128"/>
      <c r="GP2443" s="128"/>
      <c r="GQ2443" s="128"/>
      <c r="GR2443" s="128"/>
      <c r="GS2443" s="128"/>
      <c r="GT2443" s="128"/>
      <c r="GU2443" s="128"/>
      <c r="GV2443" s="128"/>
      <c r="GW2443" s="128"/>
      <c r="GX2443" s="128"/>
      <c r="GY2443" s="128"/>
      <c r="GZ2443" s="128"/>
      <c r="HA2443" s="128"/>
      <c r="HB2443" s="128"/>
      <c r="HC2443" s="128"/>
      <c r="HD2443" s="128"/>
      <c r="HE2443" s="128"/>
      <c r="HF2443" s="128"/>
      <c r="HG2443" s="128"/>
      <c r="HH2443" s="128"/>
      <c r="HI2443" s="128"/>
      <c r="HJ2443" s="128"/>
      <c r="HK2443" s="128"/>
      <c r="HL2443" s="128"/>
      <c r="HM2443" s="128"/>
      <c r="HN2443" s="128"/>
      <c r="HO2443" s="128"/>
      <c r="HP2443" s="128"/>
      <c r="HQ2443" s="128"/>
      <c r="HR2443" s="128"/>
      <c r="HS2443" s="128"/>
      <c r="HT2443" s="128"/>
      <c r="HU2443" s="128"/>
      <c r="HV2443" s="128"/>
      <c r="HW2443" s="128"/>
      <c r="HX2443" s="128"/>
      <c r="HY2443" s="128"/>
      <c r="HZ2443" s="128"/>
      <c r="IA2443" s="128"/>
      <c r="IB2443" s="128"/>
      <c r="IC2443" s="128"/>
      <c r="ID2443" s="128"/>
      <c r="IE2443" s="128"/>
      <c r="IF2443" s="128"/>
      <c r="IG2443" s="128"/>
      <c r="IH2443" s="128"/>
      <c r="II2443" s="128"/>
      <c r="IJ2443" s="128"/>
    </row>
    <row r="2444" spans="1:244" ht="12.75" customHeight="1">
      <c r="A2444" s="118">
        <v>2443</v>
      </c>
      <c r="B2444" s="128">
        <v>25</v>
      </c>
      <c r="C2444" s="156">
        <v>39630</v>
      </c>
      <c r="D2444" s="176" t="s">
        <v>50</v>
      </c>
      <c r="E2444" s="127">
        <v>2008</v>
      </c>
      <c r="F2444" s="158">
        <f t="shared" si="627"/>
        <v>213</v>
      </c>
      <c r="G2444" s="158">
        <f t="shared" si="628"/>
        <v>1</v>
      </c>
      <c r="H2444" s="175">
        <v>39417</v>
      </c>
      <c r="I2444" s="211">
        <v>1170044</v>
      </c>
      <c r="J2444" s="191"/>
      <c r="K2444" s="177">
        <v>0.23</v>
      </c>
      <c r="L2444" s="177">
        <v>0.04</v>
      </c>
      <c r="M2444" s="193"/>
      <c r="N2444" s="529" t="s">
        <v>446</v>
      </c>
      <c r="O2444" s="177">
        <v>0.09</v>
      </c>
      <c r="P2444" s="127"/>
      <c r="Q2444" s="193"/>
      <c r="R2444" s="193"/>
      <c r="S2444" s="140"/>
      <c r="T2444" s="161">
        <f t="shared" si="632"/>
        <v>269110.12</v>
      </c>
      <c r="U2444" s="161">
        <f t="shared" si="629"/>
        <v>46801.760000000002</v>
      </c>
      <c r="V2444" s="161">
        <f t="shared" si="630"/>
        <v>105303.95999999999</v>
      </c>
      <c r="W2444" s="161">
        <f t="shared" si="631"/>
        <v>42121.584000000003</v>
      </c>
      <c r="X2444" s="128"/>
      <c r="Y2444" s="128"/>
      <c r="Z2444" s="128"/>
      <c r="AA2444" s="128"/>
      <c r="AB2444" s="128"/>
      <c r="AC2444" s="128"/>
      <c r="AD2444" s="128"/>
      <c r="AE2444" s="128"/>
      <c r="AF2444" s="128"/>
      <c r="AG2444" s="128"/>
      <c r="AH2444" s="128"/>
      <c r="AI2444" s="128"/>
      <c r="AJ2444" s="128"/>
      <c r="AK2444" s="128"/>
      <c r="AL2444" s="128"/>
      <c r="AM2444" s="128"/>
      <c r="AN2444" s="128"/>
      <c r="AO2444" s="128"/>
      <c r="AP2444" s="128"/>
      <c r="AQ2444" s="128"/>
      <c r="AR2444" s="128"/>
      <c r="AS2444" s="128"/>
      <c r="AT2444" s="128"/>
      <c r="AU2444" s="128"/>
      <c r="AV2444" s="128"/>
      <c r="AW2444" s="128"/>
      <c r="AX2444" s="128"/>
      <c r="AY2444" s="128"/>
      <c r="AZ2444" s="128"/>
      <c r="BA2444" s="128"/>
      <c r="BB2444" s="128"/>
      <c r="BC2444" s="128"/>
      <c r="BD2444" s="128"/>
      <c r="BE2444" s="128"/>
      <c r="BF2444" s="128"/>
      <c r="BG2444" s="128"/>
      <c r="BH2444" s="128"/>
      <c r="BI2444" s="128"/>
      <c r="BJ2444" s="128"/>
      <c r="BK2444" s="128"/>
      <c r="BL2444" s="128"/>
      <c r="BM2444" s="128"/>
      <c r="BN2444" s="128"/>
      <c r="BO2444" s="128"/>
      <c r="BP2444" s="128"/>
      <c r="BQ2444" s="128"/>
      <c r="BR2444" s="128"/>
      <c r="BS2444" s="128"/>
      <c r="BT2444" s="128"/>
      <c r="BU2444" s="128"/>
      <c r="BV2444" s="128"/>
      <c r="BW2444" s="128"/>
      <c r="BX2444" s="128"/>
      <c r="BY2444" s="128"/>
      <c r="BZ2444" s="128"/>
      <c r="CA2444" s="128"/>
      <c r="CB2444" s="128"/>
      <c r="CC2444" s="128"/>
      <c r="CD2444" s="128"/>
      <c r="CE2444" s="128"/>
      <c r="CF2444" s="128"/>
      <c r="CG2444" s="128"/>
      <c r="CH2444" s="128"/>
      <c r="CI2444" s="128"/>
      <c r="CJ2444" s="128"/>
      <c r="CK2444" s="128"/>
      <c r="CL2444" s="128"/>
      <c r="CM2444" s="128"/>
      <c r="CN2444" s="128"/>
      <c r="CO2444" s="128"/>
      <c r="CP2444" s="128"/>
      <c r="CQ2444" s="128"/>
      <c r="CR2444" s="128"/>
      <c r="CS2444" s="128"/>
      <c r="CT2444" s="128"/>
      <c r="CU2444" s="128"/>
      <c r="CV2444" s="128"/>
      <c r="CW2444" s="128"/>
      <c r="CX2444" s="128"/>
      <c r="CY2444" s="128"/>
      <c r="CZ2444" s="128"/>
      <c r="DA2444" s="128"/>
      <c r="DB2444" s="128"/>
      <c r="DC2444" s="128"/>
      <c r="DD2444" s="128"/>
      <c r="DE2444" s="128"/>
      <c r="DF2444" s="128"/>
      <c r="DG2444" s="128"/>
      <c r="DH2444" s="128"/>
      <c r="DI2444" s="128"/>
      <c r="DJ2444" s="128"/>
      <c r="DK2444" s="128"/>
      <c r="DL2444" s="128"/>
      <c r="DM2444" s="128"/>
      <c r="DN2444" s="128"/>
      <c r="DO2444" s="128"/>
      <c r="DP2444" s="128"/>
      <c r="DQ2444" s="128"/>
      <c r="DR2444" s="128"/>
      <c r="DS2444" s="128"/>
      <c r="DT2444" s="128"/>
      <c r="DU2444" s="128"/>
      <c r="DV2444" s="128"/>
      <c r="DW2444" s="128"/>
      <c r="DX2444" s="128"/>
      <c r="DY2444" s="128"/>
      <c r="DZ2444" s="128"/>
      <c r="EA2444" s="128"/>
      <c r="EB2444" s="128"/>
      <c r="EC2444" s="128"/>
      <c r="ED2444" s="128"/>
      <c r="EE2444" s="128"/>
      <c r="EF2444" s="128"/>
      <c r="EG2444" s="128"/>
      <c r="EH2444" s="128"/>
      <c r="EI2444" s="128"/>
      <c r="EJ2444" s="128"/>
      <c r="EK2444" s="128"/>
      <c r="EL2444" s="128"/>
      <c r="EM2444" s="128"/>
      <c r="EN2444" s="128"/>
      <c r="EO2444" s="128"/>
      <c r="EP2444" s="128"/>
      <c r="EQ2444" s="128"/>
      <c r="ER2444" s="128"/>
      <c r="ES2444" s="128"/>
      <c r="ET2444" s="128"/>
      <c r="EU2444" s="128"/>
      <c r="EV2444" s="128"/>
      <c r="EW2444" s="128"/>
      <c r="EX2444" s="128"/>
      <c r="EY2444" s="128"/>
      <c r="EZ2444" s="128"/>
      <c r="FA2444" s="128"/>
      <c r="FB2444" s="128"/>
      <c r="FC2444" s="128"/>
      <c r="FD2444" s="128"/>
      <c r="FE2444" s="128"/>
      <c r="FF2444" s="128"/>
      <c r="FG2444" s="128"/>
      <c r="FH2444" s="128"/>
      <c r="FI2444" s="128"/>
      <c r="FJ2444" s="128"/>
      <c r="FK2444" s="128"/>
      <c r="FL2444" s="128"/>
      <c r="FM2444" s="128"/>
      <c r="FN2444" s="128"/>
      <c r="FO2444" s="128"/>
      <c r="FP2444" s="128"/>
      <c r="FQ2444" s="128"/>
      <c r="FR2444" s="128"/>
      <c r="FS2444" s="128"/>
      <c r="FT2444" s="128"/>
      <c r="FU2444" s="128"/>
      <c r="FV2444" s="128"/>
      <c r="FW2444" s="128"/>
      <c r="FX2444" s="128"/>
      <c r="FY2444" s="128"/>
      <c r="FZ2444" s="128"/>
      <c r="GA2444" s="128"/>
      <c r="GB2444" s="128"/>
      <c r="GC2444" s="128"/>
      <c r="GD2444" s="128"/>
      <c r="GE2444" s="128"/>
      <c r="GF2444" s="128"/>
      <c r="GG2444" s="128"/>
      <c r="GH2444" s="128"/>
      <c r="GI2444" s="128"/>
      <c r="GJ2444" s="128"/>
      <c r="GK2444" s="128"/>
      <c r="GL2444" s="128"/>
      <c r="GM2444" s="128"/>
      <c r="GN2444" s="128"/>
      <c r="GO2444" s="128"/>
      <c r="GP2444" s="128"/>
      <c r="GQ2444" s="128"/>
      <c r="GR2444" s="128"/>
      <c r="GS2444" s="128"/>
      <c r="GT2444" s="128"/>
      <c r="GU2444" s="128"/>
      <c r="GV2444" s="128"/>
      <c r="GW2444" s="128"/>
      <c r="GX2444" s="128"/>
      <c r="GY2444" s="128"/>
      <c r="GZ2444" s="128"/>
      <c r="HA2444" s="128"/>
      <c r="HB2444" s="128"/>
      <c r="HC2444" s="128"/>
      <c r="HD2444" s="128"/>
      <c r="HE2444" s="128"/>
      <c r="HF2444" s="128"/>
      <c r="HG2444" s="128"/>
      <c r="HH2444" s="128"/>
      <c r="HI2444" s="128"/>
      <c r="HJ2444" s="128"/>
      <c r="HK2444" s="128"/>
      <c r="HL2444" s="128"/>
      <c r="HM2444" s="128"/>
      <c r="HN2444" s="128"/>
      <c r="HO2444" s="128"/>
      <c r="HP2444" s="128"/>
      <c r="HQ2444" s="128"/>
      <c r="HR2444" s="128"/>
      <c r="HS2444" s="128"/>
      <c r="HT2444" s="128"/>
      <c r="HU2444" s="128"/>
      <c r="HV2444" s="128"/>
      <c r="HW2444" s="128"/>
      <c r="HX2444" s="128"/>
      <c r="HY2444" s="128"/>
      <c r="HZ2444" s="128"/>
      <c r="IA2444" s="128"/>
      <c r="IB2444" s="128"/>
      <c r="IC2444" s="128"/>
      <c r="ID2444" s="128"/>
      <c r="IE2444" s="128"/>
      <c r="IF2444" s="128"/>
      <c r="IG2444" s="128"/>
      <c r="IH2444" s="128"/>
      <c r="II2444" s="128"/>
      <c r="IJ2444" s="128"/>
    </row>
    <row r="2445" spans="1:244" ht="12.75" customHeight="1">
      <c r="A2445" s="118">
        <v>2444</v>
      </c>
      <c r="B2445" s="128">
        <v>25</v>
      </c>
      <c r="C2445" s="156">
        <v>39661</v>
      </c>
      <c r="D2445" s="176" t="s">
        <v>51</v>
      </c>
      <c r="E2445" s="127">
        <v>2008</v>
      </c>
      <c r="F2445" s="127"/>
      <c r="G2445" s="127"/>
      <c r="H2445" s="175"/>
      <c r="I2445" s="160"/>
      <c r="J2445" s="191"/>
      <c r="K2445" s="191"/>
      <c r="L2445" s="191"/>
      <c r="M2445" s="193"/>
      <c r="N2445" s="529"/>
      <c r="O2445" s="191"/>
      <c r="P2445" s="127"/>
      <c r="Q2445" s="193"/>
      <c r="R2445" s="193"/>
      <c r="S2445" s="140" t="s">
        <v>339</v>
      </c>
      <c r="T2445" s="128"/>
      <c r="U2445" s="128"/>
      <c r="V2445" s="127"/>
      <c r="W2445" s="127"/>
      <c r="X2445" s="128"/>
      <c r="Y2445" s="128"/>
      <c r="Z2445" s="128"/>
      <c r="AA2445" s="128"/>
      <c r="AB2445" s="128"/>
      <c r="AC2445" s="128"/>
      <c r="AD2445" s="128"/>
      <c r="AE2445" s="128"/>
      <c r="AF2445" s="128"/>
      <c r="AG2445" s="128"/>
      <c r="AH2445" s="128"/>
      <c r="AI2445" s="128"/>
      <c r="AJ2445" s="128"/>
      <c r="AK2445" s="128"/>
      <c r="AL2445" s="128"/>
      <c r="AM2445" s="128"/>
      <c r="AN2445" s="128"/>
      <c r="AO2445" s="128"/>
      <c r="AP2445" s="128"/>
      <c r="AQ2445" s="128"/>
      <c r="AR2445" s="128"/>
      <c r="AS2445" s="128"/>
      <c r="AT2445" s="128"/>
      <c r="AU2445" s="128"/>
      <c r="AV2445" s="128"/>
      <c r="AW2445" s="128"/>
      <c r="AX2445" s="128"/>
      <c r="AY2445" s="128"/>
      <c r="AZ2445" s="128"/>
      <c r="BA2445" s="128"/>
      <c r="BB2445" s="128"/>
      <c r="BC2445" s="128"/>
      <c r="BD2445" s="128"/>
      <c r="BE2445" s="128"/>
      <c r="BF2445" s="128"/>
      <c r="BG2445" s="128"/>
      <c r="BH2445" s="128"/>
      <c r="BI2445" s="128"/>
      <c r="BJ2445" s="128"/>
      <c r="BK2445" s="128"/>
      <c r="BL2445" s="128"/>
      <c r="BM2445" s="128"/>
      <c r="BN2445" s="128"/>
      <c r="BO2445" s="128"/>
      <c r="BP2445" s="128"/>
      <c r="BQ2445" s="128"/>
      <c r="BR2445" s="128"/>
      <c r="BS2445" s="128"/>
      <c r="BT2445" s="128"/>
      <c r="BU2445" s="128"/>
      <c r="BV2445" s="128"/>
      <c r="BW2445" s="128"/>
      <c r="BX2445" s="128"/>
      <c r="BY2445" s="128"/>
      <c r="BZ2445" s="128"/>
      <c r="CA2445" s="128"/>
      <c r="CB2445" s="128"/>
      <c r="CC2445" s="128"/>
      <c r="CD2445" s="128"/>
      <c r="CE2445" s="128"/>
      <c r="CF2445" s="128"/>
      <c r="CG2445" s="128"/>
      <c r="CH2445" s="128"/>
      <c r="CI2445" s="128"/>
      <c r="CJ2445" s="128"/>
      <c r="CK2445" s="128"/>
      <c r="CL2445" s="128"/>
      <c r="CM2445" s="128"/>
      <c r="CN2445" s="128"/>
      <c r="CO2445" s="128"/>
      <c r="CP2445" s="128"/>
      <c r="CQ2445" s="128"/>
      <c r="CR2445" s="128"/>
      <c r="CS2445" s="128"/>
      <c r="CT2445" s="128"/>
      <c r="CU2445" s="128"/>
      <c r="CV2445" s="128"/>
      <c r="CW2445" s="128"/>
      <c r="CX2445" s="128"/>
      <c r="CY2445" s="128"/>
      <c r="CZ2445" s="128"/>
      <c r="DA2445" s="128"/>
      <c r="DB2445" s="128"/>
      <c r="DC2445" s="128"/>
      <c r="DD2445" s="128"/>
      <c r="DE2445" s="128"/>
      <c r="DF2445" s="128"/>
      <c r="DG2445" s="128"/>
      <c r="DH2445" s="128"/>
      <c r="DI2445" s="128"/>
      <c r="DJ2445" s="128"/>
      <c r="DK2445" s="128"/>
      <c r="DL2445" s="128"/>
      <c r="DM2445" s="128"/>
      <c r="DN2445" s="128"/>
      <c r="DO2445" s="128"/>
      <c r="DP2445" s="128"/>
      <c r="DQ2445" s="128"/>
      <c r="DR2445" s="128"/>
      <c r="DS2445" s="128"/>
      <c r="DT2445" s="128"/>
      <c r="DU2445" s="128"/>
      <c r="DV2445" s="128"/>
      <c r="DW2445" s="128"/>
      <c r="DX2445" s="128"/>
      <c r="DY2445" s="128"/>
      <c r="DZ2445" s="128"/>
      <c r="EA2445" s="128"/>
      <c r="EB2445" s="128"/>
      <c r="EC2445" s="128"/>
      <c r="ED2445" s="128"/>
      <c r="EE2445" s="128"/>
      <c r="EF2445" s="128"/>
      <c r="EG2445" s="128"/>
      <c r="EH2445" s="128"/>
      <c r="EI2445" s="128"/>
      <c r="EJ2445" s="128"/>
      <c r="EK2445" s="128"/>
      <c r="EL2445" s="128"/>
      <c r="EM2445" s="128"/>
      <c r="EN2445" s="128"/>
      <c r="EO2445" s="128"/>
      <c r="EP2445" s="128"/>
      <c r="EQ2445" s="128"/>
      <c r="ER2445" s="128"/>
      <c r="ES2445" s="128"/>
      <c r="ET2445" s="128"/>
      <c r="EU2445" s="128"/>
      <c r="EV2445" s="128"/>
      <c r="EW2445" s="128"/>
      <c r="EX2445" s="128"/>
      <c r="EY2445" s="128"/>
      <c r="EZ2445" s="128"/>
      <c r="FA2445" s="128"/>
      <c r="FB2445" s="128"/>
      <c r="FC2445" s="128"/>
      <c r="FD2445" s="128"/>
      <c r="FE2445" s="128"/>
      <c r="FF2445" s="128"/>
      <c r="FG2445" s="128"/>
      <c r="FH2445" s="128"/>
      <c r="FI2445" s="128"/>
      <c r="FJ2445" s="128"/>
      <c r="FK2445" s="128"/>
      <c r="FL2445" s="128"/>
      <c r="FM2445" s="128"/>
      <c r="FN2445" s="128"/>
      <c r="FO2445" s="128"/>
      <c r="FP2445" s="128"/>
      <c r="FQ2445" s="128"/>
      <c r="FR2445" s="128"/>
      <c r="FS2445" s="128"/>
      <c r="FT2445" s="128"/>
      <c r="FU2445" s="128"/>
      <c r="FV2445" s="128"/>
      <c r="FW2445" s="128"/>
      <c r="FX2445" s="128"/>
      <c r="FY2445" s="128"/>
      <c r="FZ2445" s="128"/>
      <c r="GA2445" s="128"/>
      <c r="GB2445" s="128"/>
      <c r="GC2445" s="128"/>
      <c r="GD2445" s="128"/>
      <c r="GE2445" s="128"/>
      <c r="GF2445" s="128"/>
      <c r="GG2445" s="128"/>
      <c r="GH2445" s="128"/>
      <c r="GI2445" s="128"/>
      <c r="GJ2445" s="128"/>
      <c r="GK2445" s="128"/>
      <c r="GL2445" s="128"/>
      <c r="GM2445" s="128"/>
      <c r="GN2445" s="128"/>
      <c r="GO2445" s="128"/>
      <c r="GP2445" s="128"/>
      <c r="GQ2445" s="128"/>
      <c r="GR2445" s="128"/>
      <c r="GS2445" s="128"/>
      <c r="GT2445" s="128"/>
      <c r="GU2445" s="128"/>
      <c r="GV2445" s="128"/>
      <c r="GW2445" s="128"/>
      <c r="GX2445" s="128"/>
      <c r="GY2445" s="128"/>
      <c r="GZ2445" s="128"/>
      <c r="HA2445" s="128"/>
      <c r="HB2445" s="128"/>
      <c r="HC2445" s="128"/>
      <c r="HD2445" s="128"/>
      <c r="HE2445" s="128"/>
      <c r="HF2445" s="128"/>
      <c r="HG2445" s="128"/>
      <c r="HH2445" s="128"/>
      <c r="HI2445" s="128"/>
      <c r="HJ2445" s="128"/>
      <c r="HK2445" s="128"/>
      <c r="HL2445" s="128"/>
      <c r="HM2445" s="128"/>
      <c r="HN2445" s="128"/>
      <c r="HO2445" s="128"/>
      <c r="HP2445" s="128"/>
      <c r="HQ2445" s="128"/>
      <c r="HR2445" s="128"/>
      <c r="HS2445" s="128"/>
      <c r="HT2445" s="128"/>
      <c r="HU2445" s="128"/>
      <c r="HV2445" s="128"/>
      <c r="HW2445" s="128"/>
      <c r="HX2445" s="128"/>
      <c r="HY2445" s="128"/>
      <c r="HZ2445" s="128"/>
      <c r="IA2445" s="128"/>
      <c r="IB2445" s="128"/>
      <c r="IC2445" s="128"/>
      <c r="ID2445" s="128"/>
      <c r="IE2445" s="128"/>
      <c r="IF2445" s="128"/>
      <c r="IG2445" s="128"/>
      <c r="IH2445" s="128"/>
      <c r="II2445" s="128"/>
      <c r="IJ2445" s="128"/>
    </row>
    <row r="2446" spans="1:244" ht="12.75" customHeight="1">
      <c r="A2446" s="118">
        <v>2445</v>
      </c>
      <c r="B2446" s="128">
        <v>25</v>
      </c>
      <c r="C2446" s="156">
        <v>39692</v>
      </c>
      <c r="D2446" s="176" t="s">
        <v>52</v>
      </c>
      <c r="E2446" s="127">
        <v>2008</v>
      </c>
      <c r="F2446" s="127"/>
      <c r="G2446" s="127"/>
      <c r="H2446" s="175"/>
      <c r="I2446" s="160"/>
      <c r="J2446" s="191"/>
      <c r="K2446" s="191"/>
      <c r="L2446" s="191"/>
      <c r="M2446" s="193"/>
      <c r="N2446" s="529"/>
      <c r="O2446" s="191"/>
      <c r="P2446" s="127"/>
      <c r="Q2446" s="193"/>
      <c r="R2446" s="193"/>
      <c r="S2446" s="140"/>
      <c r="T2446" s="128"/>
      <c r="U2446" s="128"/>
      <c r="V2446" s="127"/>
      <c r="W2446" s="127"/>
      <c r="X2446" s="128"/>
      <c r="Y2446" s="128"/>
      <c r="Z2446" s="128"/>
      <c r="AA2446" s="128"/>
      <c r="AB2446" s="128"/>
      <c r="AC2446" s="128"/>
      <c r="AD2446" s="128"/>
      <c r="AE2446" s="128"/>
      <c r="AF2446" s="128"/>
      <c r="AG2446" s="128"/>
      <c r="AH2446" s="128"/>
      <c r="AI2446" s="128"/>
      <c r="AJ2446" s="128"/>
      <c r="AK2446" s="128"/>
      <c r="AL2446" s="128"/>
      <c r="AM2446" s="128"/>
      <c r="AN2446" s="128"/>
      <c r="AO2446" s="128"/>
      <c r="AP2446" s="128"/>
      <c r="AQ2446" s="128"/>
      <c r="AR2446" s="128"/>
      <c r="AS2446" s="128"/>
      <c r="AT2446" s="128"/>
      <c r="AU2446" s="128"/>
      <c r="AV2446" s="128"/>
      <c r="AW2446" s="128"/>
      <c r="AX2446" s="128"/>
      <c r="AY2446" s="128"/>
      <c r="AZ2446" s="128"/>
      <c r="BA2446" s="128"/>
      <c r="BB2446" s="128"/>
      <c r="BC2446" s="128"/>
      <c r="BD2446" s="128"/>
      <c r="BE2446" s="128"/>
      <c r="BF2446" s="128"/>
      <c r="BG2446" s="128"/>
      <c r="BH2446" s="128"/>
      <c r="BI2446" s="128"/>
      <c r="BJ2446" s="128"/>
      <c r="BK2446" s="128"/>
      <c r="BL2446" s="128"/>
      <c r="BM2446" s="128"/>
      <c r="BN2446" s="128"/>
      <c r="BO2446" s="128"/>
      <c r="BP2446" s="128"/>
      <c r="BQ2446" s="128"/>
      <c r="BR2446" s="128"/>
      <c r="BS2446" s="128"/>
      <c r="BT2446" s="128"/>
      <c r="BU2446" s="128"/>
      <c r="BV2446" s="128"/>
      <c r="BW2446" s="128"/>
      <c r="BX2446" s="128"/>
      <c r="BY2446" s="128"/>
      <c r="BZ2446" s="128"/>
      <c r="CA2446" s="128"/>
      <c r="CB2446" s="128"/>
      <c r="CC2446" s="128"/>
      <c r="CD2446" s="128"/>
      <c r="CE2446" s="128"/>
      <c r="CF2446" s="128"/>
      <c r="CG2446" s="128"/>
      <c r="CH2446" s="128"/>
      <c r="CI2446" s="128"/>
      <c r="CJ2446" s="128"/>
      <c r="CK2446" s="128"/>
      <c r="CL2446" s="128"/>
      <c r="CM2446" s="128"/>
      <c r="CN2446" s="128"/>
      <c r="CO2446" s="128"/>
      <c r="CP2446" s="128"/>
      <c r="CQ2446" s="128"/>
      <c r="CR2446" s="128"/>
      <c r="CS2446" s="128"/>
      <c r="CT2446" s="128"/>
      <c r="CU2446" s="128"/>
      <c r="CV2446" s="128"/>
      <c r="CW2446" s="128"/>
      <c r="CX2446" s="128"/>
      <c r="CY2446" s="128"/>
      <c r="CZ2446" s="128"/>
      <c r="DA2446" s="128"/>
      <c r="DB2446" s="128"/>
      <c r="DC2446" s="128"/>
      <c r="DD2446" s="128"/>
      <c r="DE2446" s="128"/>
      <c r="DF2446" s="128"/>
      <c r="DG2446" s="128"/>
      <c r="DH2446" s="128"/>
      <c r="DI2446" s="128"/>
      <c r="DJ2446" s="128"/>
      <c r="DK2446" s="128"/>
      <c r="DL2446" s="128"/>
      <c r="DM2446" s="128"/>
      <c r="DN2446" s="128"/>
      <c r="DO2446" s="128"/>
      <c r="DP2446" s="128"/>
      <c r="DQ2446" s="128"/>
      <c r="DR2446" s="128"/>
      <c r="DS2446" s="128"/>
      <c r="DT2446" s="128"/>
      <c r="DU2446" s="128"/>
      <c r="DV2446" s="128"/>
      <c r="DW2446" s="128"/>
      <c r="DX2446" s="128"/>
      <c r="DY2446" s="128"/>
      <c r="DZ2446" s="128"/>
      <c r="EA2446" s="128"/>
      <c r="EB2446" s="128"/>
      <c r="EC2446" s="128"/>
      <c r="ED2446" s="128"/>
      <c r="EE2446" s="128"/>
      <c r="EF2446" s="128"/>
      <c r="EG2446" s="128"/>
      <c r="EH2446" s="128"/>
      <c r="EI2446" s="128"/>
      <c r="EJ2446" s="128"/>
      <c r="EK2446" s="128"/>
      <c r="EL2446" s="128"/>
      <c r="EM2446" s="128"/>
      <c r="EN2446" s="128"/>
      <c r="EO2446" s="128"/>
      <c r="EP2446" s="128"/>
      <c r="EQ2446" s="128"/>
      <c r="ER2446" s="128"/>
      <c r="ES2446" s="128"/>
      <c r="ET2446" s="128"/>
      <c r="EU2446" s="128"/>
      <c r="EV2446" s="128"/>
      <c r="EW2446" s="128"/>
      <c r="EX2446" s="128"/>
      <c r="EY2446" s="128"/>
      <c r="EZ2446" s="128"/>
      <c r="FA2446" s="128"/>
      <c r="FB2446" s="128"/>
      <c r="FC2446" s="128"/>
      <c r="FD2446" s="128"/>
      <c r="FE2446" s="128"/>
      <c r="FF2446" s="128"/>
      <c r="FG2446" s="128"/>
      <c r="FH2446" s="128"/>
      <c r="FI2446" s="128"/>
      <c r="FJ2446" s="128"/>
      <c r="FK2446" s="128"/>
      <c r="FL2446" s="128"/>
      <c r="FM2446" s="128"/>
      <c r="FN2446" s="128"/>
      <c r="FO2446" s="128"/>
      <c r="FP2446" s="128"/>
      <c r="FQ2446" s="128"/>
      <c r="FR2446" s="128"/>
      <c r="FS2446" s="128"/>
      <c r="FT2446" s="128"/>
      <c r="FU2446" s="128"/>
      <c r="FV2446" s="128"/>
      <c r="FW2446" s="128"/>
      <c r="FX2446" s="128"/>
      <c r="FY2446" s="128"/>
      <c r="FZ2446" s="128"/>
      <c r="GA2446" s="128"/>
      <c r="GB2446" s="128"/>
      <c r="GC2446" s="128"/>
      <c r="GD2446" s="128"/>
      <c r="GE2446" s="128"/>
      <c r="GF2446" s="128"/>
      <c r="GG2446" s="128"/>
      <c r="GH2446" s="128"/>
      <c r="GI2446" s="128"/>
      <c r="GJ2446" s="128"/>
      <c r="GK2446" s="128"/>
      <c r="GL2446" s="128"/>
      <c r="GM2446" s="128"/>
      <c r="GN2446" s="128"/>
      <c r="GO2446" s="128"/>
      <c r="GP2446" s="128"/>
      <c r="GQ2446" s="128"/>
      <c r="GR2446" s="128"/>
      <c r="GS2446" s="128"/>
      <c r="GT2446" s="128"/>
      <c r="GU2446" s="128"/>
      <c r="GV2446" s="128"/>
      <c r="GW2446" s="128"/>
      <c r="GX2446" s="128"/>
      <c r="GY2446" s="128"/>
      <c r="GZ2446" s="128"/>
      <c r="HA2446" s="128"/>
      <c r="HB2446" s="128"/>
      <c r="HC2446" s="128"/>
      <c r="HD2446" s="128"/>
      <c r="HE2446" s="128"/>
      <c r="HF2446" s="128"/>
      <c r="HG2446" s="128"/>
      <c r="HH2446" s="128"/>
      <c r="HI2446" s="128"/>
      <c r="HJ2446" s="128"/>
      <c r="HK2446" s="128"/>
      <c r="HL2446" s="128"/>
      <c r="HM2446" s="128"/>
      <c r="HN2446" s="128"/>
      <c r="HO2446" s="128"/>
      <c r="HP2446" s="128"/>
      <c r="HQ2446" s="128"/>
      <c r="HR2446" s="128"/>
      <c r="HS2446" s="128"/>
      <c r="HT2446" s="128"/>
      <c r="HU2446" s="128"/>
      <c r="HV2446" s="128"/>
      <c r="HW2446" s="128"/>
      <c r="HX2446" s="128"/>
      <c r="HY2446" s="128"/>
      <c r="HZ2446" s="128"/>
      <c r="IA2446" s="128"/>
      <c r="IB2446" s="128"/>
      <c r="IC2446" s="128"/>
      <c r="ID2446" s="128"/>
      <c r="IE2446" s="128"/>
      <c r="IF2446" s="128"/>
      <c r="IG2446" s="128"/>
      <c r="IH2446" s="128"/>
      <c r="II2446" s="128"/>
      <c r="IJ2446" s="128"/>
    </row>
    <row r="2447" spans="1:244" ht="12.75" customHeight="1">
      <c r="A2447" s="118">
        <v>2446</v>
      </c>
      <c r="B2447" s="128">
        <v>25</v>
      </c>
      <c r="C2447" s="156">
        <v>39722</v>
      </c>
      <c r="D2447" s="176" t="s">
        <v>53</v>
      </c>
      <c r="E2447" s="127">
        <v>2008</v>
      </c>
      <c r="F2447" s="127"/>
      <c r="G2447" s="127"/>
      <c r="H2447" s="175"/>
      <c r="I2447" s="160"/>
      <c r="J2447" s="191"/>
      <c r="K2447" s="191"/>
      <c r="L2447" s="191"/>
      <c r="M2447" s="193"/>
      <c r="N2447" s="529"/>
      <c r="O2447" s="191"/>
      <c r="P2447" s="127"/>
      <c r="Q2447" s="193"/>
      <c r="R2447" s="193"/>
      <c r="S2447" s="140"/>
      <c r="T2447" s="128"/>
      <c r="U2447" s="128"/>
      <c r="V2447" s="127"/>
      <c r="W2447" s="127"/>
      <c r="X2447" s="128"/>
      <c r="Y2447" s="128"/>
      <c r="Z2447" s="128"/>
      <c r="AA2447" s="128"/>
      <c r="AB2447" s="128"/>
      <c r="AC2447" s="128"/>
      <c r="AD2447" s="128"/>
      <c r="AE2447" s="128"/>
      <c r="AF2447" s="128"/>
      <c r="AG2447" s="128"/>
      <c r="AH2447" s="128"/>
      <c r="AI2447" s="128"/>
      <c r="AJ2447" s="128"/>
      <c r="AK2447" s="128"/>
      <c r="AL2447" s="128"/>
      <c r="AM2447" s="128"/>
      <c r="AN2447" s="128"/>
      <c r="AO2447" s="128"/>
      <c r="AP2447" s="128"/>
      <c r="AQ2447" s="128"/>
      <c r="AR2447" s="128"/>
      <c r="AS2447" s="128"/>
      <c r="AT2447" s="128"/>
      <c r="AU2447" s="128"/>
      <c r="AV2447" s="128"/>
      <c r="AW2447" s="128"/>
      <c r="AX2447" s="128"/>
      <c r="AY2447" s="128"/>
      <c r="AZ2447" s="128"/>
      <c r="BA2447" s="128"/>
      <c r="BB2447" s="128"/>
      <c r="BC2447" s="128"/>
      <c r="BD2447" s="128"/>
      <c r="BE2447" s="128"/>
      <c r="BF2447" s="128"/>
      <c r="BG2447" s="128"/>
      <c r="BH2447" s="128"/>
      <c r="BI2447" s="128"/>
      <c r="BJ2447" s="128"/>
      <c r="BK2447" s="128"/>
      <c r="BL2447" s="128"/>
      <c r="BM2447" s="128"/>
      <c r="BN2447" s="128"/>
      <c r="BO2447" s="128"/>
      <c r="BP2447" s="128"/>
      <c r="BQ2447" s="128"/>
      <c r="BR2447" s="128"/>
      <c r="BS2447" s="128"/>
      <c r="BT2447" s="128"/>
      <c r="BU2447" s="128"/>
      <c r="BV2447" s="128"/>
      <c r="BW2447" s="128"/>
      <c r="BX2447" s="128"/>
      <c r="BY2447" s="128"/>
      <c r="BZ2447" s="128"/>
      <c r="CA2447" s="128"/>
      <c r="CB2447" s="128"/>
      <c r="CC2447" s="128"/>
      <c r="CD2447" s="128"/>
      <c r="CE2447" s="128"/>
      <c r="CF2447" s="128"/>
      <c r="CG2447" s="128"/>
      <c r="CH2447" s="128"/>
      <c r="CI2447" s="128"/>
      <c r="CJ2447" s="128"/>
      <c r="CK2447" s="128"/>
      <c r="CL2447" s="128"/>
      <c r="CM2447" s="128"/>
      <c r="CN2447" s="128"/>
      <c r="CO2447" s="128"/>
      <c r="CP2447" s="128"/>
      <c r="CQ2447" s="128"/>
      <c r="CR2447" s="128"/>
      <c r="CS2447" s="128"/>
      <c r="CT2447" s="128"/>
      <c r="CU2447" s="128"/>
      <c r="CV2447" s="128"/>
      <c r="CW2447" s="128"/>
      <c r="CX2447" s="128"/>
      <c r="CY2447" s="128"/>
      <c r="CZ2447" s="128"/>
      <c r="DA2447" s="128"/>
      <c r="DB2447" s="128"/>
      <c r="DC2447" s="128"/>
      <c r="DD2447" s="128"/>
      <c r="DE2447" s="128"/>
      <c r="DF2447" s="128"/>
      <c r="DG2447" s="128"/>
      <c r="DH2447" s="128"/>
      <c r="DI2447" s="128"/>
      <c r="DJ2447" s="128"/>
      <c r="DK2447" s="128"/>
      <c r="DL2447" s="128"/>
      <c r="DM2447" s="128"/>
      <c r="DN2447" s="128"/>
      <c r="DO2447" s="128"/>
      <c r="DP2447" s="128"/>
      <c r="DQ2447" s="128"/>
      <c r="DR2447" s="128"/>
      <c r="DS2447" s="128"/>
      <c r="DT2447" s="128"/>
      <c r="DU2447" s="128"/>
      <c r="DV2447" s="128"/>
      <c r="DW2447" s="128"/>
      <c r="DX2447" s="128"/>
      <c r="DY2447" s="128"/>
      <c r="DZ2447" s="128"/>
      <c r="EA2447" s="128"/>
      <c r="EB2447" s="128"/>
      <c r="EC2447" s="128"/>
      <c r="ED2447" s="128"/>
      <c r="EE2447" s="128"/>
      <c r="EF2447" s="128"/>
      <c r="EG2447" s="128"/>
      <c r="EH2447" s="128"/>
      <c r="EI2447" s="128"/>
      <c r="EJ2447" s="128"/>
      <c r="EK2447" s="128"/>
      <c r="EL2447" s="128"/>
      <c r="EM2447" s="128"/>
      <c r="EN2447" s="128"/>
      <c r="EO2447" s="128"/>
      <c r="EP2447" s="128"/>
      <c r="EQ2447" s="128"/>
      <c r="ER2447" s="128"/>
      <c r="ES2447" s="128"/>
      <c r="ET2447" s="128"/>
      <c r="EU2447" s="128"/>
      <c r="EV2447" s="128"/>
      <c r="EW2447" s="128"/>
      <c r="EX2447" s="128"/>
      <c r="EY2447" s="128"/>
      <c r="EZ2447" s="128"/>
      <c r="FA2447" s="128"/>
      <c r="FB2447" s="128"/>
      <c r="FC2447" s="128"/>
      <c r="FD2447" s="128"/>
      <c r="FE2447" s="128"/>
      <c r="FF2447" s="128"/>
      <c r="FG2447" s="128"/>
      <c r="FH2447" s="128"/>
      <c r="FI2447" s="128"/>
      <c r="FJ2447" s="128"/>
      <c r="FK2447" s="128"/>
      <c r="FL2447" s="128"/>
      <c r="FM2447" s="128"/>
      <c r="FN2447" s="128"/>
      <c r="FO2447" s="128"/>
      <c r="FP2447" s="128"/>
      <c r="FQ2447" s="128"/>
      <c r="FR2447" s="128"/>
      <c r="FS2447" s="128"/>
      <c r="FT2447" s="128"/>
      <c r="FU2447" s="128"/>
      <c r="FV2447" s="128"/>
      <c r="FW2447" s="128"/>
      <c r="FX2447" s="128"/>
      <c r="FY2447" s="128"/>
      <c r="FZ2447" s="128"/>
      <c r="GA2447" s="128"/>
      <c r="GB2447" s="128"/>
      <c r="GC2447" s="128"/>
      <c r="GD2447" s="128"/>
      <c r="GE2447" s="128"/>
      <c r="GF2447" s="128"/>
      <c r="GG2447" s="128"/>
      <c r="GH2447" s="128"/>
      <c r="GI2447" s="128"/>
      <c r="GJ2447" s="128"/>
      <c r="GK2447" s="128"/>
      <c r="GL2447" s="128"/>
      <c r="GM2447" s="128"/>
      <c r="GN2447" s="128"/>
      <c r="GO2447" s="128"/>
      <c r="GP2447" s="128"/>
      <c r="GQ2447" s="128"/>
      <c r="GR2447" s="128"/>
      <c r="GS2447" s="128"/>
      <c r="GT2447" s="128"/>
      <c r="GU2447" s="128"/>
      <c r="GV2447" s="128"/>
      <c r="GW2447" s="128"/>
      <c r="GX2447" s="128"/>
      <c r="GY2447" s="128"/>
      <c r="GZ2447" s="128"/>
      <c r="HA2447" s="128"/>
      <c r="HB2447" s="128"/>
      <c r="HC2447" s="128"/>
      <c r="HD2447" s="128"/>
      <c r="HE2447" s="128"/>
      <c r="HF2447" s="128"/>
      <c r="HG2447" s="128"/>
      <c r="HH2447" s="128"/>
      <c r="HI2447" s="128"/>
      <c r="HJ2447" s="128"/>
      <c r="HK2447" s="128"/>
      <c r="HL2447" s="128"/>
      <c r="HM2447" s="128"/>
      <c r="HN2447" s="128"/>
      <c r="HO2447" s="128"/>
      <c r="HP2447" s="128"/>
      <c r="HQ2447" s="128"/>
      <c r="HR2447" s="128"/>
      <c r="HS2447" s="128"/>
      <c r="HT2447" s="128"/>
      <c r="HU2447" s="128"/>
      <c r="HV2447" s="128"/>
      <c r="HW2447" s="128"/>
      <c r="HX2447" s="128"/>
      <c r="HY2447" s="128"/>
      <c r="HZ2447" s="128"/>
      <c r="IA2447" s="128"/>
      <c r="IB2447" s="128"/>
      <c r="IC2447" s="128"/>
      <c r="ID2447" s="128"/>
      <c r="IE2447" s="128"/>
      <c r="IF2447" s="128"/>
      <c r="IG2447" s="128"/>
      <c r="IH2447" s="128"/>
      <c r="II2447" s="128"/>
      <c r="IJ2447" s="128"/>
    </row>
    <row r="2448" spans="1:244" ht="12.75" customHeight="1">
      <c r="A2448" s="118">
        <v>2447</v>
      </c>
      <c r="B2448" s="128">
        <v>25</v>
      </c>
      <c r="C2448" s="156">
        <v>39753</v>
      </c>
      <c r="D2448" s="176" t="s">
        <v>54</v>
      </c>
      <c r="E2448" s="127">
        <v>2008</v>
      </c>
      <c r="F2448" s="158">
        <f t="shared" ref="F2448:F2455" si="633">C2448-H2448</f>
        <v>0</v>
      </c>
      <c r="G2448" s="158">
        <f t="shared" ref="G2448:G2455" si="634">IF(F2448&lt;365,1,2)</f>
        <v>1</v>
      </c>
      <c r="H2448" s="190">
        <v>39753</v>
      </c>
      <c r="I2448" s="160">
        <v>1061364</v>
      </c>
      <c r="J2448" s="191">
        <v>0.5</v>
      </c>
      <c r="K2448" s="191">
        <v>0.05</v>
      </c>
      <c r="L2448" s="191">
        <v>0</v>
      </c>
      <c r="M2448" s="193"/>
      <c r="N2448" s="529"/>
      <c r="O2448" s="191">
        <v>0.37</v>
      </c>
      <c r="P2448" s="127"/>
      <c r="Q2448" s="193"/>
      <c r="R2448" s="193"/>
      <c r="S2448" s="140" t="s">
        <v>246</v>
      </c>
      <c r="T2448" s="161">
        <f t="shared" ref="T2448:U2455" si="635">$I2448*K2448</f>
        <v>53068.200000000004</v>
      </c>
      <c r="U2448" s="161">
        <f t="shared" si="635"/>
        <v>0</v>
      </c>
      <c r="V2448" s="161">
        <f t="shared" ref="V2448:V2455" si="636">$I2448*O2448</f>
        <v>392704.68</v>
      </c>
      <c r="W2448" s="161">
        <f t="shared" ref="W2448:W2455" si="637">V2448*0.4</f>
        <v>157081.872</v>
      </c>
      <c r="X2448" s="128"/>
      <c r="Y2448" s="128"/>
      <c r="Z2448" s="128"/>
      <c r="AA2448" s="128"/>
      <c r="AB2448" s="128"/>
      <c r="AC2448" s="128"/>
      <c r="AD2448" s="128"/>
      <c r="AE2448" s="128"/>
      <c r="AF2448" s="128"/>
      <c r="AG2448" s="128"/>
      <c r="AH2448" s="128"/>
      <c r="AI2448" s="128"/>
      <c r="AJ2448" s="128"/>
      <c r="AK2448" s="128"/>
      <c r="AL2448" s="128"/>
      <c r="AM2448" s="128"/>
      <c r="AN2448" s="128"/>
      <c r="AO2448" s="128"/>
      <c r="AP2448" s="128"/>
      <c r="AQ2448" s="128"/>
      <c r="AR2448" s="128"/>
      <c r="AS2448" s="128"/>
      <c r="AT2448" s="128"/>
      <c r="AU2448" s="128"/>
      <c r="AV2448" s="128"/>
      <c r="AW2448" s="128"/>
      <c r="AX2448" s="128"/>
      <c r="AY2448" s="128"/>
      <c r="AZ2448" s="128"/>
      <c r="BA2448" s="128"/>
      <c r="BB2448" s="128"/>
      <c r="BC2448" s="128"/>
      <c r="BD2448" s="128"/>
      <c r="BE2448" s="128"/>
      <c r="BF2448" s="128"/>
      <c r="BG2448" s="128"/>
      <c r="BH2448" s="128"/>
      <c r="BI2448" s="128"/>
      <c r="BJ2448" s="128"/>
      <c r="BK2448" s="128"/>
      <c r="BL2448" s="128"/>
      <c r="BM2448" s="128"/>
      <c r="BN2448" s="128"/>
      <c r="BO2448" s="128"/>
      <c r="BP2448" s="128"/>
      <c r="BQ2448" s="128"/>
      <c r="BR2448" s="128"/>
      <c r="BS2448" s="128"/>
      <c r="BT2448" s="128"/>
      <c r="BU2448" s="128"/>
      <c r="BV2448" s="128"/>
      <c r="BW2448" s="128"/>
      <c r="BX2448" s="128"/>
      <c r="BY2448" s="128"/>
      <c r="BZ2448" s="128"/>
      <c r="CA2448" s="128"/>
      <c r="CB2448" s="128"/>
      <c r="CC2448" s="128"/>
      <c r="CD2448" s="128"/>
      <c r="CE2448" s="128"/>
      <c r="CF2448" s="128"/>
      <c r="CG2448" s="128"/>
      <c r="CH2448" s="128"/>
      <c r="CI2448" s="128"/>
      <c r="CJ2448" s="128"/>
      <c r="CK2448" s="128"/>
      <c r="CL2448" s="128"/>
      <c r="CM2448" s="128"/>
      <c r="CN2448" s="128"/>
      <c r="CO2448" s="128"/>
      <c r="CP2448" s="128"/>
      <c r="CQ2448" s="128"/>
      <c r="CR2448" s="128"/>
      <c r="CS2448" s="128"/>
      <c r="CT2448" s="128"/>
      <c r="CU2448" s="128"/>
      <c r="CV2448" s="128"/>
      <c r="CW2448" s="128"/>
      <c r="CX2448" s="128"/>
      <c r="CY2448" s="128"/>
      <c r="CZ2448" s="128"/>
      <c r="DA2448" s="128"/>
      <c r="DB2448" s="128"/>
      <c r="DC2448" s="128"/>
      <c r="DD2448" s="128"/>
      <c r="DE2448" s="128"/>
      <c r="DF2448" s="128"/>
      <c r="DG2448" s="128"/>
      <c r="DH2448" s="128"/>
      <c r="DI2448" s="128"/>
      <c r="DJ2448" s="128"/>
      <c r="DK2448" s="128"/>
      <c r="DL2448" s="128"/>
      <c r="DM2448" s="128"/>
      <c r="DN2448" s="128"/>
      <c r="DO2448" s="128"/>
      <c r="DP2448" s="128"/>
      <c r="DQ2448" s="128"/>
      <c r="DR2448" s="128"/>
      <c r="DS2448" s="128"/>
      <c r="DT2448" s="128"/>
      <c r="DU2448" s="128"/>
      <c r="DV2448" s="128"/>
      <c r="DW2448" s="128"/>
      <c r="DX2448" s="128"/>
      <c r="DY2448" s="128"/>
      <c r="DZ2448" s="128"/>
      <c r="EA2448" s="128"/>
      <c r="EB2448" s="128"/>
      <c r="EC2448" s="128"/>
      <c r="ED2448" s="128"/>
      <c r="EE2448" s="128"/>
      <c r="EF2448" s="128"/>
      <c r="EG2448" s="128"/>
      <c r="EH2448" s="128"/>
      <c r="EI2448" s="128"/>
      <c r="EJ2448" s="128"/>
      <c r="EK2448" s="128"/>
      <c r="EL2448" s="128"/>
      <c r="EM2448" s="128"/>
      <c r="EN2448" s="128"/>
      <c r="EO2448" s="128"/>
      <c r="EP2448" s="128"/>
      <c r="EQ2448" s="128"/>
      <c r="ER2448" s="128"/>
      <c r="ES2448" s="128"/>
      <c r="ET2448" s="128"/>
      <c r="EU2448" s="128"/>
      <c r="EV2448" s="128"/>
      <c r="EW2448" s="128"/>
      <c r="EX2448" s="128"/>
      <c r="EY2448" s="128"/>
      <c r="EZ2448" s="128"/>
      <c r="FA2448" s="128"/>
      <c r="FB2448" s="128"/>
      <c r="FC2448" s="128"/>
      <c r="FD2448" s="128"/>
      <c r="FE2448" s="128"/>
      <c r="FF2448" s="128"/>
      <c r="FG2448" s="128"/>
      <c r="FH2448" s="128"/>
      <c r="FI2448" s="128"/>
      <c r="FJ2448" s="128"/>
      <c r="FK2448" s="128"/>
      <c r="FL2448" s="128"/>
      <c r="FM2448" s="128"/>
      <c r="FN2448" s="128"/>
      <c r="FO2448" s="128"/>
      <c r="FP2448" s="128"/>
      <c r="FQ2448" s="128"/>
      <c r="FR2448" s="128"/>
      <c r="FS2448" s="128"/>
      <c r="FT2448" s="128"/>
      <c r="FU2448" s="128"/>
      <c r="FV2448" s="128"/>
      <c r="FW2448" s="128"/>
      <c r="FX2448" s="128"/>
      <c r="FY2448" s="128"/>
      <c r="FZ2448" s="128"/>
      <c r="GA2448" s="128"/>
      <c r="GB2448" s="128"/>
      <c r="GC2448" s="128"/>
      <c r="GD2448" s="128"/>
      <c r="GE2448" s="128"/>
      <c r="GF2448" s="128"/>
      <c r="GG2448" s="128"/>
      <c r="GH2448" s="128"/>
      <c r="GI2448" s="128"/>
      <c r="GJ2448" s="128"/>
      <c r="GK2448" s="128"/>
      <c r="GL2448" s="128"/>
      <c r="GM2448" s="128"/>
      <c r="GN2448" s="128"/>
      <c r="GO2448" s="128"/>
      <c r="GP2448" s="128"/>
      <c r="GQ2448" s="128"/>
      <c r="GR2448" s="128"/>
      <c r="GS2448" s="128"/>
      <c r="GT2448" s="128"/>
      <c r="GU2448" s="128"/>
      <c r="GV2448" s="128"/>
      <c r="GW2448" s="128"/>
      <c r="GX2448" s="128"/>
      <c r="GY2448" s="128"/>
      <c r="GZ2448" s="128"/>
      <c r="HA2448" s="128"/>
      <c r="HB2448" s="128"/>
      <c r="HC2448" s="128"/>
      <c r="HD2448" s="128"/>
      <c r="HE2448" s="128"/>
      <c r="HF2448" s="128"/>
      <c r="HG2448" s="128"/>
      <c r="HH2448" s="128"/>
      <c r="HI2448" s="128"/>
      <c r="HJ2448" s="128"/>
      <c r="HK2448" s="128"/>
      <c r="HL2448" s="128"/>
      <c r="HM2448" s="128"/>
      <c r="HN2448" s="128"/>
      <c r="HO2448" s="128"/>
      <c r="HP2448" s="128"/>
      <c r="HQ2448" s="128"/>
      <c r="HR2448" s="128"/>
      <c r="HS2448" s="128"/>
      <c r="HT2448" s="128"/>
      <c r="HU2448" s="128"/>
      <c r="HV2448" s="128"/>
      <c r="HW2448" s="128"/>
      <c r="HX2448" s="128"/>
      <c r="HY2448" s="128"/>
      <c r="HZ2448" s="128"/>
      <c r="IA2448" s="128"/>
      <c r="IB2448" s="128"/>
      <c r="IC2448" s="128"/>
      <c r="ID2448" s="128"/>
      <c r="IE2448" s="128"/>
      <c r="IF2448" s="128"/>
      <c r="IG2448" s="128"/>
      <c r="IH2448" s="128"/>
      <c r="II2448" s="128"/>
      <c r="IJ2448" s="128"/>
    </row>
    <row r="2449" spans="1:244" ht="12.75" customHeight="1">
      <c r="A2449" s="118">
        <v>2448</v>
      </c>
      <c r="B2449" s="128">
        <v>25</v>
      </c>
      <c r="C2449" s="156">
        <v>39783</v>
      </c>
      <c r="D2449" s="176" t="s">
        <v>55</v>
      </c>
      <c r="E2449" s="127">
        <v>2008</v>
      </c>
      <c r="F2449" s="158">
        <f t="shared" si="633"/>
        <v>30</v>
      </c>
      <c r="G2449" s="158">
        <f t="shared" si="634"/>
        <v>1</v>
      </c>
      <c r="H2449" s="190">
        <v>39753</v>
      </c>
      <c r="I2449" s="160">
        <v>1150854</v>
      </c>
      <c r="J2449" s="191">
        <v>0.65</v>
      </c>
      <c r="K2449" s="191">
        <v>0.15</v>
      </c>
      <c r="L2449" s="191">
        <v>0.04</v>
      </c>
      <c r="M2449" s="193">
        <v>0</v>
      </c>
      <c r="N2449" s="529"/>
      <c r="O2449" s="191">
        <v>0</v>
      </c>
      <c r="P2449" s="127"/>
      <c r="Q2449" s="193"/>
      <c r="R2449" s="193"/>
      <c r="S2449" s="140" t="s">
        <v>244</v>
      </c>
      <c r="T2449" s="161">
        <f t="shared" si="635"/>
        <v>172628.1</v>
      </c>
      <c r="U2449" s="161">
        <f t="shared" si="635"/>
        <v>46034.16</v>
      </c>
      <c r="V2449" s="161">
        <f t="shared" si="636"/>
        <v>0</v>
      </c>
      <c r="W2449" s="161">
        <f t="shared" si="637"/>
        <v>0</v>
      </c>
      <c r="X2449" s="128"/>
      <c r="Y2449" s="128"/>
      <c r="Z2449" s="128"/>
      <c r="AA2449" s="128"/>
      <c r="AB2449" s="128"/>
      <c r="AC2449" s="128"/>
      <c r="AD2449" s="128"/>
      <c r="AE2449" s="128"/>
      <c r="AF2449" s="128"/>
      <c r="AG2449" s="128"/>
      <c r="AH2449" s="128"/>
      <c r="AI2449" s="128"/>
      <c r="AJ2449" s="128"/>
      <c r="AK2449" s="128"/>
      <c r="AL2449" s="128"/>
      <c r="AM2449" s="128"/>
      <c r="AN2449" s="128"/>
      <c r="AO2449" s="128"/>
      <c r="AP2449" s="128"/>
      <c r="AQ2449" s="128"/>
      <c r="AR2449" s="128"/>
      <c r="AS2449" s="128"/>
      <c r="AT2449" s="128"/>
      <c r="AU2449" s="128"/>
      <c r="AV2449" s="128"/>
      <c r="AW2449" s="128"/>
      <c r="AX2449" s="128"/>
      <c r="AY2449" s="128"/>
      <c r="AZ2449" s="128"/>
      <c r="BA2449" s="128"/>
      <c r="BB2449" s="128"/>
      <c r="BC2449" s="128"/>
      <c r="BD2449" s="128"/>
      <c r="BE2449" s="128"/>
      <c r="BF2449" s="128"/>
      <c r="BG2449" s="128"/>
      <c r="BH2449" s="128"/>
      <c r="BI2449" s="128"/>
      <c r="BJ2449" s="128"/>
      <c r="BK2449" s="128"/>
      <c r="BL2449" s="128"/>
      <c r="BM2449" s="128"/>
      <c r="BN2449" s="128"/>
      <c r="BO2449" s="128"/>
      <c r="BP2449" s="128"/>
      <c r="BQ2449" s="128"/>
      <c r="BR2449" s="128"/>
      <c r="BS2449" s="128"/>
      <c r="BT2449" s="128"/>
      <c r="BU2449" s="128"/>
      <c r="BV2449" s="128"/>
      <c r="BW2449" s="128"/>
      <c r="BX2449" s="128"/>
      <c r="BY2449" s="128"/>
      <c r="BZ2449" s="128"/>
      <c r="CA2449" s="128"/>
      <c r="CB2449" s="128"/>
      <c r="CC2449" s="128"/>
      <c r="CD2449" s="128"/>
      <c r="CE2449" s="128"/>
      <c r="CF2449" s="128"/>
      <c r="CG2449" s="128"/>
      <c r="CH2449" s="128"/>
      <c r="CI2449" s="128"/>
      <c r="CJ2449" s="128"/>
      <c r="CK2449" s="128"/>
      <c r="CL2449" s="128"/>
      <c r="CM2449" s="128"/>
      <c r="CN2449" s="128"/>
      <c r="CO2449" s="128"/>
      <c r="CP2449" s="128"/>
      <c r="CQ2449" s="128"/>
      <c r="CR2449" s="128"/>
      <c r="CS2449" s="128"/>
      <c r="CT2449" s="128"/>
      <c r="CU2449" s="128"/>
      <c r="CV2449" s="128"/>
      <c r="CW2449" s="128"/>
      <c r="CX2449" s="128"/>
      <c r="CY2449" s="128"/>
      <c r="CZ2449" s="128"/>
      <c r="DA2449" s="128"/>
      <c r="DB2449" s="128"/>
      <c r="DC2449" s="128"/>
      <c r="DD2449" s="128"/>
      <c r="DE2449" s="128"/>
      <c r="DF2449" s="128"/>
      <c r="DG2449" s="128"/>
      <c r="DH2449" s="128"/>
      <c r="DI2449" s="128"/>
      <c r="DJ2449" s="128"/>
      <c r="DK2449" s="128"/>
      <c r="DL2449" s="128"/>
      <c r="DM2449" s="128"/>
      <c r="DN2449" s="128"/>
      <c r="DO2449" s="128"/>
      <c r="DP2449" s="128"/>
      <c r="DQ2449" s="128"/>
      <c r="DR2449" s="128"/>
      <c r="DS2449" s="128"/>
      <c r="DT2449" s="128"/>
      <c r="DU2449" s="128"/>
      <c r="DV2449" s="128"/>
      <c r="DW2449" s="128"/>
      <c r="DX2449" s="128"/>
      <c r="DY2449" s="128"/>
      <c r="DZ2449" s="128"/>
      <c r="EA2449" s="128"/>
      <c r="EB2449" s="128"/>
      <c r="EC2449" s="128"/>
      <c r="ED2449" s="128"/>
      <c r="EE2449" s="128"/>
      <c r="EF2449" s="128"/>
      <c r="EG2449" s="128"/>
      <c r="EH2449" s="128"/>
      <c r="EI2449" s="128"/>
      <c r="EJ2449" s="128"/>
      <c r="EK2449" s="128"/>
      <c r="EL2449" s="128"/>
      <c r="EM2449" s="128"/>
      <c r="EN2449" s="128"/>
      <c r="EO2449" s="128"/>
      <c r="EP2449" s="128"/>
      <c r="EQ2449" s="128"/>
      <c r="ER2449" s="128"/>
      <c r="ES2449" s="128"/>
      <c r="ET2449" s="128"/>
      <c r="EU2449" s="128"/>
      <c r="EV2449" s="128"/>
      <c r="EW2449" s="128"/>
      <c r="EX2449" s="128"/>
      <c r="EY2449" s="128"/>
      <c r="EZ2449" s="128"/>
      <c r="FA2449" s="128"/>
      <c r="FB2449" s="128"/>
      <c r="FC2449" s="128"/>
      <c r="FD2449" s="128"/>
      <c r="FE2449" s="128"/>
      <c r="FF2449" s="128"/>
      <c r="FG2449" s="128"/>
      <c r="FH2449" s="128"/>
      <c r="FI2449" s="128"/>
      <c r="FJ2449" s="128"/>
      <c r="FK2449" s="128"/>
      <c r="FL2449" s="128"/>
      <c r="FM2449" s="128"/>
      <c r="FN2449" s="128"/>
      <c r="FO2449" s="128"/>
      <c r="FP2449" s="128"/>
      <c r="FQ2449" s="128"/>
      <c r="FR2449" s="128"/>
      <c r="FS2449" s="128"/>
      <c r="FT2449" s="128"/>
      <c r="FU2449" s="128"/>
      <c r="FV2449" s="128"/>
      <c r="FW2449" s="128"/>
      <c r="FX2449" s="128"/>
      <c r="FY2449" s="128"/>
      <c r="FZ2449" s="128"/>
      <c r="GA2449" s="128"/>
      <c r="GB2449" s="128"/>
      <c r="GC2449" s="128"/>
      <c r="GD2449" s="128"/>
      <c r="GE2449" s="128"/>
      <c r="GF2449" s="128"/>
      <c r="GG2449" s="128"/>
      <c r="GH2449" s="128"/>
      <c r="GI2449" s="128"/>
      <c r="GJ2449" s="128"/>
      <c r="GK2449" s="128"/>
      <c r="GL2449" s="128"/>
      <c r="GM2449" s="128"/>
      <c r="GN2449" s="128"/>
      <c r="GO2449" s="128"/>
      <c r="GP2449" s="128"/>
      <c r="GQ2449" s="128"/>
      <c r="GR2449" s="128"/>
      <c r="GS2449" s="128"/>
      <c r="GT2449" s="128"/>
      <c r="GU2449" s="128"/>
      <c r="GV2449" s="128"/>
      <c r="GW2449" s="128"/>
      <c r="GX2449" s="128"/>
      <c r="GY2449" s="128"/>
      <c r="GZ2449" s="128"/>
      <c r="HA2449" s="128"/>
      <c r="HB2449" s="128"/>
      <c r="HC2449" s="128"/>
      <c r="HD2449" s="128"/>
      <c r="HE2449" s="128"/>
      <c r="HF2449" s="128"/>
      <c r="HG2449" s="128"/>
      <c r="HH2449" s="128"/>
      <c r="HI2449" s="128"/>
      <c r="HJ2449" s="128"/>
      <c r="HK2449" s="128"/>
      <c r="HL2449" s="128"/>
      <c r="HM2449" s="128"/>
      <c r="HN2449" s="128"/>
      <c r="HO2449" s="128"/>
      <c r="HP2449" s="128"/>
      <c r="HQ2449" s="128"/>
      <c r="HR2449" s="128"/>
      <c r="HS2449" s="128"/>
      <c r="HT2449" s="128"/>
      <c r="HU2449" s="128"/>
      <c r="HV2449" s="128"/>
      <c r="HW2449" s="128"/>
      <c r="HX2449" s="128"/>
      <c r="HY2449" s="128"/>
      <c r="HZ2449" s="128"/>
      <c r="IA2449" s="128"/>
      <c r="IB2449" s="128"/>
      <c r="IC2449" s="128"/>
      <c r="ID2449" s="128"/>
      <c r="IE2449" s="128"/>
      <c r="IF2449" s="128"/>
      <c r="IG2449" s="128"/>
      <c r="IH2449" s="128"/>
      <c r="II2449" s="128"/>
      <c r="IJ2449" s="128"/>
    </row>
    <row r="2450" spans="1:244" ht="12.75" customHeight="1">
      <c r="A2450" s="118">
        <v>2449</v>
      </c>
      <c r="B2450" s="128">
        <v>25</v>
      </c>
      <c r="C2450" s="156">
        <v>39814</v>
      </c>
      <c r="D2450" s="157" t="s">
        <v>44</v>
      </c>
      <c r="E2450" s="127">
        <v>2009</v>
      </c>
      <c r="F2450" s="158">
        <f t="shared" si="633"/>
        <v>92</v>
      </c>
      <c r="G2450" s="158">
        <f t="shared" si="634"/>
        <v>1</v>
      </c>
      <c r="H2450" s="178">
        <v>39722</v>
      </c>
      <c r="I2450" s="125">
        <v>1150000</v>
      </c>
      <c r="J2450" s="164">
        <v>0.71</v>
      </c>
      <c r="K2450" s="164">
        <v>0.11</v>
      </c>
      <c r="L2450" s="164">
        <v>0.05</v>
      </c>
      <c r="M2450" s="193">
        <v>0</v>
      </c>
      <c r="N2450" s="529"/>
      <c r="O2450" s="164">
        <v>0</v>
      </c>
      <c r="P2450" s="118"/>
      <c r="Q2450" s="118"/>
      <c r="R2450" s="118"/>
      <c r="S2450" s="221"/>
      <c r="T2450" s="161">
        <f t="shared" si="635"/>
        <v>126500</v>
      </c>
      <c r="U2450" s="161">
        <f t="shared" si="635"/>
        <v>57500</v>
      </c>
      <c r="V2450" s="161">
        <f t="shared" si="636"/>
        <v>0</v>
      </c>
      <c r="W2450" s="161">
        <f t="shared" si="637"/>
        <v>0</v>
      </c>
      <c r="X2450" s="11"/>
      <c r="Y2450" s="11"/>
      <c r="Z2450" s="11"/>
      <c r="AA2450" s="11"/>
      <c r="AB2450" s="11"/>
      <c r="AC2450" s="11"/>
      <c r="AD2450" s="11"/>
      <c r="AE2450" s="11"/>
      <c r="AF2450" s="11"/>
      <c r="AG2450" s="11"/>
      <c r="AH2450" s="11"/>
      <c r="AI2450" s="11"/>
      <c r="AJ2450" s="11"/>
      <c r="AK2450" s="11"/>
      <c r="AL2450" s="11"/>
      <c r="AM2450" s="11"/>
      <c r="AN2450" s="11"/>
      <c r="AO2450" s="11"/>
      <c r="AP2450" s="11"/>
      <c r="AQ2450" s="11"/>
      <c r="AR2450" s="11"/>
      <c r="AS2450" s="11"/>
      <c r="AT2450" s="11"/>
      <c r="AU2450" s="11"/>
      <c r="AV2450" s="11"/>
      <c r="AW2450" s="11"/>
      <c r="AX2450" s="11"/>
      <c r="AY2450" s="11"/>
      <c r="AZ2450" s="11"/>
      <c r="BA2450" s="11"/>
      <c r="BB2450" s="11"/>
      <c r="BC2450" s="11"/>
      <c r="BD2450" s="11"/>
      <c r="BE2450" s="11"/>
      <c r="BF2450" s="11"/>
      <c r="BG2450" s="11"/>
      <c r="BH2450" s="11"/>
      <c r="BI2450" s="11"/>
      <c r="BJ2450" s="11"/>
      <c r="BK2450" s="11"/>
      <c r="BL2450" s="11"/>
      <c r="BM2450" s="11"/>
      <c r="BN2450" s="11"/>
      <c r="BO2450" s="11"/>
      <c r="BP2450" s="11"/>
      <c r="BQ2450" s="11"/>
      <c r="BR2450" s="11"/>
      <c r="BS2450" s="11"/>
      <c r="BT2450" s="11"/>
      <c r="BU2450" s="11"/>
      <c r="BV2450" s="11"/>
      <c r="BW2450" s="11"/>
      <c r="BX2450" s="11"/>
      <c r="BY2450" s="11"/>
      <c r="BZ2450" s="11"/>
      <c r="CA2450" s="11"/>
      <c r="CB2450" s="11"/>
      <c r="CC2450" s="11"/>
      <c r="CD2450" s="11"/>
      <c r="CE2450" s="11"/>
      <c r="CF2450" s="11"/>
      <c r="CG2450" s="11"/>
      <c r="CH2450" s="11"/>
      <c r="CI2450" s="11"/>
      <c r="CJ2450" s="11"/>
      <c r="CK2450" s="11"/>
      <c r="CL2450" s="11"/>
      <c r="CM2450" s="11"/>
      <c r="CN2450" s="11"/>
      <c r="CO2450" s="11"/>
      <c r="CP2450" s="11"/>
      <c r="CQ2450" s="11"/>
      <c r="CR2450" s="11"/>
      <c r="CS2450" s="11"/>
      <c r="CT2450" s="11"/>
      <c r="CU2450" s="11"/>
      <c r="CV2450" s="11"/>
      <c r="CW2450" s="11"/>
      <c r="CX2450" s="11"/>
      <c r="CY2450" s="11"/>
      <c r="CZ2450" s="11"/>
      <c r="DA2450" s="11"/>
      <c r="DB2450" s="11"/>
      <c r="DC2450" s="11"/>
      <c r="DD2450" s="11"/>
      <c r="DE2450" s="11"/>
      <c r="DF2450" s="11"/>
      <c r="DG2450" s="11"/>
      <c r="DH2450" s="11"/>
      <c r="DI2450" s="11"/>
      <c r="DJ2450" s="11"/>
      <c r="DK2450" s="11"/>
      <c r="DL2450" s="11"/>
      <c r="DM2450" s="11"/>
      <c r="DN2450" s="11"/>
      <c r="DO2450" s="11"/>
      <c r="DP2450" s="11"/>
      <c r="DQ2450" s="11"/>
      <c r="DR2450" s="11"/>
      <c r="DS2450" s="11"/>
      <c r="DT2450" s="11"/>
      <c r="DU2450" s="11"/>
      <c r="DV2450" s="11"/>
      <c r="DW2450" s="11"/>
      <c r="DX2450" s="11"/>
      <c r="DY2450" s="11"/>
      <c r="DZ2450" s="11"/>
      <c r="EA2450" s="11"/>
      <c r="EB2450" s="11"/>
      <c r="EC2450" s="11"/>
      <c r="ED2450" s="11"/>
      <c r="EE2450" s="11"/>
      <c r="EF2450" s="11"/>
      <c r="EG2450" s="11"/>
      <c r="EH2450" s="11"/>
      <c r="EI2450" s="11"/>
      <c r="EJ2450" s="11"/>
      <c r="EK2450" s="11"/>
      <c r="EL2450" s="11"/>
      <c r="EM2450" s="11"/>
      <c r="EN2450" s="11"/>
      <c r="EO2450" s="11"/>
      <c r="EP2450" s="11"/>
      <c r="EQ2450" s="11"/>
      <c r="ER2450" s="11"/>
      <c r="ES2450" s="11"/>
      <c r="ET2450" s="11"/>
      <c r="EU2450" s="11"/>
      <c r="EV2450" s="11"/>
      <c r="EW2450" s="11"/>
      <c r="EX2450" s="11"/>
      <c r="EY2450" s="11"/>
      <c r="EZ2450" s="11"/>
      <c r="FA2450" s="11"/>
      <c r="FB2450" s="11"/>
      <c r="FC2450" s="11"/>
      <c r="FD2450" s="11"/>
      <c r="FE2450" s="11"/>
      <c r="FF2450" s="11"/>
      <c r="FG2450" s="11"/>
      <c r="FH2450" s="11"/>
      <c r="FI2450" s="11"/>
      <c r="FJ2450" s="11"/>
      <c r="FK2450" s="11"/>
      <c r="FL2450" s="11"/>
      <c r="FM2450" s="11"/>
      <c r="FN2450" s="11"/>
      <c r="FO2450" s="11"/>
      <c r="FP2450" s="11"/>
      <c r="FQ2450" s="11"/>
      <c r="FR2450" s="11"/>
      <c r="FS2450" s="11"/>
      <c r="FT2450" s="11"/>
      <c r="FU2450" s="11"/>
      <c r="FV2450" s="11"/>
      <c r="FW2450" s="11"/>
      <c r="FX2450" s="11"/>
      <c r="FY2450" s="11"/>
      <c r="FZ2450" s="11"/>
      <c r="GA2450" s="11"/>
      <c r="GB2450" s="11"/>
      <c r="GC2450" s="11"/>
      <c r="GD2450" s="11"/>
      <c r="GE2450" s="11"/>
      <c r="GF2450" s="11"/>
      <c r="GG2450" s="11"/>
      <c r="GH2450" s="11"/>
      <c r="GI2450" s="11"/>
      <c r="GJ2450" s="11"/>
      <c r="GK2450" s="11"/>
      <c r="GL2450" s="11"/>
      <c r="GM2450" s="11"/>
      <c r="GN2450" s="11"/>
      <c r="GO2450" s="11"/>
      <c r="GP2450" s="11"/>
      <c r="GQ2450" s="11"/>
      <c r="GR2450" s="11"/>
      <c r="GS2450" s="11"/>
      <c r="GT2450" s="11"/>
      <c r="GU2450" s="11"/>
      <c r="GV2450" s="11"/>
      <c r="GW2450" s="11"/>
      <c r="GX2450" s="11"/>
      <c r="GY2450" s="11"/>
      <c r="GZ2450" s="11"/>
      <c r="HA2450" s="11"/>
      <c r="HB2450" s="11"/>
      <c r="HC2450" s="11"/>
      <c r="HD2450" s="11"/>
      <c r="HE2450" s="11"/>
      <c r="HF2450" s="11"/>
      <c r="HG2450" s="11"/>
      <c r="HH2450" s="11"/>
      <c r="HI2450" s="11"/>
      <c r="HJ2450" s="11"/>
      <c r="HK2450" s="11"/>
      <c r="HL2450" s="11"/>
      <c r="HM2450" s="11"/>
      <c r="HN2450" s="11"/>
      <c r="HO2450" s="11"/>
      <c r="HP2450" s="11"/>
      <c r="HQ2450" s="11"/>
      <c r="HR2450" s="11"/>
      <c r="HS2450" s="11"/>
      <c r="HT2450" s="11"/>
      <c r="HU2450" s="11"/>
      <c r="HV2450" s="11"/>
      <c r="HW2450" s="11"/>
      <c r="HX2450" s="11"/>
      <c r="HY2450" s="11"/>
      <c r="HZ2450" s="11"/>
      <c r="IA2450" s="11"/>
      <c r="IB2450" s="11"/>
      <c r="IC2450" s="11"/>
      <c r="ID2450" s="11"/>
      <c r="IE2450" s="11"/>
      <c r="IF2450" s="11"/>
      <c r="IG2450" s="11"/>
      <c r="IH2450" s="11"/>
      <c r="II2450" s="11"/>
      <c r="IJ2450" s="11"/>
    </row>
    <row r="2451" spans="1:244" ht="12.75" customHeight="1">
      <c r="A2451" s="118">
        <v>2450</v>
      </c>
      <c r="B2451" s="128">
        <v>25</v>
      </c>
      <c r="C2451" s="156">
        <v>39845</v>
      </c>
      <c r="D2451" s="157" t="s">
        <v>45</v>
      </c>
      <c r="E2451" s="127">
        <v>2009</v>
      </c>
      <c r="F2451" s="158">
        <f t="shared" si="633"/>
        <v>123</v>
      </c>
      <c r="G2451" s="158">
        <f t="shared" si="634"/>
        <v>1</v>
      </c>
      <c r="H2451" s="178">
        <v>39722</v>
      </c>
      <c r="I2451" s="125">
        <v>1149212</v>
      </c>
      <c r="J2451" s="164">
        <v>0.32</v>
      </c>
      <c r="K2451" s="164">
        <v>0.3</v>
      </c>
      <c r="L2451" s="164">
        <v>0.04</v>
      </c>
      <c r="M2451" s="193">
        <v>0</v>
      </c>
      <c r="N2451" s="529"/>
      <c r="O2451" s="164">
        <v>1.1499999999999999</v>
      </c>
      <c r="P2451" s="118"/>
      <c r="Q2451" s="118"/>
      <c r="R2451" s="118"/>
      <c r="S2451" s="221"/>
      <c r="T2451" s="161">
        <f t="shared" si="635"/>
        <v>344763.6</v>
      </c>
      <c r="U2451" s="161">
        <f t="shared" si="635"/>
        <v>45968.480000000003</v>
      </c>
      <c r="V2451" s="161">
        <f t="shared" si="636"/>
        <v>1321593.7999999998</v>
      </c>
      <c r="W2451" s="161">
        <f t="shared" si="637"/>
        <v>528637.5199999999</v>
      </c>
      <c r="X2451" s="11"/>
      <c r="Y2451" s="11"/>
      <c r="Z2451" s="11"/>
      <c r="AA2451" s="11"/>
      <c r="AB2451" s="11"/>
      <c r="AC2451" s="11"/>
      <c r="AD2451" s="11"/>
      <c r="AE2451" s="11"/>
      <c r="AF2451" s="11"/>
      <c r="AG2451" s="11"/>
      <c r="AH2451" s="11"/>
      <c r="AI2451" s="11"/>
      <c r="AJ2451" s="11"/>
      <c r="AK2451" s="11"/>
      <c r="AL2451" s="11"/>
      <c r="AM2451" s="11"/>
      <c r="AN2451" s="11"/>
      <c r="AO2451" s="11"/>
      <c r="AP2451" s="11"/>
      <c r="AQ2451" s="11"/>
      <c r="AR2451" s="11"/>
      <c r="AS2451" s="11"/>
      <c r="AT2451" s="11"/>
      <c r="AU2451" s="11"/>
      <c r="AV2451" s="11"/>
      <c r="AW2451" s="11"/>
      <c r="AX2451" s="11"/>
      <c r="AY2451" s="11"/>
      <c r="AZ2451" s="11"/>
      <c r="BA2451" s="11"/>
      <c r="BB2451" s="11"/>
      <c r="BC2451" s="11"/>
      <c r="BD2451" s="11"/>
      <c r="BE2451" s="11"/>
      <c r="BF2451" s="11"/>
      <c r="BG2451" s="11"/>
      <c r="BH2451" s="11"/>
      <c r="BI2451" s="11"/>
      <c r="BJ2451" s="11"/>
      <c r="BK2451" s="11"/>
      <c r="BL2451" s="11"/>
      <c r="BM2451" s="11"/>
      <c r="BN2451" s="11"/>
      <c r="BO2451" s="11"/>
      <c r="BP2451" s="11"/>
      <c r="BQ2451" s="11"/>
      <c r="BR2451" s="11"/>
      <c r="BS2451" s="11"/>
      <c r="BT2451" s="11"/>
      <c r="BU2451" s="11"/>
      <c r="BV2451" s="11"/>
      <c r="BW2451" s="11"/>
      <c r="BX2451" s="11"/>
      <c r="BY2451" s="11"/>
      <c r="BZ2451" s="11"/>
      <c r="CA2451" s="11"/>
      <c r="CB2451" s="11"/>
      <c r="CC2451" s="11"/>
      <c r="CD2451" s="11"/>
      <c r="CE2451" s="11"/>
      <c r="CF2451" s="11"/>
      <c r="CG2451" s="11"/>
      <c r="CH2451" s="11"/>
      <c r="CI2451" s="11"/>
      <c r="CJ2451" s="11"/>
      <c r="CK2451" s="11"/>
      <c r="CL2451" s="11"/>
      <c r="CM2451" s="11"/>
      <c r="CN2451" s="11"/>
      <c r="CO2451" s="11"/>
      <c r="CP2451" s="11"/>
      <c r="CQ2451" s="11"/>
      <c r="CR2451" s="11"/>
      <c r="CS2451" s="11"/>
      <c r="CT2451" s="11"/>
      <c r="CU2451" s="11"/>
      <c r="CV2451" s="11"/>
      <c r="CW2451" s="11"/>
      <c r="CX2451" s="11"/>
      <c r="CY2451" s="11"/>
      <c r="CZ2451" s="11"/>
      <c r="DA2451" s="11"/>
      <c r="DB2451" s="11"/>
      <c r="DC2451" s="11"/>
      <c r="DD2451" s="11"/>
      <c r="DE2451" s="11"/>
      <c r="DF2451" s="11"/>
      <c r="DG2451" s="11"/>
      <c r="DH2451" s="11"/>
      <c r="DI2451" s="11"/>
      <c r="DJ2451" s="11"/>
      <c r="DK2451" s="11"/>
      <c r="DL2451" s="11"/>
      <c r="DM2451" s="11"/>
      <c r="DN2451" s="11"/>
      <c r="DO2451" s="11"/>
      <c r="DP2451" s="11"/>
      <c r="DQ2451" s="11"/>
      <c r="DR2451" s="11"/>
      <c r="DS2451" s="11"/>
      <c r="DT2451" s="11"/>
      <c r="DU2451" s="11"/>
      <c r="DV2451" s="11"/>
      <c r="DW2451" s="11"/>
      <c r="DX2451" s="11"/>
      <c r="DY2451" s="11"/>
      <c r="DZ2451" s="11"/>
      <c r="EA2451" s="11"/>
      <c r="EB2451" s="11"/>
      <c r="EC2451" s="11"/>
      <c r="ED2451" s="11"/>
      <c r="EE2451" s="11"/>
      <c r="EF2451" s="11"/>
      <c r="EG2451" s="11"/>
      <c r="EH2451" s="11"/>
      <c r="EI2451" s="11"/>
      <c r="EJ2451" s="11"/>
      <c r="EK2451" s="11"/>
      <c r="EL2451" s="11"/>
      <c r="EM2451" s="11"/>
      <c r="EN2451" s="11"/>
      <c r="EO2451" s="11"/>
      <c r="EP2451" s="11"/>
      <c r="EQ2451" s="11"/>
      <c r="ER2451" s="11"/>
      <c r="ES2451" s="11"/>
      <c r="ET2451" s="11"/>
      <c r="EU2451" s="11"/>
      <c r="EV2451" s="11"/>
      <c r="EW2451" s="11"/>
      <c r="EX2451" s="11"/>
      <c r="EY2451" s="11"/>
      <c r="EZ2451" s="11"/>
      <c r="FA2451" s="11"/>
      <c r="FB2451" s="11"/>
      <c r="FC2451" s="11"/>
      <c r="FD2451" s="11"/>
      <c r="FE2451" s="11"/>
      <c r="FF2451" s="11"/>
      <c r="FG2451" s="11"/>
      <c r="FH2451" s="11"/>
      <c r="FI2451" s="11"/>
      <c r="FJ2451" s="11"/>
      <c r="FK2451" s="11"/>
      <c r="FL2451" s="11"/>
      <c r="FM2451" s="11"/>
      <c r="FN2451" s="11"/>
      <c r="FO2451" s="11"/>
      <c r="FP2451" s="11"/>
      <c r="FQ2451" s="11"/>
      <c r="FR2451" s="11"/>
      <c r="FS2451" s="11"/>
      <c r="FT2451" s="11"/>
      <c r="FU2451" s="11"/>
      <c r="FV2451" s="11"/>
      <c r="FW2451" s="11"/>
      <c r="FX2451" s="11"/>
      <c r="FY2451" s="11"/>
      <c r="FZ2451" s="11"/>
      <c r="GA2451" s="11"/>
      <c r="GB2451" s="11"/>
      <c r="GC2451" s="11"/>
      <c r="GD2451" s="11"/>
      <c r="GE2451" s="11"/>
      <c r="GF2451" s="11"/>
      <c r="GG2451" s="11"/>
      <c r="GH2451" s="11"/>
      <c r="GI2451" s="11"/>
      <c r="GJ2451" s="11"/>
      <c r="GK2451" s="11"/>
      <c r="GL2451" s="11"/>
      <c r="GM2451" s="11"/>
      <c r="GN2451" s="11"/>
      <c r="GO2451" s="11"/>
      <c r="GP2451" s="11"/>
      <c r="GQ2451" s="11"/>
      <c r="GR2451" s="11"/>
      <c r="GS2451" s="11"/>
      <c r="GT2451" s="11"/>
      <c r="GU2451" s="11"/>
      <c r="GV2451" s="11"/>
      <c r="GW2451" s="11"/>
      <c r="GX2451" s="11"/>
      <c r="GY2451" s="11"/>
      <c r="GZ2451" s="11"/>
      <c r="HA2451" s="11"/>
      <c r="HB2451" s="11"/>
      <c r="HC2451" s="11"/>
      <c r="HD2451" s="11"/>
      <c r="HE2451" s="11"/>
      <c r="HF2451" s="11"/>
      <c r="HG2451" s="11"/>
      <c r="HH2451" s="11"/>
      <c r="HI2451" s="11"/>
      <c r="HJ2451" s="11"/>
      <c r="HK2451" s="11"/>
      <c r="HL2451" s="11"/>
      <c r="HM2451" s="11"/>
      <c r="HN2451" s="11"/>
      <c r="HO2451" s="11"/>
      <c r="HP2451" s="11"/>
      <c r="HQ2451" s="11"/>
      <c r="HR2451" s="11"/>
      <c r="HS2451" s="11"/>
      <c r="HT2451" s="11"/>
      <c r="HU2451" s="11"/>
      <c r="HV2451" s="11"/>
      <c r="HW2451" s="11"/>
      <c r="HX2451" s="11"/>
      <c r="HY2451" s="11"/>
      <c r="HZ2451" s="11"/>
      <c r="IA2451" s="11"/>
      <c r="IB2451" s="11"/>
      <c r="IC2451" s="11"/>
      <c r="ID2451" s="11"/>
      <c r="IE2451" s="11"/>
      <c r="IF2451" s="11"/>
      <c r="IG2451" s="11"/>
      <c r="IH2451" s="11"/>
      <c r="II2451" s="11"/>
      <c r="IJ2451" s="11"/>
    </row>
    <row r="2452" spans="1:244" ht="12.75" customHeight="1">
      <c r="A2452" s="118">
        <v>2451</v>
      </c>
      <c r="B2452" s="128">
        <v>25</v>
      </c>
      <c r="C2452" s="156">
        <v>39873</v>
      </c>
      <c r="D2452" s="157" t="s">
        <v>46</v>
      </c>
      <c r="E2452" s="127">
        <v>2009</v>
      </c>
      <c r="F2452" s="158">
        <f t="shared" si="633"/>
        <v>151</v>
      </c>
      <c r="G2452" s="158">
        <f t="shared" si="634"/>
        <v>1</v>
      </c>
      <c r="H2452" s="178">
        <v>39722</v>
      </c>
      <c r="I2452" s="125">
        <v>1144418</v>
      </c>
      <c r="J2452" s="164">
        <v>0.35</v>
      </c>
      <c r="K2452" s="164">
        <v>0.32</v>
      </c>
      <c r="L2452" s="164">
        <v>0.08</v>
      </c>
      <c r="M2452" s="193">
        <v>0</v>
      </c>
      <c r="N2452" s="529"/>
      <c r="O2452" s="164">
        <v>0.5</v>
      </c>
      <c r="P2452" s="118"/>
      <c r="Q2452" s="118"/>
      <c r="R2452" s="118"/>
      <c r="S2452" s="221"/>
      <c r="T2452" s="161">
        <f t="shared" si="635"/>
        <v>366213.76</v>
      </c>
      <c r="U2452" s="161">
        <f t="shared" si="635"/>
        <v>91553.44</v>
      </c>
      <c r="V2452" s="161">
        <f t="shared" si="636"/>
        <v>572209</v>
      </c>
      <c r="W2452" s="161">
        <f t="shared" si="637"/>
        <v>228883.6</v>
      </c>
      <c r="X2452" s="11"/>
      <c r="Y2452" s="11"/>
      <c r="Z2452" s="11"/>
      <c r="AA2452" s="11"/>
      <c r="AB2452" s="11"/>
      <c r="AC2452" s="11"/>
      <c r="AD2452" s="11"/>
      <c r="AE2452" s="11"/>
      <c r="AF2452" s="11"/>
      <c r="AG2452" s="11"/>
      <c r="AH2452" s="11"/>
      <c r="AI2452" s="11"/>
      <c r="AJ2452" s="11"/>
      <c r="AK2452" s="11"/>
      <c r="AL2452" s="11"/>
      <c r="AM2452" s="11"/>
      <c r="AN2452" s="11"/>
      <c r="AO2452" s="11"/>
      <c r="AP2452" s="11"/>
      <c r="AQ2452" s="11"/>
      <c r="AR2452" s="11"/>
      <c r="AS2452" s="11"/>
      <c r="AT2452" s="11"/>
      <c r="AU2452" s="11"/>
      <c r="AV2452" s="11"/>
      <c r="AW2452" s="11"/>
      <c r="AX2452" s="11"/>
      <c r="AY2452" s="11"/>
      <c r="AZ2452" s="11"/>
      <c r="BA2452" s="11"/>
      <c r="BB2452" s="11"/>
      <c r="BC2452" s="11"/>
      <c r="BD2452" s="11"/>
      <c r="BE2452" s="11"/>
      <c r="BF2452" s="11"/>
      <c r="BG2452" s="11"/>
      <c r="BH2452" s="11"/>
      <c r="BI2452" s="11"/>
      <c r="BJ2452" s="11"/>
      <c r="BK2452" s="11"/>
      <c r="BL2452" s="11"/>
      <c r="BM2452" s="11"/>
      <c r="BN2452" s="11"/>
      <c r="BO2452" s="11"/>
      <c r="BP2452" s="11"/>
      <c r="BQ2452" s="11"/>
      <c r="BR2452" s="11"/>
      <c r="BS2452" s="11"/>
      <c r="BT2452" s="11"/>
      <c r="BU2452" s="11"/>
      <c r="BV2452" s="11"/>
      <c r="BW2452" s="11"/>
      <c r="BX2452" s="11"/>
      <c r="BY2452" s="11"/>
      <c r="BZ2452" s="11"/>
      <c r="CA2452" s="11"/>
      <c r="CB2452" s="11"/>
      <c r="CC2452" s="11"/>
      <c r="CD2452" s="11"/>
      <c r="CE2452" s="11"/>
      <c r="CF2452" s="11"/>
      <c r="CG2452" s="11"/>
      <c r="CH2452" s="11"/>
      <c r="CI2452" s="11"/>
      <c r="CJ2452" s="11"/>
      <c r="CK2452" s="11"/>
      <c r="CL2452" s="11"/>
      <c r="CM2452" s="11"/>
      <c r="CN2452" s="11"/>
      <c r="CO2452" s="11"/>
      <c r="CP2452" s="11"/>
      <c r="CQ2452" s="11"/>
      <c r="CR2452" s="11"/>
      <c r="CS2452" s="11"/>
      <c r="CT2452" s="11"/>
      <c r="CU2452" s="11"/>
      <c r="CV2452" s="11"/>
      <c r="CW2452" s="11"/>
      <c r="CX2452" s="11"/>
      <c r="CY2452" s="11"/>
      <c r="CZ2452" s="11"/>
      <c r="DA2452" s="11"/>
      <c r="DB2452" s="11"/>
      <c r="DC2452" s="11"/>
      <c r="DD2452" s="11"/>
      <c r="DE2452" s="11"/>
      <c r="DF2452" s="11"/>
      <c r="DG2452" s="11"/>
      <c r="DH2452" s="11"/>
      <c r="DI2452" s="11"/>
      <c r="DJ2452" s="11"/>
      <c r="DK2452" s="11"/>
      <c r="DL2452" s="11"/>
      <c r="DM2452" s="11"/>
      <c r="DN2452" s="11"/>
      <c r="DO2452" s="11"/>
      <c r="DP2452" s="11"/>
      <c r="DQ2452" s="11"/>
      <c r="DR2452" s="11"/>
      <c r="DS2452" s="11"/>
      <c r="DT2452" s="11"/>
      <c r="DU2452" s="11"/>
      <c r="DV2452" s="11"/>
      <c r="DW2452" s="11"/>
      <c r="DX2452" s="11"/>
      <c r="DY2452" s="11"/>
      <c r="DZ2452" s="11"/>
      <c r="EA2452" s="11"/>
      <c r="EB2452" s="11"/>
      <c r="EC2452" s="11"/>
      <c r="ED2452" s="11"/>
      <c r="EE2452" s="11"/>
      <c r="EF2452" s="11"/>
      <c r="EG2452" s="11"/>
      <c r="EH2452" s="11"/>
      <c r="EI2452" s="11"/>
      <c r="EJ2452" s="11"/>
      <c r="EK2452" s="11"/>
      <c r="EL2452" s="11"/>
      <c r="EM2452" s="11"/>
      <c r="EN2452" s="11"/>
      <c r="EO2452" s="11"/>
      <c r="EP2452" s="11"/>
      <c r="EQ2452" s="11"/>
      <c r="ER2452" s="11"/>
      <c r="ES2452" s="11"/>
      <c r="ET2452" s="11"/>
      <c r="EU2452" s="11"/>
      <c r="EV2452" s="11"/>
      <c r="EW2452" s="11"/>
      <c r="EX2452" s="11"/>
      <c r="EY2452" s="11"/>
      <c r="EZ2452" s="11"/>
      <c r="FA2452" s="11"/>
      <c r="FB2452" s="11"/>
      <c r="FC2452" s="11"/>
      <c r="FD2452" s="11"/>
      <c r="FE2452" s="11"/>
      <c r="FF2452" s="11"/>
      <c r="FG2452" s="11"/>
      <c r="FH2452" s="11"/>
      <c r="FI2452" s="11"/>
      <c r="FJ2452" s="11"/>
      <c r="FK2452" s="11"/>
      <c r="FL2452" s="11"/>
      <c r="FM2452" s="11"/>
      <c r="FN2452" s="11"/>
      <c r="FO2452" s="11"/>
      <c r="FP2452" s="11"/>
      <c r="FQ2452" s="11"/>
      <c r="FR2452" s="11"/>
      <c r="FS2452" s="11"/>
      <c r="FT2452" s="11"/>
      <c r="FU2452" s="11"/>
      <c r="FV2452" s="11"/>
      <c r="FW2452" s="11"/>
      <c r="FX2452" s="11"/>
      <c r="FY2452" s="11"/>
      <c r="FZ2452" s="11"/>
      <c r="GA2452" s="11"/>
      <c r="GB2452" s="11"/>
      <c r="GC2452" s="11"/>
      <c r="GD2452" s="11"/>
      <c r="GE2452" s="11"/>
      <c r="GF2452" s="11"/>
      <c r="GG2452" s="11"/>
      <c r="GH2452" s="11"/>
      <c r="GI2452" s="11"/>
      <c r="GJ2452" s="11"/>
      <c r="GK2452" s="11"/>
      <c r="GL2452" s="11"/>
      <c r="GM2452" s="11"/>
      <c r="GN2452" s="11"/>
      <c r="GO2452" s="11"/>
      <c r="GP2452" s="11"/>
      <c r="GQ2452" s="11"/>
      <c r="GR2452" s="11"/>
      <c r="GS2452" s="11"/>
      <c r="GT2452" s="11"/>
      <c r="GU2452" s="11"/>
      <c r="GV2452" s="11"/>
      <c r="GW2452" s="11"/>
      <c r="GX2452" s="11"/>
      <c r="GY2452" s="11"/>
      <c r="GZ2452" s="11"/>
      <c r="HA2452" s="11"/>
      <c r="HB2452" s="11"/>
      <c r="HC2452" s="11"/>
      <c r="HD2452" s="11"/>
      <c r="HE2452" s="11"/>
      <c r="HF2452" s="11"/>
      <c r="HG2452" s="11"/>
      <c r="HH2452" s="11"/>
      <c r="HI2452" s="11"/>
      <c r="HJ2452" s="11"/>
      <c r="HK2452" s="11"/>
      <c r="HL2452" s="11"/>
      <c r="HM2452" s="11"/>
      <c r="HN2452" s="11"/>
      <c r="HO2452" s="11"/>
      <c r="HP2452" s="11"/>
      <c r="HQ2452" s="11"/>
      <c r="HR2452" s="11"/>
      <c r="HS2452" s="11"/>
      <c r="HT2452" s="11"/>
      <c r="HU2452" s="11"/>
      <c r="HV2452" s="11"/>
      <c r="HW2452" s="11"/>
      <c r="HX2452" s="11"/>
      <c r="HY2452" s="11"/>
      <c r="HZ2452" s="11"/>
      <c r="IA2452" s="11"/>
      <c r="IB2452" s="11"/>
      <c r="IC2452" s="11"/>
      <c r="ID2452" s="11"/>
      <c r="IE2452" s="11"/>
      <c r="IF2452" s="11"/>
      <c r="IG2452" s="11"/>
      <c r="IH2452" s="11"/>
      <c r="II2452" s="11"/>
      <c r="IJ2452" s="11"/>
    </row>
    <row r="2453" spans="1:244" ht="12.75" customHeight="1">
      <c r="A2453" s="118">
        <v>2452</v>
      </c>
      <c r="B2453" s="128">
        <v>25</v>
      </c>
      <c r="C2453" s="156">
        <v>39904</v>
      </c>
      <c r="D2453" s="157" t="s">
        <v>47</v>
      </c>
      <c r="E2453" s="127">
        <v>2009</v>
      </c>
      <c r="F2453" s="158">
        <f t="shared" si="633"/>
        <v>182</v>
      </c>
      <c r="G2453" s="158">
        <f t="shared" si="634"/>
        <v>1</v>
      </c>
      <c r="H2453" s="178">
        <v>39722</v>
      </c>
      <c r="I2453" s="125">
        <v>1138347</v>
      </c>
      <c r="J2453" s="164">
        <v>0.25</v>
      </c>
      <c r="K2453" s="164">
        <v>0.27</v>
      </c>
      <c r="L2453" s="164">
        <v>0.05</v>
      </c>
      <c r="M2453" s="193">
        <v>0</v>
      </c>
      <c r="N2453" s="529"/>
      <c r="O2453" s="164">
        <v>0.08</v>
      </c>
      <c r="P2453" s="118"/>
      <c r="Q2453" s="118"/>
      <c r="R2453" s="118"/>
      <c r="S2453" s="221"/>
      <c r="T2453" s="161">
        <f t="shared" si="635"/>
        <v>307353.69</v>
      </c>
      <c r="U2453" s="161">
        <f t="shared" si="635"/>
        <v>56917.350000000006</v>
      </c>
      <c r="V2453" s="161">
        <f t="shared" si="636"/>
        <v>91067.76</v>
      </c>
      <c r="W2453" s="161">
        <f t="shared" si="637"/>
        <v>36427.103999999999</v>
      </c>
      <c r="X2453" s="11"/>
      <c r="Y2453" s="11"/>
      <c r="Z2453" s="11"/>
      <c r="AA2453" s="11"/>
      <c r="AB2453" s="11"/>
      <c r="AC2453" s="11"/>
      <c r="AD2453" s="11"/>
      <c r="AE2453" s="11"/>
      <c r="AF2453" s="11"/>
      <c r="AG2453" s="11"/>
      <c r="AH2453" s="11"/>
      <c r="AI2453" s="11"/>
      <c r="AJ2453" s="11"/>
      <c r="AK2453" s="11"/>
      <c r="AL2453" s="11"/>
      <c r="AM2453" s="11"/>
      <c r="AN2453" s="11"/>
      <c r="AO2453" s="11"/>
      <c r="AP2453" s="11"/>
      <c r="AQ2453" s="11"/>
      <c r="AR2453" s="11"/>
      <c r="AS2453" s="11"/>
      <c r="AT2453" s="11"/>
      <c r="AU2453" s="11"/>
      <c r="AV2453" s="11"/>
      <c r="AW2453" s="11"/>
      <c r="AX2453" s="11"/>
      <c r="AY2453" s="11"/>
      <c r="AZ2453" s="11"/>
      <c r="BA2453" s="11"/>
      <c r="BB2453" s="11"/>
      <c r="BC2453" s="11"/>
      <c r="BD2453" s="11"/>
      <c r="BE2453" s="11"/>
      <c r="BF2453" s="11"/>
      <c r="BG2453" s="11"/>
      <c r="BH2453" s="11"/>
      <c r="BI2453" s="11"/>
      <c r="BJ2453" s="11"/>
      <c r="BK2453" s="11"/>
      <c r="BL2453" s="11"/>
      <c r="BM2453" s="11"/>
      <c r="BN2453" s="11"/>
      <c r="BO2453" s="11"/>
      <c r="BP2453" s="11"/>
      <c r="BQ2453" s="11"/>
      <c r="BR2453" s="11"/>
      <c r="BS2453" s="11"/>
      <c r="BT2453" s="11"/>
      <c r="BU2453" s="11"/>
      <c r="BV2453" s="11"/>
      <c r="BW2453" s="11"/>
      <c r="BX2453" s="11"/>
      <c r="BY2453" s="11"/>
      <c r="BZ2453" s="11"/>
      <c r="CA2453" s="11"/>
      <c r="CB2453" s="11"/>
      <c r="CC2453" s="11"/>
      <c r="CD2453" s="11"/>
      <c r="CE2453" s="11"/>
      <c r="CF2453" s="11"/>
      <c r="CG2453" s="11"/>
      <c r="CH2453" s="11"/>
      <c r="CI2453" s="11"/>
      <c r="CJ2453" s="11"/>
      <c r="CK2453" s="11"/>
      <c r="CL2453" s="11"/>
      <c r="CM2453" s="11"/>
      <c r="CN2453" s="11"/>
      <c r="CO2453" s="11"/>
      <c r="CP2453" s="11"/>
      <c r="CQ2453" s="11"/>
      <c r="CR2453" s="11"/>
      <c r="CS2453" s="11"/>
      <c r="CT2453" s="11"/>
      <c r="CU2453" s="11"/>
      <c r="CV2453" s="11"/>
      <c r="CW2453" s="11"/>
      <c r="CX2453" s="11"/>
      <c r="CY2453" s="11"/>
      <c r="CZ2453" s="11"/>
      <c r="DA2453" s="11"/>
      <c r="DB2453" s="11"/>
      <c r="DC2453" s="11"/>
      <c r="DD2453" s="11"/>
      <c r="DE2453" s="11"/>
      <c r="DF2453" s="11"/>
      <c r="DG2453" s="11"/>
      <c r="DH2453" s="11"/>
      <c r="DI2453" s="11"/>
      <c r="DJ2453" s="11"/>
      <c r="DK2453" s="11"/>
      <c r="DL2453" s="11"/>
      <c r="DM2453" s="11"/>
      <c r="DN2453" s="11"/>
      <c r="DO2453" s="11"/>
      <c r="DP2453" s="11"/>
      <c r="DQ2453" s="11"/>
      <c r="DR2453" s="11"/>
      <c r="DS2453" s="11"/>
      <c r="DT2453" s="11"/>
      <c r="DU2453" s="11"/>
      <c r="DV2453" s="11"/>
      <c r="DW2453" s="11"/>
      <c r="DX2453" s="11"/>
      <c r="DY2453" s="11"/>
      <c r="DZ2453" s="11"/>
      <c r="EA2453" s="11"/>
      <c r="EB2453" s="11"/>
      <c r="EC2453" s="11"/>
      <c r="ED2453" s="11"/>
      <c r="EE2453" s="11"/>
      <c r="EF2453" s="11"/>
      <c r="EG2453" s="11"/>
      <c r="EH2453" s="11"/>
      <c r="EI2453" s="11"/>
      <c r="EJ2453" s="11"/>
      <c r="EK2453" s="11"/>
      <c r="EL2453" s="11"/>
      <c r="EM2453" s="11"/>
      <c r="EN2453" s="11"/>
      <c r="EO2453" s="11"/>
      <c r="EP2453" s="11"/>
      <c r="EQ2453" s="11"/>
      <c r="ER2453" s="11"/>
      <c r="ES2453" s="11"/>
      <c r="ET2453" s="11"/>
      <c r="EU2453" s="11"/>
      <c r="EV2453" s="11"/>
      <c r="EW2453" s="11"/>
      <c r="EX2453" s="11"/>
      <c r="EY2453" s="11"/>
      <c r="EZ2453" s="11"/>
      <c r="FA2453" s="11"/>
      <c r="FB2453" s="11"/>
      <c r="FC2453" s="11"/>
      <c r="FD2453" s="11"/>
      <c r="FE2453" s="11"/>
      <c r="FF2453" s="11"/>
      <c r="FG2453" s="11"/>
      <c r="FH2453" s="11"/>
      <c r="FI2453" s="11"/>
      <c r="FJ2453" s="11"/>
      <c r="FK2453" s="11"/>
      <c r="FL2453" s="11"/>
      <c r="FM2453" s="11"/>
      <c r="FN2453" s="11"/>
      <c r="FO2453" s="11"/>
      <c r="FP2453" s="11"/>
      <c r="FQ2453" s="11"/>
      <c r="FR2453" s="11"/>
      <c r="FS2453" s="11"/>
      <c r="FT2453" s="11"/>
      <c r="FU2453" s="11"/>
      <c r="FV2453" s="11"/>
      <c r="FW2453" s="11"/>
      <c r="FX2453" s="11"/>
      <c r="FY2453" s="11"/>
      <c r="FZ2453" s="11"/>
      <c r="GA2453" s="11"/>
      <c r="GB2453" s="11"/>
      <c r="GC2453" s="11"/>
      <c r="GD2453" s="11"/>
      <c r="GE2453" s="11"/>
      <c r="GF2453" s="11"/>
      <c r="GG2453" s="11"/>
      <c r="GH2453" s="11"/>
      <c r="GI2453" s="11"/>
      <c r="GJ2453" s="11"/>
      <c r="GK2453" s="11"/>
      <c r="GL2453" s="11"/>
      <c r="GM2453" s="11"/>
      <c r="GN2453" s="11"/>
      <c r="GO2453" s="11"/>
      <c r="GP2453" s="11"/>
      <c r="GQ2453" s="11"/>
      <c r="GR2453" s="11"/>
      <c r="GS2453" s="11"/>
      <c r="GT2453" s="11"/>
      <c r="GU2453" s="11"/>
      <c r="GV2453" s="11"/>
      <c r="GW2453" s="11"/>
      <c r="GX2453" s="11"/>
      <c r="GY2453" s="11"/>
      <c r="GZ2453" s="11"/>
      <c r="HA2453" s="11"/>
      <c r="HB2453" s="11"/>
      <c r="HC2453" s="11"/>
      <c r="HD2453" s="11"/>
      <c r="HE2453" s="11"/>
      <c r="HF2453" s="11"/>
      <c r="HG2453" s="11"/>
      <c r="HH2453" s="11"/>
      <c r="HI2453" s="11"/>
      <c r="HJ2453" s="11"/>
      <c r="HK2453" s="11"/>
      <c r="HL2453" s="11"/>
      <c r="HM2453" s="11"/>
      <c r="HN2453" s="11"/>
      <c r="HO2453" s="11"/>
      <c r="HP2453" s="11"/>
      <c r="HQ2453" s="11"/>
      <c r="HR2453" s="11"/>
      <c r="HS2453" s="11"/>
      <c r="HT2453" s="11"/>
      <c r="HU2453" s="11"/>
      <c r="HV2453" s="11"/>
      <c r="HW2453" s="11"/>
      <c r="HX2453" s="11"/>
      <c r="HY2453" s="11"/>
      <c r="HZ2453" s="11"/>
      <c r="IA2453" s="11"/>
      <c r="IB2453" s="11"/>
      <c r="IC2453" s="11"/>
      <c r="ID2453" s="11"/>
      <c r="IE2453" s="11"/>
      <c r="IF2453" s="11"/>
      <c r="IG2453" s="11"/>
      <c r="IH2453" s="11"/>
      <c r="II2453" s="11"/>
      <c r="IJ2453" s="11"/>
    </row>
    <row r="2454" spans="1:244" s="128" customFormat="1" ht="12.75" customHeight="1">
      <c r="A2454" s="118">
        <v>2453</v>
      </c>
      <c r="B2454" s="128">
        <v>25</v>
      </c>
      <c r="C2454" s="156">
        <v>39934</v>
      </c>
      <c r="D2454" s="157" t="s">
        <v>48</v>
      </c>
      <c r="E2454" s="127">
        <v>2009</v>
      </c>
      <c r="F2454" s="158">
        <f t="shared" si="633"/>
        <v>212</v>
      </c>
      <c r="G2454" s="158">
        <f t="shared" si="634"/>
        <v>1</v>
      </c>
      <c r="H2454" s="178">
        <v>39722</v>
      </c>
      <c r="I2454" s="125">
        <v>1135054</v>
      </c>
      <c r="J2454" s="164">
        <v>0.16</v>
      </c>
      <c r="K2454" s="164">
        <v>0.22</v>
      </c>
      <c r="L2454" s="164">
        <v>0.04</v>
      </c>
      <c r="M2454" s="193">
        <v>0</v>
      </c>
      <c r="N2454" s="529"/>
      <c r="O2454" s="164">
        <v>0.02</v>
      </c>
      <c r="P2454" s="118"/>
      <c r="Q2454" s="118"/>
      <c r="R2454" s="118"/>
      <c r="S2454" s="221"/>
      <c r="T2454" s="161">
        <f t="shared" si="635"/>
        <v>249711.88</v>
      </c>
      <c r="U2454" s="161">
        <f t="shared" si="635"/>
        <v>45402.16</v>
      </c>
      <c r="V2454" s="161">
        <f t="shared" si="636"/>
        <v>22701.08</v>
      </c>
      <c r="W2454" s="161">
        <f t="shared" si="637"/>
        <v>9080.4320000000007</v>
      </c>
      <c r="X2454" s="11"/>
      <c r="Y2454" s="11"/>
      <c r="Z2454" s="11"/>
      <c r="AA2454" s="11"/>
      <c r="AB2454" s="11"/>
      <c r="AC2454" s="11"/>
      <c r="AD2454" s="11"/>
      <c r="AE2454" s="11"/>
      <c r="AF2454" s="11"/>
      <c r="AG2454" s="11"/>
      <c r="AH2454" s="11"/>
      <c r="AI2454" s="11"/>
      <c r="AJ2454" s="11"/>
      <c r="AK2454" s="11"/>
      <c r="AL2454" s="11"/>
      <c r="AM2454" s="11"/>
      <c r="AN2454" s="11"/>
      <c r="AO2454" s="11"/>
      <c r="AP2454" s="11"/>
      <c r="AQ2454" s="11"/>
      <c r="AR2454" s="11"/>
      <c r="AS2454" s="11"/>
      <c r="AT2454" s="11"/>
      <c r="AU2454" s="11"/>
      <c r="AV2454" s="11"/>
      <c r="AW2454" s="11"/>
      <c r="AX2454" s="11"/>
      <c r="AY2454" s="11"/>
      <c r="AZ2454" s="11"/>
      <c r="BA2454" s="11"/>
      <c r="BB2454" s="11"/>
      <c r="BC2454" s="11"/>
      <c r="BD2454" s="11"/>
      <c r="BE2454" s="11"/>
      <c r="BF2454" s="11"/>
      <c r="BG2454" s="11"/>
      <c r="BH2454" s="11"/>
      <c r="BI2454" s="11"/>
      <c r="BJ2454" s="11"/>
      <c r="BK2454" s="11"/>
      <c r="BL2454" s="11"/>
      <c r="BM2454" s="11"/>
      <c r="BN2454" s="11"/>
      <c r="BO2454" s="11"/>
      <c r="BP2454" s="11"/>
      <c r="BQ2454" s="11"/>
      <c r="BR2454" s="11"/>
      <c r="BS2454" s="11"/>
      <c r="BT2454" s="11"/>
      <c r="BU2454" s="11"/>
      <c r="BV2454" s="11"/>
      <c r="BW2454" s="11"/>
      <c r="BX2454" s="11"/>
      <c r="BY2454" s="11"/>
      <c r="BZ2454" s="11"/>
      <c r="CA2454" s="11"/>
      <c r="CB2454" s="11"/>
      <c r="CC2454" s="11"/>
      <c r="CD2454" s="11"/>
      <c r="CE2454" s="11"/>
      <c r="CF2454" s="11"/>
      <c r="CG2454" s="11"/>
      <c r="CH2454" s="11"/>
      <c r="CI2454" s="11"/>
      <c r="CJ2454" s="11"/>
      <c r="CK2454" s="11"/>
      <c r="CL2454" s="11"/>
      <c r="CM2454" s="11"/>
      <c r="CN2454" s="11"/>
      <c r="CO2454" s="11"/>
      <c r="CP2454" s="11"/>
      <c r="CQ2454" s="11"/>
      <c r="CR2454" s="11"/>
      <c r="CS2454" s="11"/>
      <c r="CT2454" s="11"/>
      <c r="CU2454" s="11"/>
      <c r="CV2454" s="11"/>
      <c r="CW2454" s="11"/>
      <c r="CX2454" s="11"/>
      <c r="CY2454" s="11"/>
      <c r="CZ2454" s="11"/>
      <c r="DA2454" s="11"/>
      <c r="DB2454" s="11"/>
      <c r="DC2454" s="11"/>
      <c r="DD2454" s="11"/>
      <c r="DE2454" s="11"/>
      <c r="DF2454" s="11"/>
      <c r="DG2454" s="11"/>
      <c r="DH2454" s="11"/>
      <c r="DI2454" s="11"/>
      <c r="DJ2454" s="11"/>
      <c r="DK2454" s="11"/>
      <c r="DL2454" s="11"/>
      <c r="DM2454" s="11"/>
      <c r="DN2454" s="11"/>
      <c r="DO2454" s="11"/>
      <c r="DP2454" s="11"/>
      <c r="DQ2454" s="11"/>
      <c r="DR2454" s="11"/>
      <c r="DS2454" s="11"/>
      <c r="DT2454" s="11"/>
      <c r="DU2454" s="11"/>
      <c r="DV2454" s="11"/>
      <c r="DW2454" s="11"/>
      <c r="DX2454" s="11"/>
      <c r="DY2454" s="11"/>
      <c r="DZ2454" s="11"/>
      <c r="EA2454" s="11"/>
      <c r="EB2454" s="11"/>
      <c r="EC2454" s="11"/>
      <c r="ED2454" s="11"/>
      <c r="EE2454" s="11"/>
      <c r="EF2454" s="11"/>
      <c r="EG2454" s="11"/>
      <c r="EH2454" s="11"/>
      <c r="EI2454" s="11"/>
      <c r="EJ2454" s="11"/>
      <c r="EK2454" s="11"/>
      <c r="EL2454" s="11"/>
      <c r="EM2454" s="11"/>
      <c r="EN2454" s="11"/>
      <c r="EO2454" s="11"/>
      <c r="EP2454" s="11"/>
      <c r="EQ2454" s="11"/>
      <c r="ER2454" s="11"/>
      <c r="ES2454" s="11"/>
      <c r="ET2454" s="11"/>
      <c r="EU2454" s="11"/>
      <c r="EV2454" s="11"/>
      <c r="EW2454" s="11"/>
      <c r="EX2454" s="11"/>
      <c r="EY2454" s="11"/>
      <c r="EZ2454" s="11"/>
      <c r="FA2454" s="11"/>
      <c r="FB2454" s="11"/>
      <c r="FC2454" s="11"/>
      <c r="FD2454" s="11"/>
      <c r="FE2454" s="11"/>
      <c r="FF2454" s="11"/>
      <c r="FG2454" s="11"/>
      <c r="FH2454" s="11"/>
      <c r="FI2454" s="11"/>
      <c r="FJ2454" s="11"/>
      <c r="FK2454" s="11"/>
      <c r="FL2454" s="11"/>
      <c r="FM2454" s="11"/>
      <c r="FN2454" s="11"/>
      <c r="FO2454" s="11"/>
      <c r="FP2454" s="11"/>
      <c r="FQ2454" s="11"/>
      <c r="FR2454" s="11"/>
      <c r="FS2454" s="11"/>
      <c r="FT2454" s="11"/>
      <c r="FU2454" s="11"/>
      <c r="FV2454" s="11"/>
      <c r="FW2454" s="11"/>
      <c r="FX2454" s="11"/>
      <c r="FY2454" s="11"/>
      <c r="FZ2454" s="11"/>
      <c r="GA2454" s="11"/>
      <c r="GB2454" s="11"/>
      <c r="GC2454" s="11"/>
      <c r="GD2454" s="11"/>
      <c r="GE2454" s="11"/>
      <c r="GF2454" s="11"/>
      <c r="GG2454" s="11"/>
      <c r="GH2454" s="11"/>
      <c r="GI2454" s="11"/>
      <c r="GJ2454" s="11"/>
      <c r="GK2454" s="11"/>
      <c r="GL2454" s="11"/>
      <c r="GM2454" s="11"/>
      <c r="GN2454" s="11"/>
      <c r="GO2454" s="11"/>
      <c r="GP2454" s="11"/>
      <c r="GQ2454" s="11"/>
      <c r="GR2454" s="11"/>
      <c r="GS2454" s="11"/>
      <c r="GT2454" s="11"/>
      <c r="GU2454" s="11"/>
      <c r="GV2454" s="11"/>
      <c r="GW2454" s="11"/>
      <c r="GX2454" s="11"/>
      <c r="GY2454" s="11"/>
      <c r="GZ2454" s="11"/>
      <c r="HA2454" s="11"/>
      <c r="HB2454" s="11"/>
      <c r="HC2454" s="11"/>
      <c r="HD2454" s="11"/>
      <c r="HE2454" s="11"/>
      <c r="HF2454" s="11"/>
      <c r="HG2454" s="11"/>
      <c r="HH2454" s="11"/>
      <c r="HI2454" s="11"/>
      <c r="HJ2454" s="11"/>
      <c r="HK2454" s="11"/>
      <c r="HL2454" s="11"/>
      <c r="HM2454" s="11"/>
      <c r="HN2454" s="11"/>
      <c r="HO2454" s="11"/>
      <c r="HP2454" s="11"/>
      <c r="HQ2454" s="11"/>
      <c r="HR2454" s="11"/>
      <c r="HS2454" s="11"/>
      <c r="HT2454" s="11"/>
      <c r="HU2454" s="11"/>
      <c r="HV2454" s="11"/>
      <c r="HW2454" s="11"/>
      <c r="HX2454" s="11"/>
      <c r="HY2454" s="11"/>
      <c r="HZ2454" s="11"/>
      <c r="IA2454" s="11"/>
      <c r="IB2454" s="11"/>
      <c r="IC2454" s="11"/>
      <c r="ID2454" s="11"/>
      <c r="IE2454" s="11"/>
      <c r="IF2454" s="11"/>
      <c r="IG2454" s="11"/>
      <c r="IH2454" s="11"/>
      <c r="II2454" s="11"/>
      <c r="IJ2454" s="11"/>
    </row>
    <row r="2455" spans="1:244" s="128" customFormat="1" ht="12.75" customHeight="1">
      <c r="A2455" s="118">
        <v>2454</v>
      </c>
      <c r="B2455" s="128">
        <v>25</v>
      </c>
      <c r="C2455" s="156">
        <v>39965</v>
      </c>
      <c r="D2455" s="157" t="s">
        <v>49</v>
      </c>
      <c r="E2455" s="127">
        <v>2009</v>
      </c>
      <c r="F2455" s="158">
        <f t="shared" si="633"/>
        <v>243</v>
      </c>
      <c r="G2455" s="158">
        <f t="shared" si="634"/>
        <v>1</v>
      </c>
      <c r="H2455" s="178">
        <v>39722</v>
      </c>
      <c r="I2455" s="125">
        <v>1132577</v>
      </c>
      <c r="J2455" s="164">
        <v>0.08</v>
      </c>
      <c r="K2455" s="164">
        <v>0.21</v>
      </c>
      <c r="L2455" s="164">
        <v>0.04</v>
      </c>
      <c r="M2455" s="193"/>
      <c r="N2455" s="529"/>
      <c r="O2455" s="164">
        <v>0.04</v>
      </c>
      <c r="P2455" s="118"/>
      <c r="Q2455" s="118"/>
      <c r="R2455" s="118"/>
      <c r="S2455" s="221" t="s">
        <v>252</v>
      </c>
      <c r="T2455" s="161">
        <f t="shared" si="635"/>
        <v>237841.16999999998</v>
      </c>
      <c r="U2455" s="161">
        <f t="shared" si="635"/>
        <v>45303.08</v>
      </c>
      <c r="V2455" s="161">
        <f t="shared" si="636"/>
        <v>45303.08</v>
      </c>
      <c r="W2455" s="161">
        <f t="shared" si="637"/>
        <v>18121.232</v>
      </c>
      <c r="X2455" s="11"/>
      <c r="Y2455" s="11"/>
      <c r="Z2455" s="11"/>
      <c r="AA2455" s="11"/>
      <c r="AB2455" s="11"/>
      <c r="AC2455" s="11"/>
      <c r="AD2455" s="11"/>
      <c r="AE2455" s="11"/>
      <c r="AF2455" s="11"/>
      <c r="AG2455" s="11"/>
      <c r="AH2455" s="11"/>
      <c r="AI2455" s="11"/>
      <c r="AJ2455" s="11"/>
      <c r="AK2455" s="11"/>
      <c r="AL2455" s="11"/>
      <c r="AM2455" s="11"/>
      <c r="AN2455" s="11"/>
      <c r="AO2455" s="11"/>
      <c r="AP2455" s="11"/>
      <c r="AQ2455" s="11"/>
      <c r="AR2455" s="11"/>
      <c r="AS2455" s="11"/>
      <c r="AT2455" s="11"/>
      <c r="AU2455" s="11"/>
      <c r="AV2455" s="11"/>
      <c r="AW2455" s="11"/>
      <c r="AX2455" s="11"/>
      <c r="AY2455" s="11"/>
      <c r="AZ2455" s="11"/>
      <c r="BA2455" s="11"/>
      <c r="BB2455" s="11"/>
      <c r="BC2455" s="11"/>
      <c r="BD2455" s="11"/>
      <c r="BE2455" s="11"/>
      <c r="BF2455" s="11"/>
      <c r="BG2455" s="11"/>
      <c r="BH2455" s="11"/>
      <c r="BI2455" s="11"/>
      <c r="BJ2455" s="11"/>
      <c r="BK2455" s="11"/>
      <c r="BL2455" s="11"/>
      <c r="BM2455" s="11"/>
      <c r="BN2455" s="11"/>
      <c r="BO2455" s="11"/>
      <c r="BP2455" s="11"/>
      <c r="BQ2455" s="11"/>
      <c r="BR2455" s="11"/>
      <c r="BS2455" s="11"/>
      <c r="BT2455" s="11"/>
      <c r="BU2455" s="11"/>
      <c r="BV2455" s="11"/>
      <c r="BW2455" s="11"/>
      <c r="BX2455" s="11"/>
      <c r="BY2455" s="11"/>
      <c r="BZ2455" s="11"/>
      <c r="CA2455" s="11"/>
      <c r="CB2455" s="11"/>
      <c r="CC2455" s="11"/>
      <c r="CD2455" s="11"/>
      <c r="CE2455" s="11"/>
      <c r="CF2455" s="11"/>
      <c r="CG2455" s="11"/>
      <c r="CH2455" s="11"/>
      <c r="CI2455" s="11"/>
      <c r="CJ2455" s="11"/>
      <c r="CK2455" s="11"/>
      <c r="CL2455" s="11"/>
      <c r="CM2455" s="11"/>
      <c r="CN2455" s="11"/>
      <c r="CO2455" s="11"/>
      <c r="CP2455" s="11"/>
      <c r="CQ2455" s="11"/>
      <c r="CR2455" s="11"/>
      <c r="CS2455" s="11"/>
      <c r="CT2455" s="11"/>
      <c r="CU2455" s="11"/>
      <c r="CV2455" s="11"/>
      <c r="CW2455" s="11"/>
      <c r="CX2455" s="11"/>
      <c r="CY2455" s="11"/>
      <c r="CZ2455" s="11"/>
      <c r="DA2455" s="11"/>
      <c r="DB2455" s="11"/>
      <c r="DC2455" s="11"/>
      <c r="DD2455" s="11"/>
      <c r="DE2455" s="11"/>
      <c r="DF2455" s="11"/>
      <c r="DG2455" s="11"/>
      <c r="DH2455" s="11"/>
      <c r="DI2455" s="11"/>
      <c r="DJ2455" s="11"/>
      <c r="DK2455" s="11"/>
      <c r="DL2455" s="11"/>
      <c r="DM2455" s="11"/>
      <c r="DN2455" s="11"/>
      <c r="DO2455" s="11"/>
      <c r="DP2455" s="11"/>
      <c r="DQ2455" s="11"/>
      <c r="DR2455" s="11"/>
      <c r="DS2455" s="11"/>
      <c r="DT2455" s="11"/>
      <c r="DU2455" s="11"/>
      <c r="DV2455" s="11"/>
      <c r="DW2455" s="11"/>
      <c r="DX2455" s="11"/>
      <c r="DY2455" s="11"/>
      <c r="DZ2455" s="11"/>
      <c r="EA2455" s="11"/>
      <c r="EB2455" s="11"/>
      <c r="EC2455" s="11"/>
      <c r="ED2455" s="11"/>
      <c r="EE2455" s="11"/>
      <c r="EF2455" s="11"/>
      <c r="EG2455" s="11"/>
      <c r="EH2455" s="11"/>
      <c r="EI2455" s="11"/>
      <c r="EJ2455" s="11"/>
      <c r="EK2455" s="11"/>
      <c r="EL2455" s="11"/>
      <c r="EM2455" s="11"/>
      <c r="EN2455" s="11"/>
      <c r="EO2455" s="11"/>
      <c r="EP2455" s="11"/>
      <c r="EQ2455" s="11"/>
      <c r="ER2455" s="11"/>
      <c r="ES2455" s="11"/>
      <c r="ET2455" s="11"/>
      <c r="EU2455" s="11"/>
      <c r="EV2455" s="11"/>
      <c r="EW2455" s="11"/>
      <c r="EX2455" s="11"/>
      <c r="EY2455" s="11"/>
      <c r="EZ2455" s="11"/>
      <c r="FA2455" s="11"/>
      <c r="FB2455" s="11"/>
      <c r="FC2455" s="11"/>
      <c r="FD2455" s="11"/>
      <c r="FE2455" s="11"/>
      <c r="FF2455" s="11"/>
      <c r="FG2455" s="11"/>
      <c r="FH2455" s="11"/>
      <c r="FI2455" s="11"/>
      <c r="FJ2455" s="11"/>
      <c r="FK2455" s="11"/>
      <c r="FL2455" s="11"/>
      <c r="FM2455" s="11"/>
      <c r="FN2455" s="11"/>
      <c r="FO2455" s="11"/>
      <c r="FP2455" s="11"/>
      <c r="FQ2455" s="11"/>
      <c r="FR2455" s="11"/>
      <c r="FS2455" s="11"/>
      <c r="FT2455" s="11"/>
      <c r="FU2455" s="11"/>
      <c r="FV2455" s="11"/>
      <c r="FW2455" s="11"/>
      <c r="FX2455" s="11"/>
      <c r="FY2455" s="11"/>
      <c r="FZ2455" s="11"/>
      <c r="GA2455" s="11"/>
      <c r="GB2455" s="11"/>
      <c r="GC2455" s="11"/>
      <c r="GD2455" s="11"/>
      <c r="GE2455" s="11"/>
      <c r="GF2455" s="11"/>
      <c r="GG2455" s="11"/>
      <c r="GH2455" s="11"/>
      <c r="GI2455" s="11"/>
      <c r="GJ2455" s="11"/>
      <c r="GK2455" s="11"/>
      <c r="GL2455" s="11"/>
      <c r="GM2455" s="11"/>
      <c r="GN2455" s="11"/>
      <c r="GO2455" s="11"/>
      <c r="GP2455" s="11"/>
      <c r="GQ2455" s="11"/>
      <c r="GR2455" s="11"/>
      <c r="GS2455" s="11"/>
      <c r="GT2455" s="11"/>
      <c r="GU2455" s="11"/>
      <c r="GV2455" s="11"/>
      <c r="GW2455" s="11"/>
      <c r="GX2455" s="11"/>
      <c r="GY2455" s="11"/>
      <c r="GZ2455" s="11"/>
      <c r="HA2455" s="11"/>
      <c r="HB2455" s="11"/>
      <c r="HC2455" s="11"/>
      <c r="HD2455" s="11"/>
      <c r="HE2455" s="11"/>
      <c r="HF2455" s="11"/>
      <c r="HG2455" s="11"/>
      <c r="HH2455" s="11"/>
      <c r="HI2455" s="11"/>
      <c r="HJ2455" s="11"/>
      <c r="HK2455" s="11"/>
      <c r="HL2455" s="11"/>
      <c r="HM2455" s="11"/>
      <c r="HN2455" s="11"/>
      <c r="HO2455" s="11"/>
      <c r="HP2455" s="11"/>
      <c r="HQ2455" s="11"/>
      <c r="HR2455" s="11"/>
      <c r="HS2455" s="11"/>
      <c r="HT2455" s="11"/>
      <c r="HU2455" s="11"/>
      <c r="HV2455" s="11"/>
      <c r="HW2455" s="11"/>
      <c r="HX2455" s="11"/>
      <c r="HY2455" s="11"/>
      <c r="HZ2455" s="11"/>
      <c r="IA2455" s="11"/>
      <c r="IB2455" s="11"/>
      <c r="IC2455" s="11"/>
      <c r="ID2455" s="11"/>
      <c r="IE2455" s="11"/>
      <c r="IF2455" s="11"/>
      <c r="IG2455" s="11"/>
      <c r="IH2455" s="11"/>
      <c r="II2455" s="11"/>
      <c r="IJ2455" s="11"/>
    </row>
    <row r="2456" spans="1:244" s="128" customFormat="1" ht="12.75" customHeight="1">
      <c r="A2456" s="118">
        <v>2455</v>
      </c>
      <c r="B2456" s="128">
        <v>25</v>
      </c>
      <c r="C2456" s="156">
        <v>39995</v>
      </c>
      <c r="D2456" s="157" t="s">
        <v>50</v>
      </c>
      <c r="E2456" s="127">
        <v>2009</v>
      </c>
      <c r="F2456" s="127"/>
      <c r="G2456" s="127"/>
      <c r="H2456" s="175"/>
      <c r="I2456" s="168"/>
      <c r="J2456" s="191"/>
      <c r="K2456" s="191"/>
      <c r="L2456" s="191"/>
      <c r="M2456" s="193"/>
      <c r="N2456" s="529"/>
      <c r="O2456" s="191"/>
      <c r="P2456" s="127"/>
      <c r="Q2456" s="127"/>
      <c r="R2456" s="127"/>
      <c r="S2456" s="140" t="s">
        <v>836</v>
      </c>
      <c r="T2456" s="118"/>
      <c r="U2456" s="118"/>
      <c r="V2456" s="118"/>
      <c r="W2456" s="118"/>
      <c r="X2456" s="118"/>
      <c r="Y2456" s="118"/>
      <c r="Z2456" s="118"/>
      <c r="AA2456" s="118"/>
      <c r="AB2456" s="118"/>
      <c r="AC2456" s="118"/>
      <c r="AD2456" s="118"/>
      <c r="AE2456" s="118"/>
      <c r="AF2456" s="118"/>
      <c r="AG2456" s="118"/>
      <c r="AH2456" s="118"/>
      <c r="AI2456" s="118"/>
      <c r="AJ2456" s="118"/>
      <c r="AK2456" s="118"/>
      <c r="AL2456" s="118"/>
      <c r="AM2456" s="118"/>
      <c r="AN2456" s="118"/>
      <c r="AO2456" s="118"/>
      <c r="AP2456" s="118"/>
      <c r="AQ2456" s="118"/>
      <c r="AR2456" s="118"/>
      <c r="AS2456" s="118"/>
      <c r="AT2456" s="118"/>
      <c r="AU2456" s="118"/>
      <c r="AV2456" s="118"/>
      <c r="AW2456" s="118"/>
      <c r="AX2456" s="118"/>
      <c r="AY2456" s="118"/>
      <c r="AZ2456" s="118"/>
      <c r="BA2456" s="118"/>
      <c r="BB2456" s="118"/>
      <c r="BC2456" s="118"/>
      <c r="BD2456" s="118"/>
      <c r="BE2456" s="118"/>
      <c r="BF2456" s="118"/>
      <c r="BG2456" s="118"/>
      <c r="BH2456" s="118"/>
      <c r="BI2456" s="118"/>
      <c r="BJ2456" s="118"/>
      <c r="BK2456" s="118"/>
      <c r="BL2456" s="118"/>
      <c r="BM2456" s="118"/>
      <c r="BN2456" s="118"/>
      <c r="BO2456" s="118"/>
      <c r="BP2456" s="118"/>
      <c r="BQ2456" s="118"/>
      <c r="BR2456" s="118"/>
      <c r="BS2456" s="118"/>
      <c r="BT2456" s="118"/>
      <c r="BU2456" s="118"/>
      <c r="BV2456" s="118"/>
      <c r="BW2456" s="118"/>
      <c r="BX2456" s="118"/>
      <c r="BY2456" s="118"/>
      <c r="BZ2456" s="118"/>
      <c r="CA2456" s="118"/>
      <c r="CB2456" s="118"/>
      <c r="CC2456" s="118"/>
      <c r="CD2456" s="118"/>
      <c r="CE2456" s="118"/>
      <c r="CF2456" s="118"/>
      <c r="CG2456" s="118"/>
      <c r="CH2456" s="118"/>
      <c r="CI2456" s="118"/>
      <c r="CJ2456" s="118"/>
      <c r="CK2456" s="118"/>
      <c r="CL2456" s="118"/>
      <c r="CM2456" s="118"/>
      <c r="CN2456" s="118"/>
      <c r="CO2456" s="118"/>
      <c r="CP2456" s="118"/>
      <c r="CQ2456" s="118"/>
      <c r="CR2456" s="118"/>
      <c r="CS2456" s="118"/>
      <c r="CT2456" s="118"/>
      <c r="CU2456" s="118"/>
      <c r="CV2456" s="118"/>
      <c r="CW2456" s="118"/>
      <c r="CX2456" s="118"/>
      <c r="CY2456" s="118"/>
      <c r="CZ2456" s="118"/>
      <c r="DA2456" s="118"/>
      <c r="DB2456" s="118"/>
      <c r="DC2456" s="118"/>
      <c r="DD2456" s="118"/>
      <c r="DE2456" s="118"/>
      <c r="DF2456" s="118"/>
      <c r="DG2456" s="118"/>
      <c r="DH2456" s="118"/>
      <c r="DI2456" s="118"/>
      <c r="DJ2456" s="118"/>
      <c r="DK2456" s="118"/>
      <c r="DL2456" s="118"/>
      <c r="DM2456" s="118"/>
      <c r="DN2456" s="118"/>
      <c r="DO2456" s="118"/>
      <c r="DP2456" s="118"/>
      <c r="DQ2456" s="118"/>
      <c r="DR2456" s="118"/>
      <c r="DS2456" s="118"/>
      <c r="DT2456" s="118"/>
      <c r="DU2456" s="118"/>
      <c r="DV2456" s="118"/>
      <c r="DW2456" s="118"/>
      <c r="DX2456" s="118"/>
      <c r="DY2456" s="118"/>
      <c r="DZ2456" s="118"/>
      <c r="EA2456" s="118"/>
      <c r="EB2456" s="118"/>
      <c r="EC2456" s="118"/>
      <c r="ED2456" s="118"/>
      <c r="EE2456" s="118"/>
      <c r="EF2456" s="118"/>
      <c r="EG2456" s="118"/>
      <c r="EH2456" s="118"/>
      <c r="EI2456" s="118"/>
      <c r="EJ2456" s="118"/>
      <c r="EK2456" s="118"/>
      <c r="EL2456" s="118"/>
      <c r="EM2456" s="118"/>
      <c r="EN2456" s="118"/>
      <c r="EO2456" s="118"/>
      <c r="EP2456" s="118"/>
      <c r="EQ2456" s="118"/>
      <c r="ER2456" s="118"/>
      <c r="ES2456" s="118"/>
      <c r="ET2456" s="118"/>
      <c r="EU2456" s="118"/>
      <c r="EV2456" s="118"/>
      <c r="EW2456" s="118"/>
      <c r="EX2456" s="118"/>
      <c r="EY2456" s="118"/>
      <c r="EZ2456" s="118"/>
      <c r="FA2456" s="118"/>
      <c r="FB2456" s="118"/>
      <c r="FC2456" s="118"/>
      <c r="FD2456" s="118"/>
      <c r="FE2456" s="118"/>
      <c r="FF2456" s="118"/>
      <c r="FG2456" s="118"/>
      <c r="FH2456" s="118"/>
      <c r="FI2456" s="118"/>
      <c r="FJ2456" s="118"/>
      <c r="FK2456" s="118"/>
      <c r="FL2456" s="118"/>
      <c r="FM2456" s="118"/>
      <c r="FN2456" s="118"/>
      <c r="FO2456" s="118"/>
      <c r="FP2456" s="118"/>
      <c r="FQ2456" s="118"/>
      <c r="FR2456" s="118"/>
      <c r="FS2456" s="118"/>
      <c r="FT2456" s="118"/>
      <c r="FU2456" s="118"/>
      <c r="FV2456" s="118"/>
      <c r="FW2456" s="118"/>
      <c r="FX2456" s="118"/>
      <c r="FY2456" s="118"/>
      <c r="FZ2456" s="118"/>
      <c r="GA2456" s="118"/>
      <c r="GB2456" s="118"/>
      <c r="GC2456" s="118"/>
      <c r="GD2456" s="118"/>
      <c r="GE2456" s="118"/>
      <c r="GF2456" s="118"/>
      <c r="GG2456" s="118"/>
      <c r="GH2456" s="118"/>
      <c r="GI2456" s="118"/>
      <c r="GJ2456" s="118"/>
      <c r="GK2456" s="118"/>
      <c r="GL2456" s="118"/>
      <c r="GM2456" s="118"/>
      <c r="GN2456" s="118"/>
      <c r="GO2456" s="118"/>
      <c r="GP2456" s="118"/>
      <c r="GQ2456" s="118"/>
      <c r="GR2456" s="118"/>
      <c r="GS2456" s="118"/>
      <c r="GT2456" s="118"/>
      <c r="GU2456" s="118"/>
      <c r="GV2456" s="118"/>
      <c r="GW2456" s="118"/>
      <c r="GX2456" s="118"/>
      <c r="GY2456" s="118"/>
      <c r="GZ2456" s="118"/>
      <c r="HA2456" s="118"/>
      <c r="HB2456" s="118"/>
      <c r="HC2456" s="118"/>
      <c r="HD2456" s="118"/>
      <c r="HE2456" s="118"/>
      <c r="HF2456" s="118"/>
      <c r="HG2456" s="118"/>
      <c r="HH2456" s="118"/>
      <c r="HI2456" s="118"/>
      <c r="HJ2456" s="118"/>
      <c r="HK2456" s="118"/>
      <c r="HL2456" s="118"/>
      <c r="HM2456" s="118"/>
      <c r="HN2456" s="118"/>
      <c r="HO2456" s="118"/>
      <c r="HP2456" s="118"/>
      <c r="HQ2456" s="118"/>
      <c r="HR2456" s="118"/>
      <c r="HS2456" s="118"/>
      <c r="HT2456" s="118"/>
      <c r="HU2456" s="118"/>
      <c r="HV2456" s="118"/>
      <c r="HW2456" s="118"/>
      <c r="HX2456" s="118"/>
      <c r="HY2456" s="118"/>
      <c r="HZ2456" s="118"/>
      <c r="IA2456" s="118"/>
      <c r="IB2456" s="118"/>
      <c r="IC2456" s="118"/>
      <c r="ID2456" s="118"/>
      <c r="IE2456" s="118"/>
      <c r="IF2456" s="118"/>
      <c r="IG2456" s="118"/>
      <c r="IH2456" s="118"/>
      <c r="II2456" s="118"/>
      <c r="IJ2456" s="118"/>
    </row>
    <row r="2457" spans="1:244" s="128" customFormat="1" ht="12.75" customHeight="1">
      <c r="A2457" s="118">
        <v>2456</v>
      </c>
      <c r="B2457" s="128">
        <v>25</v>
      </c>
      <c r="C2457" s="156">
        <v>40026</v>
      </c>
      <c r="D2457" s="157" t="s">
        <v>51</v>
      </c>
      <c r="E2457" s="127">
        <v>2009</v>
      </c>
      <c r="F2457" s="127"/>
      <c r="G2457" s="127"/>
      <c r="H2457" s="175"/>
      <c r="I2457" s="168"/>
      <c r="J2457" s="191"/>
      <c r="K2457" s="191"/>
      <c r="L2457" s="191"/>
      <c r="M2457" s="193"/>
      <c r="N2457" s="529"/>
      <c r="O2457" s="191"/>
      <c r="P2457" s="127"/>
      <c r="Q2457" s="127"/>
      <c r="R2457" s="127"/>
      <c r="S2457" s="140"/>
      <c r="T2457" s="118"/>
      <c r="U2457" s="118"/>
      <c r="V2457" s="118"/>
      <c r="W2457" s="118"/>
      <c r="X2457" s="118"/>
      <c r="Y2457" s="118"/>
      <c r="Z2457" s="118"/>
      <c r="AA2457" s="118"/>
      <c r="AB2457" s="118"/>
      <c r="AC2457" s="118"/>
      <c r="AD2457" s="118"/>
      <c r="AE2457" s="118"/>
      <c r="AF2457" s="118"/>
      <c r="AG2457" s="118"/>
      <c r="AH2457" s="118"/>
      <c r="AI2457" s="118"/>
      <c r="AJ2457" s="118"/>
      <c r="AK2457" s="118"/>
      <c r="AL2457" s="118"/>
      <c r="AM2457" s="118"/>
      <c r="AN2457" s="118"/>
      <c r="AO2457" s="118"/>
      <c r="AP2457" s="118"/>
      <c r="AQ2457" s="118"/>
      <c r="AR2457" s="118"/>
      <c r="AS2457" s="118"/>
      <c r="AT2457" s="118"/>
      <c r="AU2457" s="118"/>
      <c r="AV2457" s="118"/>
      <c r="AW2457" s="118"/>
      <c r="AX2457" s="118"/>
      <c r="AY2457" s="118"/>
      <c r="AZ2457" s="118"/>
      <c r="BA2457" s="118"/>
      <c r="BB2457" s="118"/>
      <c r="BC2457" s="118"/>
      <c r="BD2457" s="118"/>
      <c r="BE2457" s="118"/>
      <c r="BF2457" s="118"/>
      <c r="BG2457" s="118"/>
      <c r="BH2457" s="118"/>
      <c r="BI2457" s="118"/>
      <c r="BJ2457" s="118"/>
      <c r="BK2457" s="118"/>
      <c r="BL2457" s="118"/>
      <c r="BM2457" s="118"/>
      <c r="BN2457" s="118"/>
      <c r="BO2457" s="118"/>
      <c r="BP2457" s="118"/>
      <c r="BQ2457" s="118"/>
      <c r="BR2457" s="118"/>
      <c r="BS2457" s="118"/>
      <c r="BT2457" s="118"/>
      <c r="BU2457" s="118"/>
      <c r="BV2457" s="118"/>
      <c r="BW2457" s="118"/>
      <c r="BX2457" s="118"/>
      <c r="BY2457" s="118"/>
      <c r="BZ2457" s="118"/>
      <c r="CA2457" s="118"/>
      <c r="CB2457" s="118"/>
      <c r="CC2457" s="118"/>
      <c r="CD2457" s="118"/>
      <c r="CE2457" s="118"/>
      <c r="CF2457" s="118"/>
      <c r="CG2457" s="118"/>
      <c r="CH2457" s="118"/>
      <c r="CI2457" s="118"/>
      <c r="CJ2457" s="118"/>
      <c r="CK2457" s="118"/>
      <c r="CL2457" s="118"/>
      <c r="CM2457" s="118"/>
      <c r="CN2457" s="118"/>
      <c r="CO2457" s="118"/>
      <c r="CP2457" s="118"/>
      <c r="CQ2457" s="118"/>
      <c r="CR2457" s="118"/>
      <c r="CS2457" s="118"/>
      <c r="CT2457" s="118"/>
      <c r="CU2457" s="118"/>
      <c r="CV2457" s="118"/>
      <c r="CW2457" s="118"/>
      <c r="CX2457" s="118"/>
      <c r="CY2457" s="118"/>
      <c r="CZ2457" s="118"/>
      <c r="DA2457" s="118"/>
      <c r="DB2457" s="118"/>
      <c r="DC2457" s="118"/>
      <c r="DD2457" s="118"/>
      <c r="DE2457" s="118"/>
      <c r="DF2457" s="118"/>
      <c r="DG2457" s="118"/>
      <c r="DH2457" s="118"/>
      <c r="DI2457" s="118"/>
      <c r="DJ2457" s="118"/>
      <c r="DK2457" s="118"/>
      <c r="DL2457" s="118"/>
      <c r="DM2457" s="118"/>
      <c r="DN2457" s="118"/>
      <c r="DO2457" s="118"/>
      <c r="DP2457" s="118"/>
      <c r="DQ2457" s="118"/>
      <c r="DR2457" s="118"/>
      <c r="DS2457" s="118"/>
      <c r="DT2457" s="118"/>
      <c r="DU2457" s="118"/>
      <c r="DV2457" s="118"/>
      <c r="DW2457" s="118"/>
      <c r="DX2457" s="118"/>
      <c r="DY2457" s="118"/>
      <c r="DZ2457" s="118"/>
      <c r="EA2457" s="118"/>
      <c r="EB2457" s="118"/>
      <c r="EC2457" s="118"/>
      <c r="ED2457" s="118"/>
      <c r="EE2457" s="118"/>
      <c r="EF2457" s="118"/>
      <c r="EG2457" s="118"/>
      <c r="EH2457" s="118"/>
      <c r="EI2457" s="118"/>
      <c r="EJ2457" s="118"/>
      <c r="EK2457" s="118"/>
      <c r="EL2457" s="118"/>
      <c r="EM2457" s="118"/>
      <c r="EN2457" s="118"/>
      <c r="EO2457" s="118"/>
      <c r="EP2457" s="118"/>
      <c r="EQ2457" s="118"/>
      <c r="ER2457" s="118"/>
      <c r="ES2457" s="118"/>
      <c r="ET2457" s="118"/>
      <c r="EU2457" s="118"/>
      <c r="EV2457" s="118"/>
      <c r="EW2457" s="118"/>
      <c r="EX2457" s="118"/>
      <c r="EY2457" s="118"/>
      <c r="EZ2457" s="118"/>
      <c r="FA2457" s="118"/>
      <c r="FB2457" s="118"/>
      <c r="FC2457" s="118"/>
      <c r="FD2457" s="118"/>
      <c r="FE2457" s="118"/>
      <c r="FF2457" s="118"/>
      <c r="FG2457" s="118"/>
      <c r="FH2457" s="118"/>
      <c r="FI2457" s="118"/>
      <c r="FJ2457" s="118"/>
      <c r="FK2457" s="118"/>
      <c r="FL2457" s="118"/>
      <c r="FM2457" s="118"/>
      <c r="FN2457" s="118"/>
      <c r="FO2457" s="118"/>
      <c r="FP2457" s="118"/>
      <c r="FQ2457" s="118"/>
      <c r="FR2457" s="118"/>
      <c r="FS2457" s="118"/>
      <c r="FT2457" s="118"/>
      <c r="FU2457" s="118"/>
      <c r="FV2457" s="118"/>
      <c r="FW2457" s="118"/>
      <c r="FX2457" s="118"/>
      <c r="FY2457" s="118"/>
      <c r="FZ2457" s="118"/>
      <c r="GA2457" s="118"/>
      <c r="GB2457" s="118"/>
      <c r="GC2457" s="118"/>
      <c r="GD2457" s="118"/>
      <c r="GE2457" s="118"/>
      <c r="GF2457" s="118"/>
      <c r="GG2457" s="118"/>
      <c r="GH2457" s="118"/>
      <c r="GI2457" s="118"/>
      <c r="GJ2457" s="118"/>
      <c r="GK2457" s="118"/>
      <c r="GL2457" s="118"/>
      <c r="GM2457" s="118"/>
      <c r="GN2457" s="118"/>
      <c r="GO2457" s="118"/>
      <c r="GP2457" s="118"/>
      <c r="GQ2457" s="118"/>
      <c r="GR2457" s="118"/>
      <c r="GS2457" s="118"/>
      <c r="GT2457" s="118"/>
      <c r="GU2457" s="118"/>
      <c r="GV2457" s="118"/>
      <c r="GW2457" s="118"/>
      <c r="GX2457" s="118"/>
      <c r="GY2457" s="118"/>
      <c r="GZ2457" s="118"/>
      <c r="HA2457" s="118"/>
      <c r="HB2457" s="118"/>
      <c r="HC2457" s="118"/>
      <c r="HD2457" s="118"/>
      <c r="HE2457" s="118"/>
      <c r="HF2457" s="118"/>
      <c r="HG2457" s="118"/>
      <c r="HH2457" s="118"/>
      <c r="HI2457" s="118"/>
      <c r="HJ2457" s="118"/>
      <c r="HK2457" s="118"/>
      <c r="HL2457" s="118"/>
      <c r="HM2457" s="118"/>
      <c r="HN2457" s="118"/>
      <c r="HO2457" s="118"/>
      <c r="HP2457" s="118"/>
      <c r="HQ2457" s="118"/>
      <c r="HR2457" s="118"/>
      <c r="HS2457" s="118"/>
      <c r="HT2457" s="118"/>
      <c r="HU2457" s="118"/>
      <c r="HV2457" s="118"/>
      <c r="HW2457" s="118"/>
      <c r="HX2457" s="118"/>
      <c r="HY2457" s="118"/>
      <c r="HZ2457" s="118"/>
      <c r="IA2457" s="118"/>
      <c r="IB2457" s="118"/>
      <c r="IC2457" s="118"/>
      <c r="ID2457" s="118"/>
      <c r="IE2457" s="118"/>
      <c r="IF2457" s="118"/>
      <c r="IG2457" s="118"/>
      <c r="IH2457" s="118"/>
      <c r="II2457" s="118"/>
      <c r="IJ2457" s="118"/>
    </row>
    <row r="2458" spans="1:244" s="128" customFormat="1" ht="12.75" customHeight="1">
      <c r="A2458" s="118">
        <v>2457</v>
      </c>
      <c r="B2458" s="128">
        <v>25</v>
      </c>
      <c r="C2458" s="156">
        <v>40057</v>
      </c>
      <c r="D2458" s="157" t="s">
        <v>52</v>
      </c>
      <c r="E2458" s="127">
        <v>2009</v>
      </c>
      <c r="F2458" s="127"/>
      <c r="G2458" s="127"/>
      <c r="H2458" s="175"/>
      <c r="I2458" s="168"/>
      <c r="J2458" s="191"/>
      <c r="K2458" s="191"/>
      <c r="L2458" s="191"/>
      <c r="M2458" s="193"/>
      <c r="N2458" s="529"/>
      <c r="O2458" s="191"/>
      <c r="P2458" s="127"/>
      <c r="Q2458" s="127"/>
      <c r="R2458" s="127"/>
      <c r="S2458" s="140"/>
      <c r="T2458" s="118"/>
      <c r="U2458" s="118"/>
      <c r="V2458" s="118"/>
      <c r="W2458" s="118"/>
      <c r="X2458" s="118"/>
      <c r="Y2458" s="118"/>
      <c r="Z2458" s="118"/>
      <c r="AA2458" s="118"/>
      <c r="AB2458" s="118"/>
      <c r="AC2458" s="118"/>
      <c r="AD2458" s="118"/>
      <c r="AE2458" s="118"/>
      <c r="AF2458" s="118"/>
      <c r="AG2458" s="118"/>
      <c r="AH2458" s="118"/>
      <c r="AI2458" s="118"/>
      <c r="AJ2458" s="118"/>
      <c r="AK2458" s="118"/>
      <c r="AL2458" s="118"/>
      <c r="AM2458" s="118"/>
      <c r="AN2458" s="118"/>
      <c r="AO2458" s="118"/>
      <c r="AP2458" s="118"/>
      <c r="AQ2458" s="118"/>
      <c r="AR2458" s="118"/>
      <c r="AS2458" s="118"/>
      <c r="AT2458" s="118"/>
      <c r="AU2458" s="118"/>
      <c r="AV2458" s="118"/>
      <c r="AW2458" s="118"/>
      <c r="AX2458" s="118"/>
      <c r="AY2458" s="118"/>
      <c r="AZ2458" s="118"/>
      <c r="BA2458" s="118"/>
      <c r="BB2458" s="118"/>
      <c r="BC2458" s="118"/>
      <c r="BD2458" s="118"/>
      <c r="BE2458" s="118"/>
      <c r="BF2458" s="118"/>
      <c r="BG2458" s="118"/>
      <c r="BH2458" s="118"/>
      <c r="BI2458" s="118"/>
      <c r="BJ2458" s="118"/>
      <c r="BK2458" s="118"/>
      <c r="BL2458" s="118"/>
      <c r="BM2458" s="118"/>
      <c r="BN2458" s="118"/>
      <c r="BO2458" s="118"/>
      <c r="BP2458" s="118"/>
      <c r="BQ2458" s="118"/>
      <c r="BR2458" s="118"/>
      <c r="BS2458" s="118"/>
      <c r="BT2458" s="118"/>
      <c r="BU2458" s="118"/>
      <c r="BV2458" s="118"/>
      <c r="BW2458" s="118"/>
      <c r="BX2458" s="118"/>
      <c r="BY2458" s="118"/>
      <c r="BZ2458" s="118"/>
      <c r="CA2458" s="118"/>
      <c r="CB2458" s="118"/>
      <c r="CC2458" s="118"/>
      <c r="CD2458" s="118"/>
      <c r="CE2458" s="118"/>
      <c r="CF2458" s="118"/>
      <c r="CG2458" s="118"/>
      <c r="CH2458" s="118"/>
      <c r="CI2458" s="118"/>
      <c r="CJ2458" s="118"/>
      <c r="CK2458" s="118"/>
      <c r="CL2458" s="118"/>
      <c r="CM2458" s="118"/>
      <c r="CN2458" s="118"/>
      <c r="CO2458" s="118"/>
      <c r="CP2458" s="118"/>
      <c r="CQ2458" s="118"/>
      <c r="CR2458" s="118"/>
      <c r="CS2458" s="118"/>
      <c r="CT2458" s="118"/>
      <c r="CU2458" s="118"/>
      <c r="CV2458" s="118"/>
      <c r="CW2458" s="118"/>
      <c r="CX2458" s="118"/>
      <c r="CY2458" s="118"/>
      <c r="CZ2458" s="118"/>
      <c r="DA2458" s="118"/>
      <c r="DB2458" s="118"/>
      <c r="DC2458" s="118"/>
      <c r="DD2458" s="118"/>
      <c r="DE2458" s="118"/>
      <c r="DF2458" s="118"/>
      <c r="DG2458" s="118"/>
      <c r="DH2458" s="118"/>
      <c r="DI2458" s="118"/>
      <c r="DJ2458" s="118"/>
      <c r="DK2458" s="118"/>
      <c r="DL2458" s="118"/>
      <c r="DM2458" s="118"/>
      <c r="DN2458" s="118"/>
      <c r="DO2458" s="118"/>
      <c r="DP2458" s="118"/>
      <c r="DQ2458" s="118"/>
      <c r="DR2458" s="118"/>
      <c r="DS2458" s="118"/>
      <c r="DT2458" s="118"/>
      <c r="DU2458" s="118"/>
      <c r="DV2458" s="118"/>
      <c r="DW2458" s="118"/>
      <c r="DX2458" s="118"/>
      <c r="DY2458" s="118"/>
      <c r="DZ2458" s="118"/>
      <c r="EA2458" s="118"/>
      <c r="EB2458" s="118"/>
      <c r="EC2458" s="118"/>
      <c r="ED2458" s="118"/>
      <c r="EE2458" s="118"/>
      <c r="EF2458" s="118"/>
      <c r="EG2458" s="118"/>
      <c r="EH2458" s="118"/>
      <c r="EI2458" s="118"/>
      <c r="EJ2458" s="118"/>
      <c r="EK2458" s="118"/>
      <c r="EL2458" s="118"/>
      <c r="EM2458" s="118"/>
      <c r="EN2458" s="118"/>
      <c r="EO2458" s="118"/>
      <c r="EP2458" s="118"/>
      <c r="EQ2458" s="118"/>
      <c r="ER2458" s="118"/>
      <c r="ES2458" s="118"/>
      <c r="ET2458" s="118"/>
      <c r="EU2458" s="118"/>
      <c r="EV2458" s="118"/>
      <c r="EW2458" s="118"/>
      <c r="EX2458" s="118"/>
      <c r="EY2458" s="118"/>
      <c r="EZ2458" s="118"/>
      <c r="FA2458" s="118"/>
      <c r="FB2458" s="118"/>
      <c r="FC2458" s="118"/>
      <c r="FD2458" s="118"/>
      <c r="FE2458" s="118"/>
      <c r="FF2458" s="118"/>
      <c r="FG2458" s="118"/>
      <c r="FH2458" s="118"/>
      <c r="FI2458" s="118"/>
      <c r="FJ2458" s="118"/>
      <c r="FK2458" s="118"/>
      <c r="FL2458" s="118"/>
      <c r="FM2458" s="118"/>
      <c r="FN2458" s="118"/>
      <c r="FO2458" s="118"/>
      <c r="FP2458" s="118"/>
      <c r="FQ2458" s="118"/>
      <c r="FR2458" s="118"/>
      <c r="FS2458" s="118"/>
      <c r="FT2458" s="118"/>
      <c r="FU2458" s="118"/>
      <c r="FV2458" s="118"/>
      <c r="FW2458" s="118"/>
      <c r="FX2458" s="118"/>
      <c r="FY2458" s="118"/>
      <c r="FZ2458" s="118"/>
      <c r="GA2458" s="118"/>
      <c r="GB2458" s="118"/>
      <c r="GC2458" s="118"/>
      <c r="GD2458" s="118"/>
      <c r="GE2458" s="118"/>
      <c r="GF2458" s="118"/>
      <c r="GG2458" s="118"/>
      <c r="GH2458" s="118"/>
      <c r="GI2458" s="118"/>
      <c r="GJ2458" s="118"/>
      <c r="GK2458" s="118"/>
      <c r="GL2458" s="118"/>
      <c r="GM2458" s="118"/>
      <c r="GN2458" s="118"/>
      <c r="GO2458" s="118"/>
      <c r="GP2458" s="118"/>
      <c r="GQ2458" s="118"/>
      <c r="GR2458" s="118"/>
      <c r="GS2458" s="118"/>
      <c r="GT2458" s="118"/>
      <c r="GU2458" s="118"/>
      <c r="GV2458" s="118"/>
      <c r="GW2458" s="118"/>
      <c r="GX2458" s="118"/>
      <c r="GY2458" s="118"/>
      <c r="GZ2458" s="118"/>
      <c r="HA2458" s="118"/>
      <c r="HB2458" s="118"/>
      <c r="HC2458" s="118"/>
      <c r="HD2458" s="118"/>
      <c r="HE2458" s="118"/>
      <c r="HF2458" s="118"/>
      <c r="HG2458" s="118"/>
      <c r="HH2458" s="118"/>
      <c r="HI2458" s="118"/>
      <c r="HJ2458" s="118"/>
      <c r="HK2458" s="118"/>
      <c r="HL2458" s="118"/>
      <c r="HM2458" s="118"/>
      <c r="HN2458" s="118"/>
      <c r="HO2458" s="118"/>
      <c r="HP2458" s="118"/>
      <c r="HQ2458" s="118"/>
      <c r="HR2458" s="118"/>
      <c r="HS2458" s="118"/>
      <c r="HT2458" s="118"/>
      <c r="HU2458" s="118"/>
      <c r="HV2458" s="118"/>
      <c r="HW2458" s="118"/>
      <c r="HX2458" s="118"/>
      <c r="HY2458" s="118"/>
      <c r="HZ2458" s="118"/>
      <c r="IA2458" s="118"/>
      <c r="IB2458" s="118"/>
      <c r="IC2458" s="118"/>
      <c r="ID2458" s="118"/>
      <c r="IE2458" s="118"/>
      <c r="IF2458" s="118"/>
      <c r="IG2458" s="118"/>
      <c r="IH2458" s="118"/>
      <c r="II2458" s="118"/>
      <c r="IJ2458" s="118"/>
    </row>
    <row r="2459" spans="1:244" s="128" customFormat="1" ht="12.75" customHeight="1">
      <c r="A2459" s="118">
        <v>2458</v>
      </c>
      <c r="B2459" s="128">
        <v>25</v>
      </c>
      <c r="C2459" s="156">
        <v>40087</v>
      </c>
      <c r="D2459" s="157" t="s">
        <v>53</v>
      </c>
      <c r="E2459" s="127">
        <v>2009</v>
      </c>
      <c r="F2459" s="127"/>
      <c r="G2459" s="127"/>
      <c r="H2459" s="175">
        <v>40087</v>
      </c>
      <c r="I2459" s="168"/>
      <c r="J2459" s="191"/>
      <c r="K2459" s="191"/>
      <c r="L2459" s="191"/>
      <c r="M2459" s="193"/>
      <c r="N2459" s="529"/>
      <c r="O2459" s="191"/>
      <c r="P2459" s="127"/>
      <c r="Q2459" s="127"/>
      <c r="R2459" s="127"/>
      <c r="S2459" s="180" t="s">
        <v>386</v>
      </c>
      <c r="T2459" s="118"/>
      <c r="U2459" s="118"/>
      <c r="V2459" s="118"/>
      <c r="W2459" s="118"/>
      <c r="X2459" s="118"/>
      <c r="Y2459" s="118"/>
      <c r="Z2459" s="118"/>
      <c r="AA2459" s="118"/>
      <c r="AB2459" s="118"/>
      <c r="AC2459" s="118"/>
      <c r="AD2459" s="118"/>
      <c r="AE2459" s="118"/>
      <c r="AF2459" s="118"/>
      <c r="AG2459" s="118"/>
      <c r="AH2459" s="118"/>
      <c r="AI2459" s="118"/>
      <c r="AJ2459" s="118"/>
      <c r="AK2459" s="118"/>
      <c r="AL2459" s="118"/>
      <c r="AM2459" s="118"/>
      <c r="AN2459" s="118"/>
      <c r="AO2459" s="118"/>
      <c r="AP2459" s="118"/>
      <c r="AQ2459" s="118"/>
      <c r="AR2459" s="118"/>
      <c r="AS2459" s="118"/>
      <c r="AT2459" s="118"/>
      <c r="AU2459" s="118"/>
      <c r="AV2459" s="118"/>
      <c r="AW2459" s="118"/>
      <c r="AX2459" s="118"/>
      <c r="AY2459" s="118"/>
      <c r="AZ2459" s="118"/>
      <c r="BA2459" s="118"/>
      <c r="BB2459" s="118"/>
      <c r="BC2459" s="118"/>
      <c r="BD2459" s="118"/>
      <c r="BE2459" s="118"/>
      <c r="BF2459" s="118"/>
      <c r="BG2459" s="118"/>
      <c r="BH2459" s="118"/>
      <c r="BI2459" s="118"/>
      <c r="BJ2459" s="118"/>
      <c r="BK2459" s="118"/>
      <c r="BL2459" s="118"/>
      <c r="BM2459" s="118"/>
      <c r="BN2459" s="118"/>
      <c r="BO2459" s="118"/>
      <c r="BP2459" s="118"/>
      <c r="BQ2459" s="118"/>
      <c r="BR2459" s="118"/>
      <c r="BS2459" s="118"/>
      <c r="BT2459" s="118"/>
      <c r="BU2459" s="118"/>
      <c r="BV2459" s="118"/>
      <c r="BW2459" s="118"/>
      <c r="BX2459" s="118"/>
      <c r="BY2459" s="118"/>
      <c r="BZ2459" s="118"/>
      <c r="CA2459" s="118"/>
      <c r="CB2459" s="118"/>
      <c r="CC2459" s="118"/>
      <c r="CD2459" s="118"/>
      <c r="CE2459" s="118"/>
      <c r="CF2459" s="118"/>
      <c r="CG2459" s="118"/>
      <c r="CH2459" s="118"/>
      <c r="CI2459" s="118"/>
      <c r="CJ2459" s="118"/>
      <c r="CK2459" s="118"/>
      <c r="CL2459" s="118"/>
      <c r="CM2459" s="118"/>
      <c r="CN2459" s="118"/>
      <c r="CO2459" s="118"/>
      <c r="CP2459" s="118"/>
      <c r="CQ2459" s="118"/>
      <c r="CR2459" s="118"/>
      <c r="CS2459" s="118"/>
      <c r="CT2459" s="118"/>
      <c r="CU2459" s="118"/>
      <c r="CV2459" s="118"/>
      <c r="CW2459" s="118"/>
      <c r="CX2459" s="118"/>
      <c r="CY2459" s="118"/>
      <c r="CZ2459" s="118"/>
      <c r="DA2459" s="118"/>
      <c r="DB2459" s="118"/>
      <c r="DC2459" s="118"/>
      <c r="DD2459" s="118"/>
      <c r="DE2459" s="118"/>
      <c r="DF2459" s="118"/>
      <c r="DG2459" s="118"/>
      <c r="DH2459" s="118"/>
      <c r="DI2459" s="118"/>
      <c r="DJ2459" s="118"/>
      <c r="DK2459" s="118"/>
      <c r="DL2459" s="118"/>
      <c r="DM2459" s="118"/>
      <c r="DN2459" s="118"/>
      <c r="DO2459" s="118"/>
      <c r="DP2459" s="118"/>
      <c r="DQ2459" s="118"/>
      <c r="DR2459" s="118"/>
      <c r="DS2459" s="118"/>
      <c r="DT2459" s="118"/>
      <c r="DU2459" s="118"/>
      <c r="DV2459" s="118"/>
      <c r="DW2459" s="118"/>
      <c r="DX2459" s="118"/>
      <c r="DY2459" s="118"/>
      <c r="DZ2459" s="118"/>
      <c r="EA2459" s="118"/>
      <c r="EB2459" s="118"/>
      <c r="EC2459" s="118"/>
      <c r="ED2459" s="118"/>
      <c r="EE2459" s="118"/>
      <c r="EF2459" s="118"/>
      <c r="EG2459" s="118"/>
      <c r="EH2459" s="118"/>
      <c r="EI2459" s="118"/>
      <c r="EJ2459" s="118"/>
      <c r="EK2459" s="118"/>
      <c r="EL2459" s="118"/>
      <c r="EM2459" s="118"/>
      <c r="EN2459" s="118"/>
      <c r="EO2459" s="118"/>
      <c r="EP2459" s="118"/>
      <c r="EQ2459" s="118"/>
      <c r="ER2459" s="118"/>
      <c r="ES2459" s="118"/>
      <c r="ET2459" s="118"/>
      <c r="EU2459" s="118"/>
      <c r="EV2459" s="118"/>
      <c r="EW2459" s="118"/>
      <c r="EX2459" s="118"/>
      <c r="EY2459" s="118"/>
      <c r="EZ2459" s="118"/>
      <c r="FA2459" s="118"/>
      <c r="FB2459" s="118"/>
      <c r="FC2459" s="118"/>
      <c r="FD2459" s="118"/>
      <c r="FE2459" s="118"/>
      <c r="FF2459" s="118"/>
      <c r="FG2459" s="118"/>
      <c r="FH2459" s="118"/>
      <c r="FI2459" s="118"/>
      <c r="FJ2459" s="118"/>
      <c r="FK2459" s="118"/>
      <c r="FL2459" s="118"/>
      <c r="FM2459" s="118"/>
      <c r="FN2459" s="118"/>
      <c r="FO2459" s="118"/>
      <c r="FP2459" s="118"/>
      <c r="FQ2459" s="118"/>
      <c r="FR2459" s="118"/>
      <c r="FS2459" s="118"/>
      <c r="FT2459" s="118"/>
      <c r="FU2459" s="118"/>
      <c r="FV2459" s="118"/>
      <c r="FW2459" s="118"/>
      <c r="FX2459" s="118"/>
      <c r="FY2459" s="118"/>
      <c r="FZ2459" s="118"/>
      <c r="GA2459" s="118"/>
      <c r="GB2459" s="118"/>
      <c r="GC2459" s="118"/>
      <c r="GD2459" s="118"/>
      <c r="GE2459" s="118"/>
      <c r="GF2459" s="118"/>
      <c r="GG2459" s="118"/>
      <c r="GH2459" s="118"/>
      <c r="GI2459" s="118"/>
      <c r="GJ2459" s="118"/>
      <c r="GK2459" s="118"/>
      <c r="GL2459" s="118"/>
      <c r="GM2459" s="118"/>
      <c r="GN2459" s="118"/>
      <c r="GO2459" s="118"/>
      <c r="GP2459" s="118"/>
      <c r="GQ2459" s="118"/>
      <c r="GR2459" s="118"/>
      <c r="GS2459" s="118"/>
      <c r="GT2459" s="118"/>
      <c r="GU2459" s="118"/>
      <c r="GV2459" s="118"/>
      <c r="GW2459" s="118"/>
      <c r="GX2459" s="118"/>
      <c r="GY2459" s="118"/>
      <c r="GZ2459" s="118"/>
      <c r="HA2459" s="118"/>
      <c r="HB2459" s="118"/>
      <c r="HC2459" s="118"/>
      <c r="HD2459" s="118"/>
      <c r="HE2459" s="118"/>
      <c r="HF2459" s="118"/>
      <c r="HG2459" s="118"/>
      <c r="HH2459" s="118"/>
      <c r="HI2459" s="118"/>
      <c r="HJ2459" s="118"/>
      <c r="HK2459" s="118"/>
      <c r="HL2459" s="118"/>
      <c r="HM2459" s="118"/>
      <c r="HN2459" s="118"/>
      <c r="HO2459" s="118"/>
      <c r="HP2459" s="118"/>
      <c r="HQ2459" s="118"/>
      <c r="HR2459" s="118"/>
      <c r="HS2459" s="118"/>
      <c r="HT2459" s="118"/>
      <c r="HU2459" s="118"/>
      <c r="HV2459" s="118"/>
      <c r="HW2459" s="118"/>
      <c r="HX2459" s="118"/>
      <c r="HY2459" s="118"/>
      <c r="HZ2459" s="118"/>
      <c r="IA2459" s="118"/>
      <c r="IB2459" s="118"/>
      <c r="IC2459" s="118"/>
      <c r="ID2459" s="118"/>
      <c r="IE2459" s="118"/>
      <c r="IF2459" s="118"/>
      <c r="IG2459" s="118"/>
      <c r="IH2459" s="118"/>
      <c r="II2459" s="118"/>
      <c r="IJ2459" s="118"/>
    </row>
    <row r="2460" spans="1:244" s="128" customFormat="1" ht="12.75" customHeight="1">
      <c r="A2460" s="118">
        <v>2459</v>
      </c>
      <c r="B2460" s="128">
        <v>25</v>
      </c>
      <c r="C2460" s="156">
        <v>40118</v>
      </c>
      <c r="D2460" s="157" t="s">
        <v>54</v>
      </c>
      <c r="E2460" s="127">
        <v>2009</v>
      </c>
      <c r="F2460" s="158">
        <f t="shared" ref="F2460:F2461" si="638">C2460-H2460</f>
        <v>31</v>
      </c>
      <c r="G2460" s="158">
        <f t="shared" ref="G2460:G2461" si="639">IF(F2460&lt;365,1,2)</f>
        <v>1</v>
      </c>
      <c r="H2460" s="175">
        <v>40087</v>
      </c>
      <c r="I2460" s="160">
        <v>253869</v>
      </c>
      <c r="J2460" s="191"/>
      <c r="K2460" s="191"/>
      <c r="L2460" s="177">
        <v>0</v>
      </c>
      <c r="M2460" s="193"/>
      <c r="N2460" s="529" t="s">
        <v>794</v>
      </c>
      <c r="O2460" s="177">
        <v>0</v>
      </c>
      <c r="P2460" s="127"/>
      <c r="Q2460" s="127"/>
      <c r="R2460" s="127"/>
      <c r="S2460" s="140" t="s">
        <v>284</v>
      </c>
      <c r="T2460" s="161"/>
      <c r="U2460" s="161">
        <f t="shared" ref="U2460:U2461" si="640">$I2460*L2460</f>
        <v>0</v>
      </c>
      <c r="V2460" s="161">
        <f t="shared" ref="V2460:V2461" si="641">$I2460*O2460</f>
        <v>0</v>
      </c>
      <c r="W2460" s="161">
        <f t="shared" ref="W2460:W2461" si="642">V2460*0.4</f>
        <v>0</v>
      </c>
      <c r="X2460" s="118"/>
      <c r="Y2460" s="118"/>
      <c r="Z2460" s="118"/>
      <c r="AA2460" s="118"/>
      <c r="AB2460" s="118"/>
      <c r="AC2460" s="118"/>
      <c r="AD2460" s="118"/>
      <c r="AE2460" s="118"/>
      <c r="AF2460" s="118"/>
      <c r="AG2460" s="118"/>
      <c r="AH2460" s="118"/>
      <c r="AI2460" s="118"/>
      <c r="AJ2460" s="118"/>
      <c r="AK2460" s="118"/>
      <c r="AL2460" s="118"/>
      <c r="AM2460" s="118"/>
      <c r="AN2460" s="118"/>
      <c r="AO2460" s="118"/>
      <c r="AP2460" s="118"/>
      <c r="AQ2460" s="118"/>
      <c r="AR2460" s="118"/>
      <c r="AS2460" s="118"/>
      <c r="AT2460" s="118"/>
      <c r="AU2460" s="118"/>
      <c r="AV2460" s="118"/>
      <c r="AW2460" s="118"/>
      <c r="AX2460" s="118"/>
      <c r="AY2460" s="118"/>
      <c r="AZ2460" s="118"/>
      <c r="BA2460" s="118"/>
      <c r="BB2460" s="118"/>
      <c r="BC2460" s="118"/>
      <c r="BD2460" s="118"/>
      <c r="BE2460" s="118"/>
      <c r="BF2460" s="118"/>
      <c r="BG2460" s="118"/>
      <c r="BH2460" s="118"/>
      <c r="BI2460" s="118"/>
      <c r="BJ2460" s="118"/>
      <c r="BK2460" s="118"/>
      <c r="BL2460" s="118"/>
      <c r="BM2460" s="118"/>
      <c r="BN2460" s="118"/>
      <c r="BO2460" s="118"/>
      <c r="BP2460" s="118"/>
      <c r="BQ2460" s="118"/>
      <c r="BR2460" s="118"/>
      <c r="BS2460" s="118"/>
      <c r="BT2460" s="118"/>
      <c r="BU2460" s="118"/>
      <c r="BV2460" s="118"/>
      <c r="BW2460" s="118"/>
      <c r="BX2460" s="118"/>
      <c r="BY2460" s="118"/>
      <c r="BZ2460" s="118"/>
      <c r="CA2460" s="118"/>
      <c r="CB2460" s="118"/>
      <c r="CC2460" s="118"/>
      <c r="CD2460" s="118"/>
      <c r="CE2460" s="118"/>
      <c r="CF2460" s="118"/>
      <c r="CG2460" s="118"/>
      <c r="CH2460" s="118"/>
      <c r="CI2460" s="118"/>
      <c r="CJ2460" s="118"/>
      <c r="CK2460" s="118"/>
      <c r="CL2460" s="118"/>
      <c r="CM2460" s="118"/>
      <c r="CN2460" s="118"/>
      <c r="CO2460" s="118"/>
      <c r="CP2460" s="118"/>
      <c r="CQ2460" s="118"/>
      <c r="CR2460" s="118"/>
      <c r="CS2460" s="118"/>
      <c r="CT2460" s="118"/>
      <c r="CU2460" s="118"/>
      <c r="CV2460" s="118"/>
      <c r="CW2460" s="118"/>
      <c r="CX2460" s="118"/>
      <c r="CY2460" s="118"/>
      <c r="CZ2460" s="118"/>
      <c r="DA2460" s="118"/>
      <c r="DB2460" s="118"/>
      <c r="DC2460" s="118"/>
      <c r="DD2460" s="118"/>
      <c r="DE2460" s="118"/>
      <c r="DF2460" s="118"/>
      <c r="DG2460" s="118"/>
      <c r="DH2460" s="118"/>
      <c r="DI2460" s="118"/>
      <c r="DJ2460" s="118"/>
      <c r="DK2460" s="118"/>
      <c r="DL2460" s="118"/>
      <c r="DM2460" s="118"/>
      <c r="DN2460" s="118"/>
      <c r="DO2460" s="118"/>
      <c r="DP2460" s="118"/>
      <c r="DQ2460" s="118"/>
      <c r="DR2460" s="118"/>
      <c r="DS2460" s="118"/>
      <c r="DT2460" s="118"/>
      <c r="DU2460" s="118"/>
      <c r="DV2460" s="118"/>
      <c r="DW2460" s="118"/>
      <c r="DX2460" s="118"/>
      <c r="DY2460" s="118"/>
      <c r="DZ2460" s="118"/>
      <c r="EA2460" s="118"/>
      <c r="EB2460" s="118"/>
      <c r="EC2460" s="118"/>
      <c r="ED2460" s="118"/>
      <c r="EE2460" s="118"/>
      <c r="EF2460" s="118"/>
      <c r="EG2460" s="118"/>
      <c r="EH2460" s="118"/>
      <c r="EI2460" s="118"/>
      <c r="EJ2460" s="118"/>
      <c r="EK2460" s="118"/>
      <c r="EL2460" s="118"/>
      <c r="EM2460" s="118"/>
      <c r="EN2460" s="118"/>
      <c r="EO2460" s="118"/>
      <c r="EP2460" s="118"/>
      <c r="EQ2460" s="118"/>
      <c r="ER2460" s="118"/>
      <c r="ES2460" s="118"/>
      <c r="ET2460" s="118"/>
      <c r="EU2460" s="118"/>
      <c r="EV2460" s="118"/>
      <c r="EW2460" s="118"/>
      <c r="EX2460" s="118"/>
      <c r="EY2460" s="118"/>
      <c r="EZ2460" s="118"/>
      <c r="FA2460" s="118"/>
      <c r="FB2460" s="118"/>
      <c r="FC2460" s="118"/>
      <c r="FD2460" s="118"/>
      <c r="FE2460" s="118"/>
      <c r="FF2460" s="118"/>
      <c r="FG2460" s="118"/>
      <c r="FH2460" s="118"/>
      <c r="FI2460" s="118"/>
      <c r="FJ2460" s="118"/>
      <c r="FK2460" s="118"/>
      <c r="FL2460" s="118"/>
      <c r="FM2460" s="118"/>
      <c r="FN2460" s="118"/>
      <c r="FO2460" s="118"/>
      <c r="FP2460" s="118"/>
      <c r="FQ2460" s="118"/>
      <c r="FR2460" s="118"/>
      <c r="FS2460" s="118"/>
      <c r="FT2460" s="118"/>
      <c r="FU2460" s="118"/>
      <c r="FV2460" s="118"/>
      <c r="FW2460" s="118"/>
      <c r="FX2460" s="118"/>
      <c r="FY2460" s="118"/>
      <c r="FZ2460" s="118"/>
      <c r="GA2460" s="118"/>
      <c r="GB2460" s="118"/>
      <c r="GC2460" s="118"/>
      <c r="GD2460" s="118"/>
      <c r="GE2460" s="118"/>
      <c r="GF2460" s="118"/>
      <c r="GG2460" s="118"/>
      <c r="GH2460" s="118"/>
      <c r="GI2460" s="118"/>
      <c r="GJ2460" s="118"/>
      <c r="GK2460" s="118"/>
      <c r="GL2460" s="118"/>
      <c r="GM2460" s="118"/>
      <c r="GN2460" s="118"/>
      <c r="GO2460" s="118"/>
      <c r="GP2460" s="118"/>
      <c r="GQ2460" s="118"/>
      <c r="GR2460" s="118"/>
      <c r="GS2460" s="118"/>
      <c r="GT2460" s="118"/>
      <c r="GU2460" s="118"/>
      <c r="GV2460" s="118"/>
      <c r="GW2460" s="118"/>
      <c r="GX2460" s="118"/>
      <c r="GY2460" s="118"/>
      <c r="GZ2460" s="118"/>
      <c r="HA2460" s="118"/>
      <c r="HB2460" s="118"/>
      <c r="HC2460" s="118"/>
      <c r="HD2460" s="118"/>
      <c r="HE2460" s="118"/>
      <c r="HF2460" s="118"/>
      <c r="HG2460" s="118"/>
      <c r="HH2460" s="118"/>
      <c r="HI2460" s="118"/>
      <c r="HJ2460" s="118"/>
      <c r="HK2460" s="118"/>
      <c r="HL2460" s="118"/>
      <c r="HM2460" s="118"/>
      <c r="HN2460" s="118"/>
      <c r="HO2460" s="118"/>
      <c r="HP2460" s="118"/>
      <c r="HQ2460" s="118"/>
      <c r="HR2460" s="118"/>
      <c r="HS2460" s="118"/>
      <c r="HT2460" s="118"/>
      <c r="HU2460" s="118"/>
      <c r="HV2460" s="118"/>
      <c r="HW2460" s="118"/>
      <c r="HX2460" s="118"/>
      <c r="HY2460" s="118"/>
      <c r="HZ2460" s="118"/>
      <c r="IA2460" s="118"/>
      <c r="IB2460" s="118"/>
      <c r="IC2460" s="118"/>
      <c r="ID2460" s="118"/>
      <c r="IE2460" s="118"/>
      <c r="IF2460" s="118"/>
      <c r="IG2460" s="118"/>
      <c r="IH2460" s="118"/>
      <c r="II2460" s="118"/>
      <c r="IJ2460" s="118"/>
    </row>
    <row r="2461" spans="1:244" s="128" customFormat="1" ht="12.75" customHeight="1">
      <c r="A2461" s="118">
        <v>2460</v>
      </c>
      <c r="B2461" s="128">
        <v>25</v>
      </c>
      <c r="C2461" s="156">
        <v>40148</v>
      </c>
      <c r="D2461" s="157" t="s">
        <v>55</v>
      </c>
      <c r="E2461" s="127">
        <v>2009</v>
      </c>
      <c r="F2461" s="158">
        <f t="shared" si="638"/>
        <v>61</v>
      </c>
      <c r="G2461" s="158">
        <f t="shared" si="639"/>
        <v>1</v>
      </c>
      <c r="H2461" s="175">
        <v>40087</v>
      </c>
      <c r="I2461" s="125">
        <v>1011860</v>
      </c>
      <c r="J2461" s="191">
        <v>0.13</v>
      </c>
      <c r="K2461" s="191">
        <v>7.0000000000000007E-2</v>
      </c>
      <c r="L2461" s="191">
        <v>0.02</v>
      </c>
      <c r="M2461" s="193"/>
      <c r="N2461" s="529"/>
      <c r="O2461" s="191">
        <v>0.02</v>
      </c>
      <c r="P2461" s="127"/>
      <c r="Q2461" s="127"/>
      <c r="R2461" s="127"/>
      <c r="S2461" s="140"/>
      <c r="T2461" s="161">
        <f t="shared" ref="T2461" si="643">$I2461*K2461</f>
        <v>70830.200000000012</v>
      </c>
      <c r="U2461" s="161">
        <f t="shared" si="640"/>
        <v>20237.2</v>
      </c>
      <c r="V2461" s="161">
        <f t="shared" si="641"/>
        <v>20237.2</v>
      </c>
      <c r="W2461" s="161">
        <f t="shared" si="642"/>
        <v>8094.880000000001</v>
      </c>
      <c r="X2461" s="118"/>
      <c r="Y2461" s="118"/>
      <c r="Z2461" s="118"/>
      <c r="AA2461" s="118"/>
      <c r="AB2461" s="118"/>
      <c r="AC2461" s="118"/>
      <c r="AD2461" s="118"/>
      <c r="AE2461" s="118"/>
      <c r="AF2461" s="118"/>
      <c r="AG2461" s="118"/>
      <c r="AH2461" s="118"/>
      <c r="AI2461" s="118"/>
      <c r="AJ2461" s="118"/>
      <c r="AK2461" s="118"/>
      <c r="AL2461" s="118"/>
      <c r="AM2461" s="118"/>
      <c r="AN2461" s="118"/>
      <c r="AO2461" s="118"/>
      <c r="AP2461" s="118"/>
      <c r="AQ2461" s="118"/>
      <c r="AR2461" s="118"/>
      <c r="AS2461" s="118"/>
      <c r="AT2461" s="118"/>
      <c r="AU2461" s="118"/>
      <c r="AV2461" s="118"/>
      <c r="AW2461" s="118"/>
      <c r="AX2461" s="118"/>
      <c r="AY2461" s="118"/>
      <c r="AZ2461" s="118"/>
      <c r="BA2461" s="118"/>
      <c r="BB2461" s="118"/>
      <c r="BC2461" s="118"/>
      <c r="BD2461" s="118"/>
      <c r="BE2461" s="118"/>
      <c r="BF2461" s="118"/>
      <c r="BG2461" s="118"/>
      <c r="BH2461" s="118"/>
      <c r="BI2461" s="118"/>
      <c r="BJ2461" s="118"/>
      <c r="BK2461" s="118"/>
      <c r="BL2461" s="118"/>
      <c r="BM2461" s="118"/>
      <c r="BN2461" s="118"/>
      <c r="BO2461" s="118"/>
      <c r="BP2461" s="118"/>
      <c r="BQ2461" s="118"/>
      <c r="BR2461" s="118"/>
      <c r="BS2461" s="118"/>
      <c r="BT2461" s="118"/>
      <c r="BU2461" s="118"/>
      <c r="BV2461" s="118"/>
      <c r="BW2461" s="118"/>
      <c r="BX2461" s="118"/>
      <c r="BY2461" s="118"/>
      <c r="BZ2461" s="118"/>
      <c r="CA2461" s="118"/>
      <c r="CB2461" s="118"/>
      <c r="CC2461" s="118"/>
      <c r="CD2461" s="118"/>
      <c r="CE2461" s="118"/>
      <c r="CF2461" s="118"/>
      <c r="CG2461" s="118"/>
      <c r="CH2461" s="118"/>
      <c r="CI2461" s="118"/>
      <c r="CJ2461" s="118"/>
      <c r="CK2461" s="118"/>
      <c r="CL2461" s="118"/>
      <c r="CM2461" s="118"/>
      <c r="CN2461" s="118"/>
      <c r="CO2461" s="118"/>
      <c r="CP2461" s="118"/>
      <c r="CQ2461" s="118"/>
      <c r="CR2461" s="118"/>
      <c r="CS2461" s="118"/>
      <c r="CT2461" s="118"/>
      <c r="CU2461" s="118"/>
      <c r="CV2461" s="118"/>
      <c r="CW2461" s="118"/>
      <c r="CX2461" s="118"/>
      <c r="CY2461" s="118"/>
      <c r="CZ2461" s="118"/>
      <c r="DA2461" s="118"/>
      <c r="DB2461" s="118"/>
      <c r="DC2461" s="118"/>
      <c r="DD2461" s="118"/>
      <c r="DE2461" s="118"/>
      <c r="DF2461" s="118"/>
      <c r="DG2461" s="118"/>
      <c r="DH2461" s="118"/>
      <c r="DI2461" s="118"/>
      <c r="DJ2461" s="118"/>
      <c r="DK2461" s="118"/>
      <c r="DL2461" s="118"/>
      <c r="DM2461" s="118"/>
      <c r="DN2461" s="118"/>
      <c r="DO2461" s="118"/>
      <c r="DP2461" s="118"/>
      <c r="DQ2461" s="118"/>
      <c r="DR2461" s="118"/>
      <c r="DS2461" s="118"/>
      <c r="DT2461" s="118"/>
      <c r="DU2461" s="118"/>
      <c r="DV2461" s="118"/>
      <c r="DW2461" s="118"/>
      <c r="DX2461" s="118"/>
      <c r="DY2461" s="118"/>
      <c r="DZ2461" s="118"/>
      <c r="EA2461" s="118"/>
      <c r="EB2461" s="118"/>
      <c r="EC2461" s="118"/>
      <c r="ED2461" s="118"/>
      <c r="EE2461" s="118"/>
      <c r="EF2461" s="118"/>
      <c r="EG2461" s="118"/>
      <c r="EH2461" s="118"/>
      <c r="EI2461" s="118"/>
      <c r="EJ2461" s="118"/>
      <c r="EK2461" s="118"/>
      <c r="EL2461" s="118"/>
      <c r="EM2461" s="118"/>
      <c r="EN2461" s="118"/>
      <c r="EO2461" s="118"/>
      <c r="EP2461" s="118"/>
      <c r="EQ2461" s="118"/>
      <c r="ER2461" s="118"/>
      <c r="ES2461" s="118"/>
      <c r="ET2461" s="118"/>
      <c r="EU2461" s="118"/>
      <c r="EV2461" s="118"/>
      <c r="EW2461" s="118"/>
      <c r="EX2461" s="118"/>
      <c r="EY2461" s="118"/>
      <c r="EZ2461" s="118"/>
      <c r="FA2461" s="118"/>
      <c r="FB2461" s="118"/>
      <c r="FC2461" s="118"/>
      <c r="FD2461" s="118"/>
      <c r="FE2461" s="118"/>
      <c r="FF2461" s="118"/>
      <c r="FG2461" s="118"/>
      <c r="FH2461" s="118"/>
      <c r="FI2461" s="118"/>
      <c r="FJ2461" s="118"/>
      <c r="FK2461" s="118"/>
      <c r="FL2461" s="118"/>
      <c r="FM2461" s="118"/>
      <c r="FN2461" s="118"/>
      <c r="FO2461" s="118"/>
      <c r="FP2461" s="118"/>
      <c r="FQ2461" s="118"/>
      <c r="FR2461" s="118"/>
      <c r="FS2461" s="118"/>
      <c r="FT2461" s="118"/>
      <c r="FU2461" s="118"/>
      <c r="FV2461" s="118"/>
      <c r="FW2461" s="118"/>
      <c r="FX2461" s="118"/>
      <c r="FY2461" s="118"/>
      <c r="FZ2461" s="118"/>
      <c r="GA2461" s="118"/>
      <c r="GB2461" s="118"/>
      <c r="GC2461" s="118"/>
      <c r="GD2461" s="118"/>
      <c r="GE2461" s="118"/>
      <c r="GF2461" s="118"/>
      <c r="GG2461" s="118"/>
      <c r="GH2461" s="118"/>
      <c r="GI2461" s="118"/>
      <c r="GJ2461" s="118"/>
      <c r="GK2461" s="118"/>
      <c r="GL2461" s="118"/>
      <c r="GM2461" s="118"/>
      <c r="GN2461" s="118"/>
      <c r="GO2461" s="118"/>
      <c r="GP2461" s="118"/>
      <c r="GQ2461" s="118"/>
      <c r="GR2461" s="118"/>
      <c r="GS2461" s="118"/>
      <c r="GT2461" s="118"/>
      <c r="GU2461" s="118"/>
      <c r="GV2461" s="118"/>
      <c r="GW2461" s="118"/>
      <c r="GX2461" s="118"/>
      <c r="GY2461" s="118"/>
      <c r="GZ2461" s="118"/>
      <c r="HA2461" s="118"/>
      <c r="HB2461" s="118"/>
      <c r="HC2461" s="118"/>
      <c r="HD2461" s="118"/>
      <c r="HE2461" s="118"/>
      <c r="HF2461" s="118"/>
      <c r="HG2461" s="118"/>
      <c r="HH2461" s="118"/>
      <c r="HI2461" s="118"/>
      <c r="HJ2461" s="118"/>
      <c r="HK2461" s="118"/>
      <c r="HL2461" s="118"/>
      <c r="HM2461" s="118"/>
      <c r="HN2461" s="118"/>
      <c r="HO2461" s="118"/>
      <c r="HP2461" s="118"/>
      <c r="HQ2461" s="118"/>
      <c r="HR2461" s="118"/>
      <c r="HS2461" s="118"/>
      <c r="HT2461" s="118"/>
      <c r="HU2461" s="118"/>
      <c r="HV2461" s="118"/>
      <c r="HW2461" s="118"/>
      <c r="HX2461" s="118"/>
      <c r="HY2461" s="118"/>
      <c r="HZ2461" s="118"/>
      <c r="IA2461" s="118"/>
      <c r="IB2461" s="118"/>
      <c r="IC2461" s="118"/>
      <c r="ID2461" s="118"/>
      <c r="IE2461" s="118"/>
      <c r="IF2461" s="118"/>
      <c r="IG2461" s="118"/>
      <c r="IH2461" s="118"/>
      <c r="II2461" s="118"/>
      <c r="IJ2461" s="118"/>
    </row>
    <row r="2462" spans="1:244" s="128" customFormat="1" ht="12.75" customHeight="1">
      <c r="A2462" s="118">
        <v>2461</v>
      </c>
      <c r="B2462" s="128">
        <v>26</v>
      </c>
      <c r="C2462" s="181">
        <v>38777</v>
      </c>
      <c r="D2462" s="157" t="s">
        <v>46</v>
      </c>
      <c r="E2462" s="8">
        <v>2006</v>
      </c>
      <c r="F2462" s="158"/>
      <c r="G2462" s="158"/>
      <c r="H2462" s="172"/>
      <c r="I2462" s="194"/>
      <c r="J2462" s="173"/>
      <c r="K2462" s="173"/>
      <c r="L2462" s="173"/>
      <c r="M2462" s="174"/>
      <c r="N2462" s="528"/>
      <c r="O2462" s="173"/>
      <c r="P2462" s="170"/>
      <c r="S2462" s="180"/>
      <c r="T2462" s="173"/>
      <c r="U2462" s="171"/>
      <c r="V2462" s="173"/>
      <c r="W2462" s="173"/>
      <c r="X2462" s="11"/>
      <c r="Y2462" s="11"/>
      <c r="Z2462" s="11"/>
      <c r="AA2462" s="11"/>
      <c r="AB2462" s="11"/>
      <c r="AC2462" s="11"/>
      <c r="AD2462" s="11"/>
      <c r="AE2462" s="11"/>
      <c r="AF2462" s="11"/>
      <c r="AG2462" s="11"/>
      <c r="AH2462" s="11"/>
      <c r="AI2462" s="11"/>
      <c r="AJ2462" s="11"/>
      <c r="AK2462" s="11"/>
      <c r="AL2462" s="11"/>
      <c r="AM2462" s="11"/>
      <c r="AN2462" s="11"/>
      <c r="AO2462" s="11"/>
      <c r="AP2462" s="11"/>
      <c r="AQ2462" s="11"/>
      <c r="AR2462" s="11"/>
      <c r="AS2462" s="11"/>
      <c r="AT2462" s="11"/>
      <c r="AU2462" s="11"/>
      <c r="AV2462" s="11"/>
      <c r="AW2462" s="11"/>
      <c r="AX2462" s="11"/>
      <c r="AY2462" s="11"/>
      <c r="AZ2462" s="11"/>
      <c r="BA2462" s="11"/>
      <c r="BB2462" s="11"/>
      <c r="BC2462" s="11"/>
      <c r="BD2462" s="11"/>
      <c r="BE2462" s="11"/>
      <c r="BF2462" s="11"/>
      <c r="BG2462" s="11"/>
      <c r="BH2462" s="11"/>
      <c r="BI2462" s="11"/>
      <c r="BJ2462" s="11"/>
      <c r="BK2462" s="11"/>
      <c r="BL2462" s="11"/>
      <c r="BM2462" s="11"/>
      <c r="BN2462" s="11"/>
      <c r="BO2462" s="11"/>
      <c r="BP2462" s="11"/>
      <c r="BQ2462" s="11"/>
      <c r="BR2462" s="11"/>
      <c r="BS2462" s="11"/>
      <c r="BT2462" s="11"/>
      <c r="BU2462" s="11"/>
      <c r="BV2462" s="11"/>
      <c r="BW2462" s="11"/>
      <c r="BX2462" s="11"/>
      <c r="BY2462" s="11"/>
      <c r="BZ2462" s="11"/>
      <c r="CA2462" s="11"/>
      <c r="CB2462" s="11"/>
      <c r="CC2462" s="11"/>
      <c r="CD2462" s="11"/>
      <c r="CE2462" s="11"/>
      <c r="CF2462" s="11"/>
      <c r="CG2462" s="11"/>
      <c r="CH2462" s="11"/>
      <c r="CI2462" s="11"/>
      <c r="CJ2462" s="11"/>
      <c r="CK2462" s="11"/>
      <c r="CL2462" s="11"/>
      <c r="CM2462" s="11"/>
      <c r="CN2462" s="11"/>
      <c r="CO2462" s="11"/>
      <c r="CP2462" s="11"/>
      <c r="CQ2462" s="11"/>
      <c r="CR2462" s="11"/>
      <c r="CS2462" s="11"/>
      <c r="CT2462" s="11"/>
      <c r="CU2462" s="11"/>
      <c r="CV2462" s="11"/>
      <c r="CW2462" s="11"/>
      <c r="CX2462" s="11"/>
      <c r="CY2462" s="11"/>
      <c r="CZ2462" s="11"/>
      <c r="DA2462" s="11"/>
      <c r="DB2462" s="11"/>
      <c r="DC2462" s="11"/>
      <c r="DD2462" s="11"/>
      <c r="DE2462" s="11"/>
      <c r="DF2462" s="11"/>
      <c r="DG2462" s="11"/>
      <c r="DH2462" s="11"/>
      <c r="DI2462" s="11"/>
      <c r="DJ2462" s="11"/>
      <c r="DK2462" s="11"/>
      <c r="DL2462" s="11"/>
      <c r="DM2462" s="11"/>
      <c r="DN2462" s="11"/>
      <c r="DO2462" s="11"/>
      <c r="DP2462" s="11"/>
      <c r="DQ2462" s="11"/>
      <c r="DR2462" s="11"/>
      <c r="DS2462" s="11"/>
      <c r="DT2462" s="11"/>
      <c r="DU2462" s="11"/>
      <c r="DV2462" s="11"/>
      <c r="DW2462" s="11"/>
      <c r="DX2462" s="11"/>
      <c r="DY2462" s="11"/>
      <c r="DZ2462" s="11"/>
      <c r="EA2462" s="11"/>
      <c r="EB2462" s="11"/>
      <c r="EC2462" s="11"/>
      <c r="ED2462" s="11"/>
      <c r="EE2462" s="11"/>
      <c r="EF2462" s="11"/>
      <c r="EG2462" s="11"/>
      <c r="EH2462" s="11"/>
      <c r="EI2462" s="11"/>
      <c r="EJ2462" s="11"/>
      <c r="EK2462" s="11"/>
      <c r="EL2462" s="11"/>
      <c r="EM2462" s="11"/>
      <c r="EN2462" s="11"/>
      <c r="EO2462" s="11"/>
      <c r="EP2462" s="11"/>
      <c r="EQ2462" s="11"/>
      <c r="ER2462" s="11"/>
      <c r="ES2462" s="11"/>
      <c r="ET2462" s="11"/>
      <c r="EU2462" s="11"/>
      <c r="EV2462" s="11"/>
      <c r="EW2462" s="11"/>
      <c r="EX2462" s="11"/>
      <c r="EY2462" s="11"/>
      <c r="EZ2462" s="11"/>
      <c r="FA2462" s="11"/>
      <c r="FB2462" s="11"/>
      <c r="FC2462" s="11"/>
      <c r="FD2462" s="11"/>
      <c r="FE2462" s="11"/>
      <c r="FF2462" s="11"/>
      <c r="FG2462" s="11"/>
      <c r="FH2462" s="11"/>
      <c r="FI2462" s="11"/>
      <c r="FJ2462" s="11"/>
      <c r="FK2462" s="11"/>
      <c r="FL2462" s="11"/>
      <c r="FM2462" s="11"/>
      <c r="FN2462" s="11"/>
      <c r="FO2462" s="11"/>
      <c r="FP2462" s="11"/>
      <c r="FQ2462" s="11"/>
      <c r="FR2462" s="11"/>
      <c r="FS2462" s="11"/>
      <c r="FT2462" s="11"/>
      <c r="FU2462" s="11"/>
      <c r="FV2462" s="11"/>
      <c r="FW2462" s="11"/>
      <c r="FX2462" s="11"/>
      <c r="FY2462" s="11"/>
      <c r="FZ2462" s="11"/>
      <c r="GA2462" s="11"/>
      <c r="GB2462" s="11"/>
      <c r="GC2462" s="11"/>
      <c r="GD2462" s="11"/>
      <c r="GE2462" s="11"/>
      <c r="GF2462" s="11"/>
      <c r="GG2462" s="11"/>
      <c r="GH2462" s="11"/>
      <c r="GI2462" s="11"/>
      <c r="GJ2462" s="11"/>
      <c r="GK2462" s="11"/>
      <c r="GL2462" s="11"/>
      <c r="GM2462" s="11"/>
      <c r="GN2462" s="11"/>
      <c r="GO2462" s="11"/>
      <c r="GP2462" s="11"/>
      <c r="GQ2462" s="11"/>
      <c r="GR2462" s="11"/>
      <c r="GS2462" s="11"/>
      <c r="GT2462" s="11"/>
      <c r="GU2462" s="11"/>
      <c r="GV2462" s="11"/>
      <c r="GW2462" s="11"/>
      <c r="GX2462" s="11"/>
      <c r="GY2462" s="11"/>
      <c r="GZ2462" s="11"/>
      <c r="HA2462" s="11"/>
      <c r="HB2462" s="11"/>
      <c r="HC2462" s="11"/>
      <c r="HD2462" s="11"/>
      <c r="HE2462" s="11"/>
      <c r="HF2462" s="11"/>
      <c r="HG2462" s="11"/>
      <c r="HH2462" s="11"/>
      <c r="HI2462" s="11"/>
      <c r="HJ2462" s="11"/>
      <c r="HK2462" s="11"/>
      <c r="HL2462" s="11"/>
      <c r="HM2462" s="11"/>
      <c r="HN2462" s="11"/>
      <c r="HO2462" s="11"/>
      <c r="HP2462" s="11"/>
      <c r="HQ2462" s="11"/>
      <c r="HR2462" s="11"/>
      <c r="HS2462" s="11"/>
      <c r="HT2462" s="11"/>
      <c r="HU2462" s="11"/>
      <c r="HV2462" s="11"/>
      <c r="HW2462" s="11"/>
      <c r="HX2462" s="11"/>
      <c r="HY2462" s="11"/>
      <c r="HZ2462" s="11"/>
      <c r="IA2462" s="11"/>
      <c r="IB2462" s="11"/>
      <c r="IC2462" s="11"/>
      <c r="ID2462" s="11"/>
      <c r="IE2462" s="11"/>
      <c r="IF2462" s="11"/>
      <c r="IG2462" s="11"/>
      <c r="IH2462" s="11"/>
      <c r="II2462" s="11"/>
      <c r="IJ2462" s="11"/>
    </row>
    <row r="2463" spans="1:244" s="128" customFormat="1" ht="12.75" customHeight="1">
      <c r="A2463" s="118">
        <v>2462</v>
      </c>
      <c r="B2463" s="128">
        <v>26</v>
      </c>
      <c r="C2463" s="156">
        <v>38808</v>
      </c>
      <c r="D2463" s="157" t="s">
        <v>47</v>
      </c>
      <c r="E2463" s="8">
        <v>2006</v>
      </c>
      <c r="F2463" s="158">
        <f t="shared" ref="F2463:F2486" si="644">C2463-H2463</f>
        <v>0</v>
      </c>
      <c r="G2463" s="158">
        <f t="shared" ref="G2463:G2486" si="645">IF(F2463&lt;365,1,2)</f>
        <v>1</v>
      </c>
      <c r="H2463" s="162">
        <v>38808</v>
      </c>
      <c r="I2463" s="218">
        <v>450000</v>
      </c>
      <c r="J2463" s="15"/>
      <c r="K2463" s="15"/>
      <c r="L2463" s="165">
        <v>0</v>
      </c>
      <c r="M2463" s="174"/>
      <c r="N2463" s="528" t="s">
        <v>794</v>
      </c>
      <c r="O2463" s="15">
        <v>0</v>
      </c>
      <c r="P2463" s="8"/>
      <c r="Q2463" s="11"/>
      <c r="R2463" s="11"/>
      <c r="S2463" s="155" t="s">
        <v>11</v>
      </c>
      <c r="T2463" s="15"/>
      <c r="U2463" s="161">
        <f t="shared" ref="U2463:U2486" si="646">$I2463*L2463</f>
        <v>0</v>
      </c>
      <c r="V2463" s="161">
        <f t="shared" ref="V2463:V2486" si="647">$I2463*O2463</f>
        <v>0</v>
      </c>
      <c r="W2463" s="161">
        <f t="shared" ref="W2463:W2486" si="648">V2463*0.4</f>
        <v>0</v>
      </c>
      <c r="X2463" s="11"/>
      <c r="Y2463" s="11"/>
      <c r="Z2463" s="11"/>
      <c r="AA2463" s="11"/>
      <c r="AB2463" s="11"/>
      <c r="AC2463" s="11"/>
      <c r="AD2463" s="11"/>
      <c r="AE2463" s="11"/>
      <c r="AF2463" s="11"/>
      <c r="AG2463" s="11"/>
      <c r="AH2463" s="11"/>
      <c r="AI2463" s="11"/>
      <c r="AJ2463" s="11"/>
      <c r="AK2463" s="11"/>
      <c r="AL2463" s="11"/>
      <c r="AM2463" s="11"/>
      <c r="AN2463" s="11"/>
      <c r="AO2463" s="11"/>
      <c r="AP2463" s="11"/>
      <c r="AQ2463" s="11"/>
      <c r="AR2463" s="11"/>
      <c r="AS2463" s="11"/>
      <c r="AT2463" s="11"/>
      <c r="AU2463" s="11"/>
      <c r="AV2463" s="11"/>
      <c r="AW2463" s="11"/>
      <c r="AX2463" s="11"/>
      <c r="AY2463" s="11"/>
      <c r="AZ2463" s="11"/>
      <c r="BA2463" s="11"/>
      <c r="BB2463" s="11"/>
      <c r="BC2463" s="11"/>
      <c r="BD2463" s="11"/>
      <c r="BE2463" s="11"/>
      <c r="BF2463" s="11"/>
      <c r="BG2463" s="11"/>
      <c r="BH2463" s="11"/>
      <c r="BI2463" s="11"/>
      <c r="BJ2463" s="11"/>
      <c r="BK2463" s="11"/>
      <c r="BL2463" s="11"/>
      <c r="BM2463" s="11"/>
      <c r="BN2463" s="11"/>
      <c r="BO2463" s="11"/>
      <c r="BP2463" s="11"/>
      <c r="BQ2463" s="11"/>
      <c r="BR2463" s="11"/>
      <c r="BS2463" s="11"/>
      <c r="BT2463" s="11"/>
      <c r="BU2463" s="11"/>
      <c r="BV2463" s="11"/>
      <c r="BW2463" s="11"/>
      <c r="BX2463" s="11"/>
      <c r="BY2463" s="11"/>
      <c r="BZ2463" s="11"/>
      <c r="CA2463" s="11"/>
      <c r="CB2463" s="11"/>
      <c r="CC2463" s="11"/>
      <c r="CD2463" s="11"/>
      <c r="CE2463" s="11"/>
      <c r="CF2463" s="11"/>
      <c r="CG2463" s="11"/>
      <c r="CH2463" s="11"/>
      <c r="CI2463" s="11"/>
      <c r="CJ2463" s="11"/>
      <c r="CK2463" s="11"/>
      <c r="CL2463" s="11"/>
      <c r="CM2463" s="11"/>
      <c r="CN2463" s="11"/>
      <c r="CO2463" s="11"/>
      <c r="CP2463" s="11"/>
      <c r="CQ2463" s="11"/>
      <c r="CR2463" s="11"/>
      <c r="CS2463" s="11"/>
      <c r="CT2463" s="11"/>
      <c r="CU2463" s="11"/>
      <c r="CV2463" s="11"/>
      <c r="CW2463" s="11"/>
      <c r="CX2463" s="11"/>
      <c r="CY2463" s="11"/>
      <c r="CZ2463" s="11"/>
      <c r="DA2463" s="11"/>
      <c r="DB2463" s="11"/>
      <c r="DC2463" s="11"/>
      <c r="DD2463" s="11"/>
      <c r="DE2463" s="11"/>
      <c r="DF2463" s="11"/>
      <c r="DG2463" s="11"/>
      <c r="DH2463" s="11"/>
      <c r="DI2463" s="11"/>
      <c r="DJ2463" s="11"/>
      <c r="DK2463" s="11"/>
      <c r="DL2463" s="11"/>
      <c r="DM2463" s="11"/>
      <c r="DN2463" s="11"/>
      <c r="DO2463" s="11"/>
      <c r="DP2463" s="11"/>
      <c r="DQ2463" s="11"/>
      <c r="DR2463" s="11"/>
      <c r="DS2463" s="11"/>
      <c r="DT2463" s="11"/>
      <c r="DU2463" s="11"/>
      <c r="DV2463" s="11"/>
      <c r="DW2463" s="11"/>
      <c r="DX2463" s="11"/>
      <c r="DY2463" s="11"/>
      <c r="DZ2463" s="11"/>
      <c r="EA2463" s="11"/>
      <c r="EB2463" s="11"/>
      <c r="EC2463" s="11"/>
      <c r="ED2463" s="11"/>
      <c r="EE2463" s="11"/>
      <c r="EF2463" s="11"/>
      <c r="EG2463" s="11"/>
      <c r="EH2463" s="11"/>
      <c r="EI2463" s="11"/>
      <c r="EJ2463" s="11"/>
      <c r="EK2463" s="11"/>
      <c r="EL2463" s="11"/>
      <c r="EM2463" s="11"/>
      <c r="EN2463" s="11"/>
      <c r="EO2463" s="11"/>
      <c r="EP2463" s="11"/>
      <c r="EQ2463" s="11"/>
      <c r="ER2463" s="11"/>
      <c r="ES2463" s="11"/>
      <c r="ET2463" s="11"/>
      <c r="EU2463" s="11"/>
      <c r="EV2463" s="11"/>
      <c r="EW2463" s="11"/>
      <c r="EX2463" s="11"/>
      <c r="EY2463" s="11"/>
      <c r="EZ2463" s="11"/>
      <c r="FA2463" s="11"/>
      <c r="FB2463" s="11"/>
      <c r="FC2463" s="11"/>
      <c r="FD2463" s="11"/>
      <c r="FE2463" s="11"/>
      <c r="FF2463" s="11"/>
      <c r="FG2463" s="11"/>
      <c r="FH2463" s="11"/>
      <c r="FI2463" s="11"/>
      <c r="FJ2463" s="11"/>
      <c r="FK2463" s="11"/>
      <c r="FL2463" s="11"/>
      <c r="FM2463" s="11"/>
      <c r="FN2463" s="11"/>
      <c r="FO2463" s="11"/>
      <c r="FP2463" s="11"/>
      <c r="FQ2463" s="11"/>
      <c r="FR2463" s="11"/>
      <c r="FS2463" s="11"/>
      <c r="FT2463" s="11"/>
      <c r="FU2463" s="11"/>
      <c r="FV2463" s="11"/>
      <c r="FW2463" s="11"/>
      <c r="FX2463" s="11"/>
      <c r="FY2463" s="11"/>
      <c r="FZ2463" s="11"/>
      <c r="GA2463" s="11"/>
      <c r="GB2463" s="11"/>
      <c r="GC2463" s="11"/>
      <c r="GD2463" s="11"/>
      <c r="GE2463" s="11"/>
      <c r="GF2463" s="11"/>
      <c r="GG2463" s="11"/>
      <c r="GH2463" s="11"/>
      <c r="GI2463" s="11"/>
      <c r="GJ2463" s="11"/>
      <c r="GK2463" s="11"/>
      <c r="GL2463" s="11"/>
      <c r="GM2463" s="11"/>
      <c r="GN2463" s="11"/>
      <c r="GO2463" s="11"/>
      <c r="GP2463" s="11"/>
      <c r="GQ2463" s="11"/>
      <c r="GR2463" s="11"/>
      <c r="GS2463" s="11"/>
      <c r="GT2463" s="11"/>
      <c r="GU2463" s="11"/>
      <c r="GV2463" s="11"/>
      <c r="GW2463" s="11"/>
      <c r="GX2463" s="11"/>
      <c r="GY2463" s="11"/>
      <c r="GZ2463" s="11"/>
      <c r="HA2463" s="11"/>
      <c r="HB2463" s="11"/>
      <c r="HC2463" s="11"/>
      <c r="HD2463" s="11"/>
      <c r="HE2463" s="11"/>
      <c r="HF2463" s="11"/>
      <c r="HG2463" s="11"/>
      <c r="HH2463" s="11"/>
      <c r="HI2463" s="11"/>
      <c r="HJ2463" s="11"/>
      <c r="HK2463" s="11"/>
      <c r="HL2463" s="11"/>
      <c r="HM2463" s="11"/>
      <c r="HN2463" s="11"/>
      <c r="HO2463" s="11"/>
      <c r="HP2463" s="11"/>
      <c r="HQ2463" s="11"/>
      <c r="HR2463" s="11"/>
      <c r="HS2463" s="11"/>
      <c r="HT2463" s="11"/>
      <c r="HU2463" s="11"/>
      <c r="HV2463" s="11"/>
      <c r="HW2463" s="11"/>
      <c r="HX2463" s="11"/>
      <c r="HY2463" s="11"/>
      <c r="HZ2463" s="11"/>
      <c r="IA2463" s="11"/>
      <c r="IB2463" s="11"/>
      <c r="IC2463" s="11"/>
      <c r="ID2463" s="11"/>
      <c r="IE2463" s="11"/>
      <c r="IF2463" s="11"/>
      <c r="IG2463" s="11"/>
      <c r="IH2463" s="11"/>
      <c r="II2463" s="11"/>
      <c r="IJ2463" s="11"/>
    </row>
    <row r="2464" spans="1:244" s="128" customFormat="1" ht="12.75" customHeight="1">
      <c r="A2464" s="118">
        <v>2463</v>
      </c>
      <c r="B2464" s="128">
        <v>26</v>
      </c>
      <c r="C2464" s="156">
        <v>38838</v>
      </c>
      <c r="D2464" s="157" t="s">
        <v>48</v>
      </c>
      <c r="E2464" s="8">
        <v>2006</v>
      </c>
      <c r="F2464" s="158">
        <f t="shared" si="644"/>
        <v>30</v>
      </c>
      <c r="G2464" s="158">
        <f t="shared" si="645"/>
        <v>1</v>
      </c>
      <c r="H2464" s="162">
        <v>38808</v>
      </c>
      <c r="I2464" s="218">
        <v>475000</v>
      </c>
      <c r="J2464" s="15"/>
      <c r="K2464" s="15"/>
      <c r="L2464" s="165">
        <v>0</v>
      </c>
      <c r="M2464" s="174"/>
      <c r="N2464" s="528" t="s">
        <v>794</v>
      </c>
      <c r="O2464" s="15">
        <v>0</v>
      </c>
      <c r="P2464" s="8"/>
      <c r="Q2464" s="11"/>
      <c r="R2464" s="11"/>
      <c r="S2464" s="155"/>
      <c r="T2464" s="15"/>
      <c r="U2464" s="161">
        <f t="shared" si="646"/>
        <v>0</v>
      </c>
      <c r="V2464" s="161">
        <f t="shared" si="647"/>
        <v>0</v>
      </c>
      <c r="W2464" s="161">
        <f t="shared" si="648"/>
        <v>0</v>
      </c>
      <c r="X2464" s="189"/>
      <c r="Y2464" s="189"/>
      <c r="Z2464" s="189"/>
      <c r="AA2464" s="189"/>
      <c r="AB2464" s="189"/>
      <c r="AC2464" s="189"/>
      <c r="AD2464" s="189"/>
      <c r="AE2464" s="189"/>
      <c r="AF2464" s="189"/>
      <c r="AG2464" s="189"/>
      <c r="AH2464" s="189"/>
      <c r="AI2464" s="189"/>
      <c r="AJ2464" s="189"/>
      <c r="AK2464" s="189"/>
      <c r="AL2464" s="189"/>
      <c r="AM2464" s="189"/>
      <c r="AN2464" s="189"/>
      <c r="AO2464" s="189"/>
      <c r="AP2464" s="189"/>
      <c r="AQ2464" s="189"/>
      <c r="AR2464" s="189"/>
      <c r="AS2464" s="189"/>
      <c r="AT2464" s="189"/>
      <c r="AU2464" s="189"/>
      <c r="AV2464" s="189"/>
      <c r="AW2464" s="189"/>
      <c r="AX2464" s="189"/>
      <c r="AY2464" s="189"/>
      <c r="AZ2464" s="189"/>
      <c r="BA2464" s="189"/>
      <c r="BB2464" s="189"/>
      <c r="BC2464" s="189"/>
      <c r="BD2464" s="189"/>
      <c r="BE2464" s="189"/>
      <c r="BF2464" s="189"/>
      <c r="BG2464" s="189"/>
      <c r="BH2464" s="189"/>
      <c r="BI2464" s="189"/>
      <c r="BJ2464" s="189"/>
      <c r="BK2464" s="189"/>
      <c r="BL2464" s="189"/>
      <c r="BM2464" s="189"/>
      <c r="BN2464" s="189"/>
      <c r="BO2464" s="189"/>
      <c r="BP2464" s="189"/>
      <c r="BQ2464" s="189"/>
      <c r="BR2464" s="189"/>
      <c r="BS2464" s="189"/>
      <c r="BT2464" s="189"/>
      <c r="BU2464" s="189"/>
      <c r="BV2464" s="189"/>
      <c r="BW2464" s="189"/>
      <c r="BX2464" s="189"/>
      <c r="BY2464" s="189"/>
      <c r="BZ2464" s="189"/>
      <c r="CA2464" s="189"/>
      <c r="CB2464" s="189"/>
      <c r="CC2464" s="189"/>
      <c r="CD2464" s="189"/>
      <c r="CE2464" s="189"/>
      <c r="CF2464" s="189"/>
      <c r="CG2464" s="189"/>
      <c r="CH2464" s="189"/>
      <c r="CI2464" s="189"/>
      <c r="CJ2464" s="189"/>
      <c r="CK2464" s="189"/>
      <c r="CL2464" s="189"/>
      <c r="CM2464" s="189"/>
      <c r="CN2464" s="189"/>
      <c r="CO2464" s="189"/>
      <c r="CP2464" s="189"/>
      <c r="CQ2464" s="189"/>
      <c r="CR2464" s="189"/>
      <c r="CS2464" s="189"/>
      <c r="CT2464" s="189"/>
      <c r="CU2464" s="189"/>
      <c r="CV2464" s="189"/>
      <c r="CW2464" s="189"/>
      <c r="CX2464" s="189"/>
      <c r="CY2464" s="189"/>
      <c r="CZ2464" s="189"/>
      <c r="DA2464" s="189"/>
      <c r="DB2464" s="189"/>
      <c r="DC2464" s="189"/>
      <c r="DD2464" s="189"/>
      <c r="DE2464" s="189"/>
      <c r="DF2464" s="189"/>
      <c r="DG2464" s="189"/>
      <c r="DH2464" s="189"/>
      <c r="DI2464" s="189"/>
      <c r="DJ2464" s="189"/>
      <c r="DK2464" s="189"/>
      <c r="DL2464" s="189"/>
      <c r="DM2464" s="189"/>
      <c r="DN2464" s="189"/>
      <c r="DO2464" s="189"/>
      <c r="DP2464" s="189"/>
      <c r="DQ2464" s="189"/>
      <c r="DR2464" s="189"/>
      <c r="DS2464" s="189"/>
      <c r="DT2464" s="189"/>
      <c r="DU2464" s="189"/>
      <c r="DV2464" s="189"/>
      <c r="DW2464" s="189"/>
      <c r="DX2464" s="189"/>
      <c r="DY2464" s="189"/>
      <c r="DZ2464" s="189"/>
      <c r="EA2464" s="189"/>
      <c r="EB2464" s="189"/>
      <c r="EC2464" s="189"/>
      <c r="ED2464" s="189"/>
      <c r="EE2464" s="189"/>
      <c r="EF2464" s="189"/>
      <c r="EG2464" s="189"/>
      <c r="EH2464" s="189"/>
      <c r="EI2464" s="189"/>
      <c r="EJ2464" s="189"/>
      <c r="EK2464" s="189"/>
      <c r="EL2464" s="189"/>
      <c r="EM2464" s="189"/>
      <c r="EN2464" s="189"/>
      <c r="EO2464" s="189"/>
      <c r="EP2464" s="189"/>
      <c r="EQ2464" s="189"/>
      <c r="ER2464" s="189"/>
      <c r="ES2464" s="189"/>
      <c r="ET2464" s="189"/>
      <c r="EU2464" s="189"/>
      <c r="EV2464" s="189"/>
      <c r="EW2464" s="189"/>
      <c r="EX2464" s="189"/>
      <c r="EY2464" s="189"/>
      <c r="EZ2464" s="189"/>
      <c r="FA2464" s="189"/>
      <c r="FB2464" s="189"/>
      <c r="FC2464" s="189"/>
      <c r="FD2464" s="189"/>
      <c r="FE2464" s="189"/>
      <c r="FF2464" s="189"/>
      <c r="FG2464" s="189"/>
      <c r="FH2464" s="189"/>
      <c r="FI2464" s="189"/>
      <c r="FJ2464" s="189"/>
      <c r="FK2464" s="189"/>
      <c r="FL2464" s="189"/>
      <c r="FM2464" s="189"/>
      <c r="FN2464" s="189"/>
      <c r="FO2464" s="189"/>
      <c r="FP2464" s="189"/>
      <c r="FQ2464" s="189"/>
      <c r="FR2464" s="189"/>
      <c r="FS2464" s="189"/>
      <c r="FT2464" s="189"/>
      <c r="FU2464" s="189"/>
      <c r="FV2464" s="189"/>
      <c r="FW2464" s="189"/>
      <c r="FX2464" s="189"/>
      <c r="FY2464" s="189"/>
      <c r="FZ2464" s="189"/>
      <c r="GA2464" s="189"/>
      <c r="GB2464" s="189"/>
      <c r="GC2464" s="189"/>
      <c r="GD2464" s="189"/>
      <c r="GE2464" s="189"/>
      <c r="GF2464" s="189"/>
      <c r="GG2464" s="189"/>
      <c r="GH2464" s="189"/>
      <c r="GI2464" s="189"/>
      <c r="GJ2464" s="189"/>
      <c r="GK2464" s="189"/>
      <c r="GL2464" s="189"/>
      <c r="GM2464" s="189"/>
      <c r="GN2464" s="189"/>
      <c r="GO2464" s="189"/>
      <c r="GP2464" s="189"/>
      <c r="GQ2464" s="189"/>
      <c r="GR2464" s="189"/>
      <c r="GS2464" s="189"/>
      <c r="GT2464" s="189"/>
      <c r="GU2464" s="189"/>
      <c r="GV2464" s="189"/>
      <c r="GW2464" s="189"/>
      <c r="GX2464" s="189"/>
      <c r="GY2464" s="189"/>
      <c r="GZ2464" s="189"/>
      <c r="HA2464" s="189"/>
      <c r="HB2464" s="189"/>
      <c r="HC2464" s="189"/>
      <c r="HD2464" s="189"/>
      <c r="HE2464" s="189"/>
      <c r="HF2464" s="189"/>
      <c r="HG2464" s="189"/>
      <c r="HH2464" s="189"/>
      <c r="HI2464" s="189"/>
      <c r="HJ2464" s="189"/>
      <c r="HK2464" s="189"/>
      <c r="HL2464" s="189"/>
      <c r="HM2464" s="189"/>
      <c r="HN2464" s="189"/>
      <c r="HO2464" s="189"/>
      <c r="HP2464" s="189"/>
      <c r="HQ2464" s="189"/>
      <c r="HR2464" s="189"/>
      <c r="HS2464" s="189"/>
      <c r="HT2464" s="189"/>
      <c r="HU2464" s="189"/>
      <c r="HV2464" s="189"/>
      <c r="HW2464" s="189"/>
      <c r="HX2464" s="189"/>
      <c r="HY2464" s="189"/>
      <c r="HZ2464" s="189"/>
      <c r="IA2464" s="189"/>
      <c r="IB2464" s="189"/>
      <c r="IC2464" s="189"/>
      <c r="ID2464" s="189"/>
      <c r="IE2464" s="189"/>
      <c r="IF2464" s="189"/>
      <c r="IG2464" s="189"/>
      <c r="IH2464" s="189"/>
      <c r="II2464" s="189"/>
      <c r="IJ2464" s="189"/>
    </row>
    <row r="2465" spans="1:244" s="128" customFormat="1" ht="12.75" customHeight="1">
      <c r="A2465" s="118">
        <v>2464</v>
      </c>
      <c r="B2465" s="128">
        <v>26</v>
      </c>
      <c r="C2465" s="156">
        <v>38869</v>
      </c>
      <c r="D2465" s="157" t="s">
        <v>49</v>
      </c>
      <c r="E2465" s="8">
        <v>2006</v>
      </c>
      <c r="F2465" s="158">
        <f t="shared" si="644"/>
        <v>61</v>
      </c>
      <c r="G2465" s="158">
        <f t="shared" si="645"/>
        <v>1</v>
      </c>
      <c r="H2465" s="162">
        <v>38808</v>
      </c>
      <c r="I2465" s="218">
        <v>475000</v>
      </c>
      <c r="J2465" s="15">
        <v>0</v>
      </c>
      <c r="K2465" s="15">
        <v>0</v>
      </c>
      <c r="L2465" s="15">
        <v>0</v>
      </c>
      <c r="M2465" s="174"/>
      <c r="N2465" s="528"/>
      <c r="O2465" s="15">
        <v>0</v>
      </c>
      <c r="P2465" s="8"/>
      <c r="Q2465" s="11">
        <v>12</v>
      </c>
      <c r="R2465" s="11">
        <v>24</v>
      </c>
      <c r="S2465" s="155"/>
      <c r="T2465" s="161">
        <f t="shared" ref="T2465:T2486" si="649">$I2465*K2465</f>
        <v>0</v>
      </c>
      <c r="U2465" s="161">
        <f t="shared" si="646"/>
        <v>0</v>
      </c>
      <c r="V2465" s="161">
        <f t="shared" si="647"/>
        <v>0</v>
      </c>
      <c r="W2465" s="161">
        <f t="shared" si="648"/>
        <v>0</v>
      </c>
      <c r="X2465" s="118"/>
      <c r="Y2465" s="118"/>
      <c r="Z2465" s="118"/>
      <c r="AA2465" s="118"/>
      <c r="AB2465" s="118"/>
      <c r="AC2465" s="118"/>
      <c r="AD2465" s="118"/>
      <c r="AE2465" s="118"/>
      <c r="AF2465" s="118"/>
      <c r="AG2465" s="118"/>
      <c r="AH2465" s="118"/>
      <c r="AI2465" s="118"/>
      <c r="AJ2465" s="118"/>
      <c r="AK2465" s="118"/>
      <c r="AL2465" s="118"/>
      <c r="AM2465" s="118"/>
      <c r="AN2465" s="118"/>
      <c r="AO2465" s="118"/>
      <c r="AP2465" s="118"/>
      <c r="AQ2465" s="118"/>
      <c r="AR2465" s="118"/>
      <c r="AS2465" s="118"/>
      <c r="AT2465" s="118"/>
      <c r="AU2465" s="118"/>
      <c r="AV2465" s="118"/>
      <c r="AW2465" s="118"/>
      <c r="AX2465" s="118"/>
      <c r="AY2465" s="118"/>
      <c r="AZ2465" s="118"/>
      <c r="BA2465" s="118"/>
      <c r="BB2465" s="118"/>
      <c r="BC2465" s="118"/>
      <c r="BD2465" s="118"/>
      <c r="BE2465" s="118"/>
      <c r="BF2465" s="118"/>
      <c r="BG2465" s="118"/>
      <c r="BH2465" s="118"/>
      <c r="BI2465" s="118"/>
      <c r="BJ2465" s="118"/>
      <c r="BK2465" s="118"/>
      <c r="BL2465" s="118"/>
      <c r="BM2465" s="118"/>
      <c r="BN2465" s="118"/>
      <c r="BO2465" s="118"/>
      <c r="BP2465" s="118"/>
      <c r="BQ2465" s="118"/>
      <c r="BR2465" s="118"/>
      <c r="BS2465" s="118"/>
      <c r="BT2465" s="118"/>
      <c r="BU2465" s="118"/>
      <c r="BV2465" s="118"/>
      <c r="BW2465" s="118"/>
      <c r="BX2465" s="118"/>
      <c r="BY2465" s="118"/>
      <c r="BZ2465" s="118"/>
      <c r="CA2465" s="118"/>
      <c r="CB2465" s="118"/>
      <c r="CC2465" s="118"/>
      <c r="CD2465" s="118"/>
      <c r="CE2465" s="118"/>
      <c r="CF2465" s="118"/>
      <c r="CG2465" s="118"/>
      <c r="CH2465" s="118"/>
      <c r="CI2465" s="118"/>
      <c r="CJ2465" s="118"/>
      <c r="CK2465" s="118"/>
      <c r="CL2465" s="118"/>
      <c r="CM2465" s="118"/>
      <c r="CN2465" s="118"/>
      <c r="CO2465" s="118"/>
      <c r="CP2465" s="118"/>
      <c r="CQ2465" s="118"/>
      <c r="CR2465" s="118"/>
      <c r="CS2465" s="118"/>
      <c r="CT2465" s="118"/>
      <c r="CU2465" s="118"/>
      <c r="CV2465" s="118"/>
      <c r="CW2465" s="118"/>
      <c r="CX2465" s="118"/>
      <c r="CY2465" s="118"/>
      <c r="CZ2465" s="118"/>
      <c r="DA2465" s="118"/>
      <c r="DB2465" s="118"/>
      <c r="DC2465" s="118"/>
      <c r="DD2465" s="118"/>
      <c r="DE2465" s="118"/>
      <c r="DF2465" s="118"/>
      <c r="DG2465" s="118"/>
      <c r="DH2465" s="118"/>
      <c r="DI2465" s="118"/>
      <c r="DJ2465" s="118"/>
      <c r="DK2465" s="118"/>
      <c r="DL2465" s="118"/>
      <c r="DM2465" s="118"/>
      <c r="DN2465" s="118"/>
      <c r="DO2465" s="118"/>
      <c r="DP2465" s="118"/>
      <c r="DQ2465" s="118"/>
      <c r="DR2465" s="118"/>
      <c r="DS2465" s="118"/>
      <c r="DT2465" s="118"/>
      <c r="DU2465" s="118"/>
      <c r="DV2465" s="118"/>
      <c r="DW2465" s="118"/>
      <c r="DX2465" s="118"/>
      <c r="DY2465" s="118"/>
      <c r="DZ2465" s="118"/>
      <c r="EA2465" s="118"/>
      <c r="EB2465" s="118"/>
      <c r="EC2465" s="118"/>
      <c r="ED2465" s="118"/>
      <c r="EE2465" s="118"/>
      <c r="EF2465" s="118"/>
      <c r="EG2465" s="118"/>
      <c r="EH2465" s="118"/>
      <c r="EI2465" s="118"/>
      <c r="EJ2465" s="118"/>
      <c r="EK2465" s="118"/>
      <c r="EL2465" s="118"/>
      <c r="EM2465" s="118"/>
      <c r="EN2465" s="118"/>
      <c r="EO2465" s="118"/>
      <c r="EP2465" s="118"/>
      <c r="EQ2465" s="118"/>
      <c r="ER2465" s="118"/>
      <c r="ES2465" s="118"/>
      <c r="ET2465" s="118"/>
      <c r="EU2465" s="118"/>
      <c r="EV2465" s="118"/>
      <c r="EW2465" s="118"/>
      <c r="EX2465" s="118"/>
      <c r="EY2465" s="118"/>
      <c r="EZ2465" s="118"/>
      <c r="FA2465" s="118"/>
      <c r="FB2465" s="118"/>
      <c r="FC2465" s="118"/>
      <c r="FD2465" s="118"/>
      <c r="FE2465" s="118"/>
      <c r="FF2465" s="118"/>
      <c r="FG2465" s="118"/>
      <c r="FH2465" s="118"/>
      <c r="FI2465" s="118"/>
      <c r="FJ2465" s="118"/>
      <c r="FK2465" s="118"/>
      <c r="FL2465" s="118"/>
      <c r="FM2465" s="118"/>
      <c r="FN2465" s="118"/>
      <c r="FO2465" s="118"/>
      <c r="FP2465" s="118"/>
      <c r="FQ2465" s="118"/>
      <c r="FR2465" s="118"/>
      <c r="FS2465" s="118"/>
      <c r="FT2465" s="118"/>
      <c r="FU2465" s="118"/>
      <c r="FV2465" s="118"/>
      <c r="FW2465" s="118"/>
      <c r="FX2465" s="118"/>
      <c r="FY2465" s="118"/>
      <c r="FZ2465" s="118"/>
      <c r="GA2465" s="118"/>
      <c r="GB2465" s="118"/>
      <c r="GC2465" s="118"/>
      <c r="GD2465" s="118"/>
      <c r="GE2465" s="118"/>
      <c r="GF2465" s="118"/>
      <c r="GG2465" s="118"/>
      <c r="GH2465" s="118"/>
      <c r="GI2465" s="118"/>
      <c r="GJ2465" s="118"/>
      <c r="GK2465" s="118"/>
      <c r="GL2465" s="118"/>
      <c r="GM2465" s="118"/>
      <c r="GN2465" s="118"/>
      <c r="GO2465" s="118"/>
      <c r="GP2465" s="118"/>
      <c r="GQ2465" s="118"/>
      <c r="GR2465" s="118"/>
      <c r="GS2465" s="118"/>
      <c r="GT2465" s="118"/>
      <c r="GU2465" s="118"/>
      <c r="GV2465" s="118"/>
      <c r="GW2465" s="118"/>
      <c r="GX2465" s="118"/>
      <c r="GY2465" s="118"/>
      <c r="GZ2465" s="118"/>
      <c r="HA2465" s="118"/>
      <c r="HB2465" s="118"/>
      <c r="HC2465" s="118"/>
      <c r="HD2465" s="118"/>
      <c r="HE2465" s="118"/>
      <c r="HF2465" s="118"/>
      <c r="HG2465" s="118"/>
      <c r="HH2465" s="118"/>
      <c r="HI2465" s="118"/>
      <c r="HJ2465" s="118"/>
      <c r="HK2465" s="118"/>
      <c r="HL2465" s="118"/>
      <c r="HM2465" s="118"/>
      <c r="HN2465" s="118"/>
      <c r="HO2465" s="118"/>
      <c r="HP2465" s="118"/>
      <c r="HQ2465" s="118"/>
      <c r="HR2465" s="118"/>
      <c r="HS2465" s="118"/>
      <c r="HT2465" s="118"/>
      <c r="HU2465" s="118"/>
      <c r="HV2465" s="118"/>
      <c r="HW2465" s="118"/>
      <c r="HX2465" s="118"/>
      <c r="HY2465" s="118"/>
      <c r="HZ2465" s="118"/>
      <c r="IA2465" s="118"/>
      <c r="IB2465" s="118"/>
      <c r="IC2465" s="118"/>
      <c r="ID2465" s="118"/>
      <c r="IE2465" s="118"/>
      <c r="IF2465" s="118"/>
      <c r="IG2465" s="118"/>
      <c r="IH2465" s="118"/>
      <c r="II2465" s="118"/>
      <c r="IJ2465" s="118"/>
    </row>
    <row r="2466" spans="1:244" s="128" customFormat="1" ht="12.75" customHeight="1">
      <c r="A2466" s="118">
        <v>2465</v>
      </c>
      <c r="B2466" s="128">
        <v>26</v>
      </c>
      <c r="C2466" s="156">
        <v>38899</v>
      </c>
      <c r="D2466" s="157" t="s">
        <v>50</v>
      </c>
      <c r="E2466" s="8">
        <v>2006</v>
      </c>
      <c r="F2466" s="158">
        <f t="shared" si="644"/>
        <v>91</v>
      </c>
      <c r="G2466" s="158">
        <f t="shared" si="645"/>
        <v>1</v>
      </c>
      <c r="H2466" s="162">
        <v>38808</v>
      </c>
      <c r="I2466" s="218">
        <v>470000</v>
      </c>
      <c r="J2466" s="15">
        <v>0</v>
      </c>
      <c r="K2466" s="15">
        <v>0</v>
      </c>
      <c r="L2466" s="15">
        <v>0</v>
      </c>
      <c r="M2466" s="174">
        <v>0</v>
      </c>
      <c r="N2466" s="528"/>
      <c r="O2466" s="15">
        <v>0</v>
      </c>
      <c r="P2466" s="8"/>
      <c r="Q2466" s="11">
        <v>12</v>
      </c>
      <c r="R2466" s="11">
        <v>22</v>
      </c>
      <c r="S2466" s="155"/>
      <c r="T2466" s="161">
        <f t="shared" si="649"/>
        <v>0</v>
      </c>
      <c r="U2466" s="161">
        <f t="shared" si="646"/>
        <v>0</v>
      </c>
      <c r="V2466" s="161">
        <f t="shared" si="647"/>
        <v>0</v>
      </c>
      <c r="W2466" s="161">
        <f t="shared" si="648"/>
        <v>0</v>
      </c>
      <c r="X2466" s="118"/>
      <c r="Y2466" s="118"/>
      <c r="Z2466" s="118"/>
      <c r="AA2466" s="118"/>
      <c r="AB2466" s="118"/>
      <c r="AC2466" s="118"/>
      <c r="AD2466" s="118"/>
      <c r="AE2466" s="118"/>
      <c r="AF2466" s="118"/>
      <c r="AG2466" s="118"/>
      <c r="AH2466" s="118"/>
      <c r="AI2466" s="118"/>
      <c r="AJ2466" s="118"/>
      <c r="AK2466" s="118"/>
      <c r="AL2466" s="118"/>
      <c r="AM2466" s="118"/>
      <c r="AN2466" s="118"/>
      <c r="AO2466" s="118"/>
      <c r="AP2466" s="118"/>
      <c r="AQ2466" s="118"/>
      <c r="AR2466" s="118"/>
      <c r="AS2466" s="118"/>
      <c r="AT2466" s="118"/>
      <c r="AU2466" s="118"/>
      <c r="AV2466" s="118"/>
      <c r="AW2466" s="118"/>
      <c r="AX2466" s="118"/>
      <c r="AY2466" s="118"/>
      <c r="AZ2466" s="118"/>
      <c r="BA2466" s="118"/>
      <c r="BB2466" s="118"/>
      <c r="BC2466" s="118"/>
      <c r="BD2466" s="118"/>
      <c r="BE2466" s="118"/>
      <c r="BF2466" s="118"/>
      <c r="BG2466" s="118"/>
      <c r="BH2466" s="118"/>
      <c r="BI2466" s="118"/>
      <c r="BJ2466" s="118"/>
      <c r="BK2466" s="118"/>
      <c r="BL2466" s="118"/>
      <c r="BM2466" s="118"/>
      <c r="BN2466" s="118"/>
      <c r="BO2466" s="118"/>
      <c r="BP2466" s="118"/>
      <c r="BQ2466" s="118"/>
      <c r="BR2466" s="118"/>
      <c r="BS2466" s="118"/>
      <c r="BT2466" s="118"/>
      <c r="BU2466" s="118"/>
      <c r="BV2466" s="118"/>
      <c r="BW2466" s="118"/>
      <c r="BX2466" s="118"/>
      <c r="BY2466" s="118"/>
      <c r="BZ2466" s="118"/>
      <c r="CA2466" s="118"/>
      <c r="CB2466" s="118"/>
      <c r="CC2466" s="118"/>
      <c r="CD2466" s="118"/>
      <c r="CE2466" s="118"/>
      <c r="CF2466" s="118"/>
      <c r="CG2466" s="118"/>
      <c r="CH2466" s="118"/>
      <c r="CI2466" s="118"/>
      <c r="CJ2466" s="118"/>
      <c r="CK2466" s="118"/>
      <c r="CL2466" s="118"/>
      <c r="CM2466" s="118"/>
      <c r="CN2466" s="118"/>
      <c r="CO2466" s="118"/>
      <c r="CP2466" s="118"/>
      <c r="CQ2466" s="118"/>
      <c r="CR2466" s="118"/>
      <c r="CS2466" s="118"/>
      <c r="CT2466" s="118"/>
      <c r="CU2466" s="118"/>
      <c r="CV2466" s="118"/>
      <c r="CW2466" s="118"/>
      <c r="CX2466" s="118"/>
      <c r="CY2466" s="118"/>
      <c r="CZ2466" s="118"/>
      <c r="DA2466" s="118"/>
      <c r="DB2466" s="118"/>
      <c r="DC2466" s="118"/>
      <c r="DD2466" s="118"/>
      <c r="DE2466" s="118"/>
      <c r="DF2466" s="118"/>
      <c r="DG2466" s="118"/>
      <c r="DH2466" s="118"/>
      <c r="DI2466" s="118"/>
      <c r="DJ2466" s="118"/>
      <c r="DK2466" s="118"/>
      <c r="DL2466" s="118"/>
      <c r="DM2466" s="118"/>
      <c r="DN2466" s="118"/>
      <c r="DO2466" s="118"/>
      <c r="DP2466" s="118"/>
      <c r="DQ2466" s="118"/>
      <c r="DR2466" s="118"/>
      <c r="DS2466" s="118"/>
      <c r="DT2466" s="118"/>
      <c r="DU2466" s="118"/>
      <c r="DV2466" s="118"/>
      <c r="DW2466" s="118"/>
      <c r="DX2466" s="118"/>
      <c r="DY2466" s="118"/>
      <c r="DZ2466" s="118"/>
      <c r="EA2466" s="118"/>
      <c r="EB2466" s="118"/>
      <c r="EC2466" s="118"/>
      <c r="ED2466" s="118"/>
      <c r="EE2466" s="118"/>
      <c r="EF2466" s="118"/>
      <c r="EG2466" s="118"/>
      <c r="EH2466" s="118"/>
      <c r="EI2466" s="118"/>
      <c r="EJ2466" s="118"/>
      <c r="EK2466" s="118"/>
      <c r="EL2466" s="118"/>
      <c r="EM2466" s="118"/>
      <c r="EN2466" s="118"/>
      <c r="EO2466" s="118"/>
      <c r="EP2466" s="118"/>
      <c r="EQ2466" s="118"/>
      <c r="ER2466" s="118"/>
      <c r="ES2466" s="118"/>
      <c r="ET2466" s="118"/>
      <c r="EU2466" s="118"/>
      <c r="EV2466" s="118"/>
      <c r="EW2466" s="118"/>
      <c r="EX2466" s="118"/>
      <c r="EY2466" s="118"/>
      <c r="EZ2466" s="118"/>
      <c r="FA2466" s="118"/>
      <c r="FB2466" s="118"/>
      <c r="FC2466" s="118"/>
      <c r="FD2466" s="118"/>
      <c r="FE2466" s="118"/>
      <c r="FF2466" s="118"/>
      <c r="FG2466" s="118"/>
      <c r="FH2466" s="118"/>
      <c r="FI2466" s="118"/>
      <c r="FJ2466" s="118"/>
      <c r="FK2466" s="118"/>
      <c r="FL2466" s="118"/>
      <c r="FM2466" s="118"/>
      <c r="FN2466" s="118"/>
      <c r="FO2466" s="118"/>
      <c r="FP2466" s="118"/>
      <c r="FQ2466" s="118"/>
      <c r="FR2466" s="118"/>
      <c r="FS2466" s="118"/>
      <c r="FT2466" s="118"/>
      <c r="FU2466" s="118"/>
      <c r="FV2466" s="118"/>
      <c r="FW2466" s="118"/>
      <c r="FX2466" s="118"/>
      <c r="FY2466" s="118"/>
      <c r="FZ2466" s="118"/>
      <c r="GA2466" s="118"/>
      <c r="GB2466" s="118"/>
      <c r="GC2466" s="118"/>
      <c r="GD2466" s="118"/>
      <c r="GE2466" s="118"/>
      <c r="GF2466" s="118"/>
      <c r="GG2466" s="118"/>
      <c r="GH2466" s="118"/>
      <c r="GI2466" s="118"/>
      <c r="GJ2466" s="118"/>
      <c r="GK2466" s="118"/>
      <c r="GL2466" s="118"/>
      <c r="GM2466" s="118"/>
      <c r="GN2466" s="118"/>
      <c r="GO2466" s="118"/>
      <c r="GP2466" s="118"/>
      <c r="GQ2466" s="118"/>
      <c r="GR2466" s="118"/>
      <c r="GS2466" s="118"/>
      <c r="GT2466" s="118"/>
      <c r="GU2466" s="118"/>
      <c r="GV2466" s="118"/>
      <c r="GW2466" s="118"/>
      <c r="GX2466" s="118"/>
      <c r="GY2466" s="118"/>
      <c r="GZ2466" s="118"/>
      <c r="HA2466" s="118"/>
      <c r="HB2466" s="118"/>
      <c r="HC2466" s="118"/>
      <c r="HD2466" s="118"/>
      <c r="HE2466" s="118"/>
      <c r="HF2466" s="118"/>
      <c r="HG2466" s="118"/>
      <c r="HH2466" s="118"/>
      <c r="HI2466" s="118"/>
      <c r="HJ2466" s="118"/>
      <c r="HK2466" s="118"/>
      <c r="HL2466" s="118"/>
      <c r="HM2466" s="118"/>
      <c r="HN2466" s="118"/>
      <c r="HO2466" s="118"/>
      <c r="HP2466" s="118"/>
      <c r="HQ2466" s="118"/>
      <c r="HR2466" s="118"/>
      <c r="HS2466" s="118"/>
      <c r="HT2466" s="118"/>
      <c r="HU2466" s="118"/>
      <c r="HV2466" s="118"/>
      <c r="HW2466" s="118"/>
      <c r="HX2466" s="118"/>
      <c r="HY2466" s="118"/>
      <c r="HZ2466" s="118"/>
      <c r="IA2466" s="118"/>
      <c r="IB2466" s="118"/>
      <c r="IC2466" s="118"/>
      <c r="ID2466" s="118"/>
      <c r="IE2466" s="118"/>
      <c r="IF2466" s="118"/>
      <c r="IG2466" s="118"/>
      <c r="IH2466" s="118"/>
      <c r="II2466" s="118"/>
      <c r="IJ2466" s="118"/>
    </row>
    <row r="2467" spans="1:244" s="128" customFormat="1" ht="12.75" customHeight="1">
      <c r="A2467" s="118">
        <v>2466</v>
      </c>
      <c r="B2467" s="128">
        <v>26</v>
      </c>
      <c r="C2467" s="156">
        <v>38930</v>
      </c>
      <c r="D2467" s="157" t="s">
        <v>51</v>
      </c>
      <c r="E2467" s="8">
        <v>2006</v>
      </c>
      <c r="F2467" s="158">
        <f t="shared" si="644"/>
        <v>122</v>
      </c>
      <c r="G2467" s="158">
        <f t="shared" si="645"/>
        <v>1</v>
      </c>
      <c r="H2467" s="162">
        <v>38808</v>
      </c>
      <c r="I2467" s="218">
        <v>468000</v>
      </c>
      <c r="J2467" s="15">
        <v>0</v>
      </c>
      <c r="K2467" s="15">
        <v>0</v>
      </c>
      <c r="L2467" s="15">
        <v>0</v>
      </c>
      <c r="M2467" s="174">
        <v>0</v>
      </c>
      <c r="N2467" s="528"/>
      <c r="O2467" s="15">
        <v>0</v>
      </c>
      <c r="P2467" s="8"/>
      <c r="Q2467" s="11">
        <v>12</v>
      </c>
      <c r="R2467" s="11">
        <v>24</v>
      </c>
      <c r="S2467" s="155"/>
      <c r="T2467" s="161">
        <f t="shared" si="649"/>
        <v>0</v>
      </c>
      <c r="U2467" s="161">
        <f t="shared" si="646"/>
        <v>0</v>
      </c>
      <c r="V2467" s="161">
        <f t="shared" si="647"/>
        <v>0</v>
      </c>
      <c r="W2467" s="161">
        <f t="shared" si="648"/>
        <v>0</v>
      </c>
      <c r="X2467" s="118"/>
      <c r="Y2467" s="118"/>
      <c r="Z2467" s="118"/>
      <c r="AA2467" s="118"/>
      <c r="AB2467" s="118"/>
      <c r="AC2467" s="118"/>
      <c r="AD2467" s="118"/>
      <c r="AE2467" s="118"/>
      <c r="AF2467" s="118"/>
      <c r="AG2467" s="118"/>
      <c r="AH2467" s="118"/>
      <c r="AI2467" s="118"/>
      <c r="AJ2467" s="118"/>
      <c r="AK2467" s="118"/>
      <c r="AL2467" s="118"/>
      <c r="AM2467" s="118"/>
      <c r="AN2467" s="118"/>
      <c r="AO2467" s="118"/>
      <c r="AP2467" s="118"/>
      <c r="AQ2467" s="118"/>
      <c r="AR2467" s="118"/>
      <c r="AS2467" s="118"/>
      <c r="AT2467" s="118"/>
      <c r="AU2467" s="118"/>
      <c r="AV2467" s="118"/>
      <c r="AW2467" s="118"/>
      <c r="AX2467" s="118"/>
      <c r="AY2467" s="118"/>
      <c r="AZ2467" s="118"/>
      <c r="BA2467" s="118"/>
      <c r="BB2467" s="118"/>
      <c r="BC2467" s="118"/>
      <c r="BD2467" s="118"/>
      <c r="BE2467" s="118"/>
      <c r="BF2467" s="118"/>
      <c r="BG2467" s="118"/>
      <c r="BH2467" s="118"/>
      <c r="BI2467" s="118"/>
      <c r="BJ2467" s="118"/>
      <c r="BK2467" s="118"/>
      <c r="BL2467" s="118"/>
      <c r="BM2467" s="118"/>
      <c r="BN2467" s="118"/>
      <c r="BO2467" s="118"/>
      <c r="BP2467" s="118"/>
      <c r="BQ2467" s="118"/>
      <c r="BR2467" s="118"/>
      <c r="BS2467" s="118"/>
      <c r="BT2467" s="118"/>
      <c r="BU2467" s="118"/>
      <c r="BV2467" s="118"/>
      <c r="BW2467" s="118"/>
      <c r="BX2467" s="118"/>
      <c r="BY2467" s="118"/>
      <c r="BZ2467" s="118"/>
      <c r="CA2467" s="118"/>
      <c r="CB2467" s="118"/>
      <c r="CC2467" s="118"/>
      <c r="CD2467" s="118"/>
      <c r="CE2467" s="118"/>
      <c r="CF2467" s="118"/>
      <c r="CG2467" s="118"/>
      <c r="CH2467" s="118"/>
      <c r="CI2467" s="118"/>
      <c r="CJ2467" s="118"/>
      <c r="CK2467" s="118"/>
      <c r="CL2467" s="118"/>
      <c r="CM2467" s="118"/>
      <c r="CN2467" s="118"/>
      <c r="CO2467" s="118"/>
      <c r="CP2467" s="118"/>
      <c r="CQ2467" s="118"/>
      <c r="CR2467" s="118"/>
      <c r="CS2467" s="118"/>
      <c r="CT2467" s="118"/>
      <c r="CU2467" s="118"/>
      <c r="CV2467" s="118"/>
      <c r="CW2467" s="118"/>
      <c r="CX2467" s="118"/>
      <c r="CY2467" s="118"/>
      <c r="CZ2467" s="118"/>
      <c r="DA2467" s="118"/>
      <c r="DB2467" s="118"/>
      <c r="DC2467" s="118"/>
      <c r="DD2467" s="118"/>
      <c r="DE2467" s="118"/>
      <c r="DF2467" s="118"/>
      <c r="DG2467" s="118"/>
      <c r="DH2467" s="118"/>
      <c r="DI2467" s="118"/>
      <c r="DJ2467" s="118"/>
      <c r="DK2467" s="118"/>
      <c r="DL2467" s="118"/>
      <c r="DM2467" s="118"/>
      <c r="DN2467" s="118"/>
      <c r="DO2467" s="118"/>
      <c r="DP2467" s="118"/>
      <c r="DQ2467" s="118"/>
      <c r="DR2467" s="118"/>
      <c r="DS2467" s="118"/>
      <c r="DT2467" s="118"/>
      <c r="DU2467" s="118"/>
      <c r="DV2467" s="118"/>
      <c r="DW2467" s="118"/>
      <c r="DX2467" s="118"/>
      <c r="DY2467" s="118"/>
      <c r="DZ2467" s="118"/>
      <c r="EA2467" s="118"/>
      <c r="EB2467" s="118"/>
      <c r="EC2467" s="118"/>
      <c r="ED2467" s="118"/>
      <c r="EE2467" s="118"/>
      <c r="EF2467" s="118"/>
      <c r="EG2467" s="118"/>
      <c r="EH2467" s="118"/>
      <c r="EI2467" s="118"/>
      <c r="EJ2467" s="118"/>
      <c r="EK2467" s="118"/>
      <c r="EL2467" s="118"/>
      <c r="EM2467" s="118"/>
      <c r="EN2467" s="118"/>
      <c r="EO2467" s="118"/>
      <c r="EP2467" s="118"/>
      <c r="EQ2467" s="118"/>
      <c r="ER2467" s="118"/>
      <c r="ES2467" s="118"/>
      <c r="ET2467" s="118"/>
      <c r="EU2467" s="118"/>
      <c r="EV2467" s="118"/>
      <c r="EW2467" s="118"/>
      <c r="EX2467" s="118"/>
      <c r="EY2467" s="118"/>
      <c r="EZ2467" s="118"/>
      <c r="FA2467" s="118"/>
      <c r="FB2467" s="118"/>
      <c r="FC2467" s="118"/>
      <c r="FD2467" s="118"/>
      <c r="FE2467" s="118"/>
      <c r="FF2467" s="118"/>
      <c r="FG2467" s="118"/>
      <c r="FH2467" s="118"/>
      <c r="FI2467" s="118"/>
      <c r="FJ2467" s="118"/>
      <c r="FK2467" s="118"/>
      <c r="FL2467" s="118"/>
      <c r="FM2467" s="118"/>
      <c r="FN2467" s="118"/>
      <c r="FO2467" s="118"/>
      <c r="FP2467" s="118"/>
      <c r="FQ2467" s="118"/>
      <c r="FR2467" s="118"/>
      <c r="FS2467" s="118"/>
      <c r="FT2467" s="118"/>
      <c r="FU2467" s="118"/>
      <c r="FV2467" s="118"/>
      <c r="FW2467" s="118"/>
      <c r="FX2467" s="118"/>
      <c r="FY2467" s="118"/>
      <c r="FZ2467" s="118"/>
      <c r="GA2467" s="118"/>
      <c r="GB2467" s="118"/>
      <c r="GC2467" s="118"/>
      <c r="GD2467" s="118"/>
      <c r="GE2467" s="118"/>
      <c r="GF2467" s="118"/>
      <c r="GG2467" s="118"/>
      <c r="GH2467" s="118"/>
      <c r="GI2467" s="118"/>
      <c r="GJ2467" s="118"/>
      <c r="GK2467" s="118"/>
      <c r="GL2467" s="118"/>
      <c r="GM2467" s="118"/>
      <c r="GN2467" s="118"/>
      <c r="GO2467" s="118"/>
      <c r="GP2467" s="118"/>
      <c r="GQ2467" s="118"/>
      <c r="GR2467" s="118"/>
      <c r="GS2467" s="118"/>
      <c r="GT2467" s="118"/>
      <c r="GU2467" s="118"/>
      <c r="GV2467" s="118"/>
      <c r="GW2467" s="118"/>
      <c r="GX2467" s="118"/>
      <c r="GY2467" s="118"/>
      <c r="GZ2467" s="118"/>
      <c r="HA2467" s="118"/>
      <c r="HB2467" s="118"/>
      <c r="HC2467" s="118"/>
      <c r="HD2467" s="118"/>
      <c r="HE2467" s="118"/>
      <c r="HF2467" s="118"/>
      <c r="HG2467" s="118"/>
      <c r="HH2467" s="118"/>
      <c r="HI2467" s="118"/>
      <c r="HJ2467" s="118"/>
      <c r="HK2467" s="118"/>
      <c r="HL2467" s="118"/>
      <c r="HM2467" s="118"/>
      <c r="HN2467" s="118"/>
      <c r="HO2467" s="118"/>
      <c r="HP2467" s="118"/>
      <c r="HQ2467" s="118"/>
      <c r="HR2467" s="118"/>
      <c r="HS2467" s="118"/>
      <c r="HT2467" s="118"/>
      <c r="HU2467" s="118"/>
      <c r="HV2467" s="118"/>
      <c r="HW2467" s="118"/>
      <c r="HX2467" s="118"/>
      <c r="HY2467" s="118"/>
      <c r="HZ2467" s="118"/>
      <c r="IA2467" s="118"/>
      <c r="IB2467" s="118"/>
      <c r="IC2467" s="118"/>
      <c r="ID2467" s="118"/>
      <c r="IE2467" s="118"/>
      <c r="IF2467" s="118"/>
      <c r="IG2467" s="118"/>
      <c r="IH2467" s="118"/>
      <c r="II2467" s="118"/>
      <c r="IJ2467" s="118"/>
    </row>
    <row r="2468" spans="1:244" s="128" customFormat="1" ht="12.75" customHeight="1">
      <c r="A2468" s="118">
        <v>2467</v>
      </c>
      <c r="B2468" s="128">
        <v>26</v>
      </c>
      <c r="C2468" s="156">
        <v>38961</v>
      </c>
      <c r="D2468" s="157" t="s">
        <v>52</v>
      </c>
      <c r="E2468" s="8">
        <v>2006</v>
      </c>
      <c r="F2468" s="158">
        <f t="shared" si="644"/>
        <v>153</v>
      </c>
      <c r="G2468" s="158">
        <f t="shared" si="645"/>
        <v>1</v>
      </c>
      <c r="H2468" s="162">
        <v>38808</v>
      </c>
      <c r="I2468" s="218">
        <v>468000</v>
      </c>
      <c r="J2468" s="15">
        <v>0</v>
      </c>
      <c r="K2468" s="15">
        <v>0</v>
      </c>
      <c r="L2468" s="15">
        <v>0</v>
      </c>
      <c r="M2468" s="174">
        <v>0</v>
      </c>
      <c r="N2468" s="528"/>
      <c r="O2468" s="15">
        <v>0</v>
      </c>
      <c r="P2468" s="8"/>
      <c r="Q2468" s="11">
        <v>10</v>
      </c>
      <c r="R2468" s="11">
        <v>25</v>
      </c>
      <c r="S2468" s="155"/>
      <c r="T2468" s="161">
        <f t="shared" si="649"/>
        <v>0</v>
      </c>
      <c r="U2468" s="161">
        <f t="shared" si="646"/>
        <v>0</v>
      </c>
      <c r="V2468" s="161">
        <f t="shared" si="647"/>
        <v>0</v>
      </c>
      <c r="W2468" s="161">
        <f t="shared" si="648"/>
        <v>0</v>
      </c>
      <c r="X2468" s="118"/>
      <c r="Y2468" s="118"/>
      <c r="Z2468" s="118"/>
      <c r="AA2468" s="118"/>
      <c r="AB2468" s="118"/>
      <c r="AC2468" s="118"/>
      <c r="AD2468" s="118"/>
      <c r="AE2468" s="118"/>
      <c r="AF2468" s="118"/>
      <c r="AG2468" s="118"/>
      <c r="AH2468" s="118"/>
      <c r="AI2468" s="118"/>
      <c r="AJ2468" s="118"/>
      <c r="AK2468" s="118"/>
      <c r="AL2468" s="118"/>
      <c r="AM2468" s="118"/>
      <c r="AN2468" s="118"/>
      <c r="AO2468" s="118"/>
      <c r="AP2468" s="118"/>
      <c r="AQ2468" s="118"/>
      <c r="AR2468" s="118"/>
      <c r="AS2468" s="118"/>
      <c r="AT2468" s="118"/>
      <c r="AU2468" s="118"/>
      <c r="AV2468" s="118"/>
      <c r="AW2468" s="118"/>
      <c r="AX2468" s="118"/>
      <c r="AY2468" s="118"/>
      <c r="AZ2468" s="118"/>
      <c r="BA2468" s="118"/>
      <c r="BB2468" s="118"/>
      <c r="BC2468" s="118"/>
      <c r="BD2468" s="118"/>
      <c r="BE2468" s="118"/>
      <c r="BF2468" s="118"/>
      <c r="BG2468" s="118"/>
      <c r="BH2468" s="118"/>
      <c r="BI2468" s="118"/>
      <c r="BJ2468" s="118"/>
      <c r="BK2468" s="118"/>
      <c r="BL2468" s="118"/>
      <c r="BM2468" s="118"/>
      <c r="BN2468" s="118"/>
      <c r="BO2468" s="118"/>
      <c r="BP2468" s="118"/>
      <c r="BQ2468" s="118"/>
      <c r="BR2468" s="118"/>
      <c r="BS2468" s="118"/>
      <c r="BT2468" s="118"/>
      <c r="BU2468" s="118"/>
      <c r="BV2468" s="118"/>
      <c r="BW2468" s="118"/>
      <c r="BX2468" s="118"/>
      <c r="BY2468" s="118"/>
      <c r="BZ2468" s="118"/>
      <c r="CA2468" s="118"/>
      <c r="CB2468" s="118"/>
      <c r="CC2468" s="118"/>
      <c r="CD2468" s="118"/>
      <c r="CE2468" s="118"/>
      <c r="CF2468" s="118"/>
      <c r="CG2468" s="118"/>
      <c r="CH2468" s="118"/>
      <c r="CI2468" s="118"/>
      <c r="CJ2468" s="118"/>
      <c r="CK2468" s="118"/>
      <c r="CL2468" s="118"/>
      <c r="CM2468" s="118"/>
      <c r="CN2468" s="118"/>
      <c r="CO2468" s="118"/>
      <c r="CP2468" s="118"/>
      <c r="CQ2468" s="118"/>
      <c r="CR2468" s="118"/>
      <c r="CS2468" s="118"/>
      <c r="CT2468" s="118"/>
      <c r="CU2468" s="118"/>
      <c r="CV2468" s="118"/>
      <c r="CW2468" s="118"/>
      <c r="CX2468" s="118"/>
      <c r="CY2468" s="118"/>
      <c r="CZ2468" s="118"/>
      <c r="DA2468" s="118"/>
      <c r="DB2468" s="118"/>
      <c r="DC2468" s="118"/>
      <c r="DD2468" s="118"/>
      <c r="DE2468" s="118"/>
      <c r="DF2468" s="118"/>
      <c r="DG2468" s="118"/>
      <c r="DH2468" s="118"/>
      <c r="DI2468" s="118"/>
      <c r="DJ2468" s="118"/>
      <c r="DK2468" s="118"/>
      <c r="DL2468" s="118"/>
      <c r="DM2468" s="118"/>
      <c r="DN2468" s="118"/>
      <c r="DO2468" s="118"/>
      <c r="DP2468" s="118"/>
      <c r="DQ2468" s="118"/>
      <c r="DR2468" s="118"/>
      <c r="DS2468" s="118"/>
      <c r="DT2468" s="118"/>
      <c r="DU2468" s="118"/>
      <c r="DV2468" s="118"/>
      <c r="DW2468" s="118"/>
      <c r="DX2468" s="118"/>
      <c r="DY2468" s="118"/>
      <c r="DZ2468" s="118"/>
      <c r="EA2468" s="118"/>
      <c r="EB2468" s="118"/>
      <c r="EC2468" s="118"/>
      <c r="ED2468" s="118"/>
      <c r="EE2468" s="118"/>
      <c r="EF2468" s="118"/>
      <c r="EG2468" s="118"/>
      <c r="EH2468" s="118"/>
      <c r="EI2468" s="118"/>
      <c r="EJ2468" s="118"/>
      <c r="EK2468" s="118"/>
      <c r="EL2468" s="118"/>
      <c r="EM2468" s="118"/>
      <c r="EN2468" s="118"/>
      <c r="EO2468" s="118"/>
      <c r="EP2468" s="118"/>
      <c r="EQ2468" s="118"/>
      <c r="ER2468" s="118"/>
      <c r="ES2468" s="118"/>
      <c r="ET2468" s="118"/>
      <c r="EU2468" s="118"/>
      <c r="EV2468" s="118"/>
      <c r="EW2468" s="118"/>
      <c r="EX2468" s="118"/>
      <c r="EY2468" s="118"/>
      <c r="EZ2468" s="118"/>
      <c r="FA2468" s="118"/>
      <c r="FB2468" s="118"/>
      <c r="FC2468" s="118"/>
      <c r="FD2468" s="118"/>
      <c r="FE2468" s="118"/>
      <c r="FF2468" s="118"/>
      <c r="FG2468" s="118"/>
      <c r="FH2468" s="118"/>
      <c r="FI2468" s="118"/>
      <c r="FJ2468" s="118"/>
      <c r="FK2468" s="118"/>
      <c r="FL2468" s="118"/>
      <c r="FM2468" s="118"/>
      <c r="FN2468" s="118"/>
      <c r="FO2468" s="118"/>
      <c r="FP2468" s="118"/>
      <c r="FQ2468" s="118"/>
      <c r="FR2468" s="118"/>
      <c r="FS2468" s="118"/>
      <c r="FT2468" s="118"/>
      <c r="FU2468" s="118"/>
      <c r="FV2468" s="118"/>
      <c r="FW2468" s="118"/>
      <c r="FX2468" s="118"/>
      <c r="FY2468" s="118"/>
      <c r="FZ2468" s="118"/>
      <c r="GA2468" s="118"/>
      <c r="GB2468" s="118"/>
      <c r="GC2468" s="118"/>
      <c r="GD2468" s="118"/>
      <c r="GE2468" s="118"/>
      <c r="GF2468" s="118"/>
      <c r="GG2468" s="118"/>
      <c r="GH2468" s="118"/>
      <c r="GI2468" s="118"/>
      <c r="GJ2468" s="118"/>
      <c r="GK2468" s="118"/>
      <c r="GL2468" s="118"/>
      <c r="GM2468" s="118"/>
      <c r="GN2468" s="118"/>
      <c r="GO2468" s="118"/>
      <c r="GP2468" s="118"/>
      <c r="GQ2468" s="118"/>
      <c r="GR2468" s="118"/>
      <c r="GS2468" s="118"/>
      <c r="GT2468" s="118"/>
      <c r="GU2468" s="118"/>
      <c r="GV2468" s="118"/>
      <c r="GW2468" s="118"/>
      <c r="GX2468" s="118"/>
      <c r="GY2468" s="118"/>
      <c r="GZ2468" s="118"/>
      <c r="HA2468" s="118"/>
      <c r="HB2468" s="118"/>
      <c r="HC2468" s="118"/>
      <c r="HD2468" s="118"/>
      <c r="HE2468" s="118"/>
      <c r="HF2468" s="118"/>
      <c r="HG2468" s="118"/>
      <c r="HH2468" s="118"/>
      <c r="HI2468" s="118"/>
      <c r="HJ2468" s="118"/>
      <c r="HK2468" s="118"/>
      <c r="HL2468" s="118"/>
      <c r="HM2468" s="118"/>
      <c r="HN2468" s="118"/>
      <c r="HO2468" s="118"/>
      <c r="HP2468" s="118"/>
      <c r="HQ2468" s="118"/>
      <c r="HR2468" s="118"/>
      <c r="HS2468" s="118"/>
      <c r="HT2468" s="118"/>
      <c r="HU2468" s="118"/>
      <c r="HV2468" s="118"/>
      <c r="HW2468" s="118"/>
      <c r="HX2468" s="118"/>
      <c r="HY2468" s="118"/>
      <c r="HZ2468" s="118"/>
      <c r="IA2468" s="118"/>
      <c r="IB2468" s="118"/>
      <c r="IC2468" s="118"/>
      <c r="ID2468" s="118"/>
      <c r="IE2468" s="118"/>
      <c r="IF2468" s="118"/>
      <c r="IG2468" s="118"/>
      <c r="IH2468" s="118"/>
      <c r="II2468" s="118"/>
      <c r="IJ2468" s="118"/>
    </row>
    <row r="2469" spans="1:244" s="128" customFormat="1" ht="12.75" customHeight="1">
      <c r="A2469" s="118">
        <v>2468</v>
      </c>
      <c r="B2469" s="128">
        <v>26</v>
      </c>
      <c r="C2469" s="156">
        <v>38991</v>
      </c>
      <c r="D2469" s="157" t="s">
        <v>53</v>
      </c>
      <c r="E2469" s="8">
        <v>2006</v>
      </c>
      <c r="F2469" s="158">
        <f t="shared" si="644"/>
        <v>183</v>
      </c>
      <c r="G2469" s="158">
        <f t="shared" si="645"/>
        <v>1</v>
      </c>
      <c r="H2469" s="162">
        <v>38808</v>
      </c>
      <c r="I2469" s="218">
        <v>466000</v>
      </c>
      <c r="J2469" s="15">
        <v>0.12</v>
      </c>
      <c r="K2469" s="15">
        <v>0.05</v>
      </c>
      <c r="L2469" s="15">
        <v>0</v>
      </c>
      <c r="M2469" s="174">
        <v>0</v>
      </c>
      <c r="N2469" s="528"/>
      <c r="O2469" s="15">
        <v>0</v>
      </c>
      <c r="P2469" s="8"/>
      <c r="Q2469" s="11">
        <v>10</v>
      </c>
      <c r="R2469" s="11">
        <v>25</v>
      </c>
      <c r="S2469" s="155"/>
      <c r="T2469" s="161">
        <f t="shared" si="649"/>
        <v>23300</v>
      </c>
      <c r="U2469" s="161">
        <f t="shared" si="646"/>
        <v>0</v>
      </c>
      <c r="V2469" s="161">
        <f t="shared" si="647"/>
        <v>0</v>
      </c>
      <c r="W2469" s="161">
        <f t="shared" si="648"/>
        <v>0</v>
      </c>
      <c r="X2469" s="118"/>
      <c r="Y2469" s="118"/>
      <c r="Z2469" s="118"/>
      <c r="AA2469" s="118"/>
      <c r="AB2469" s="118"/>
      <c r="AC2469" s="118"/>
      <c r="AD2469" s="118"/>
      <c r="AE2469" s="118"/>
      <c r="AF2469" s="118"/>
      <c r="AG2469" s="118"/>
      <c r="AH2469" s="118"/>
      <c r="AI2469" s="118"/>
      <c r="AJ2469" s="118"/>
      <c r="AK2469" s="118"/>
      <c r="AL2469" s="118"/>
      <c r="AM2469" s="118"/>
      <c r="AN2469" s="118"/>
      <c r="AO2469" s="118"/>
      <c r="AP2469" s="118"/>
      <c r="AQ2469" s="118"/>
      <c r="AR2469" s="118"/>
      <c r="AS2469" s="118"/>
      <c r="AT2469" s="118"/>
      <c r="AU2469" s="118"/>
      <c r="AV2469" s="118"/>
      <c r="AW2469" s="118"/>
      <c r="AX2469" s="118"/>
      <c r="AY2469" s="118"/>
      <c r="AZ2469" s="118"/>
      <c r="BA2469" s="118"/>
      <c r="BB2469" s="118"/>
      <c r="BC2469" s="118"/>
      <c r="BD2469" s="118"/>
      <c r="BE2469" s="118"/>
      <c r="BF2469" s="118"/>
      <c r="BG2469" s="118"/>
      <c r="BH2469" s="118"/>
      <c r="BI2469" s="118"/>
      <c r="BJ2469" s="118"/>
      <c r="BK2469" s="118"/>
      <c r="BL2469" s="118"/>
      <c r="BM2469" s="118"/>
      <c r="BN2469" s="118"/>
      <c r="BO2469" s="118"/>
      <c r="BP2469" s="118"/>
      <c r="BQ2469" s="118"/>
      <c r="BR2469" s="118"/>
      <c r="BS2469" s="118"/>
      <c r="BT2469" s="118"/>
      <c r="BU2469" s="118"/>
      <c r="BV2469" s="118"/>
      <c r="BW2469" s="118"/>
      <c r="BX2469" s="118"/>
      <c r="BY2469" s="118"/>
      <c r="BZ2469" s="118"/>
      <c r="CA2469" s="118"/>
      <c r="CB2469" s="118"/>
      <c r="CC2469" s="118"/>
      <c r="CD2469" s="118"/>
      <c r="CE2469" s="118"/>
      <c r="CF2469" s="118"/>
      <c r="CG2469" s="118"/>
      <c r="CH2469" s="118"/>
      <c r="CI2469" s="118"/>
      <c r="CJ2469" s="118"/>
      <c r="CK2469" s="118"/>
      <c r="CL2469" s="118"/>
      <c r="CM2469" s="118"/>
      <c r="CN2469" s="118"/>
      <c r="CO2469" s="118"/>
      <c r="CP2469" s="118"/>
      <c r="CQ2469" s="118"/>
      <c r="CR2469" s="118"/>
      <c r="CS2469" s="118"/>
      <c r="CT2469" s="118"/>
      <c r="CU2469" s="118"/>
      <c r="CV2469" s="118"/>
      <c r="CW2469" s="118"/>
      <c r="CX2469" s="118"/>
      <c r="CY2469" s="118"/>
      <c r="CZ2469" s="118"/>
      <c r="DA2469" s="118"/>
      <c r="DB2469" s="118"/>
      <c r="DC2469" s="118"/>
      <c r="DD2469" s="118"/>
      <c r="DE2469" s="118"/>
      <c r="DF2469" s="118"/>
      <c r="DG2469" s="118"/>
      <c r="DH2469" s="118"/>
      <c r="DI2469" s="118"/>
      <c r="DJ2469" s="118"/>
      <c r="DK2469" s="118"/>
      <c r="DL2469" s="118"/>
      <c r="DM2469" s="118"/>
      <c r="DN2469" s="118"/>
      <c r="DO2469" s="118"/>
      <c r="DP2469" s="118"/>
      <c r="DQ2469" s="118"/>
      <c r="DR2469" s="118"/>
      <c r="DS2469" s="118"/>
      <c r="DT2469" s="118"/>
      <c r="DU2469" s="118"/>
      <c r="DV2469" s="118"/>
      <c r="DW2469" s="118"/>
      <c r="DX2469" s="118"/>
      <c r="DY2469" s="118"/>
      <c r="DZ2469" s="118"/>
      <c r="EA2469" s="118"/>
      <c r="EB2469" s="118"/>
      <c r="EC2469" s="118"/>
      <c r="ED2469" s="118"/>
      <c r="EE2469" s="118"/>
      <c r="EF2469" s="118"/>
      <c r="EG2469" s="118"/>
      <c r="EH2469" s="118"/>
      <c r="EI2469" s="118"/>
      <c r="EJ2469" s="118"/>
      <c r="EK2469" s="118"/>
      <c r="EL2469" s="118"/>
      <c r="EM2469" s="118"/>
      <c r="EN2469" s="118"/>
      <c r="EO2469" s="118"/>
      <c r="EP2469" s="118"/>
      <c r="EQ2469" s="118"/>
      <c r="ER2469" s="118"/>
      <c r="ES2469" s="118"/>
      <c r="ET2469" s="118"/>
      <c r="EU2469" s="118"/>
      <c r="EV2469" s="118"/>
      <c r="EW2469" s="118"/>
      <c r="EX2469" s="118"/>
      <c r="EY2469" s="118"/>
      <c r="EZ2469" s="118"/>
      <c r="FA2469" s="118"/>
      <c r="FB2469" s="118"/>
      <c r="FC2469" s="118"/>
      <c r="FD2469" s="118"/>
      <c r="FE2469" s="118"/>
      <c r="FF2469" s="118"/>
      <c r="FG2469" s="118"/>
      <c r="FH2469" s="118"/>
      <c r="FI2469" s="118"/>
      <c r="FJ2469" s="118"/>
      <c r="FK2469" s="118"/>
      <c r="FL2469" s="118"/>
      <c r="FM2469" s="118"/>
      <c r="FN2469" s="118"/>
      <c r="FO2469" s="118"/>
      <c r="FP2469" s="118"/>
      <c r="FQ2469" s="118"/>
      <c r="FR2469" s="118"/>
      <c r="FS2469" s="118"/>
      <c r="FT2469" s="118"/>
      <c r="FU2469" s="118"/>
      <c r="FV2469" s="118"/>
      <c r="FW2469" s="118"/>
      <c r="FX2469" s="118"/>
      <c r="FY2469" s="118"/>
      <c r="FZ2469" s="118"/>
      <c r="GA2469" s="118"/>
      <c r="GB2469" s="118"/>
      <c r="GC2469" s="118"/>
      <c r="GD2469" s="118"/>
      <c r="GE2469" s="118"/>
      <c r="GF2469" s="118"/>
      <c r="GG2469" s="118"/>
      <c r="GH2469" s="118"/>
      <c r="GI2469" s="118"/>
      <c r="GJ2469" s="118"/>
      <c r="GK2469" s="118"/>
      <c r="GL2469" s="118"/>
      <c r="GM2469" s="118"/>
      <c r="GN2469" s="118"/>
      <c r="GO2469" s="118"/>
      <c r="GP2469" s="118"/>
      <c r="GQ2469" s="118"/>
      <c r="GR2469" s="118"/>
      <c r="GS2469" s="118"/>
      <c r="GT2469" s="118"/>
      <c r="GU2469" s="118"/>
      <c r="GV2469" s="118"/>
      <c r="GW2469" s="118"/>
      <c r="GX2469" s="118"/>
      <c r="GY2469" s="118"/>
      <c r="GZ2469" s="118"/>
      <c r="HA2469" s="118"/>
      <c r="HB2469" s="118"/>
      <c r="HC2469" s="118"/>
      <c r="HD2469" s="118"/>
      <c r="HE2469" s="118"/>
      <c r="HF2469" s="118"/>
      <c r="HG2469" s="118"/>
      <c r="HH2469" s="118"/>
      <c r="HI2469" s="118"/>
      <c r="HJ2469" s="118"/>
      <c r="HK2469" s="118"/>
      <c r="HL2469" s="118"/>
      <c r="HM2469" s="118"/>
      <c r="HN2469" s="118"/>
      <c r="HO2469" s="118"/>
      <c r="HP2469" s="118"/>
      <c r="HQ2469" s="118"/>
      <c r="HR2469" s="118"/>
      <c r="HS2469" s="118"/>
      <c r="HT2469" s="118"/>
      <c r="HU2469" s="118"/>
      <c r="HV2469" s="118"/>
      <c r="HW2469" s="118"/>
      <c r="HX2469" s="118"/>
      <c r="HY2469" s="118"/>
      <c r="HZ2469" s="118"/>
      <c r="IA2469" s="118"/>
      <c r="IB2469" s="118"/>
      <c r="IC2469" s="118"/>
      <c r="ID2469" s="118"/>
      <c r="IE2469" s="118"/>
      <c r="IF2469" s="118"/>
      <c r="IG2469" s="118"/>
      <c r="IH2469" s="118"/>
      <c r="II2469" s="118"/>
      <c r="IJ2469" s="118"/>
    </row>
    <row r="2470" spans="1:244" s="128" customFormat="1" ht="12.75" customHeight="1">
      <c r="A2470" s="118">
        <v>2469</v>
      </c>
      <c r="B2470" s="128">
        <v>26</v>
      </c>
      <c r="C2470" s="156">
        <v>39022</v>
      </c>
      <c r="D2470" s="157" t="s">
        <v>54</v>
      </c>
      <c r="E2470" s="8">
        <v>2006</v>
      </c>
      <c r="F2470" s="158">
        <f t="shared" si="644"/>
        <v>214</v>
      </c>
      <c r="G2470" s="158">
        <f t="shared" si="645"/>
        <v>1</v>
      </c>
      <c r="H2470" s="162">
        <v>38808</v>
      </c>
      <c r="I2470" s="218">
        <v>458000</v>
      </c>
      <c r="J2470" s="15">
        <v>0.9</v>
      </c>
      <c r="K2470" s="15">
        <v>0.5</v>
      </c>
      <c r="L2470" s="15">
        <v>0</v>
      </c>
      <c r="M2470" s="174">
        <v>0</v>
      </c>
      <c r="N2470" s="528"/>
      <c r="O2470" s="15">
        <v>0</v>
      </c>
      <c r="P2470" s="8"/>
      <c r="Q2470" s="11">
        <v>8</v>
      </c>
      <c r="R2470" s="11">
        <v>29</v>
      </c>
      <c r="S2470" s="155"/>
      <c r="T2470" s="161">
        <f t="shared" si="649"/>
        <v>229000</v>
      </c>
      <c r="U2470" s="161">
        <f t="shared" si="646"/>
        <v>0</v>
      </c>
      <c r="V2470" s="161">
        <f t="shared" si="647"/>
        <v>0</v>
      </c>
      <c r="W2470" s="161">
        <f t="shared" si="648"/>
        <v>0</v>
      </c>
      <c r="X2470" s="118"/>
      <c r="Y2470" s="118"/>
      <c r="Z2470" s="118"/>
      <c r="AA2470" s="118"/>
      <c r="AB2470" s="118"/>
      <c r="AC2470" s="118"/>
      <c r="AD2470" s="118"/>
      <c r="AE2470" s="118"/>
      <c r="AF2470" s="118"/>
      <c r="AG2470" s="118"/>
      <c r="AH2470" s="118"/>
      <c r="AI2470" s="118"/>
      <c r="AJ2470" s="118"/>
      <c r="AK2470" s="118"/>
      <c r="AL2470" s="118"/>
      <c r="AM2470" s="118"/>
      <c r="AN2470" s="118"/>
      <c r="AO2470" s="118"/>
      <c r="AP2470" s="118"/>
      <c r="AQ2470" s="118"/>
      <c r="AR2470" s="118"/>
      <c r="AS2470" s="118"/>
      <c r="AT2470" s="118"/>
      <c r="AU2470" s="118"/>
      <c r="AV2470" s="118"/>
      <c r="AW2470" s="118"/>
      <c r="AX2470" s="118"/>
      <c r="AY2470" s="118"/>
      <c r="AZ2470" s="118"/>
      <c r="BA2470" s="118"/>
      <c r="BB2470" s="118"/>
      <c r="BC2470" s="118"/>
      <c r="BD2470" s="118"/>
      <c r="BE2470" s="118"/>
      <c r="BF2470" s="118"/>
      <c r="BG2470" s="118"/>
      <c r="BH2470" s="118"/>
      <c r="BI2470" s="118"/>
      <c r="BJ2470" s="118"/>
      <c r="BK2470" s="118"/>
      <c r="BL2470" s="118"/>
      <c r="BM2470" s="118"/>
      <c r="BN2470" s="118"/>
      <c r="BO2470" s="118"/>
      <c r="BP2470" s="118"/>
      <c r="BQ2470" s="118"/>
      <c r="BR2470" s="118"/>
      <c r="BS2470" s="118"/>
      <c r="BT2470" s="118"/>
      <c r="BU2470" s="118"/>
      <c r="BV2470" s="118"/>
      <c r="BW2470" s="118"/>
      <c r="BX2470" s="118"/>
      <c r="BY2470" s="118"/>
      <c r="BZ2470" s="118"/>
      <c r="CA2470" s="118"/>
      <c r="CB2470" s="118"/>
      <c r="CC2470" s="118"/>
      <c r="CD2470" s="118"/>
      <c r="CE2470" s="118"/>
      <c r="CF2470" s="118"/>
      <c r="CG2470" s="118"/>
      <c r="CH2470" s="118"/>
      <c r="CI2470" s="118"/>
      <c r="CJ2470" s="118"/>
      <c r="CK2470" s="118"/>
      <c r="CL2470" s="118"/>
      <c r="CM2470" s="118"/>
      <c r="CN2470" s="118"/>
      <c r="CO2470" s="118"/>
      <c r="CP2470" s="118"/>
      <c r="CQ2470" s="118"/>
      <c r="CR2470" s="118"/>
      <c r="CS2470" s="118"/>
      <c r="CT2470" s="118"/>
      <c r="CU2470" s="118"/>
      <c r="CV2470" s="118"/>
      <c r="CW2470" s="118"/>
      <c r="CX2470" s="118"/>
      <c r="CY2470" s="118"/>
      <c r="CZ2470" s="118"/>
      <c r="DA2470" s="118"/>
      <c r="DB2470" s="118"/>
      <c r="DC2470" s="118"/>
      <c r="DD2470" s="118"/>
      <c r="DE2470" s="118"/>
      <c r="DF2470" s="118"/>
      <c r="DG2470" s="118"/>
      <c r="DH2470" s="118"/>
      <c r="DI2470" s="118"/>
      <c r="DJ2470" s="118"/>
      <c r="DK2470" s="118"/>
      <c r="DL2470" s="118"/>
      <c r="DM2470" s="118"/>
      <c r="DN2470" s="118"/>
      <c r="DO2470" s="118"/>
      <c r="DP2470" s="118"/>
      <c r="DQ2470" s="118"/>
      <c r="DR2470" s="118"/>
      <c r="DS2470" s="118"/>
      <c r="DT2470" s="118"/>
      <c r="DU2470" s="118"/>
      <c r="DV2470" s="118"/>
      <c r="DW2470" s="118"/>
      <c r="DX2470" s="118"/>
      <c r="DY2470" s="118"/>
      <c r="DZ2470" s="118"/>
      <c r="EA2470" s="118"/>
      <c r="EB2470" s="118"/>
      <c r="EC2470" s="118"/>
      <c r="ED2470" s="118"/>
      <c r="EE2470" s="118"/>
      <c r="EF2470" s="118"/>
      <c r="EG2470" s="118"/>
      <c r="EH2470" s="118"/>
      <c r="EI2470" s="118"/>
      <c r="EJ2470" s="118"/>
      <c r="EK2470" s="118"/>
      <c r="EL2470" s="118"/>
      <c r="EM2470" s="118"/>
      <c r="EN2470" s="118"/>
      <c r="EO2470" s="118"/>
      <c r="EP2470" s="118"/>
      <c r="EQ2470" s="118"/>
      <c r="ER2470" s="118"/>
      <c r="ES2470" s="118"/>
      <c r="ET2470" s="118"/>
      <c r="EU2470" s="118"/>
      <c r="EV2470" s="118"/>
      <c r="EW2470" s="118"/>
      <c r="EX2470" s="118"/>
      <c r="EY2470" s="118"/>
      <c r="EZ2470" s="118"/>
      <c r="FA2470" s="118"/>
      <c r="FB2470" s="118"/>
      <c r="FC2470" s="118"/>
      <c r="FD2470" s="118"/>
      <c r="FE2470" s="118"/>
      <c r="FF2470" s="118"/>
      <c r="FG2470" s="118"/>
      <c r="FH2470" s="118"/>
      <c r="FI2470" s="118"/>
      <c r="FJ2470" s="118"/>
      <c r="FK2470" s="118"/>
      <c r="FL2470" s="118"/>
      <c r="FM2470" s="118"/>
      <c r="FN2470" s="118"/>
      <c r="FO2470" s="118"/>
      <c r="FP2470" s="118"/>
      <c r="FQ2470" s="118"/>
      <c r="FR2470" s="118"/>
      <c r="FS2470" s="118"/>
      <c r="FT2470" s="118"/>
      <c r="FU2470" s="118"/>
      <c r="FV2470" s="118"/>
      <c r="FW2470" s="118"/>
      <c r="FX2470" s="118"/>
      <c r="FY2470" s="118"/>
      <c r="FZ2470" s="118"/>
      <c r="GA2470" s="118"/>
      <c r="GB2470" s="118"/>
      <c r="GC2470" s="118"/>
      <c r="GD2470" s="118"/>
      <c r="GE2470" s="118"/>
      <c r="GF2470" s="118"/>
      <c r="GG2470" s="118"/>
      <c r="GH2470" s="118"/>
      <c r="GI2470" s="118"/>
      <c r="GJ2470" s="118"/>
      <c r="GK2470" s="118"/>
      <c r="GL2470" s="118"/>
      <c r="GM2470" s="118"/>
      <c r="GN2470" s="118"/>
      <c r="GO2470" s="118"/>
      <c r="GP2470" s="118"/>
      <c r="GQ2470" s="118"/>
      <c r="GR2470" s="118"/>
      <c r="GS2470" s="118"/>
      <c r="GT2470" s="118"/>
      <c r="GU2470" s="118"/>
      <c r="GV2470" s="118"/>
      <c r="GW2470" s="118"/>
      <c r="GX2470" s="118"/>
      <c r="GY2470" s="118"/>
      <c r="GZ2470" s="118"/>
      <c r="HA2470" s="118"/>
      <c r="HB2470" s="118"/>
      <c r="HC2470" s="118"/>
      <c r="HD2470" s="118"/>
      <c r="HE2470" s="118"/>
      <c r="HF2470" s="118"/>
      <c r="HG2470" s="118"/>
      <c r="HH2470" s="118"/>
      <c r="HI2470" s="118"/>
      <c r="HJ2470" s="118"/>
      <c r="HK2470" s="118"/>
      <c r="HL2470" s="118"/>
      <c r="HM2470" s="118"/>
      <c r="HN2470" s="118"/>
      <c r="HO2470" s="118"/>
      <c r="HP2470" s="118"/>
      <c r="HQ2470" s="118"/>
      <c r="HR2470" s="118"/>
      <c r="HS2470" s="118"/>
      <c r="HT2470" s="118"/>
      <c r="HU2470" s="118"/>
      <c r="HV2470" s="118"/>
      <c r="HW2470" s="118"/>
      <c r="HX2470" s="118"/>
      <c r="HY2470" s="118"/>
      <c r="HZ2470" s="118"/>
      <c r="IA2470" s="118"/>
      <c r="IB2470" s="118"/>
      <c r="IC2470" s="118"/>
      <c r="ID2470" s="118"/>
      <c r="IE2470" s="118"/>
      <c r="IF2470" s="118"/>
      <c r="IG2470" s="118"/>
      <c r="IH2470" s="118"/>
      <c r="II2470" s="118"/>
      <c r="IJ2470" s="118"/>
    </row>
    <row r="2471" spans="1:244" s="128" customFormat="1" ht="12.75" customHeight="1">
      <c r="A2471" s="118">
        <v>2470</v>
      </c>
      <c r="B2471" s="128">
        <v>26</v>
      </c>
      <c r="C2471" s="156">
        <v>39052</v>
      </c>
      <c r="D2471" s="157" t="s">
        <v>55</v>
      </c>
      <c r="E2471" s="8">
        <v>2006</v>
      </c>
      <c r="F2471" s="158">
        <f t="shared" si="644"/>
        <v>244</v>
      </c>
      <c r="G2471" s="158">
        <f t="shared" si="645"/>
        <v>1</v>
      </c>
      <c r="H2471" s="162">
        <v>38808</v>
      </c>
      <c r="I2471" s="218">
        <v>457000</v>
      </c>
      <c r="J2471" s="15">
        <v>2.17</v>
      </c>
      <c r="K2471" s="173">
        <v>1.33</v>
      </c>
      <c r="L2471" s="173">
        <v>0</v>
      </c>
      <c r="M2471" s="174">
        <v>0</v>
      </c>
      <c r="N2471" s="528"/>
      <c r="O2471" s="15">
        <v>7.0000000000000007E-2</v>
      </c>
      <c r="P2471" s="8"/>
      <c r="Q2471" s="11">
        <v>8</v>
      </c>
      <c r="R2471" s="11">
        <v>29</v>
      </c>
      <c r="S2471" s="155"/>
      <c r="T2471" s="161">
        <f t="shared" si="649"/>
        <v>607810</v>
      </c>
      <c r="U2471" s="161">
        <f t="shared" si="646"/>
        <v>0</v>
      </c>
      <c r="V2471" s="161">
        <f t="shared" si="647"/>
        <v>31990.000000000004</v>
      </c>
      <c r="W2471" s="161">
        <f t="shared" si="648"/>
        <v>12796.000000000002</v>
      </c>
      <c r="X2471" s="118"/>
      <c r="Y2471" s="118"/>
      <c r="Z2471" s="118"/>
      <c r="AA2471" s="118"/>
      <c r="AB2471" s="118"/>
      <c r="AC2471" s="118"/>
      <c r="AD2471" s="118"/>
      <c r="AE2471" s="118"/>
      <c r="AF2471" s="118"/>
      <c r="AG2471" s="118"/>
      <c r="AH2471" s="118"/>
      <c r="AI2471" s="118"/>
      <c r="AJ2471" s="118"/>
      <c r="AK2471" s="118"/>
      <c r="AL2471" s="118"/>
      <c r="AM2471" s="118"/>
      <c r="AN2471" s="118"/>
      <c r="AO2471" s="118"/>
      <c r="AP2471" s="118"/>
      <c r="AQ2471" s="118"/>
      <c r="AR2471" s="118"/>
      <c r="AS2471" s="118"/>
      <c r="AT2471" s="118"/>
      <c r="AU2471" s="118"/>
      <c r="AV2471" s="118"/>
      <c r="AW2471" s="118"/>
      <c r="AX2471" s="118"/>
      <c r="AY2471" s="118"/>
      <c r="AZ2471" s="118"/>
      <c r="BA2471" s="118"/>
      <c r="BB2471" s="118"/>
      <c r="BC2471" s="118"/>
      <c r="BD2471" s="118"/>
      <c r="BE2471" s="118"/>
      <c r="BF2471" s="118"/>
      <c r="BG2471" s="118"/>
      <c r="BH2471" s="118"/>
      <c r="BI2471" s="118"/>
      <c r="BJ2471" s="118"/>
      <c r="BK2471" s="118"/>
      <c r="BL2471" s="118"/>
      <c r="BM2471" s="118"/>
      <c r="BN2471" s="118"/>
      <c r="BO2471" s="118"/>
      <c r="BP2471" s="118"/>
      <c r="BQ2471" s="118"/>
      <c r="BR2471" s="118"/>
      <c r="BS2471" s="118"/>
      <c r="BT2471" s="118"/>
      <c r="BU2471" s="118"/>
      <c r="BV2471" s="118"/>
      <c r="BW2471" s="118"/>
      <c r="BX2471" s="118"/>
      <c r="BY2471" s="118"/>
      <c r="BZ2471" s="118"/>
      <c r="CA2471" s="118"/>
      <c r="CB2471" s="118"/>
      <c r="CC2471" s="118"/>
      <c r="CD2471" s="118"/>
      <c r="CE2471" s="118"/>
      <c r="CF2471" s="118"/>
      <c r="CG2471" s="118"/>
      <c r="CH2471" s="118"/>
      <c r="CI2471" s="118"/>
      <c r="CJ2471" s="118"/>
      <c r="CK2471" s="118"/>
      <c r="CL2471" s="118"/>
      <c r="CM2471" s="118"/>
      <c r="CN2471" s="118"/>
      <c r="CO2471" s="118"/>
      <c r="CP2471" s="118"/>
      <c r="CQ2471" s="118"/>
      <c r="CR2471" s="118"/>
      <c r="CS2471" s="118"/>
      <c r="CT2471" s="118"/>
      <c r="CU2471" s="118"/>
      <c r="CV2471" s="118"/>
      <c r="CW2471" s="118"/>
      <c r="CX2471" s="118"/>
      <c r="CY2471" s="118"/>
      <c r="CZ2471" s="118"/>
      <c r="DA2471" s="118"/>
      <c r="DB2471" s="118"/>
      <c r="DC2471" s="118"/>
      <c r="DD2471" s="118"/>
      <c r="DE2471" s="118"/>
      <c r="DF2471" s="118"/>
      <c r="DG2471" s="118"/>
      <c r="DH2471" s="118"/>
      <c r="DI2471" s="118"/>
      <c r="DJ2471" s="118"/>
      <c r="DK2471" s="118"/>
      <c r="DL2471" s="118"/>
      <c r="DM2471" s="118"/>
      <c r="DN2471" s="118"/>
      <c r="DO2471" s="118"/>
      <c r="DP2471" s="118"/>
      <c r="DQ2471" s="118"/>
      <c r="DR2471" s="118"/>
      <c r="DS2471" s="118"/>
      <c r="DT2471" s="118"/>
      <c r="DU2471" s="118"/>
      <c r="DV2471" s="118"/>
      <c r="DW2471" s="118"/>
      <c r="DX2471" s="118"/>
      <c r="DY2471" s="118"/>
      <c r="DZ2471" s="118"/>
      <c r="EA2471" s="118"/>
      <c r="EB2471" s="118"/>
      <c r="EC2471" s="118"/>
      <c r="ED2471" s="118"/>
      <c r="EE2471" s="118"/>
      <c r="EF2471" s="118"/>
      <c r="EG2471" s="118"/>
      <c r="EH2471" s="118"/>
      <c r="EI2471" s="118"/>
      <c r="EJ2471" s="118"/>
      <c r="EK2471" s="118"/>
      <c r="EL2471" s="118"/>
      <c r="EM2471" s="118"/>
      <c r="EN2471" s="118"/>
      <c r="EO2471" s="118"/>
      <c r="EP2471" s="118"/>
      <c r="EQ2471" s="118"/>
      <c r="ER2471" s="118"/>
      <c r="ES2471" s="118"/>
      <c r="ET2471" s="118"/>
      <c r="EU2471" s="118"/>
      <c r="EV2471" s="118"/>
      <c r="EW2471" s="118"/>
      <c r="EX2471" s="118"/>
      <c r="EY2471" s="118"/>
      <c r="EZ2471" s="118"/>
      <c r="FA2471" s="118"/>
      <c r="FB2471" s="118"/>
      <c r="FC2471" s="118"/>
      <c r="FD2471" s="118"/>
      <c r="FE2471" s="118"/>
      <c r="FF2471" s="118"/>
      <c r="FG2471" s="118"/>
      <c r="FH2471" s="118"/>
      <c r="FI2471" s="118"/>
      <c r="FJ2471" s="118"/>
      <c r="FK2471" s="118"/>
      <c r="FL2471" s="118"/>
      <c r="FM2471" s="118"/>
      <c r="FN2471" s="118"/>
      <c r="FO2471" s="118"/>
      <c r="FP2471" s="118"/>
      <c r="FQ2471" s="118"/>
      <c r="FR2471" s="118"/>
      <c r="FS2471" s="118"/>
      <c r="FT2471" s="118"/>
      <c r="FU2471" s="118"/>
      <c r="FV2471" s="118"/>
      <c r="FW2471" s="118"/>
      <c r="FX2471" s="118"/>
      <c r="FY2471" s="118"/>
      <c r="FZ2471" s="118"/>
      <c r="GA2471" s="118"/>
      <c r="GB2471" s="118"/>
      <c r="GC2471" s="118"/>
      <c r="GD2471" s="118"/>
      <c r="GE2471" s="118"/>
      <c r="GF2471" s="118"/>
      <c r="GG2471" s="118"/>
      <c r="GH2471" s="118"/>
      <c r="GI2471" s="118"/>
      <c r="GJ2471" s="118"/>
      <c r="GK2471" s="118"/>
      <c r="GL2471" s="118"/>
      <c r="GM2471" s="118"/>
      <c r="GN2471" s="118"/>
      <c r="GO2471" s="118"/>
      <c r="GP2471" s="118"/>
      <c r="GQ2471" s="118"/>
      <c r="GR2471" s="118"/>
      <c r="GS2471" s="118"/>
      <c r="GT2471" s="118"/>
      <c r="GU2471" s="118"/>
      <c r="GV2471" s="118"/>
      <c r="GW2471" s="118"/>
      <c r="GX2471" s="118"/>
      <c r="GY2471" s="118"/>
      <c r="GZ2471" s="118"/>
      <c r="HA2471" s="118"/>
      <c r="HB2471" s="118"/>
      <c r="HC2471" s="118"/>
      <c r="HD2471" s="118"/>
      <c r="HE2471" s="118"/>
      <c r="HF2471" s="118"/>
      <c r="HG2471" s="118"/>
      <c r="HH2471" s="118"/>
      <c r="HI2471" s="118"/>
      <c r="HJ2471" s="118"/>
      <c r="HK2471" s="118"/>
      <c r="HL2471" s="118"/>
      <c r="HM2471" s="118"/>
      <c r="HN2471" s="118"/>
      <c r="HO2471" s="118"/>
      <c r="HP2471" s="118"/>
      <c r="HQ2471" s="118"/>
      <c r="HR2471" s="118"/>
      <c r="HS2471" s="118"/>
      <c r="HT2471" s="118"/>
      <c r="HU2471" s="118"/>
      <c r="HV2471" s="118"/>
      <c r="HW2471" s="118"/>
      <c r="HX2471" s="118"/>
      <c r="HY2471" s="118"/>
      <c r="HZ2471" s="118"/>
      <c r="IA2471" s="118"/>
      <c r="IB2471" s="118"/>
      <c r="IC2471" s="118"/>
      <c r="ID2471" s="118"/>
      <c r="IE2471" s="118"/>
      <c r="IF2471" s="118"/>
      <c r="IG2471" s="118"/>
      <c r="IH2471" s="118"/>
      <c r="II2471" s="118"/>
      <c r="IJ2471" s="118"/>
    </row>
    <row r="2472" spans="1:244" s="128" customFormat="1" ht="12.75" customHeight="1">
      <c r="A2472" s="118">
        <v>2471</v>
      </c>
      <c r="B2472" s="128">
        <v>26</v>
      </c>
      <c r="C2472" s="156">
        <v>39083</v>
      </c>
      <c r="D2472" s="157" t="s">
        <v>44</v>
      </c>
      <c r="E2472" s="8">
        <v>2007</v>
      </c>
      <c r="F2472" s="158">
        <f t="shared" si="644"/>
        <v>275</v>
      </c>
      <c r="G2472" s="158">
        <f t="shared" si="645"/>
        <v>1</v>
      </c>
      <c r="H2472" s="178">
        <v>38808</v>
      </c>
      <c r="I2472" s="218">
        <v>456000</v>
      </c>
      <c r="J2472" s="164">
        <v>1.6166666000000001</v>
      </c>
      <c r="K2472" s="191">
        <v>2.8333333000000001</v>
      </c>
      <c r="L2472" s="191">
        <v>0</v>
      </c>
      <c r="M2472" s="193">
        <v>0</v>
      </c>
      <c r="N2472" s="529"/>
      <c r="O2472" s="164">
        <v>0</v>
      </c>
      <c r="P2472" s="207"/>
      <c r="Q2472" s="118">
        <v>7</v>
      </c>
      <c r="R2472" s="118">
        <v>29</v>
      </c>
      <c r="S2472" s="221"/>
      <c r="T2472" s="161">
        <f t="shared" si="649"/>
        <v>1291999.9848</v>
      </c>
      <c r="U2472" s="161">
        <f t="shared" si="646"/>
        <v>0</v>
      </c>
      <c r="V2472" s="161">
        <f t="shared" si="647"/>
        <v>0</v>
      </c>
      <c r="W2472" s="161">
        <f t="shared" si="648"/>
        <v>0</v>
      </c>
      <c r="X2472" s="118"/>
      <c r="Y2472" s="118"/>
      <c r="Z2472" s="118"/>
      <c r="AA2472" s="118"/>
      <c r="AB2472" s="118"/>
      <c r="AC2472" s="118"/>
      <c r="AD2472" s="118"/>
      <c r="AE2472" s="118"/>
      <c r="AF2472" s="118"/>
      <c r="AG2472" s="118"/>
      <c r="AH2472" s="118"/>
      <c r="AI2472" s="118"/>
      <c r="AJ2472" s="118"/>
      <c r="AK2472" s="118"/>
      <c r="AL2472" s="118"/>
      <c r="AM2472" s="118"/>
      <c r="AN2472" s="118"/>
      <c r="AO2472" s="118"/>
      <c r="AP2472" s="118"/>
      <c r="AQ2472" s="118"/>
      <c r="AR2472" s="118"/>
      <c r="AS2472" s="118"/>
      <c r="AT2472" s="118"/>
      <c r="AU2472" s="118"/>
      <c r="AV2472" s="118"/>
      <c r="AW2472" s="118"/>
      <c r="AX2472" s="118"/>
      <c r="AY2472" s="118"/>
      <c r="AZ2472" s="118"/>
      <c r="BA2472" s="118"/>
      <c r="BB2472" s="118"/>
      <c r="BC2472" s="118"/>
      <c r="BD2472" s="118"/>
      <c r="BE2472" s="118"/>
      <c r="BF2472" s="118"/>
      <c r="BG2472" s="118"/>
      <c r="BH2472" s="118"/>
      <c r="BI2472" s="118"/>
      <c r="BJ2472" s="118"/>
      <c r="BK2472" s="118"/>
      <c r="BL2472" s="118"/>
      <c r="BM2472" s="118"/>
      <c r="BN2472" s="118"/>
      <c r="BO2472" s="118"/>
      <c r="BP2472" s="118"/>
      <c r="BQ2472" s="118"/>
      <c r="BR2472" s="118"/>
      <c r="BS2472" s="118"/>
      <c r="BT2472" s="118"/>
      <c r="BU2472" s="118"/>
      <c r="BV2472" s="118"/>
      <c r="BW2472" s="118"/>
      <c r="BX2472" s="118"/>
      <c r="BY2472" s="118"/>
      <c r="BZ2472" s="118"/>
      <c r="CA2472" s="118"/>
      <c r="CB2472" s="118"/>
      <c r="CC2472" s="118"/>
      <c r="CD2472" s="118"/>
      <c r="CE2472" s="118"/>
      <c r="CF2472" s="118"/>
      <c r="CG2472" s="118"/>
      <c r="CH2472" s="118"/>
      <c r="CI2472" s="118"/>
      <c r="CJ2472" s="118"/>
      <c r="CK2472" s="118"/>
      <c r="CL2472" s="118"/>
      <c r="CM2472" s="118"/>
      <c r="CN2472" s="118"/>
      <c r="CO2472" s="118"/>
      <c r="CP2472" s="118"/>
      <c r="CQ2472" s="118"/>
      <c r="CR2472" s="118"/>
      <c r="CS2472" s="118"/>
      <c r="CT2472" s="118"/>
      <c r="CU2472" s="118"/>
      <c r="CV2472" s="118"/>
      <c r="CW2472" s="118"/>
      <c r="CX2472" s="118"/>
      <c r="CY2472" s="118"/>
      <c r="CZ2472" s="118"/>
      <c r="DA2472" s="118"/>
      <c r="DB2472" s="118"/>
      <c r="DC2472" s="118"/>
      <c r="DD2472" s="118"/>
      <c r="DE2472" s="118"/>
      <c r="DF2472" s="118"/>
      <c r="DG2472" s="118"/>
      <c r="DH2472" s="118"/>
      <c r="DI2472" s="118"/>
      <c r="DJ2472" s="118"/>
      <c r="DK2472" s="118"/>
      <c r="DL2472" s="118"/>
      <c r="DM2472" s="118"/>
      <c r="DN2472" s="118"/>
      <c r="DO2472" s="118"/>
      <c r="DP2472" s="118"/>
      <c r="DQ2472" s="118"/>
      <c r="DR2472" s="118"/>
      <c r="DS2472" s="118"/>
      <c r="DT2472" s="118"/>
      <c r="DU2472" s="118"/>
      <c r="DV2472" s="118"/>
      <c r="DW2472" s="118"/>
      <c r="DX2472" s="118"/>
      <c r="DY2472" s="118"/>
      <c r="DZ2472" s="118"/>
      <c r="EA2472" s="118"/>
      <c r="EB2472" s="118"/>
      <c r="EC2472" s="118"/>
      <c r="ED2472" s="118"/>
      <c r="EE2472" s="118"/>
      <c r="EF2472" s="118"/>
      <c r="EG2472" s="118"/>
      <c r="EH2472" s="118"/>
      <c r="EI2472" s="118"/>
      <c r="EJ2472" s="118"/>
      <c r="EK2472" s="118"/>
      <c r="EL2472" s="118"/>
      <c r="EM2472" s="118"/>
      <c r="EN2472" s="118"/>
      <c r="EO2472" s="118"/>
      <c r="EP2472" s="118"/>
      <c r="EQ2472" s="118"/>
      <c r="ER2472" s="118"/>
      <c r="ES2472" s="118"/>
      <c r="ET2472" s="118"/>
      <c r="EU2472" s="118"/>
      <c r="EV2472" s="118"/>
      <c r="EW2472" s="118"/>
      <c r="EX2472" s="118"/>
      <c r="EY2472" s="118"/>
      <c r="EZ2472" s="118"/>
      <c r="FA2472" s="118"/>
      <c r="FB2472" s="118"/>
      <c r="FC2472" s="118"/>
      <c r="FD2472" s="118"/>
      <c r="FE2472" s="118"/>
      <c r="FF2472" s="118"/>
      <c r="FG2472" s="118"/>
      <c r="FH2472" s="118"/>
      <c r="FI2472" s="118"/>
      <c r="FJ2472" s="118"/>
      <c r="FK2472" s="118"/>
      <c r="FL2472" s="118"/>
      <c r="FM2472" s="118"/>
      <c r="FN2472" s="118"/>
      <c r="FO2472" s="118"/>
      <c r="FP2472" s="118"/>
      <c r="FQ2472" s="118"/>
      <c r="FR2472" s="118"/>
      <c r="FS2472" s="118"/>
      <c r="FT2472" s="118"/>
      <c r="FU2472" s="118"/>
      <c r="FV2472" s="118"/>
      <c r="FW2472" s="118"/>
      <c r="FX2472" s="118"/>
      <c r="FY2472" s="118"/>
      <c r="FZ2472" s="118"/>
      <c r="GA2472" s="118"/>
      <c r="GB2472" s="118"/>
      <c r="GC2472" s="118"/>
      <c r="GD2472" s="118"/>
      <c r="GE2472" s="118"/>
      <c r="GF2472" s="118"/>
      <c r="GG2472" s="118"/>
      <c r="GH2472" s="118"/>
      <c r="GI2472" s="118"/>
      <c r="GJ2472" s="118"/>
      <c r="GK2472" s="118"/>
      <c r="GL2472" s="118"/>
      <c r="GM2472" s="118"/>
      <c r="GN2472" s="118"/>
      <c r="GO2472" s="118"/>
      <c r="GP2472" s="118"/>
      <c r="GQ2472" s="118"/>
      <c r="GR2472" s="118"/>
      <c r="GS2472" s="118"/>
      <c r="GT2472" s="118"/>
      <c r="GU2472" s="118"/>
      <c r="GV2472" s="118"/>
      <c r="GW2472" s="118"/>
      <c r="GX2472" s="118"/>
      <c r="GY2472" s="118"/>
      <c r="GZ2472" s="118"/>
      <c r="HA2472" s="118"/>
      <c r="HB2472" s="118"/>
      <c r="HC2472" s="118"/>
      <c r="HD2472" s="118"/>
      <c r="HE2472" s="118"/>
      <c r="HF2472" s="118"/>
      <c r="HG2472" s="118"/>
      <c r="HH2472" s="118"/>
      <c r="HI2472" s="118"/>
      <c r="HJ2472" s="118"/>
      <c r="HK2472" s="118"/>
      <c r="HL2472" s="118"/>
      <c r="HM2472" s="118"/>
      <c r="HN2472" s="118"/>
      <c r="HO2472" s="118"/>
      <c r="HP2472" s="118"/>
      <c r="HQ2472" s="118"/>
      <c r="HR2472" s="118"/>
      <c r="HS2472" s="118"/>
      <c r="HT2472" s="118"/>
      <c r="HU2472" s="118"/>
      <c r="HV2472" s="118"/>
      <c r="HW2472" s="118"/>
      <c r="HX2472" s="118"/>
      <c r="HY2472" s="118"/>
      <c r="HZ2472" s="118"/>
      <c r="IA2472" s="118"/>
      <c r="IB2472" s="118"/>
      <c r="IC2472" s="118"/>
      <c r="ID2472" s="118"/>
      <c r="IE2472" s="118"/>
      <c r="IF2472" s="118"/>
      <c r="IG2472" s="118"/>
      <c r="IH2472" s="118"/>
      <c r="II2472" s="118"/>
      <c r="IJ2472" s="118"/>
    </row>
    <row r="2473" spans="1:244" s="128" customFormat="1" ht="12.75" customHeight="1">
      <c r="A2473" s="118">
        <v>2472</v>
      </c>
      <c r="B2473" s="128">
        <v>26</v>
      </c>
      <c r="C2473" s="156">
        <v>39114</v>
      </c>
      <c r="D2473" s="157" t="s">
        <v>45</v>
      </c>
      <c r="E2473" s="8">
        <v>2007</v>
      </c>
      <c r="F2473" s="158">
        <f t="shared" si="644"/>
        <v>306</v>
      </c>
      <c r="G2473" s="158">
        <f t="shared" si="645"/>
        <v>1</v>
      </c>
      <c r="H2473" s="178">
        <v>38808</v>
      </c>
      <c r="I2473" s="218">
        <v>455000</v>
      </c>
      <c r="J2473" s="164">
        <v>0.61</v>
      </c>
      <c r="K2473" s="164">
        <v>1.17</v>
      </c>
      <c r="L2473" s="164">
        <v>0.16</v>
      </c>
      <c r="M2473" s="193">
        <v>0</v>
      </c>
      <c r="N2473" s="529"/>
      <c r="O2473" s="164">
        <v>0.03</v>
      </c>
      <c r="P2473" s="207"/>
      <c r="Q2473" s="118">
        <v>7</v>
      </c>
      <c r="R2473" s="118">
        <v>29</v>
      </c>
      <c r="S2473" s="221"/>
      <c r="T2473" s="161">
        <f t="shared" si="649"/>
        <v>532350</v>
      </c>
      <c r="U2473" s="161">
        <f t="shared" si="646"/>
        <v>72800</v>
      </c>
      <c r="V2473" s="161">
        <f t="shared" si="647"/>
        <v>13650</v>
      </c>
      <c r="W2473" s="161">
        <f t="shared" si="648"/>
        <v>5460</v>
      </c>
      <c r="X2473" s="118"/>
      <c r="Y2473" s="118"/>
      <c r="Z2473" s="118"/>
      <c r="AA2473" s="118"/>
      <c r="AB2473" s="118"/>
      <c r="AC2473" s="118"/>
      <c r="AD2473" s="118"/>
      <c r="AE2473" s="118"/>
      <c r="AF2473" s="118"/>
      <c r="AG2473" s="118"/>
      <c r="AH2473" s="118"/>
      <c r="AI2473" s="118"/>
      <c r="AJ2473" s="118"/>
      <c r="AK2473" s="118"/>
      <c r="AL2473" s="118"/>
      <c r="AM2473" s="118"/>
      <c r="AN2473" s="118"/>
      <c r="AO2473" s="118"/>
      <c r="AP2473" s="118"/>
      <c r="AQ2473" s="118"/>
      <c r="AR2473" s="118"/>
      <c r="AS2473" s="118"/>
      <c r="AT2473" s="118"/>
      <c r="AU2473" s="118"/>
      <c r="AV2473" s="118"/>
      <c r="AW2473" s="118"/>
      <c r="AX2473" s="118"/>
      <c r="AY2473" s="118"/>
      <c r="AZ2473" s="118"/>
      <c r="BA2473" s="118"/>
      <c r="BB2473" s="118"/>
      <c r="BC2473" s="118"/>
      <c r="BD2473" s="118"/>
      <c r="BE2473" s="118"/>
      <c r="BF2473" s="118"/>
      <c r="BG2473" s="118"/>
      <c r="BH2473" s="118"/>
      <c r="BI2473" s="118"/>
      <c r="BJ2473" s="118"/>
      <c r="BK2473" s="118"/>
      <c r="BL2473" s="118"/>
      <c r="BM2473" s="118"/>
      <c r="BN2473" s="118"/>
      <c r="BO2473" s="118"/>
      <c r="BP2473" s="118"/>
      <c r="BQ2473" s="118"/>
      <c r="BR2473" s="118"/>
      <c r="BS2473" s="118"/>
      <c r="BT2473" s="118"/>
      <c r="BU2473" s="118"/>
      <c r="BV2473" s="118"/>
      <c r="BW2473" s="118"/>
      <c r="BX2473" s="118"/>
      <c r="BY2473" s="118"/>
      <c r="BZ2473" s="118"/>
      <c r="CA2473" s="118"/>
      <c r="CB2473" s="118"/>
      <c r="CC2473" s="118"/>
      <c r="CD2473" s="118"/>
      <c r="CE2473" s="118"/>
      <c r="CF2473" s="118"/>
      <c r="CG2473" s="118"/>
      <c r="CH2473" s="118"/>
      <c r="CI2473" s="118"/>
      <c r="CJ2473" s="118"/>
      <c r="CK2473" s="118"/>
      <c r="CL2473" s="118"/>
      <c r="CM2473" s="118"/>
      <c r="CN2473" s="118"/>
      <c r="CO2473" s="118"/>
      <c r="CP2473" s="118"/>
      <c r="CQ2473" s="118"/>
      <c r="CR2473" s="118"/>
      <c r="CS2473" s="118"/>
      <c r="CT2473" s="118"/>
      <c r="CU2473" s="118"/>
      <c r="CV2473" s="118"/>
      <c r="CW2473" s="118"/>
      <c r="CX2473" s="118"/>
      <c r="CY2473" s="118"/>
      <c r="CZ2473" s="118"/>
      <c r="DA2473" s="118"/>
      <c r="DB2473" s="118"/>
      <c r="DC2473" s="118"/>
      <c r="DD2473" s="118"/>
      <c r="DE2473" s="118"/>
      <c r="DF2473" s="118"/>
      <c r="DG2473" s="118"/>
      <c r="DH2473" s="118"/>
      <c r="DI2473" s="118"/>
      <c r="DJ2473" s="118"/>
      <c r="DK2473" s="118"/>
      <c r="DL2473" s="118"/>
      <c r="DM2473" s="118"/>
      <c r="DN2473" s="118"/>
      <c r="DO2473" s="118"/>
      <c r="DP2473" s="118"/>
      <c r="DQ2473" s="118"/>
      <c r="DR2473" s="118"/>
      <c r="DS2473" s="118"/>
      <c r="DT2473" s="118"/>
      <c r="DU2473" s="118"/>
      <c r="DV2473" s="118"/>
      <c r="DW2473" s="118"/>
      <c r="DX2473" s="118"/>
      <c r="DY2473" s="118"/>
      <c r="DZ2473" s="118"/>
      <c r="EA2473" s="118"/>
      <c r="EB2473" s="118"/>
      <c r="EC2473" s="118"/>
      <c r="ED2473" s="118"/>
      <c r="EE2473" s="118"/>
      <c r="EF2473" s="118"/>
      <c r="EG2473" s="118"/>
      <c r="EH2473" s="118"/>
      <c r="EI2473" s="118"/>
      <c r="EJ2473" s="118"/>
      <c r="EK2473" s="118"/>
      <c r="EL2473" s="118"/>
      <c r="EM2473" s="118"/>
      <c r="EN2473" s="118"/>
      <c r="EO2473" s="118"/>
      <c r="EP2473" s="118"/>
      <c r="EQ2473" s="118"/>
      <c r="ER2473" s="118"/>
      <c r="ES2473" s="118"/>
      <c r="ET2473" s="118"/>
      <c r="EU2473" s="118"/>
      <c r="EV2473" s="118"/>
      <c r="EW2473" s="118"/>
      <c r="EX2473" s="118"/>
      <c r="EY2473" s="118"/>
      <c r="EZ2473" s="118"/>
      <c r="FA2473" s="118"/>
      <c r="FB2473" s="118"/>
      <c r="FC2473" s="118"/>
      <c r="FD2473" s="118"/>
      <c r="FE2473" s="118"/>
      <c r="FF2473" s="118"/>
      <c r="FG2473" s="118"/>
      <c r="FH2473" s="118"/>
      <c r="FI2473" s="118"/>
      <c r="FJ2473" s="118"/>
      <c r="FK2473" s="118"/>
      <c r="FL2473" s="118"/>
      <c r="FM2473" s="118"/>
      <c r="FN2473" s="118"/>
      <c r="FO2473" s="118"/>
      <c r="FP2473" s="118"/>
      <c r="FQ2473" s="118"/>
      <c r="FR2473" s="118"/>
      <c r="FS2473" s="118"/>
      <c r="FT2473" s="118"/>
      <c r="FU2473" s="118"/>
      <c r="FV2473" s="118"/>
      <c r="FW2473" s="118"/>
      <c r="FX2473" s="118"/>
      <c r="FY2473" s="118"/>
      <c r="FZ2473" s="118"/>
      <c r="GA2473" s="118"/>
      <c r="GB2473" s="118"/>
      <c r="GC2473" s="118"/>
      <c r="GD2473" s="118"/>
      <c r="GE2473" s="118"/>
      <c r="GF2473" s="118"/>
      <c r="GG2473" s="118"/>
      <c r="GH2473" s="118"/>
      <c r="GI2473" s="118"/>
      <c r="GJ2473" s="118"/>
      <c r="GK2473" s="118"/>
      <c r="GL2473" s="118"/>
      <c r="GM2473" s="118"/>
      <c r="GN2473" s="118"/>
      <c r="GO2473" s="118"/>
      <c r="GP2473" s="118"/>
      <c r="GQ2473" s="118"/>
      <c r="GR2473" s="118"/>
      <c r="GS2473" s="118"/>
      <c r="GT2473" s="118"/>
      <c r="GU2473" s="118"/>
      <c r="GV2473" s="118"/>
      <c r="GW2473" s="118"/>
      <c r="GX2473" s="118"/>
      <c r="GY2473" s="118"/>
      <c r="GZ2473" s="118"/>
      <c r="HA2473" s="118"/>
      <c r="HB2473" s="118"/>
      <c r="HC2473" s="118"/>
      <c r="HD2473" s="118"/>
      <c r="HE2473" s="118"/>
      <c r="HF2473" s="118"/>
      <c r="HG2473" s="118"/>
      <c r="HH2473" s="118"/>
      <c r="HI2473" s="118"/>
      <c r="HJ2473" s="118"/>
      <c r="HK2473" s="118"/>
      <c r="HL2473" s="118"/>
      <c r="HM2473" s="118"/>
      <c r="HN2473" s="118"/>
      <c r="HO2473" s="118"/>
      <c r="HP2473" s="118"/>
      <c r="HQ2473" s="118"/>
      <c r="HR2473" s="118"/>
      <c r="HS2473" s="118"/>
      <c r="HT2473" s="118"/>
      <c r="HU2473" s="118"/>
      <c r="HV2473" s="118"/>
      <c r="HW2473" s="118"/>
      <c r="HX2473" s="118"/>
      <c r="HY2473" s="118"/>
      <c r="HZ2473" s="118"/>
      <c r="IA2473" s="118"/>
      <c r="IB2473" s="118"/>
      <c r="IC2473" s="118"/>
      <c r="ID2473" s="118"/>
      <c r="IE2473" s="118"/>
      <c r="IF2473" s="118"/>
      <c r="IG2473" s="118"/>
      <c r="IH2473" s="118"/>
      <c r="II2473" s="118"/>
      <c r="IJ2473" s="118"/>
    </row>
    <row r="2474" spans="1:244" s="128" customFormat="1" ht="12.75" customHeight="1">
      <c r="A2474" s="118">
        <v>2473</v>
      </c>
      <c r="B2474" s="128">
        <v>26</v>
      </c>
      <c r="C2474" s="156">
        <v>39142</v>
      </c>
      <c r="D2474" s="157" t="s">
        <v>46</v>
      </c>
      <c r="E2474" s="8">
        <v>2007</v>
      </c>
      <c r="F2474" s="158">
        <f t="shared" si="644"/>
        <v>334</v>
      </c>
      <c r="G2474" s="158">
        <f t="shared" si="645"/>
        <v>1</v>
      </c>
      <c r="H2474" s="178">
        <v>38808</v>
      </c>
      <c r="I2474" s="218">
        <v>454000</v>
      </c>
      <c r="J2474" s="164">
        <v>2.35</v>
      </c>
      <c r="K2474" s="164">
        <v>1.3</v>
      </c>
      <c r="L2474" s="164">
        <v>0.28000000000000003</v>
      </c>
      <c r="M2474" s="193"/>
      <c r="N2474" s="529"/>
      <c r="O2474" s="164">
        <v>0</v>
      </c>
      <c r="P2474" s="207"/>
      <c r="Q2474" s="118">
        <v>7</v>
      </c>
      <c r="R2474" s="118">
        <v>29</v>
      </c>
      <c r="S2474" s="221"/>
      <c r="T2474" s="161">
        <f t="shared" si="649"/>
        <v>590200</v>
      </c>
      <c r="U2474" s="161">
        <f t="shared" si="646"/>
        <v>127120.00000000001</v>
      </c>
      <c r="V2474" s="161">
        <f t="shared" si="647"/>
        <v>0</v>
      </c>
      <c r="W2474" s="161">
        <f t="shared" si="648"/>
        <v>0</v>
      </c>
      <c r="X2474" s="118"/>
      <c r="Y2474" s="118"/>
      <c r="Z2474" s="118"/>
      <c r="AA2474" s="118"/>
      <c r="AB2474" s="118"/>
      <c r="AC2474" s="118"/>
      <c r="AD2474" s="118"/>
      <c r="AE2474" s="118"/>
      <c r="AF2474" s="118"/>
      <c r="AG2474" s="118"/>
      <c r="AH2474" s="118"/>
      <c r="AI2474" s="118"/>
      <c r="AJ2474" s="118"/>
      <c r="AK2474" s="118"/>
      <c r="AL2474" s="118"/>
      <c r="AM2474" s="118"/>
      <c r="AN2474" s="118"/>
      <c r="AO2474" s="118"/>
      <c r="AP2474" s="118"/>
      <c r="AQ2474" s="118"/>
      <c r="AR2474" s="118"/>
      <c r="AS2474" s="118"/>
      <c r="AT2474" s="118"/>
      <c r="AU2474" s="118"/>
      <c r="AV2474" s="118"/>
      <c r="AW2474" s="118"/>
      <c r="AX2474" s="118"/>
      <c r="AY2474" s="118"/>
      <c r="AZ2474" s="118"/>
      <c r="BA2474" s="118"/>
      <c r="BB2474" s="118"/>
      <c r="BC2474" s="118"/>
      <c r="BD2474" s="118"/>
      <c r="BE2474" s="118"/>
      <c r="BF2474" s="118"/>
      <c r="BG2474" s="118"/>
      <c r="BH2474" s="118"/>
      <c r="BI2474" s="118"/>
      <c r="BJ2474" s="118"/>
      <c r="BK2474" s="118"/>
      <c r="BL2474" s="118"/>
      <c r="BM2474" s="118"/>
      <c r="BN2474" s="118"/>
      <c r="BO2474" s="118"/>
      <c r="BP2474" s="118"/>
      <c r="BQ2474" s="118"/>
      <c r="BR2474" s="118"/>
      <c r="BS2474" s="118"/>
      <c r="BT2474" s="118"/>
      <c r="BU2474" s="118"/>
      <c r="BV2474" s="118"/>
      <c r="BW2474" s="118"/>
      <c r="BX2474" s="118"/>
      <c r="BY2474" s="118"/>
      <c r="BZ2474" s="118"/>
      <c r="CA2474" s="118"/>
      <c r="CB2474" s="118"/>
      <c r="CC2474" s="118"/>
      <c r="CD2474" s="118"/>
      <c r="CE2474" s="118"/>
      <c r="CF2474" s="118"/>
      <c r="CG2474" s="118"/>
      <c r="CH2474" s="118"/>
      <c r="CI2474" s="118"/>
      <c r="CJ2474" s="118"/>
      <c r="CK2474" s="118"/>
      <c r="CL2474" s="118"/>
      <c r="CM2474" s="118"/>
      <c r="CN2474" s="118"/>
      <c r="CO2474" s="118"/>
      <c r="CP2474" s="118"/>
      <c r="CQ2474" s="118"/>
      <c r="CR2474" s="118"/>
      <c r="CS2474" s="118"/>
      <c r="CT2474" s="118"/>
      <c r="CU2474" s="118"/>
      <c r="CV2474" s="118"/>
      <c r="CW2474" s="118"/>
      <c r="CX2474" s="118"/>
      <c r="CY2474" s="118"/>
      <c r="CZ2474" s="118"/>
      <c r="DA2474" s="118"/>
      <c r="DB2474" s="118"/>
      <c r="DC2474" s="118"/>
      <c r="DD2474" s="118"/>
      <c r="DE2474" s="118"/>
      <c r="DF2474" s="118"/>
      <c r="DG2474" s="118"/>
      <c r="DH2474" s="118"/>
      <c r="DI2474" s="118"/>
      <c r="DJ2474" s="118"/>
      <c r="DK2474" s="118"/>
      <c r="DL2474" s="118"/>
      <c r="DM2474" s="118"/>
      <c r="DN2474" s="118"/>
      <c r="DO2474" s="118"/>
      <c r="DP2474" s="118"/>
      <c r="DQ2474" s="118"/>
      <c r="DR2474" s="118"/>
      <c r="DS2474" s="118"/>
      <c r="DT2474" s="118"/>
      <c r="DU2474" s="118"/>
      <c r="DV2474" s="118"/>
      <c r="DW2474" s="118"/>
      <c r="DX2474" s="118"/>
      <c r="DY2474" s="118"/>
      <c r="DZ2474" s="118"/>
      <c r="EA2474" s="118"/>
      <c r="EB2474" s="118"/>
      <c r="EC2474" s="118"/>
      <c r="ED2474" s="118"/>
      <c r="EE2474" s="118"/>
      <c r="EF2474" s="118"/>
      <c r="EG2474" s="118"/>
      <c r="EH2474" s="118"/>
      <c r="EI2474" s="118"/>
      <c r="EJ2474" s="118"/>
      <c r="EK2474" s="118"/>
      <c r="EL2474" s="118"/>
      <c r="EM2474" s="118"/>
      <c r="EN2474" s="118"/>
      <c r="EO2474" s="118"/>
      <c r="EP2474" s="118"/>
      <c r="EQ2474" s="118"/>
      <c r="ER2474" s="118"/>
      <c r="ES2474" s="118"/>
      <c r="ET2474" s="118"/>
      <c r="EU2474" s="118"/>
      <c r="EV2474" s="118"/>
      <c r="EW2474" s="118"/>
      <c r="EX2474" s="118"/>
      <c r="EY2474" s="118"/>
      <c r="EZ2474" s="118"/>
      <c r="FA2474" s="118"/>
      <c r="FB2474" s="118"/>
      <c r="FC2474" s="118"/>
      <c r="FD2474" s="118"/>
      <c r="FE2474" s="118"/>
      <c r="FF2474" s="118"/>
      <c r="FG2474" s="118"/>
      <c r="FH2474" s="118"/>
      <c r="FI2474" s="118"/>
      <c r="FJ2474" s="118"/>
      <c r="FK2474" s="118"/>
      <c r="FL2474" s="118"/>
      <c r="FM2474" s="118"/>
      <c r="FN2474" s="118"/>
      <c r="FO2474" s="118"/>
      <c r="FP2474" s="118"/>
      <c r="FQ2474" s="118"/>
      <c r="FR2474" s="118"/>
      <c r="FS2474" s="118"/>
      <c r="FT2474" s="118"/>
      <c r="FU2474" s="118"/>
      <c r="FV2474" s="118"/>
      <c r="FW2474" s="118"/>
      <c r="FX2474" s="118"/>
      <c r="FY2474" s="118"/>
      <c r="FZ2474" s="118"/>
      <c r="GA2474" s="118"/>
      <c r="GB2474" s="118"/>
      <c r="GC2474" s="118"/>
      <c r="GD2474" s="118"/>
      <c r="GE2474" s="118"/>
      <c r="GF2474" s="118"/>
      <c r="GG2474" s="118"/>
      <c r="GH2474" s="118"/>
      <c r="GI2474" s="118"/>
      <c r="GJ2474" s="118"/>
      <c r="GK2474" s="118"/>
      <c r="GL2474" s="118"/>
      <c r="GM2474" s="118"/>
      <c r="GN2474" s="118"/>
      <c r="GO2474" s="118"/>
      <c r="GP2474" s="118"/>
      <c r="GQ2474" s="118"/>
      <c r="GR2474" s="118"/>
      <c r="GS2474" s="118"/>
      <c r="GT2474" s="118"/>
      <c r="GU2474" s="118"/>
      <c r="GV2474" s="118"/>
      <c r="GW2474" s="118"/>
      <c r="GX2474" s="118"/>
      <c r="GY2474" s="118"/>
      <c r="GZ2474" s="118"/>
      <c r="HA2474" s="118"/>
      <c r="HB2474" s="118"/>
      <c r="HC2474" s="118"/>
      <c r="HD2474" s="118"/>
      <c r="HE2474" s="118"/>
      <c r="HF2474" s="118"/>
      <c r="HG2474" s="118"/>
      <c r="HH2474" s="118"/>
      <c r="HI2474" s="118"/>
      <c r="HJ2474" s="118"/>
      <c r="HK2474" s="118"/>
      <c r="HL2474" s="118"/>
      <c r="HM2474" s="118"/>
      <c r="HN2474" s="118"/>
      <c r="HO2474" s="118"/>
      <c r="HP2474" s="118"/>
      <c r="HQ2474" s="118"/>
      <c r="HR2474" s="118"/>
      <c r="HS2474" s="118"/>
      <c r="HT2474" s="118"/>
      <c r="HU2474" s="118"/>
      <c r="HV2474" s="118"/>
      <c r="HW2474" s="118"/>
      <c r="HX2474" s="118"/>
      <c r="HY2474" s="118"/>
      <c r="HZ2474" s="118"/>
      <c r="IA2474" s="118"/>
      <c r="IB2474" s="118"/>
      <c r="IC2474" s="118"/>
      <c r="ID2474" s="118"/>
      <c r="IE2474" s="118"/>
      <c r="IF2474" s="118"/>
      <c r="IG2474" s="118"/>
      <c r="IH2474" s="118"/>
      <c r="II2474" s="118"/>
      <c r="IJ2474" s="118"/>
    </row>
    <row r="2475" spans="1:244" s="128" customFormat="1" ht="12.75" customHeight="1">
      <c r="A2475" s="118">
        <v>2474</v>
      </c>
      <c r="B2475" s="128">
        <v>26</v>
      </c>
      <c r="C2475" s="156">
        <v>39173</v>
      </c>
      <c r="D2475" s="157" t="s">
        <v>47</v>
      </c>
      <c r="E2475" s="8">
        <v>2007</v>
      </c>
      <c r="F2475" s="158">
        <f t="shared" si="644"/>
        <v>365</v>
      </c>
      <c r="G2475" s="158">
        <f t="shared" si="645"/>
        <v>2</v>
      </c>
      <c r="H2475" s="178">
        <v>38808</v>
      </c>
      <c r="I2475" s="218">
        <v>454000</v>
      </c>
      <c r="J2475" s="173"/>
      <c r="K2475" s="165">
        <f>(K2474+K2476)/2</f>
        <v>0.68500000000000005</v>
      </c>
      <c r="L2475" s="165">
        <f>(L2474+L2476)/2</f>
        <v>0.15500000000000003</v>
      </c>
      <c r="M2475" s="174"/>
      <c r="N2475" s="528">
        <v>1</v>
      </c>
      <c r="O2475" s="165">
        <f>(O2474+O2476)/2</f>
        <v>0</v>
      </c>
      <c r="P2475" s="207"/>
      <c r="Q2475" s="118"/>
      <c r="R2475" s="118"/>
      <c r="S2475" s="221"/>
      <c r="T2475" s="161">
        <f t="shared" si="649"/>
        <v>310990</v>
      </c>
      <c r="U2475" s="161">
        <f t="shared" si="646"/>
        <v>70370.000000000015</v>
      </c>
      <c r="V2475" s="161">
        <f t="shared" si="647"/>
        <v>0</v>
      </c>
      <c r="W2475" s="161">
        <f t="shared" si="648"/>
        <v>0</v>
      </c>
      <c r="X2475" s="118"/>
      <c r="Y2475" s="118"/>
      <c r="Z2475" s="118"/>
      <c r="AA2475" s="118"/>
      <c r="AB2475" s="118"/>
      <c r="AC2475" s="118"/>
      <c r="AD2475" s="118"/>
      <c r="AE2475" s="118"/>
      <c r="AF2475" s="118"/>
      <c r="AG2475" s="118"/>
      <c r="AH2475" s="118"/>
      <c r="AI2475" s="118"/>
      <c r="AJ2475" s="118"/>
      <c r="AK2475" s="118"/>
      <c r="AL2475" s="118"/>
      <c r="AM2475" s="118"/>
      <c r="AN2475" s="118"/>
      <c r="AO2475" s="118"/>
      <c r="AP2475" s="118"/>
      <c r="AQ2475" s="118"/>
      <c r="AR2475" s="118"/>
      <c r="AS2475" s="118"/>
      <c r="AT2475" s="118"/>
      <c r="AU2475" s="118"/>
      <c r="AV2475" s="118"/>
      <c r="AW2475" s="118"/>
      <c r="AX2475" s="118"/>
      <c r="AY2475" s="118"/>
      <c r="AZ2475" s="118"/>
      <c r="BA2475" s="118"/>
      <c r="BB2475" s="118"/>
      <c r="BC2475" s="118"/>
      <c r="BD2475" s="118"/>
      <c r="BE2475" s="118"/>
      <c r="BF2475" s="118"/>
      <c r="BG2475" s="118"/>
      <c r="BH2475" s="118"/>
      <c r="BI2475" s="118"/>
      <c r="BJ2475" s="118"/>
      <c r="BK2475" s="118"/>
      <c r="BL2475" s="118"/>
      <c r="BM2475" s="118"/>
      <c r="BN2475" s="118"/>
      <c r="BO2475" s="118"/>
      <c r="BP2475" s="118"/>
      <c r="BQ2475" s="118"/>
      <c r="BR2475" s="118"/>
      <c r="BS2475" s="118"/>
      <c r="BT2475" s="118"/>
      <c r="BU2475" s="118"/>
      <c r="BV2475" s="118"/>
      <c r="BW2475" s="118"/>
      <c r="BX2475" s="118"/>
      <c r="BY2475" s="118"/>
      <c r="BZ2475" s="118"/>
      <c r="CA2475" s="118"/>
      <c r="CB2475" s="118"/>
      <c r="CC2475" s="118"/>
      <c r="CD2475" s="118"/>
      <c r="CE2475" s="118"/>
      <c r="CF2475" s="118"/>
      <c r="CG2475" s="118"/>
      <c r="CH2475" s="118"/>
      <c r="CI2475" s="118"/>
      <c r="CJ2475" s="118"/>
      <c r="CK2475" s="118"/>
      <c r="CL2475" s="118"/>
      <c r="CM2475" s="118"/>
      <c r="CN2475" s="118"/>
      <c r="CO2475" s="118"/>
      <c r="CP2475" s="118"/>
      <c r="CQ2475" s="118"/>
      <c r="CR2475" s="118"/>
      <c r="CS2475" s="118"/>
      <c r="CT2475" s="118"/>
      <c r="CU2475" s="118"/>
      <c r="CV2475" s="118"/>
      <c r="CW2475" s="118"/>
      <c r="CX2475" s="118"/>
      <c r="CY2475" s="118"/>
      <c r="CZ2475" s="118"/>
      <c r="DA2475" s="118"/>
      <c r="DB2475" s="118"/>
      <c r="DC2475" s="118"/>
      <c r="DD2475" s="118"/>
      <c r="DE2475" s="118"/>
      <c r="DF2475" s="118"/>
      <c r="DG2475" s="118"/>
      <c r="DH2475" s="118"/>
      <c r="DI2475" s="118"/>
      <c r="DJ2475" s="118"/>
      <c r="DK2475" s="118"/>
      <c r="DL2475" s="118"/>
      <c r="DM2475" s="118"/>
      <c r="DN2475" s="118"/>
      <c r="DO2475" s="118"/>
      <c r="DP2475" s="118"/>
      <c r="DQ2475" s="118"/>
      <c r="DR2475" s="118"/>
      <c r="DS2475" s="118"/>
      <c r="DT2475" s="118"/>
      <c r="DU2475" s="118"/>
      <c r="DV2475" s="118"/>
      <c r="DW2475" s="118"/>
      <c r="DX2475" s="118"/>
      <c r="DY2475" s="118"/>
      <c r="DZ2475" s="118"/>
      <c r="EA2475" s="118"/>
      <c r="EB2475" s="118"/>
      <c r="EC2475" s="118"/>
      <c r="ED2475" s="118"/>
      <c r="EE2475" s="118"/>
      <c r="EF2475" s="118"/>
      <c r="EG2475" s="118"/>
      <c r="EH2475" s="118"/>
      <c r="EI2475" s="118"/>
      <c r="EJ2475" s="118"/>
      <c r="EK2475" s="118"/>
      <c r="EL2475" s="118"/>
      <c r="EM2475" s="118"/>
      <c r="EN2475" s="118"/>
      <c r="EO2475" s="118"/>
      <c r="EP2475" s="118"/>
      <c r="EQ2475" s="118"/>
      <c r="ER2475" s="118"/>
      <c r="ES2475" s="118"/>
      <c r="ET2475" s="118"/>
      <c r="EU2475" s="118"/>
      <c r="EV2475" s="118"/>
      <c r="EW2475" s="118"/>
      <c r="EX2475" s="118"/>
      <c r="EY2475" s="118"/>
      <c r="EZ2475" s="118"/>
      <c r="FA2475" s="118"/>
      <c r="FB2475" s="118"/>
      <c r="FC2475" s="118"/>
      <c r="FD2475" s="118"/>
      <c r="FE2475" s="118"/>
      <c r="FF2475" s="118"/>
      <c r="FG2475" s="118"/>
      <c r="FH2475" s="118"/>
      <c r="FI2475" s="118"/>
      <c r="FJ2475" s="118"/>
      <c r="FK2475" s="118"/>
      <c r="FL2475" s="118"/>
      <c r="FM2475" s="118"/>
      <c r="FN2475" s="118"/>
      <c r="FO2475" s="118"/>
      <c r="FP2475" s="118"/>
      <c r="FQ2475" s="118"/>
      <c r="FR2475" s="118"/>
      <c r="FS2475" s="118"/>
      <c r="FT2475" s="118"/>
      <c r="FU2475" s="118"/>
      <c r="FV2475" s="118"/>
      <c r="FW2475" s="118"/>
      <c r="FX2475" s="118"/>
      <c r="FY2475" s="118"/>
      <c r="FZ2475" s="118"/>
      <c r="GA2475" s="118"/>
      <c r="GB2475" s="118"/>
      <c r="GC2475" s="118"/>
      <c r="GD2475" s="118"/>
      <c r="GE2475" s="118"/>
      <c r="GF2475" s="118"/>
      <c r="GG2475" s="118"/>
      <c r="GH2475" s="118"/>
      <c r="GI2475" s="118"/>
      <c r="GJ2475" s="118"/>
      <c r="GK2475" s="118"/>
      <c r="GL2475" s="118"/>
      <c r="GM2475" s="118"/>
      <c r="GN2475" s="118"/>
      <c r="GO2475" s="118"/>
      <c r="GP2475" s="118"/>
      <c r="GQ2475" s="118"/>
      <c r="GR2475" s="118"/>
      <c r="GS2475" s="118"/>
      <c r="GT2475" s="118"/>
      <c r="GU2475" s="118"/>
      <c r="GV2475" s="118"/>
      <c r="GW2475" s="118"/>
      <c r="GX2475" s="118"/>
      <c r="GY2475" s="118"/>
      <c r="GZ2475" s="118"/>
      <c r="HA2475" s="118"/>
      <c r="HB2475" s="118"/>
      <c r="HC2475" s="118"/>
      <c r="HD2475" s="118"/>
      <c r="HE2475" s="118"/>
      <c r="HF2475" s="118"/>
      <c r="HG2475" s="118"/>
      <c r="HH2475" s="118"/>
      <c r="HI2475" s="118"/>
      <c r="HJ2475" s="118"/>
      <c r="HK2475" s="118"/>
      <c r="HL2475" s="118"/>
      <c r="HM2475" s="118"/>
      <c r="HN2475" s="118"/>
      <c r="HO2475" s="118"/>
      <c r="HP2475" s="118"/>
      <c r="HQ2475" s="118"/>
      <c r="HR2475" s="118"/>
      <c r="HS2475" s="118"/>
      <c r="HT2475" s="118"/>
      <c r="HU2475" s="118"/>
      <c r="HV2475" s="118"/>
      <c r="HW2475" s="118"/>
      <c r="HX2475" s="118"/>
      <c r="HY2475" s="118"/>
      <c r="HZ2475" s="118"/>
      <c r="IA2475" s="118"/>
      <c r="IB2475" s="118"/>
      <c r="IC2475" s="118"/>
      <c r="ID2475" s="118"/>
      <c r="IE2475" s="118"/>
      <c r="IF2475" s="118"/>
      <c r="IG2475" s="118"/>
      <c r="IH2475" s="118"/>
      <c r="II2475" s="118"/>
      <c r="IJ2475" s="118"/>
    </row>
    <row r="2476" spans="1:244" s="128" customFormat="1" ht="12.75" customHeight="1">
      <c r="A2476" s="118">
        <v>2475</v>
      </c>
      <c r="B2476" s="128">
        <v>26</v>
      </c>
      <c r="C2476" s="156">
        <v>39203</v>
      </c>
      <c r="D2476" s="157" t="s">
        <v>48</v>
      </c>
      <c r="E2476" s="8">
        <v>2007</v>
      </c>
      <c r="F2476" s="158">
        <f t="shared" si="644"/>
        <v>395</v>
      </c>
      <c r="G2476" s="158">
        <f t="shared" si="645"/>
        <v>2</v>
      </c>
      <c r="H2476" s="178">
        <v>38808</v>
      </c>
      <c r="I2476" s="218">
        <v>452000</v>
      </c>
      <c r="J2476" s="164">
        <v>0.02</v>
      </c>
      <c r="K2476" s="164">
        <v>7.0000000000000007E-2</v>
      </c>
      <c r="L2476" s="164">
        <v>0.03</v>
      </c>
      <c r="M2476" s="193"/>
      <c r="N2476" s="529"/>
      <c r="O2476" s="164">
        <v>0</v>
      </c>
      <c r="P2476" s="207"/>
      <c r="Q2476" s="118">
        <v>9</v>
      </c>
      <c r="R2476" s="118">
        <v>29</v>
      </c>
      <c r="S2476" s="221"/>
      <c r="T2476" s="161">
        <f t="shared" si="649"/>
        <v>31640.000000000004</v>
      </c>
      <c r="U2476" s="161">
        <f t="shared" si="646"/>
        <v>13560</v>
      </c>
      <c r="V2476" s="161">
        <f t="shared" si="647"/>
        <v>0</v>
      </c>
      <c r="W2476" s="161">
        <f t="shared" si="648"/>
        <v>0</v>
      </c>
      <c r="X2476" s="118"/>
      <c r="Y2476" s="118"/>
      <c r="Z2476" s="118"/>
      <c r="AA2476" s="118"/>
      <c r="AB2476" s="118"/>
      <c r="AC2476" s="118"/>
      <c r="AD2476" s="118"/>
      <c r="AE2476" s="118"/>
      <c r="AF2476" s="118"/>
      <c r="AG2476" s="118"/>
      <c r="AH2476" s="118"/>
      <c r="AI2476" s="118"/>
      <c r="AJ2476" s="118"/>
      <c r="AK2476" s="118"/>
      <c r="AL2476" s="118"/>
      <c r="AM2476" s="118"/>
      <c r="AN2476" s="118"/>
      <c r="AO2476" s="118"/>
      <c r="AP2476" s="118"/>
      <c r="AQ2476" s="118"/>
      <c r="AR2476" s="118"/>
      <c r="AS2476" s="118"/>
      <c r="AT2476" s="118"/>
      <c r="AU2476" s="118"/>
      <c r="AV2476" s="118"/>
      <c r="AW2476" s="118"/>
      <c r="AX2476" s="118"/>
      <c r="AY2476" s="118"/>
      <c r="AZ2476" s="118"/>
      <c r="BA2476" s="118"/>
      <c r="BB2476" s="118"/>
      <c r="BC2476" s="118"/>
      <c r="BD2476" s="118"/>
      <c r="BE2476" s="118"/>
      <c r="BF2476" s="118"/>
      <c r="BG2476" s="118"/>
      <c r="BH2476" s="118"/>
      <c r="BI2476" s="118"/>
      <c r="BJ2476" s="118"/>
      <c r="BK2476" s="118"/>
      <c r="BL2476" s="118"/>
      <c r="BM2476" s="118"/>
      <c r="BN2476" s="118"/>
      <c r="BO2476" s="118"/>
      <c r="BP2476" s="118"/>
      <c r="BQ2476" s="118"/>
      <c r="BR2476" s="118"/>
      <c r="BS2476" s="118"/>
      <c r="BT2476" s="118"/>
      <c r="BU2476" s="118"/>
      <c r="BV2476" s="118"/>
      <c r="BW2476" s="118"/>
      <c r="BX2476" s="118"/>
      <c r="BY2476" s="118"/>
      <c r="BZ2476" s="118"/>
      <c r="CA2476" s="118"/>
      <c r="CB2476" s="118"/>
      <c r="CC2476" s="118"/>
      <c r="CD2476" s="118"/>
      <c r="CE2476" s="118"/>
      <c r="CF2476" s="118"/>
      <c r="CG2476" s="118"/>
      <c r="CH2476" s="118"/>
      <c r="CI2476" s="118"/>
      <c r="CJ2476" s="118"/>
      <c r="CK2476" s="118"/>
      <c r="CL2476" s="118"/>
      <c r="CM2476" s="118"/>
      <c r="CN2476" s="118"/>
      <c r="CO2476" s="118"/>
      <c r="CP2476" s="118"/>
      <c r="CQ2476" s="118"/>
      <c r="CR2476" s="118"/>
      <c r="CS2476" s="118"/>
      <c r="CT2476" s="118"/>
      <c r="CU2476" s="118"/>
      <c r="CV2476" s="118"/>
      <c r="CW2476" s="118"/>
      <c r="CX2476" s="118"/>
      <c r="CY2476" s="118"/>
      <c r="CZ2476" s="118"/>
      <c r="DA2476" s="118"/>
      <c r="DB2476" s="118"/>
      <c r="DC2476" s="118"/>
      <c r="DD2476" s="118"/>
      <c r="DE2476" s="118"/>
      <c r="DF2476" s="118"/>
      <c r="DG2476" s="118"/>
      <c r="DH2476" s="118"/>
      <c r="DI2476" s="118"/>
      <c r="DJ2476" s="118"/>
      <c r="DK2476" s="118"/>
      <c r="DL2476" s="118"/>
      <c r="DM2476" s="118"/>
      <c r="DN2476" s="118"/>
      <c r="DO2476" s="118"/>
      <c r="DP2476" s="118"/>
      <c r="DQ2476" s="118"/>
      <c r="DR2476" s="118"/>
      <c r="DS2476" s="118"/>
      <c r="DT2476" s="118"/>
      <c r="DU2476" s="118"/>
      <c r="DV2476" s="118"/>
      <c r="DW2476" s="118"/>
      <c r="DX2476" s="118"/>
      <c r="DY2476" s="118"/>
      <c r="DZ2476" s="118"/>
      <c r="EA2476" s="118"/>
      <c r="EB2476" s="118"/>
      <c r="EC2476" s="118"/>
      <c r="ED2476" s="118"/>
      <c r="EE2476" s="118"/>
      <c r="EF2476" s="118"/>
      <c r="EG2476" s="118"/>
      <c r="EH2476" s="118"/>
      <c r="EI2476" s="118"/>
      <c r="EJ2476" s="118"/>
      <c r="EK2476" s="118"/>
      <c r="EL2476" s="118"/>
      <c r="EM2476" s="118"/>
      <c r="EN2476" s="118"/>
      <c r="EO2476" s="118"/>
      <c r="EP2476" s="118"/>
      <c r="EQ2476" s="118"/>
      <c r="ER2476" s="118"/>
      <c r="ES2476" s="118"/>
      <c r="ET2476" s="118"/>
      <c r="EU2476" s="118"/>
      <c r="EV2476" s="118"/>
      <c r="EW2476" s="118"/>
      <c r="EX2476" s="118"/>
      <c r="EY2476" s="118"/>
      <c r="EZ2476" s="118"/>
      <c r="FA2476" s="118"/>
      <c r="FB2476" s="118"/>
      <c r="FC2476" s="118"/>
      <c r="FD2476" s="118"/>
      <c r="FE2476" s="118"/>
      <c r="FF2476" s="118"/>
      <c r="FG2476" s="118"/>
      <c r="FH2476" s="118"/>
      <c r="FI2476" s="118"/>
      <c r="FJ2476" s="118"/>
      <c r="FK2476" s="118"/>
      <c r="FL2476" s="118"/>
      <c r="FM2476" s="118"/>
      <c r="FN2476" s="118"/>
      <c r="FO2476" s="118"/>
      <c r="FP2476" s="118"/>
      <c r="FQ2476" s="118"/>
      <c r="FR2476" s="118"/>
      <c r="FS2476" s="118"/>
      <c r="FT2476" s="118"/>
      <c r="FU2476" s="118"/>
      <c r="FV2476" s="118"/>
      <c r="FW2476" s="118"/>
      <c r="FX2476" s="118"/>
      <c r="FY2476" s="118"/>
      <c r="FZ2476" s="118"/>
      <c r="GA2476" s="118"/>
      <c r="GB2476" s="118"/>
      <c r="GC2476" s="118"/>
      <c r="GD2476" s="118"/>
      <c r="GE2476" s="118"/>
      <c r="GF2476" s="118"/>
      <c r="GG2476" s="118"/>
      <c r="GH2476" s="118"/>
      <c r="GI2476" s="118"/>
      <c r="GJ2476" s="118"/>
      <c r="GK2476" s="118"/>
      <c r="GL2476" s="118"/>
      <c r="GM2476" s="118"/>
      <c r="GN2476" s="118"/>
      <c r="GO2476" s="118"/>
      <c r="GP2476" s="118"/>
      <c r="GQ2476" s="118"/>
      <c r="GR2476" s="118"/>
      <c r="GS2476" s="118"/>
      <c r="GT2476" s="118"/>
      <c r="GU2476" s="118"/>
      <c r="GV2476" s="118"/>
      <c r="GW2476" s="118"/>
      <c r="GX2476" s="118"/>
      <c r="GY2476" s="118"/>
      <c r="GZ2476" s="118"/>
      <c r="HA2476" s="118"/>
      <c r="HB2476" s="118"/>
      <c r="HC2476" s="118"/>
      <c r="HD2476" s="118"/>
      <c r="HE2476" s="118"/>
      <c r="HF2476" s="118"/>
      <c r="HG2476" s="118"/>
      <c r="HH2476" s="118"/>
      <c r="HI2476" s="118"/>
      <c r="HJ2476" s="118"/>
      <c r="HK2476" s="118"/>
      <c r="HL2476" s="118"/>
      <c r="HM2476" s="118"/>
      <c r="HN2476" s="118"/>
      <c r="HO2476" s="118"/>
      <c r="HP2476" s="118"/>
      <c r="HQ2476" s="118"/>
      <c r="HR2476" s="118"/>
      <c r="HS2476" s="118"/>
      <c r="HT2476" s="118"/>
      <c r="HU2476" s="118"/>
      <c r="HV2476" s="118"/>
      <c r="HW2476" s="118"/>
      <c r="HX2476" s="118"/>
      <c r="HY2476" s="118"/>
      <c r="HZ2476" s="118"/>
      <c r="IA2476" s="118"/>
      <c r="IB2476" s="118"/>
      <c r="IC2476" s="118"/>
      <c r="ID2476" s="118"/>
      <c r="IE2476" s="118"/>
      <c r="IF2476" s="118"/>
      <c r="IG2476" s="118"/>
      <c r="IH2476" s="118"/>
      <c r="II2476" s="118"/>
      <c r="IJ2476" s="118"/>
    </row>
    <row r="2477" spans="1:244" s="128" customFormat="1" ht="12.75" customHeight="1">
      <c r="A2477" s="118">
        <v>2476</v>
      </c>
      <c r="B2477" s="128">
        <v>26</v>
      </c>
      <c r="C2477" s="156">
        <v>39234</v>
      </c>
      <c r="D2477" s="157" t="s">
        <v>49</v>
      </c>
      <c r="E2477" s="8">
        <v>2007</v>
      </c>
      <c r="F2477" s="158">
        <f t="shared" si="644"/>
        <v>426</v>
      </c>
      <c r="G2477" s="158">
        <f t="shared" si="645"/>
        <v>2</v>
      </c>
      <c r="H2477" s="178">
        <v>38808</v>
      </c>
      <c r="I2477" s="218">
        <v>432000</v>
      </c>
      <c r="J2477" s="164">
        <v>0</v>
      </c>
      <c r="K2477" s="164">
        <v>0.17</v>
      </c>
      <c r="L2477" s="164">
        <v>0.05</v>
      </c>
      <c r="M2477" s="193">
        <v>0</v>
      </c>
      <c r="N2477" s="529"/>
      <c r="O2477" s="164">
        <v>0</v>
      </c>
      <c r="P2477" s="207"/>
      <c r="Q2477" s="118">
        <v>11</v>
      </c>
      <c r="R2477" s="118">
        <v>25</v>
      </c>
      <c r="S2477" s="221"/>
      <c r="T2477" s="161">
        <f t="shared" si="649"/>
        <v>73440</v>
      </c>
      <c r="U2477" s="161">
        <f t="shared" si="646"/>
        <v>21600</v>
      </c>
      <c r="V2477" s="161">
        <f t="shared" si="647"/>
        <v>0</v>
      </c>
      <c r="W2477" s="161">
        <f t="shared" si="648"/>
        <v>0</v>
      </c>
      <c r="X2477" s="118"/>
      <c r="Y2477" s="118"/>
      <c r="Z2477" s="118"/>
      <c r="AA2477" s="118"/>
      <c r="AB2477" s="118"/>
      <c r="AC2477" s="118"/>
      <c r="AD2477" s="118"/>
      <c r="AE2477" s="118"/>
      <c r="AF2477" s="118"/>
      <c r="AG2477" s="118"/>
      <c r="AH2477" s="118"/>
      <c r="AI2477" s="118"/>
      <c r="AJ2477" s="118"/>
      <c r="AK2477" s="118"/>
      <c r="AL2477" s="118"/>
      <c r="AM2477" s="118"/>
      <c r="AN2477" s="118"/>
      <c r="AO2477" s="118"/>
      <c r="AP2477" s="118"/>
      <c r="AQ2477" s="118"/>
      <c r="AR2477" s="118"/>
      <c r="AS2477" s="118"/>
      <c r="AT2477" s="118"/>
      <c r="AU2477" s="118"/>
      <c r="AV2477" s="118"/>
      <c r="AW2477" s="118"/>
      <c r="AX2477" s="118"/>
      <c r="AY2477" s="118"/>
      <c r="AZ2477" s="118"/>
      <c r="BA2477" s="118"/>
      <c r="BB2477" s="118"/>
      <c r="BC2477" s="118"/>
      <c r="BD2477" s="118"/>
      <c r="BE2477" s="118"/>
      <c r="BF2477" s="118"/>
      <c r="BG2477" s="118"/>
      <c r="BH2477" s="118"/>
      <c r="BI2477" s="118"/>
      <c r="BJ2477" s="118"/>
      <c r="BK2477" s="118"/>
      <c r="BL2477" s="118"/>
      <c r="BM2477" s="118"/>
      <c r="BN2477" s="118"/>
      <c r="BO2477" s="118"/>
      <c r="BP2477" s="118"/>
      <c r="BQ2477" s="118"/>
      <c r="BR2477" s="118"/>
      <c r="BS2477" s="118"/>
      <c r="BT2477" s="118"/>
      <c r="BU2477" s="118"/>
      <c r="BV2477" s="118"/>
      <c r="BW2477" s="118"/>
      <c r="BX2477" s="118"/>
      <c r="BY2477" s="118"/>
      <c r="BZ2477" s="118"/>
      <c r="CA2477" s="118"/>
      <c r="CB2477" s="118"/>
      <c r="CC2477" s="118"/>
      <c r="CD2477" s="118"/>
      <c r="CE2477" s="118"/>
      <c r="CF2477" s="118"/>
      <c r="CG2477" s="118"/>
      <c r="CH2477" s="118"/>
      <c r="CI2477" s="118"/>
      <c r="CJ2477" s="118"/>
      <c r="CK2477" s="118"/>
      <c r="CL2477" s="118"/>
      <c r="CM2477" s="118"/>
      <c r="CN2477" s="118"/>
      <c r="CO2477" s="118"/>
      <c r="CP2477" s="118"/>
      <c r="CQ2477" s="118"/>
      <c r="CR2477" s="118"/>
      <c r="CS2477" s="118"/>
      <c r="CT2477" s="118"/>
      <c r="CU2477" s="118"/>
      <c r="CV2477" s="118"/>
      <c r="CW2477" s="118"/>
      <c r="CX2477" s="118"/>
      <c r="CY2477" s="118"/>
      <c r="CZ2477" s="118"/>
      <c r="DA2477" s="118"/>
      <c r="DB2477" s="118"/>
      <c r="DC2477" s="118"/>
      <c r="DD2477" s="118"/>
      <c r="DE2477" s="118"/>
      <c r="DF2477" s="118"/>
      <c r="DG2477" s="118"/>
      <c r="DH2477" s="118"/>
      <c r="DI2477" s="118"/>
      <c r="DJ2477" s="118"/>
      <c r="DK2477" s="118"/>
      <c r="DL2477" s="118"/>
      <c r="DM2477" s="118"/>
      <c r="DN2477" s="118"/>
      <c r="DO2477" s="118"/>
      <c r="DP2477" s="118"/>
      <c r="DQ2477" s="118"/>
      <c r="DR2477" s="118"/>
      <c r="DS2477" s="118"/>
      <c r="DT2477" s="118"/>
      <c r="DU2477" s="118"/>
      <c r="DV2477" s="118"/>
      <c r="DW2477" s="118"/>
      <c r="DX2477" s="118"/>
      <c r="DY2477" s="118"/>
      <c r="DZ2477" s="118"/>
      <c r="EA2477" s="118"/>
      <c r="EB2477" s="118"/>
      <c r="EC2477" s="118"/>
      <c r="ED2477" s="118"/>
      <c r="EE2477" s="118"/>
      <c r="EF2477" s="118"/>
      <c r="EG2477" s="118"/>
      <c r="EH2477" s="118"/>
      <c r="EI2477" s="118"/>
      <c r="EJ2477" s="118"/>
      <c r="EK2477" s="118"/>
      <c r="EL2477" s="118"/>
      <c r="EM2477" s="118"/>
      <c r="EN2477" s="118"/>
      <c r="EO2477" s="118"/>
      <c r="EP2477" s="118"/>
      <c r="EQ2477" s="118"/>
      <c r="ER2477" s="118"/>
      <c r="ES2477" s="118"/>
      <c r="ET2477" s="118"/>
      <c r="EU2477" s="118"/>
      <c r="EV2477" s="118"/>
      <c r="EW2477" s="118"/>
      <c r="EX2477" s="118"/>
      <c r="EY2477" s="118"/>
      <c r="EZ2477" s="118"/>
      <c r="FA2477" s="118"/>
      <c r="FB2477" s="118"/>
      <c r="FC2477" s="118"/>
      <c r="FD2477" s="118"/>
      <c r="FE2477" s="118"/>
      <c r="FF2477" s="118"/>
      <c r="FG2477" s="118"/>
      <c r="FH2477" s="118"/>
      <c r="FI2477" s="118"/>
      <c r="FJ2477" s="118"/>
      <c r="FK2477" s="118"/>
      <c r="FL2477" s="118"/>
      <c r="FM2477" s="118"/>
      <c r="FN2477" s="118"/>
      <c r="FO2477" s="118"/>
      <c r="FP2477" s="118"/>
      <c r="FQ2477" s="118"/>
      <c r="FR2477" s="118"/>
      <c r="FS2477" s="118"/>
      <c r="FT2477" s="118"/>
      <c r="FU2477" s="118"/>
      <c r="FV2477" s="118"/>
      <c r="FW2477" s="118"/>
      <c r="FX2477" s="118"/>
      <c r="FY2477" s="118"/>
      <c r="FZ2477" s="118"/>
      <c r="GA2477" s="118"/>
      <c r="GB2477" s="118"/>
      <c r="GC2477" s="118"/>
      <c r="GD2477" s="118"/>
      <c r="GE2477" s="118"/>
      <c r="GF2477" s="118"/>
      <c r="GG2477" s="118"/>
      <c r="GH2477" s="118"/>
      <c r="GI2477" s="118"/>
      <c r="GJ2477" s="118"/>
      <c r="GK2477" s="118"/>
      <c r="GL2477" s="118"/>
      <c r="GM2477" s="118"/>
      <c r="GN2477" s="118"/>
      <c r="GO2477" s="118"/>
      <c r="GP2477" s="118"/>
      <c r="GQ2477" s="118"/>
      <c r="GR2477" s="118"/>
      <c r="GS2477" s="118"/>
      <c r="GT2477" s="118"/>
      <c r="GU2477" s="118"/>
      <c r="GV2477" s="118"/>
      <c r="GW2477" s="118"/>
      <c r="GX2477" s="118"/>
      <c r="GY2477" s="118"/>
      <c r="GZ2477" s="118"/>
      <c r="HA2477" s="118"/>
      <c r="HB2477" s="118"/>
      <c r="HC2477" s="118"/>
      <c r="HD2477" s="118"/>
      <c r="HE2477" s="118"/>
      <c r="HF2477" s="118"/>
      <c r="HG2477" s="118"/>
      <c r="HH2477" s="118"/>
      <c r="HI2477" s="118"/>
      <c r="HJ2477" s="118"/>
      <c r="HK2477" s="118"/>
      <c r="HL2477" s="118"/>
      <c r="HM2477" s="118"/>
      <c r="HN2477" s="118"/>
      <c r="HO2477" s="118"/>
      <c r="HP2477" s="118"/>
      <c r="HQ2477" s="118"/>
      <c r="HR2477" s="118"/>
      <c r="HS2477" s="118"/>
      <c r="HT2477" s="118"/>
      <c r="HU2477" s="118"/>
      <c r="HV2477" s="118"/>
      <c r="HW2477" s="118"/>
      <c r="HX2477" s="118"/>
      <c r="HY2477" s="118"/>
      <c r="HZ2477" s="118"/>
      <c r="IA2477" s="118"/>
      <c r="IB2477" s="118"/>
      <c r="IC2477" s="118"/>
      <c r="ID2477" s="118"/>
      <c r="IE2477" s="118"/>
      <c r="IF2477" s="118"/>
      <c r="IG2477" s="118"/>
      <c r="IH2477" s="118"/>
      <c r="II2477" s="118"/>
      <c r="IJ2477" s="118"/>
    </row>
    <row r="2478" spans="1:244" s="128" customFormat="1" ht="12.75" customHeight="1">
      <c r="A2478" s="118">
        <v>2477</v>
      </c>
      <c r="B2478" s="128">
        <v>26</v>
      </c>
      <c r="C2478" s="156">
        <v>39264</v>
      </c>
      <c r="D2478" s="157" t="s">
        <v>50</v>
      </c>
      <c r="E2478" s="8">
        <v>2007</v>
      </c>
      <c r="F2478" s="158">
        <f t="shared" si="644"/>
        <v>456</v>
      </c>
      <c r="G2478" s="158">
        <f t="shared" si="645"/>
        <v>2</v>
      </c>
      <c r="H2478" s="178">
        <v>38808</v>
      </c>
      <c r="I2478" s="218">
        <v>431000</v>
      </c>
      <c r="J2478" s="164">
        <v>0.05</v>
      </c>
      <c r="K2478" s="164">
        <v>0.05</v>
      </c>
      <c r="L2478" s="164">
        <v>0.03</v>
      </c>
      <c r="M2478" s="193">
        <v>0</v>
      </c>
      <c r="N2478" s="529"/>
      <c r="O2478" s="164">
        <v>0.02</v>
      </c>
      <c r="P2478" s="207"/>
      <c r="Q2478" s="118">
        <v>11</v>
      </c>
      <c r="R2478" s="118">
        <v>18</v>
      </c>
      <c r="S2478" s="221"/>
      <c r="T2478" s="161">
        <f t="shared" si="649"/>
        <v>21550</v>
      </c>
      <c r="U2478" s="161">
        <f t="shared" si="646"/>
        <v>12930</v>
      </c>
      <c r="V2478" s="161">
        <f t="shared" si="647"/>
        <v>8620</v>
      </c>
      <c r="W2478" s="161">
        <f t="shared" si="648"/>
        <v>3448</v>
      </c>
      <c r="X2478" s="118"/>
      <c r="Y2478" s="118"/>
      <c r="Z2478" s="118"/>
      <c r="AA2478" s="118"/>
      <c r="AB2478" s="118"/>
      <c r="AC2478" s="118"/>
      <c r="AD2478" s="118"/>
      <c r="AE2478" s="118"/>
      <c r="AF2478" s="118"/>
      <c r="AG2478" s="118"/>
      <c r="AH2478" s="118"/>
      <c r="AI2478" s="118"/>
      <c r="AJ2478" s="118"/>
      <c r="AK2478" s="118"/>
      <c r="AL2478" s="118"/>
      <c r="AM2478" s="118"/>
      <c r="AN2478" s="118"/>
      <c r="AO2478" s="118"/>
      <c r="AP2478" s="118"/>
      <c r="AQ2478" s="118"/>
      <c r="AR2478" s="118"/>
      <c r="AS2478" s="118"/>
      <c r="AT2478" s="118"/>
      <c r="AU2478" s="118"/>
      <c r="AV2478" s="118"/>
      <c r="AW2478" s="118"/>
      <c r="AX2478" s="118"/>
      <c r="AY2478" s="118"/>
      <c r="AZ2478" s="118"/>
      <c r="BA2478" s="118"/>
      <c r="BB2478" s="118"/>
      <c r="BC2478" s="118"/>
      <c r="BD2478" s="118"/>
      <c r="BE2478" s="118"/>
      <c r="BF2478" s="118"/>
      <c r="BG2478" s="118"/>
      <c r="BH2478" s="118"/>
      <c r="BI2478" s="118"/>
      <c r="BJ2478" s="118"/>
      <c r="BK2478" s="118"/>
      <c r="BL2478" s="118"/>
      <c r="BM2478" s="118"/>
      <c r="BN2478" s="118"/>
      <c r="BO2478" s="118"/>
      <c r="BP2478" s="118"/>
      <c r="BQ2478" s="118"/>
      <c r="BR2478" s="118"/>
      <c r="BS2478" s="118"/>
      <c r="BT2478" s="118"/>
      <c r="BU2478" s="118"/>
      <c r="BV2478" s="118"/>
      <c r="BW2478" s="118"/>
      <c r="BX2478" s="118"/>
      <c r="BY2478" s="118"/>
      <c r="BZ2478" s="118"/>
      <c r="CA2478" s="118"/>
      <c r="CB2478" s="118"/>
      <c r="CC2478" s="118"/>
      <c r="CD2478" s="118"/>
      <c r="CE2478" s="118"/>
      <c r="CF2478" s="118"/>
      <c r="CG2478" s="118"/>
      <c r="CH2478" s="118"/>
      <c r="CI2478" s="118"/>
      <c r="CJ2478" s="118"/>
      <c r="CK2478" s="118"/>
      <c r="CL2478" s="118"/>
      <c r="CM2478" s="118"/>
      <c r="CN2478" s="118"/>
      <c r="CO2478" s="118"/>
      <c r="CP2478" s="118"/>
      <c r="CQ2478" s="118"/>
      <c r="CR2478" s="118"/>
      <c r="CS2478" s="118"/>
      <c r="CT2478" s="118"/>
      <c r="CU2478" s="118"/>
      <c r="CV2478" s="118"/>
      <c r="CW2478" s="118"/>
      <c r="CX2478" s="118"/>
      <c r="CY2478" s="118"/>
      <c r="CZ2478" s="118"/>
      <c r="DA2478" s="118"/>
      <c r="DB2478" s="118"/>
      <c r="DC2478" s="118"/>
      <c r="DD2478" s="118"/>
      <c r="DE2478" s="118"/>
      <c r="DF2478" s="118"/>
      <c r="DG2478" s="118"/>
      <c r="DH2478" s="118"/>
      <c r="DI2478" s="118"/>
      <c r="DJ2478" s="118"/>
      <c r="DK2478" s="118"/>
      <c r="DL2478" s="118"/>
      <c r="DM2478" s="118"/>
      <c r="DN2478" s="118"/>
      <c r="DO2478" s="118"/>
      <c r="DP2478" s="118"/>
      <c r="DQ2478" s="118"/>
      <c r="DR2478" s="118"/>
      <c r="DS2478" s="118"/>
      <c r="DT2478" s="118"/>
      <c r="DU2478" s="118"/>
      <c r="DV2478" s="118"/>
      <c r="DW2478" s="118"/>
      <c r="DX2478" s="118"/>
      <c r="DY2478" s="118"/>
      <c r="DZ2478" s="118"/>
      <c r="EA2478" s="118"/>
      <c r="EB2478" s="118"/>
      <c r="EC2478" s="118"/>
      <c r="ED2478" s="118"/>
      <c r="EE2478" s="118"/>
      <c r="EF2478" s="118"/>
      <c r="EG2478" s="118"/>
      <c r="EH2478" s="118"/>
      <c r="EI2478" s="118"/>
      <c r="EJ2478" s="118"/>
      <c r="EK2478" s="118"/>
      <c r="EL2478" s="118"/>
      <c r="EM2478" s="118"/>
      <c r="EN2478" s="118"/>
      <c r="EO2478" s="118"/>
      <c r="EP2478" s="118"/>
      <c r="EQ2478" s="118"/>
      <c r="ER2478" s="118"/>
      <c r="ES2478" s="118"/>
      <c r="ET2478" s="118"/>
      <c r="EU2478" s="118"/>
      <c r="EV2478" s="118"/>
      <c r="EW2478" s="118"/>
      <c r="EX2478" s="118"/>
      <c r="EY2478" s="118"/>
      <c r="EZ2478" s="118"/>
      <c r="FA2478" s="118"/>
      <c r="FB2478" s="118"/>
      <c r="FC2478" s="118"/>
      <c r="FD2478" s="118"/>
      <c r="FE2478" s="118"/>
      <c r="FF2478" s="118"/>
      <c r="FG2478" s="118"/>
      <c r="FH2478" s="118"/>
      <c r="FI2478" s="118"/>
      <c r="FJ2478" s="118"/>
      <c r="FK2478" s="118"/>
      <c r="FL2478" s="118"/>
      <c r="FM2478" s="118"/>
      <c r="FN2478" s="118"/>
      <c r="FO2478" s="118"/>
      <c r="FP2478" s="118"/>
      <c r="FQ2478" s="118"/>
      <c r="FR2478" s="118"/>
      <c r="FS2478" s="118"/>
      <c r="FT2478" s="118"/>
      <c r="FU2478" s="118"/>
      <c r="FV2478" s="118"/>
      <c r="FW2478" s="118"/>
      <c r="FX2478" s="118"/>
      <c r="FY2478" s="118"/>
      <c r="FZ2478" s="118"/>
      <c r="GA2478" s="118"/>
      <c r="GB2478" s="118"/>
      <c r="GC2478" s="118"/>
      <c r="GD2478" s="118"/>
      <c r="GE2478" s="118"/>
      <c r="GF2478" s="118"/>
      <c r="GG2478" s="118"/>
      <c r="GH2478" s="118"/>
      <c r="GI2478" s="118"/>
      <c r="GJ2478" s="118"/>
      <c r="GK2478" s="118"/>
      <c r="GL2478" s="118"/>
      <c r="GM2478" s="118"/>
      <c r="GN2478" s="118"/>
      <c r="GO2478" s="118"/>
      <c r="GP2478" s="118"/>
      <c r="GQ2478" s="118"/>
      <c r="GR2478" s="118"/>
      <c r="GS2478" s="118"/>
      <c r="GT2478" s="118"/>
      <c r="GU2478" s="118"/>
      <c r="GV2478" s="118"/>
      <c r="GW2478" s="118"/>
      <c r="GX2478" s="118"/>
      <c r="GY2478" s="118"/>
      <c r="GZ2478" s="118"/>
      <c r="HA2478" s="118"/>
      <c r="HB2478" s="118"/>
      <c r="HC2478" s="118"/>
      <c r="HD2478" s="118"/>
      <c r="HE2478" s="118"/>
      <c r="HF2478" s="118"/>
      <c r="HG2478" s="118"/>
      <c r="HH2478" s="118"/>
      <c r="HI2478" s="118"/>
      <c r="HJ2478" s="118"/>
      <c r="HK2478" s="118"/>
      <c r="HL2478" s="118"/>
      <c r="HM2478" s="118"/>
      <c r="HN2478" s="118"/>
      <c r="HO2478" s="118"/>
      <c r="HP2478" s="118"/>
      <c r="HQ2478" s="118"/>
      <c r="HR2478" s="118"/>
      <c r="HS2478" s="118"/>
      <c r="HT2478" s="118"/>
      <c r="HU2478" s="118"/>
      <c r="HV2478" s="118"/>
      <c r="HW2478" s="118"/>
      <c r="HX2478" s="118"/>
      <c r="HY2478" s="118"/>
      <c r="HZ2478" s="118"/>
      <c r="IA2478" s="118"/>
      <c r="IB2478" s="118"/>
      <c r="IC2478" s="118"/>
      <c r="ID2478" s="118"/>
      <c r="IE2478" s="118"/>
      <c r="IF2478" s="118"/>
      <c r="IG2478" s="118"/>
      <c r="IH2478" s="118"/>
      <c r="II2478" s="118"/>
      <c r="IJ2478" s="118"/>
    </row>
    <row r="2479" spans="1:244" s="128" customFormat="1" ht="12.75" customHeight="1">
      <c r="A2479" s="118">
        <v>2478</v>
      </c>
      <c r="B2479" s="128">
        <v>26</v>
      </c>
      <c r="C2479" s="156">
        <v>39295</v>
      </c>
      <c r="D2479" s="157" t="s">
        <v>51</v>
      </c>
      <c r="E2479" s="8">
        <v>2007</v>
      </c>
      <c r="F2479" s="158">
        <f t="shared" si="644"/>
        <v>487</v>
      </c>
      <c r="G2479" s="158">
        <f t="shared" si="645"/>
        <v>2</v>
      </c>
      <c r="H2479" s="178">
        <v>38808</v>
      </c>
      <c r="I2479" s="218">
        <v>426000</v>
      </c>
      <c r="J2479" s="164">
        <v>0.02</v>
      </c>
      <c r="K2479" s="164">
        <v>0.12</v>
      </c>
      <c r="L2479" s="164">
        <v>0.03</v>
      </c>
      <c r="M2479" s="193">
        <v>0</v>
      </c>
      <c r="N2479" s="529"/>
      <c r="O2479" s="164">
        <v>0</v>
      </c>
      <c r="P2479" s="207"/>
      <c r="Q2479" s="118">
        <v>11</v>
      </c>
      <c r="R2479" s="118">
        <v>21</v>
      </c>
      <c r="S2479" s="221"/>
      <c r="T2479" s="161">
        <f t="shared" si="649"/>
        <v>51120</v>
      </c>
      <c r="U2479" s="161">
        <f t="shared" si="646"/>
        <v>12780</v>
      </c>
      <c r="V2479" s="161">
        <f t="shared" si="647"/>
        <v>0</v>
      </c>
      <c r="W2479" s="161">
        <f t="shared" si="648"/>
        <v>0</v>
      </c>
      <c r="X2479" s="118"/>
      <c r="Y2479" s="118"/>
      <c r="Z2479" s="118"/>
      <c r="AA2479" s="118"/>
      <c r="AB2479" s="118"/>
      <c r="AC2479" s="118"/>
      <c r="AD2479" s="118"/>
      <c r="AE2479" s="118"/>
      <c r="AF2479" s="118"/>
      <c r="AG2479" s="118"/>
      <c r="AH2479" s="118"/>
      <c r="AI2479" s="118"/>
      <c r="AJ2479" s="118"/>
      <c r="AK2479" s="118"/>
      <c r="AL2479" s="118"/>
      <c r="AM2479" s="118"/>
      <c r="AN2479" s="118"/>
      <c r="AO2479" s="118"/>
      <c r="AP2479" s="118"/>
      <c r="AQ2479" s="118"/>
      <c r="AR2479" s="118"/>
      <c r="AS2479" s="118"/>
      <c r="AT2479" s="118"/>
      <c r="AU2479" s="118"/>
      <c r="AV2479" s="118"/>
      <c r="AW2479" s="118"/>
      <c r="AX2479" s="118"/>
      <c r="AY2479" s="118"/>
      <c r="AZ2479" s="118"/>
      <c r="BA2479" s="118"/>
      <c r="BB2479" s="118"/>
      <c r="BC2479" s="118"/>
      <c r="BD2479" s="118"/>
      <c r="BE2479" s="118"/>
      <c r="BF2479" s="118"/>
      <c r="BG2479" s="118"/>
      <c r="BH2479" s="118"/>
      <c r="BI2479" s="118"/>
      <c r="BJ2479" s="118"/>
      <c r="BK2479" s="118"/>
      <c r="BL2479" s="118"/>
      <c r="BM2479" s="118"/>
      <c r="BN2479" s="118"/>
      <c r="BO2479" s="118"/>
      <c r="BP2479" s="118"/>
      <c r="BQ2479" s="118"/>
      <c r="BR2479" s="118"/>
      <c r="BS2479" s="118"/>
      <c r="BT2479" s="118"/>
      <c r="BU2479" s="118"/>
      <c r="BV2479" s="118"/>
      <c r="BW2479" s="118"/>
      <c r="BX2479" s="118"/>
      <c r="BY2479" s="118"/>
      <c r="BZ2479" s="118"/>
      <c r="CA2479" s="118"/>
      <c r="CB2479" s="118"/>
      <c r="CC2479" s="118"/>
      <c r="CD2479" s="118"/>
      <c r="CE2479" s="118"/>
      <c r="CF2479" s="118"/>
      <c r="CG2479" s="118"/>
      <c r="CH2479" s="118"/>
      <c r="CI2479" s="118"/>
      <c r="CJ2479" s="118"/>
      <c r="CK2479" s="118"/>
      <c r="CL2479" s="118"/>
      <c r="CM2479" s="118"/>
      <c r="CN2479" s="118"/>
      <c r="CO2479" s="118"/>
      <c r="CP2479" s="118"/>
      <c r="CQ2479" s="118"/>
      <c r="CR2479" s="118"/>
      <c r="CS2479" s="118"/>
      <c r="CT2479" s="118"/>
      <c r="CU2479" s="118"/>
      <c r="CV2479" s="118"/>
      <c r="CW2479" s="118"/>
      <c r="CX2479" s="118"/>
      <c r="CY2479" s="118"/>
      <c r="CZ2479" s="118"/>
      <c r="DA2479" s="118"/>
      <c r="DB2479" s="118"/>
      <c r="DC2479" s="118"/>
      <c r="DD2479" s="118"/>
      <c r="DE2479" s="118"/>
      <c r="DF2479" s="118"/>
      <c r="DG2479" s="118"/>
      <c r="DH2479" s="118"/>
      <c r="DI2479" s="118"/>
      <c r="DJ2479" s="118"/>
      <c r="DK2479" s="118"/>
      <c r="DL2479" s="118"/>
      <c r="DM2479" s="118"/>
      <c r="DN2479" s="118"/>
      <c r="DO2479" s="118"/>
      <c r="DP2479" s="118"/>
      <c r="DQ2479" s="118"/>
      <c r="DR2479" s="118"/>
      <c r="DS2479" s="118"/>
      <c r="DT2479" s="118"/>
      <c r="DU2479" s="118"/>
      <c r="DV2479" s="118"/>
      <c r="DW2479" s="118"/>
      <c r="DX2479" s="118"/>
      <c r="DY2479" s="118"/>
      <c r="DZ2479" s="118"/>
      <c r="EA2479" s="118"/>
      <c r="EB2479" s="118"/>
      <c r="EC2479" s="118"/>
      <c r="ED2479" s="118"/>
      <c r="EE2479" s="118"/>
      <c r="EF2479" s="118"/>
      <c r="EG2479" s="118"/>
      <c r="EH2479" s="118"/>
      <c r="EI2479" s="118"/>
      <c r="EJ2479" s="118"/>
      <c r="EK2479" s="118"/>
      <c r="EL2479" s="118"/>
      <c r="EM2479" s="118"/>
      <c r="EN2479" s="118"/>
      <c r="EO2479" s="118"/>
      <c r="EP2479" s="118"/>
      <c r="EQ2479" s="118"/>
      <c r="ER2479" s="118"/>
      <c r="ES2479" s="118"/>
      <c r="ET2479" s="118"/>
      <c r="EU2479" s="118"/>
      <c r="EV2479" s="118"/>
      <c r="EW2479" s="118"/>
      <c r="EX2479" s="118"/>
      <c r="EY2479" s="118"/>
      <c r="EZ2479" s="118"/>
      <c r="FA2479" s="118"/>
      <c r="FB2479" s="118"/>
      <c r="FC2479" s="118"/>
      <c r="FD2479" s="118"/>
      <c r="FE2479" s="118"/>
      <c r="FF2479" s="118"/>
      <c r="FG2479" s="118"/>
      <c r="FH2479" s="118"/>
      <c r="FI2479" s="118"/>
      <c r="FJ2479" s="118"/>
      <c r="FK2479" s="118"/>
      <c r="FL2479" s="118"/>
      <c r="FM2479" s="118"/>
      <c r="FN2479" s="118"/>
      <c r="FO2479" s="118"/>
      <c r="FP2479" s="118"/>
      <c r="FQ2479" s="118"/>
      <c r="FR2479" s="118"/>
      <c r="FS2479" s="118"/>
      <c r="FT2479" s="118"/>
      <c r="FU2479" s="118"/>
      <c r="FV2479" s="118"/>
      <c r="FW2479" s="118"/>
      <c r="FX2479" s="118"/>
      <c r="FY2479" s="118"/>
      <c r="FZ2479" s="118"/>
      <c r="GA2479" s="118"/>
      <c r="GB2479" s="118"/>
      <c r="GC2479" s="118"/>
      <c r="GD2479" s="118"/>
      <c r="GE2479" s="118"/>
      <c r="GF2479" s="118"/>
      <c r="GG2479" s="118"/>
      <c r="GH2479" s="118"/>
      <c r="GI2479" s="118"/>
      <c r="GJ2479" s="118"/>
      <c r="GK2479" s="118"/>
      <c r="GL2479" s="118"/>
      <c r="GM2479" s="118"/>
      <c r="GN2479" s="118"/>
      <c r="GO2479" s="118"/>
      <c r="GP2479" s="118"/>
      <c r="GQ2479" s="118"/>
      <c r="GR2479" s="118"/>
      <c r="GS2479" s="118"/>
      <c r="GT2479" s="118"/>
      <c r="GU2479" s="118"/>
      <c r="GV2479" s="118"/>
      <c r="GW2479" s="118"/>
      <c r="GX2479" s="118"/>
      <c r="GY2479" s="118"/>
      <c r="GZ2479" s="118"/>
      <c r="HA2479" s="118"/>
      <c r="HB2479" s="118"/>
      <c r="HC2479" s="118"/>
      <c r="HD2479" s="118"/>
      <c r="HE2479" s="118"/>
      <c r="HF2479" s="118"/>
      <c r="HG2479" s="118"/>
      <c r="HH2479" s="118"/>
      <c r="HI2479" s="118"/>
      <c r="HJ2479" s="118"/>
      <c r="HK2479" s="118"/>
      <c r="HL2479" s="118"/>
      <c r="HM2479" s="118"/>
      <c r="HN2479" s="118"/>
      <c r="HO2479" s="118"/>
      <c r="HP2479" s="118"/>
      <c r="HQ2479" s="118"/>
      <c r="HR2479" s="118"/>
      <c r="HS2479" s="118"/>
      <c r="HT2479" s="118"/>
      <c r="HU2479" s="118"/>
      <c r="HV2479" s="118"/>
      <c r="HW2479" s="118"/>
      <c r="HX2479" s="118"/>
      <c r="HY2479" s="118"/>
      <c r="HZ2479" s="118"/>
      <c r="IA2479" s="118"/>
      <c r="IB2479" s="118"/>
      <c r="IC2479" s="118"/>
      <c r="ID2479" s="118"/>
      <c r="IE2479" s="118"/>
      <c r="IF2479" s="118"/>
      <c r="IG2479" s="118"/>
      <c r="IH2479" s="118"/>
      <c r="II2479" s="118"/>
      <c r="IJ2479" s="118"/>
    </row>
    <row r="2480" spans="1:244" s="128" customFormat="1" ht="12.75" customHeight="1">
      <c r="A2480" s="118">
        <v>2479</v>
      </c>
      <c r="B2480" s="128">
        <v>26</v>
      </c>
      <c r="C2480" s="156">
        <v>39326</v>
      </c>
      <c r="D2480" s="157" t="s">
        <v>52</v>
      </c>
      <c r="E2480" s="8">
        <v>2007</v>
      </c>
      <c r="F2480" s="158">
        <f t="shared" si="644"/>
        <v>518</v>
      </c>
      <c r="G2480" s="158">
        <f t="shared" si="645"/>
        <v>2</v>
      </c>
      <c r="H2480" s="178">
        <v>38808</v>
      </c>
      <c r="I2480" s="218">
        <v>337000</v>
      </c>
      <c r="J2480" s="164">
        <v>0.05</v>
      </c>
      <c r="K2480" s="164">
        <v>0.13</v>
      </c>
      <c r="L2480" s="164">
        <v>0.03</v>
      </c>
      <c r="M2480" s="193">
        <v>0</v>
      </c>
      <c r="N2480" s="529"/>
      <c r="O2480" s="164">
        <v>0</v>
      </c>
      <c r="P2480" s="207"/>
      <c r="Q2480" s="118">
        <v>10</v>
      </c>
      <c r="R2480" s="118">
        <v>24</v>
      </c>
      <c r="S2480" s="221"/>
      <c r="T2480" s="161">
        <f t="shared" si="649"/>
        <v>43810</v>
      </c>
      <c r="U2480" s="161">
        <f t="shared" si="646"/>
        <v>10110</v>
      </c>
      <c r="V2480" s="161">
        <f t="shared" si="647"/>
        <v>0</v>
      </c>
      <c r="W2480" s="161">
        <f t="shared" si="648"/>
        <v>0</v>
      </c>
      <c r="X2480" s="118"/>
      <c r="Y2480" s="118"/>
      <c r="Z2480" s="118"/>
      <c r="AA2480" s="118"/>
      <c r="AB2480" s="118"/>
      <c r="AC2480" s="118"/>
      <c r="AD2480" s="118"/>
      <c r="AE2480" s="118"/>
      <c r="AF2480" s="118"/>
      <c r="AG2480" s="118"/>
      <c r="AH2480" s="118"/>
      <c r="AI2480" s="118"/>
      <c r="AJ2480" s="118"/>
      <c r="AK2480" s="118"/>
      <c r="AL2480" s="118"/>
      <c r="AM2480" s="118"/>
      <c r="AN2480" s="118"/>
      <c r="AO2480" s="118"/>
      <c r="AP2480" s="118"/>
      <c r="AQ2480" s="118"/>
      <c r="AR2480" s="118"/>
      <c r="AS2480" s="118"/>
      <c r="AT2480" s="118"/>
      <c r="AU2480" s="118"/>
      <c r="AV2480" s="118"/>
      <c r="AW2480" s="118"/>
      <c r="AX2480" s="118"/>
      <c r="AY2480" s="118"/>
      <c r="AZ2480" s="118"/>
      <c r="BA2480" s="118"/>
      <c r="BB2480" s="118"/>
      <c r="BC2480" s="118"/>
      <c r="BD2480" s="118"/>
      <c r="BE2480" s="118"/>
      <c r="BF2480" s="118"/>
      <c r="BG2480" s="118"/>
      <c r="BH2480" s="118"/>
      <c r="BI2480" s="118"/>
      <c r="BJ2480" s="118"/>
      <c r="BK2480" s="118"/>
      <c r="BL2480" s="118"/>
      <c r="BM2480" s="118"/>
      <c r="BN2480" s="118"/>
      <c r="BO2480" s="118"/>
      <c r="BP2480" s="118"/>
      <c r="BQ2480" s="118"/>
      <c r="BR2480" s="118"/>
      <c r="BS2480" s="118"/>
      <c r="BT2480" s="118"/>
      <c r="BU2480" s="118"/>
      <c r="BV2480" s="118"/>
      <c r="BW2480" s="118"/>
      <c r="BX2480" s="118"/>
      <c r="BY2480" s="118"/>
      <c r="BZ2480" s="118"/>
      <c r="CA2480" s="118"/>
      <c r="CB2480" s="118"/>
      <c r="CC2480" s="118"/>
      <c r="CD2480" s="118"/>
      <c r="CE2480" s="118"/>
      <c r="CF2480" s="118"/>
      <c r="CG2480" s="118"/>
      <c r="CH2480" s="118"/>
      <c r="CI2480" s="118"/>
      <c r="CJ2480" s="118"/>
      <c r="CK2480" s="118"/>
      <c r="CL2480" s="118"/>
      <c r="CM2480" s="118"/>
      <c r="CN2480" s="118"/>
      <c r="CO2480" s="118"/>
      <c r="CP2480" s="118"/>
      <c r="CQ2480" s="118"/>
      <c r="CR2480" s="118"/>
      <c r="CS2480" s="118"/>
      <c r="CT2480" s="118"/>
      <c r="CU2480" s="118"/>
      <c r="CV2480" s="118"/>
      <c r="CW2480" s="118"/>
      <c r="CX2480" s="118"/>
      <c r="CY2480" s="118"/>
      <c r="CZ2480" s="118"/>
      <c r="DA2480" s="118"/>
      <c r="DB2480" s="118"/>
      <c r="DC2480" s="118"/>
      <c r="DD2480" s="118"/>
      <c r="DE2480" s="118"/>
      <c r="DF2480" s="118"/>
      <c r="DG2480" s="118"/>
      <c r="DH2480" s="118"/>
      <c r="DI2480" s="118"/>
      <c r="DJ2480" s="118"/>
      <c r="DK2480" s="118"/>
      <c r="DL2480" s="118"/>
      <c r="DM2480" s="118"/>
      <c r="DN2480" s="118"/>
      <c r="DO2480" s="118"/>
      <c r="DP2480" s="118"/>
      <c r="DQ2480" s="118"/>
      <c r="DR2480" s="118"/>
      <c r="DS2480" s="118"/>
      <c r="DT2480" s="118"/>
      <c r="DU2480" s="118"/>
      <c r="DV2480" s="118"/>
      <c r="DW2480" s="118"/>
      <c r="DX2480" s="118"/>
      <c r="DY2480" s="118"/>
      <c r="DZ2480" s="118"/>
      <c r="EA2480" s="118"/>
      <c r="EB2480" s="118"/>
      <c r="EC2480" s="118"/>
      <c r="ED2480" s="118"/>
      <c r="EE2480" s="118"/>
      <c r="EF2480" s="118"/>
      <c r="EG2480" s="118"/>
      <c r="EH2480" s="118"/>
      <c r="EI2480" s="118"/>
      <c r="EJ2480" s="118"/>
      <c r="EK2480" s="118"/>
      <c r="EL2480" s="118"/>
      <c r="EM2480" s="118"/>
      <c r="EN2480" s="118"/>
      <c r="EO2480" s="118"/>
      <c r="EP2480" s="118"/>
      <c r="EQ2480" s="118"/>
      <c r="ER2480" s="118"/>
      <c r="ES2480" s="118"/>
      <c r="ET2480" s="118"/>
      <c r="EU2480" s="118"/>
      <c r="EV2480" s="118"/>
      <c r="EW2480" s="118"/>
      <c r="EX2480" s="118"/>
      <c r="EY2480" s="118"/>
      <c r="EZ2480" s="118"/>
      <c r="FA2480" s="118"/>
      <c r="FB2480" s="118"/>
      <c r="FC2480" s="118"/>
      <c r="FD2480" s="118"/>
      <c r="FE2480" s="118"/>
      <c r="FF2480" s="118"/>
      <c r="FG2480" s="118"/>
      <c r="FH2480" s="118"/>
      <c r="FI2480" s="118"/>
      <c r="FJ2480" s="118"/>
      <c r="FK2480" s="118"/>
      <c r="FL2480" s="118"/>
      <c r="FM2480" s="118"/>
      <c r="FN2480" s="118"/>
      <c r="FO2480" s="118"/>
      <c r="FP2480" s="118"/>
      <c r="FQ2480" s="118"/>
      <c r="FR2480" s="118"/>
      <c r="FS2480" s="118"/>
      <c r="FT2480" s="118"/>
      <c r="FU2480" s="118"/>
      <c r="FV2480" s="118"/>
      <c r="FW2480" s="118"/>
      <c r="FX2480" s="118"/>
      <c r="FY2480" s="118"/>
      <c r="FZ2480" s="118"/>
      <c r="GA2480" s="118"/>
      <c r="GB2480" s="118"/>
      <c r="GC2480" s="118"/>
      <c r="GD2480" s="118"/>
      <c r="GE2480" s="118"/>
      <c r="GF2480" s="118"/>
      <c r="GG2480" s="118"/>
      <c r="GH2480" s="118"/>
      <c r="GI2480" s="118"/>
      <c r="GJ2480" s="118"/>
      <c r="GK2480" s="118"/>
      <c r="GL2480" s="118"/>
      <c r="GM2480" s="118"/>
      <c r="GN2480" s="118"/>
      <c r="GO2480" s="118"/>
      <c r="GP2480" s="118"/>
      <c r="GQ2480" s="118"/>
      <c r="GR2480" s="118"/>
      <c r="GS2480" s="118"/>
      <c r="GT2480" s="118"/>
      <c r="GU2480" s="118"/>
      <c r="GV2480" s="118"/>
      <c r="GW2480" s="118"/>
      <c r="GX2480" s="118"/>
      <c r="GY2480" s="118"/>
      <c r="GZ2480" s="118"/>
      <c r="HA2480" s="118"/>
      <c r="HB2480" s="118"/>
      <c r="HC2480" s="118"/>
      <c r="HD2480" s="118"/>
      <c r="HE2480" s="118"/>
      <c r="HF2480" s="118"/>
      <c r="HG2480" s="118"/>
      <c r="HH2480" s="118"/>
      <c r="HI2480" s="118"/>
      <c r="HJ2480" s="118"/>
      <c r="HK2480" s="118"/>
      <c r="HL2480" s="118"/>
      <c r="HM2480" s="118"/>
      <c r="HN2480" s="118"/>
      <c r="HO2480" s="118"/>
      <c r="HP2480" s="118"/>
      <c r="HQ2480" s="118"/>
      <c r="HR2480" s="118"/>
      <c r="HS2480" s="118"/>
      <c r="HT2480" s="118"/>
      <c r="HU2480" s="118"/>
      <c r="HV2480" s="118"/>
      <c r="HW2480" s="118"/>
      <c r="HX2480" s="118"/>
      <c r="HY2480" s="118"/>
      <c r="HZ2480" s="118"/>
      <c r="IA2480" s="118"/>
      <c r="IB2480" s="118"/>
      <c r="IC2480" s="118"/>
      <c r="ID2480" s="118"/>
      <c r="IE2480" s="118"/>
      <c r="IF2480" s="118"/>
      <c r="IG2480" s="118"/>
      <c r="IH2480" s="118"/>
      <c r="II2480" s="118"/>
      <c r="IJ2480" s="118"/>
    </row>
    <row r="2481" spans="1:244" s="128" customFormat="1" ht="12.75" customHeight="1">
      <c r="A2481" s="118">
        <v>2480</v>
      </c>
      <c r="B2481" s="128">
        <v>26</v>
      </c>
      <c r="C2481" s="156">
        <v>39356</v>
      </c>
      <c r="D2481" s="157" t="s">
        <v>53</v>
      </c>
      <c r="E2481" s="8">
        <v>2007</v>
      </c>
      <c r="F2481" s="158">
        <f t="shared" si="644"/>
        <v>548</v>
      </c>
      <c r="G2481" s="158">
        <f t="shared" si="645"/>
        <v>2</v>
      </c>
      <c r="H2481" s="178">
        <v>38808</v>
      </c>
      <c r="I2481" s="218">
        <v>258000</v>
      </c>
      <c r="J2481" s="164">
        <v>0</v>
      </c>
      <c r="K2481" s="164">
        <v>0.12</v>
      </c>
      <c r="L2481" s="164">
        <v>0.08</v>
      </c>
      <c r="M2481" s="193">
        <v>0</v>
      </c>
      <c r="N2481" s="529"/>
      <c r="O2481" s="164">
        <v>0.05</v>
      </c>
      <c r="P2481" s="207"/>
      <c r="Q2481" s="118">
        <v>9</v>
      </c>
      <c r="R2481" s="118">
        <v>26</v>
      </c>
      <c r="S2481" s="221"/>
      <c r="T2481" s="161">
        <f t="shared" si="649"/>
        <v>30960</v>
      </c>
      <c r="U2481" s="161">
        <f t="shared" si="646"/>
        <v>20640</v>
      </c>
      <c r="V2481" s="161">
        <f t="shared" si="647"/>
        <v>12900</v>
      </c>
      <c r="W2481" s="161">
        <f t="shared" si="648"/>
        <v>5160</v>
      </c>
      <c r="X2481" s="118"/>
      <c r="Y2481" s="118"/>
      <c r="Z2481" s="118"/>
      <c r="AA2481" s="118"/>
      <c r="AB2481" s="118"/>
      <c r="AC2481" s="118"/>
      <c r="AD2481" s="118"/>
      <c r="AE2481" s="118"/>
      <c r="AF2481" s="118"/>
      <c r="AG2481" s="118"/>
      <c r="AH2481" s="118"/>
      <c r="AI2481" s="118"/>
      <c r="AJ2481" s="118"/>
      <c r="AK2481" s="118"/>
      <c r="AL2481" s="118"/>
      <c r="AM2481" s="118"/>
      <c r="AN2481" s="118"/>
      <c r="AO2481" s="118"/>
      <c r="AP2481" s="118"/>
      <c r="AQ2481" s="118"/>
      <c r="AR2481" s="118"/>
      <c r="AS2481" s="118"/>
      <c r="AT2481" s="118"/>
      <c r="AU2481" s="118"/>
      <c r="AV2481" s="118"/>
      <c r="AW2481" s="118"/>
      <c r="AX2481" s="118"/>
      <c r="AY2481" s="118"/>
      <c r="AZ2481" s="118"/>
      <c r="BA2481" s="118"/>
      <c r="BB2481" s="118"/>
      <c r="BC2481" s="118"/>
      <c r="BD2481" s="118"/>
      <c r="BE2481" s="118"/>
      <c r="BF2481" s="118"/>
      <c r="BG2481" s="118"/>
      <c r="BH2481" s="118"/>
      <c r="BI2481" s="118"/>
      <c r="BJ2481" s="118"/>
      <c r="BK2481" s="118"/>
      <c r="BL2481" s="118"/>
      <c r="BM2481" s="118"/>
      <c r="BN2481" s="118"/>
      <c r="BO2481" s="118"/>
      <c r="BP2481" s="118"/>
      <c r="BQ2481" s="118"/>
      <c r="BR2481" s="118"/>
      <c r="BS2481" s="118"/>
      <c r="BT2481" s="118"/>
      <c r="BU2481" s="118"/>
      <c r="BV2481" s="118"/>
      <c r="BW2481" s="118"/>
      <c r="BX2481" s="118"/>
      <c r="BY2481" s="118"/>
      <c r="BZ2481" s="118"/>
      <c r="CA2481" s="118"/>
      <c r="CB2481" s="118"/>
      <c r="CC2481" s="118"/>
      <c r="CD2481" s="118"/>
      <c r="CE2481" s="118"/>
      <c r="CF2481" s="118"/>
      <c r="CG2481" s="118"/>
      <c r="CH2481" s="118"/>
      <c r="CI2481" s="118"/>
      <c r="CJ2481" s="118"/>
      <c r="CK2481" s="118"/>
      <c r="CL2481" s="118"/>
      <c r="CM2481" s="118"/>
      <c r="CN2481" s="118"/>
      <c r="CO2481" s="118"/>
      <c r="CP2481" s="118"/>
      <c r="CQ2481" s="118"/>
      <c r="CR2481" s="118"/>
      <c r="CS2481" s="118"/>
      <c r="CT2481" s="118"/>
      <c r="CU2481" s="118"/>
      <c r="CV2481" s="118"/>
      <c r="CW2481" s="118"/>
      <c r="CX2481" s="118"/>
      <c r="CY2481" s="118"/>
      <c r="CZ2481" s="118"/>
      <c r="DA2481" s="118"/>
      <c r="DB2481" s="118"/>
      <c r="DC2481" s="118"/>
      <c r="DD2481" s="118"/>
      <c r="DE2481" s="118"/>
      <c r="DF2481" s="118"/>
      <c r="DG2481" s="118"/>
      <c r="DH2481" s="118"/>
      <c r="DI2481" s="118"/>
      <c r="DJ2481" s="118"/>
      <c r="DK2481" s="118"/>
      <c r="DL2481" s="118"/>
      <c r="DM2481" s="118"/>
      <c r="DN2481" s="118"/>
      <c r="DO2481" s="118"/>
      <c r="DP2481" s="118"/>
      <c r="DQ2481" s="118"/>
      <c r="DR2481" s="118"/>
      <c r="DS2481" s="118"/>
      <c r="DT2481" s="118"/>
      <c r="DU2481" s="118"/>
      <c r="DV2481" s="118"/>
      <c r="DW2481" s="118"/>
      <c r="DX2481" s="118"/>
      <c r="DY2481" s="118"/>
      <c r="DZ2481" s="118"/>
      <c r="EA2481" s="118"/>
      <c r="EB2481" s="118"/>
      <c r="EC2481" s="118"/>
      <c r="ED2481" s="118"/>
      <c r="EE2481" s="118"/>
      <c r="EF2481" s="118"/>
      <c r="EG2481" s="118"/>
      <c r="EH2481" s="118"/>
      <c r="EI2481" s="118"/>
      <c r="EJ2481" s="118"/>
      <c r="EK2481" s="118"/>
      <c r="EL2481" s="118"/>
      <c r="EM2481" s="118"/>
      <c r="EN2481" s="118"/>
      <c r="EO2481" s="118"/>
      <c r="EP2481" s="118"/>
      <c r="EQ2481" s="118"/>
      <c r="ER2481" s="118"/>
      <c r="ES2481" s="118"/>
      <c r="ET2481" s="118"/>
      <c r="EU2481" s="118"/>
      <c r="EV2481" s="118"/>
      <c r="EW2481" s="118"/>
      <c r="EX2481" s="118"/>
      <c r="EY2481" s="118"/>
      <c r="EZ2481" s="118"/>
      <c r="FA2481" s="118"/>
      <c r="FB2481" s="118"/>
      <c r="FC2481" s="118"/>
      <c r="FD2481" s="118"/>
      <c r="FE2481" s="118"/>
      <c r="FF2481" s="118"/>
      <c r="FG2481" s="118"/>
      <c r="FH2481" s="118"/>
      <c r="FI2481" s="118"/>
      <c r="FJ2481" s="118"/>
      <c r="FK2481" s="118"/>
      <c r="FL2481" s="118"/>
      <c r="FM2481" s="118"/>
      <c r="FN2481" s="118"/>
      <c r="FO2481" s="118"/>
      <c r="FP2481" s="118"/>
      <c r="FQ2481" s="118"/>
      <c r="FR2481" s="118"/>
      <c r="FS2481" s="118"/>
      <c r="FT2481" s="118"/>
      <c r="FU2481" s="118"/>
      <c r="FV2481" s="118"/>
      <c r="FW2481" s="118"/>
      <c r="FX2481" s="118"/>
      <c r="FY2481" s="118"/>
      <c r="FZ2481" s="118"/>
      <c r="GA2481" s="118"/>
      <c r="GB2481" s="118"/>
      <c r="GC2481" s="118"/>
      <c r="GD2481" s="118"/>
      <c r="GE2481" s="118"/>
      <c r="GF2481" s="118"/>
      <c r="GG2481" s="118"/>
      <c r="GH2481" s="118"/>
      <c r="GI2481" s="118"/>
      <c r="GJ2481" s="118"/>
      <c r="GK2481" s="118"/>
      <c r="GL2481" s="118"/>
      <c r="GM2481" s="118"/>
      <c r="GN2481" s="118"/>
      <c r="GO2481" s="118"/>
      <c r="GP2481" s="118"/>
      <c r="GQ2481" s="118"/>
      <c r="GR2481" s="118"/>
      <c r="GS2481" s="118"/>
      <c r="GT2481" s="118"/>
      <c r="GU2481" s="118"/>
      <c r="GV2481" s="118"/>
      <c r="GW2481" s="118"/>
      <c r="GX2481" s="118"/>
      <c r="GY2481" s="118"/>
      <c r="GZ2481" s="118"/>
      <c r="HA2481" s="118"/>
      <c r="HB2481" s="118"/>
      <c r="HC2481" s="118"/>
      <c r="HD2481" s="118"/>
      <c r="HE2481" s="118"/>
      <c r="HF2481" s="118"/>
      <c r="HG2481" s="118"/>
      <c r="HH2481" s="118"/>
      <c r="HI2481" s="118"/>
      <c r="HJ2481" s="118"/>
      <c r="HK2481" s="118"/>
      <c r="HL2481" s="118"/>
      <c r="HM2481" s="118"/>
      <c r="HN2481" s="118"/>
      <c r="HO2481" s="118"/>
      <c r="HP2481" s="118"/>
      <c r="HQ2481" s="118"/>
      <c r="HR2481" s="118"/>
      <c r="HS2481" s="118"/>
      <c r="HT2481" s="118"/>
      <c r="HU2481" s="118"/>
      <c r="HV2481" s="118"/>
      <c r="HW2481" s="118"/>
      <c r="HX2481" s="118"/>
      <c r="HY2481" s="118"/>
      <c r="HZ2481" s="118"/>
      <c r="IA2481" s="118"/>
      <c r="IB2481" s="118"/>
      <c r="IC2481" s="118"/>
      <c r="ID2481" s="118"/>
      <c r="IE2481" s="118"/>
      <c r="IF2481" s="118"/>
      <c r="IG2481" s="118"/>
      <c r="IH2481" s="118"/>
      <c r="II2481" s="118"/>
      <c r="IJ2481" s="118"/>
    </row>
    <row r="2482" spans="1:244" s="128" customFormat="1" ht="12.75" customHeight="1">
      <c r="A2482" s="118">
        <v>2481</v>
      </c>
      <c r="B2482" s="128">
        <v>26</v>
      </c>
      <c r="C2482" s="156">
        <v>39387</v>
      </c>
      <c r="D2482" s="157" t="s">
        <v>54</v>
      </c>
      <c r="E2482" s="8">
        <v>2007</v>
      </c>
      <c r="F2482" s="158">
        <f t="shared" si="644"/>
        <v>579</v>
      </c>
      <c r="G2482" s="158">
        <f t="shared" si="645"/>
        <v>2</v>
      </c>
      <c r="H2482" s="178">
        <v>38808</v>
      </c>
      <c r="I2482" s="218">
        <v>257000</v>
      </c>
      <c r="J2482" s="164">
        <v>0.03</v>
      </c>
      <c r="K2482" s="164">
        <v>0.12</v>
      </c>
      <c r="L2482" s="164">
        <v>0</v>
      </c>
      <c r="M2482" s="193">
        <v>0</v>
      </c>
      <c r="N2482" s="529"/>
      <c r="O2482" s="164">
        <v>0</v>
      </c>
      <c r="P2482" s="207"/>
      <c r="Q2482" s="118">
        <v>8</v>
      </c>
      <c r="R2482" s="118">
        <v>26</v>
      </c>
      <c r="S2482" s="221"/>
      <c r="T2482" s="161">
        <f t="shared" si="649"/>
        <v>30840</v>
      </c>
      <c r="U2482" s="161">
        <f t="shared" si="646"/>
        <v>0</v>
      </c>
      <c r="V2482" s="161">
        <f t="shared" si="647"/>
        <v>0</v>
      </c>
      <c r="W2482" s="161">
        <f t="shared" si="648"/>
        <v>0</v>
      </c>
      <c r="X2482" s="11"/>
      <c r="Y2482" s="11"/>
      <c r="Z2482" s="11"/>
      <c r="AA2482" s="11"/>
      <c r="AB2482" s="11"/>
      <c r="AC2482" s="11"/>
      <c r="AD2482" s="11"/>
      <c r="AE2482" s="11"/>
      <c r="AF2482" s="11"/>
      <c r="AG2482" s="11"/>
      <c r="AH2482" s="11"/>
      <c r="AI2482" s="11"/>
      <c r="AJ2482" s="11"/>
      <c r="AK2482" s="11"/>
      <c r="AL2482" s="11"/>
      <c r="AM2482" s="11"/>
      <c r="AN2482" s="11"/>
      <c r="AO2482" s="11"/>
      <c r="AP2482" s="11"/>
      <c r="AQ2482" s="11"/>
      <c r="AR2482" s="11"/>
      <c r="AS2482" s="11"/>
      <c r="AT2482" s="11"/>
      <c r="AU2482" s="11"/>
      <c r="AV2482" s="11"/>
      <c r="AW2482" s="11"/>
      <c r="AX2482" s="11"/>
      <c r="AY2482" s="11"/>
      <c r="AZ2482" s="11"/>
      <c r="BA2482" s="11"/>
      <c r="BB2482" s="11"/>
      <c r="BC2482" s="11"/>
      <c r="BD2482" s="11"/>
      <c r="BE2482" s="11"/>
      <c r="BF2482" s="11"/>
      <c r="BG2482" s="11"/>
      <c r="BH2482" s="11"/>
      <c r="BI2482" s="11"/>
      <c r="BJ2482" s="11"/>
      <c r="BK2482" s="11"/>
      <c r="BL2482" s="11"/>
      <c r="BM2482" s="11"/>
      <c r="BN2482" s="11"/>
      <c r="BO2482" s="11"/>
      <c r="BP2482" s="11"/>
      <c r="BQ2482" s="11"/>
      <c r="BR2482" s="11"/>
      <c r="BS2482" s="11"/>
      <c r="BT2482" s="11"/>
      <c r="BU2482" s="11"/>
      <c r="BV2482" s="11"/>
      <c r="BW2482" s="11"/>
      <c r="BX2482" s="11"/>
      <c r="BY2482" s="11"/>
      <c r="BZ2482" s="11"/>
      <c r="CA2482" s="11"/>
      <c r="CB2482" s="11"/>
      <c r="CC2482" s="11"/>
      <c r="CD2482" s="11"/>
      <c r="CE2482" s="11"/>
      <c r="CF2482" s="11"/>
      <c r="CG2482" s="11"/>
      <c r="CH2482" s="11"/>
      <c r="CI2482" s="11"/>
      <c r="CJ2482" s="11"/>
      <c r="CK2482" s="11"/>
      <c r="CL2482" s="11"/>
      <c r="CM2482" s="11"/>
      <c r="CN2482" s="11"/>
      <c r="CO2482" s="11"/>
      <c r="CP2482" s="11"/>
      <c r="CQ2482" s="11"/>
      <c r="CR2482" s="11"/>
      <c r="CS2482" s="11"/>
      <c r="CT2482" s="11"/>
      <c r="CU2482" s="11"/>
      <c r="CV2482" s="11"/>
      <c r="CW2482" s="11"/>
      <c r="CX2482" s="11"/>
      <c r="CY2482" s="11"/>
      <c r="CZ2482" s="11"/>
      <c r="DA2482" s="11"/>
      <c r="DB2482" s="11"/>
      <c r="DC2482" s="11"/>
      <c r="DD2482" s="11"/>
      <c r="DE2482" s="11"/>
      <c r="DF2482" s="11"/>
      <c r="DG2482" s="11"/>
      <c r="DH2482" s="11"/>
      <c r="DI2482" s="11"/>
      <c r="DJ2482" s="11"/>
      <c r="DK2482" s="11"/>
      <c r="DL2482" s="11"/>
      <c r="DM2482" s="11"/>
      <c r="DN2482" s="11"/>
      <c r="DO2482" s="11"/>
      <c r="DP2482" s="11"/>
      <c r="DQ2482" s="11"/>
      <c r="DR2482" s="11"/>
      <c r="DS2482" s="11"/>
      <c r="DT2482" s="11"/>
      <c r="DU2482" s="11"/>
      <c r="DV2482" s="11"/>
      <c r="DW2482" s="11"/>
      <c r="DX2482" s="11"/>
      <c r="DY2482" s="11"/>
      <c r="DZ2482" s="11"/>
      <c r="EA2482" s="11"/>
      <c r="EB2482" s="11"/>
      <c r="EC2482" s="11"/>
      <c r="ED2482" s="11"/>
      <c r="EE2482" s="11"/>
      <c r="EF2482" s="11"/>
      <c r="EG2482" s="11"/>
      <c r="EH2482" s="11"/>
      <c r="EI2482" s="11"/>
      <c r="EJ2482" s="11"/>
      <c r="EK2482" s="11"/>
      <c r="EL2482" s="11"/>
      <c r="EM2482" s="11"/>
      <c r="EN2482" s="11"/>
      <c r="EO2482" s="11"/>
      <c r="EP2482" s="11"/>
      <c r="EQ2482" s="11"/>
      <c r="ER2482" s="11"/>
      <c r="ES2482" s="11"/>
      <c r="ET2482" s="11"/>
      <c r="EU2482" s="11"/>
      <c r="EV2482" s="11"/>
      <c r="EW2482" s="11"/>
      <c r="EX2482" s="11"/>
      <c r="EY2482" s="11"/>
      <c r="EZ2482" s="11"/>
      <c r="FA2482" s="11"/>
      <c r="FB2482" s="11"/>
      <c r="FC2482" s="11"/>
      <c r="FD2482" s="11"/>
      <c r="FE2482" s="11"/>
      <c r="FF2482" s="11"/>
      <c r="FG2482" s="11"/>
      <c r="FH2482" s="11"/>
      <c r="FI2482" s="11"/>
      <c r="FJ2482" s="11"/>
      <c r="FK2482" s="11"/>
      <c r="FL2482" s="11"/>
      <c r="FM2482" s="11"/>
      <c r="FN2482" s="11"/>
      <c r="FO2482" s="11"/>
      <c r="FP2482" s="11"/>
      <c r="FQ2482" s="11"/>
      <c r="FR2482" s="11"/>
      <c r="FS2482" s="11"/>
      <c r="FT2482" s="11"/>
      <c r="FU2482" s="11"/>
      <c r="FV2482" s="11"/>
      <c r="FW2482" s="11"/>
      <c r="FX2482" s="11"/>
      <c r="FY2482" s="11"/>
      <c r="FZ2482" s="11"/>
      <c r="GA2482" s="11"/>
      <c r="GB2482" s="11"/>
      <c r="GC2482" s="11"/>
      <c r="GD2482" s="11"/>
      <c r="GE2482" s="11"/>
      <c r="GF2482" s="11"/>
      <c r="GG2482" s="11"/>
      <c r="GH2482" s="11"/>
      <c r="GI2482" s="11"/>
      <c r="GJ2482" s="11"/>
      <c r="GK2482" s="11"/>
      <c r="GL2482" s="11"/>
      <c r="GM2482" s="11"/>
      <c r="GN2482" s="11"/>
      <c r="GO2482" s="11"/>
      <c r="GP2482" s="11"/>
      <c r="GQ2482" s="11"/>
      <c r="GR2482" s="11"/>
      <c r="GS2482" s="11"/>
      <c r="GT2482" s="11"/>
      <c r="GU2482" s="11"/>
      <c r="GV2482" s="11"/>
      <c r="GW2482" s="11"/>
      <c r="GX2482" s="11"/>
      <c r="GY2482" s="11"/>
      <c r="GZ2482" s="11"/>
      <c r="HA2482" s="11"/>
      <c r="HB2482" s="11"/>
      <c r="HC2482" s="11"/>
      <c r="HD2482" s="11"/>
      <c r="HE2482" s="11"/>
      <c r="HF2482" s="11"/>
      <c r="HG2482" s="11"/>
      <c r="HH2482" s="11"/>
      <c r="HI2482" s="11"/>
      <c r="HJ2482" s="11"/>
      <c r="HK2482" s="11"/>
      <c r="HL2482" s="11"/>
      <c r="HM2482" s="11"/>
      <c r="HN2482" s="11"/>
      <c r="HO2482" s="11"/>
      <c r="HP2482" s="11"/>
      <c r="HQ2482" s="11"/>
      <c r="HR2482" s="11"/>
      <c r="HS2482" s="11"/>
      <c r="HT2482" s="11"/>
      <c r="HU2482" s="11"/>
      <c r="HV2482" s="11"/>
      <c r="HW2482" s="11"/>
      <c r="HX2482" s="11"/>
      <c r="HY2482" s="11"/>
      <c r="HZ2482" s="11"/>
      <c r="IA2482" s="11"/>
      <c r="IB2482" s="11"/>
      <c r="IC2482" s="11"/>
      <c r="ID2482" s="11"/>
      <c r="IE2482" s="11"/>
      <c r="IF2482" s="11"/>
      <c r="IG2482" s="11"/>
      <c r="IH2482" s="11"/>
      <c r="II2482" s="11"/>
      <c r="IJ2482" s="11"/>
    </row>
    <row r="2483" spans="1:244" s="128" customFormat="1" ht="12.75" customHeight="1">
      <c r="A2483" s="118">
        <v>2482</v>
      </c>
      <c r="B2483" s="128">
        <v>26</v>
      </c>
      <c r="C2483" s="156">
        <v>39417</v>
      </c>
      <c r="D2483" s="157" t="s">
        <v>55</v>
      </c>
      <c r="E2483" s="8">
        <v>2007</v>
      </c>
      <c r="F2483" s="158">
        <f t="shared" si="644"/>
        <v>609</v>
      </c>
      <c r="G2483" s="158">
        <f t="shared" si="645"/>
        <v>2</v>
      </c>
      <c r="H2483" s="178">
        <v>38808</v>
      </c>
      <c r="I2483" s="218">
        <v>257000</v>
      </c>
      <c r="J2483" s="164">
        <v>0.08</v>
      </c>
      <c r="K2483" s="164">
        <v>0.3</v>
      </c>
      <c r="L2483" s="164">
        <v>0.18</v>
      </c>
      <c r="M2483" s="193">
        <v>0</v>
      </c>
      <c r="N2483" s="529"/>
      <c r="O2483" s="164">
        <v>0</v>
      </c>
      <c r="P2483" s="207"/>
      <c r="Q2483" s="118">
        <v>8</v>
      </c>
      <c r="R2483" s="118">
        <v>28</v>
      </c>
      <c r="S2483" s="221"/>
      <c r="T2483" s="161">
        <f t="shared" si="649"/>
        <v>77100</v>
      </c>
      <c r="U2483" s="161">
        <f t="shared" si="646"/>
        <v>46260</v>
      </c>
      <c r="V2483" s="161">
        <f t="shared" si="647"/>
        <v>0</v>
      </c>
      <c r="W2483" s="161">
        <f t="shared" si="648"/>
        <v>0</v>
      </c>
      <c r="X2483" s="11"/>
      <c r="Y2483" s="11"/>
      <c r="Z2483" s="11"/>
      <c r="AA2483" s="11"/>
      <c r="AB2483" s="11"/>
      <c r="AC2483" s="11"/>
      <c r="AD2483" s="11"/>
      <c r="AE2483" s="11"/>
      <c r="AF2483" s="11"/>
      <c r="AG2483" s="11"/>
      <c r="AH2483" s="11"/>
      <c r="AI2483" s="11"/>
      <c r="AJ2483" s="11"/>
      <c r="AK2483" s="11"/>
      <c r="AL2483" s="11"/>
      <c r="AM2483" s="11"/>
      <c r="AN2483" s="11"/>
      <c r="AO2483" s="11"/>
      <c r="AP2483" s="11"/>
      <c r="AQ2483" s="11"/>
      <c r="AR2483" s="11"/>
      <c r="AS2483" s="11"/>
      <c r="AT2483" s="11"/>
      <c r="AU2483" s="11"/>
      <c r="AV2483" s="11"/>
      <c r="AW2483" s="11"/>
      <c r="AX2483" s="11"/>
      <c r="AY2483" s="11"/>
      <c r="AZ2483" s="11"/>
      <c r="BA2483" s="11"/>
      <c r="BB2483" s="11"/>
      <c r="BC2483" s="11"/>
      <c r="BD2483" s="11"/>
      <c r="BE2483" s="11"/>
      <c r="BF2483" s="11"/>
      <c r="BG2483" s="11"/>
      <c r="BH2483" s="11"/>
      <c r="BI2483" s="11"/>
      <c r="BJ2483" s="11"/>
      <c r="BK2483" s="11"/>
      <c r="BL2483" s="11"/>
      <c r="BM2483" s="11"/>
      <c r="BN2483" s="11"/>
      <c r="BO2483" s="11"/>
      <c r="BP2483" s="11"/>
      <c r="BQ2483" s="11"/>
      <c r="BR2483" s="11"/>
      <c r="BS2483" s="11"/>
      <c r="BT2483" s="11"/>
      <c r="BU2483" s="11"/>
      <c r="BV2483" s="11"/>
      <c r="BW2483" s="11"/>
      <c r="BX2483" s="11"/>
      <c r="BY2483" s="11"/>
      <c r="BZ2483" s="11"/>
      <c r="CA2483" s="11"/>
      <c r="CB2483" s="11"/>
      <c r="CC2483" s="11"/>
      <c r="CD2483" s="11"/>
      <c r="CE2483" s="11"/>
      <c r="CF2483" s="11"/>
      <c r="CG2483" s="11"/>
      <c r="CH2483" s="11"/>
      <c r="CI2483" s="11"/>
      <c r="CJ2483" s="11"/>
      <c r="CK2483" s="11"/>
      <c r="CL2483" s="11"/>
      <c r="CM2483" s="11"/>
      <c r="CN2483" s="11"/>
      <c r="CO2483" s="11"/>
      <c r="CP2483" s="11"/>
      <c r="CQ2483" s="11"/>
      <c r="CR2483" s="11"/>
      <c r="CS2483" s="11"/>
      <c r="CT2483" s="11"/>
      <c r="CU2483" s="11"/>
      <c r="CV2483" s="11"/>
      <c r="CW2483" s="11"/>
      <c r="CX2483" s="11"/>
      <c r="CY2483" s="11"/>
      <c r="CZ2483" s="11"/>
      <c r="DA2483" s="11"/>
      <c r="DB2483" s="11"/>
      <c r="DC2483" s="11"/>
      <c r="DD2483" s="11"/>
      <c r="DE2483" s="11"/>
      <c r="DF2483" s="11"/>
      <c r="DG2483" s="11"/>
      <c r="DH2483" s="11"/>
      <c r="DI2483" s="11"/>
      <c r="DJ2483" s="11"/>
      <c r="DK2483" s="11"/>
      <c r="DL2483" s="11"/>
      <c r="DM2483" s="11"/>
      <c r="DN2483" s="11"/>
      <c r="DO2483" s="11"/>
      <c r="DP2483" s="11"/>
      <c r="DQ2483" s="11"/>
      <c r="DR2483" s="11"/>
      <c r="DS2483" s="11"/>
      <c r="DT2483" s="11"/>
      <c r="DU2483" s="11"/>
      <c r="DV2483" s="11"/>
      <c r="DW2483" s="11"/>
      <c r="DX2483" s="11"/>
      <c r="DY2483" s="11"/>
      <c r="DZ2483" s="11"/>
      <c r="EA2483" s="11"/>
      <c r="EB2483" s="11"/>
      <c r="EC2483" s="11"/>
      <c r="ED2483" s="11"/>
      <c r="EE2483" s="11"/>
      <c r="EF2483" s="11"/>
      <c r="EG2483" s="11"/>
      <c r="EH2483" s="11"/>
      <c r="EI2483" s="11"/>
      <c r="EJ2483" s="11"/>
      <c r="EK2483" s="11"/>
      <c r="EL2483" s="11"/>
      <c r="EM2483" s="11"/>
      <c r="EN2483" s="11"/>
      <c r="EO2483" s="11"/>
      <c r="EP2483" s="11"/>
      <c r="EQ2483" s="11"/>
      <c r="ER2483" s="11"/>
      <c r="ES2483" s="11"/>
      <c r="ET2483" s="11"/>
      <c r="EU2483" s="11"/>
      <c r="EV2483" s="11"/>
      <c r="EW2483" s="11"/>
      <c r="EX2483" s="11"/>
      <c r="EY2483" s="11"/>
      <c r="EZ2483" s="11"/>
      <c r="FA2483" s="11"/>
      <c r="FB2483" s="11"/>
      <c r="FC2483" s="11"/>
      <c r="FD2483" s="11"/>
      <c r="FE2483" s="11"/>
      <c r="FF2483" s="11"/>
      <c r="FG2483" s="11"/>
      <c r="FH2483" s="11"/>
      <c r="FI2483" s="11"/>
      <c r="FJ2483" s="11"/>
      <c r="FK2483" s="11"/>
      <c r="FL2483" s="11"/>
      <c r="FM2483" s="11"/>
      <c r="FN2483" s="11"/>
      <c r="FO2483" s="11"/>
      <c r="FP2483" s="11"/>
      <c r="FQ2483" s="11"/>
      <c r="FR2483" s="11"/>
      <c r="FS2483" s="11"/>
      <c r="FT2483" s="11"/>
      <c r="FU2483" s="11"/>
      <c r="FV2483" s="11"/>
      <c r="FW2483" s="11"/>
      <c r="FX2483" s="11"/>
      <c r="FY2483" s="11"/>
      <c r="FZ2483" s="11"/>
      <c r="GA2483" s="11"/>
      <c r="GB2483" s="11"/>
      <c r="GC2483" s="11"/>
      <c r="GD2483" s="11"/>
      <c r="GE2483" s="11"/>
      <c r="GF2483" s="11"/>
      <c r="GG2483" s="11"/>
      <c r="GH2483" s="11"/>
      <c r="GI2483" s="11"/>
      <c r="GJ2483" s="11"/>
      <c r="GK2483" s="11"/>
      <c r="GL2483" s="11"/>
      <c r="GM2483" s="11"/>
      <c r="GN2483" s="11"/>
      <c r="GO2483" s="11"/>
      <c r="GP2483" s="11"/>
      <c r="GQ2483" s="11"/>
      <c r="GR2483" s="11"/>
      <c r="GS2483" s="11"/>
      <c r="GT2483" s="11"/>
      <c r="GU2483" s="11"/>
      <c r="GV2483" s="11"/>
      <c r="GW2483" s="11"/>
      <c r="GX2483" s="11"/>
      <c r="GY2483" s="11"/>
      <c r="GZ2483" s="11"/>
      <c r="HA2483" s="11"/>
      <c r="HB2483" s="11"/>
      <c r="HC2483" s="11"/>
      <c r="HD2483" s="11"/>
      <c r="HE2483" s="11"/>
      <c r="HF2483" s="11"/>
      <c r="HG2483" s="11"/>
      <c r="HH2483" s="11"/>
      <c r="HI2483" s="11"/>
      <c r="HJ2483" s="11"/>
      <c r="HK2483" s="11"/>
      <c r="HL2483" s="11"/>
      <c r="HM2483" s="11"/>
      <c r="HN2483" s="11"/>
      <c r="HO2483" s="11"/>
      <c r="HP2483" s="11"/>
      <c r="HQ2483" s="11"/>
      <c r="HR2483" s="11"/>
      <c r="HS2483" s="11"/>
      <c r="HT2483" s="11"/>
      <c r="HU2483" s="11"/>
      <c r="HV2483" s="11"/>
      <c r="HW2483" s="11"/>
      <c r="HX2483" s="11"/>
      <c r="HY2483" s="11"/>
      <c r="HZ2483" s="11"/>
      <c r="IA2483" s="11"/>
      <c r="IB2483" s="11"/>
      <c r="IC2483" s="11"/>
      <c r="ID2483" s="11"/>
      <c r="IE2483" s="11"/>
      <c r="IF2483" s="11"/>
      <c r="IG2483" s="11"/>
      <c r="IH2483" s="11"/>
      <c r="II2483" s="11"/>
      <c r="IJ2483" s="11"/>
    </row>
    <row r="2484" spans="1:244" s="128" customFormat="1" ht="12.75" customHeight="1">
      <c r="A2484" s="118">
        <v>2483</v>
      </c>
      <c r="B2484" s="128">
        <v>26</v>
      </c>
      <c r="C2484" s="156">
        <v>39448</v>
      </c>
      <c r="D2484" s="157" t="s">
        <v>44</v>
      </c>
      <c r="E2484" s="127">
        <v>2008</v>
      </c>
      <c r="F2484" s="158">
        <f t="shared" si="644"/>
        <v>640</v>
      </c>
      <c r="G2484" s="158">
        <f t="shared" si="645"/>
        <v>2</v>
      </c>
      <c r="H2484" s="178">
        <v>38808</v>
      </c>
      <c r="I2484" s="194">
        <v>257000</v>
      </c>
      <c r="J2484" s="164">
        <v>0.03</v>
      </c>
      <c r="K2484" s="164">
        <v>0.75</v>
      </c>
      <c r="L2484" s="164">
        <v>0.33</v>
      </c>
      <c r="M2484" s="193">
        <v>0</v>
      </c>
      <c r="N2484" s="529"/>
      <c r="O2484" s="164">
        <v>0.05</v>
      </c>
      <c r="P2484" s="207"/>
      <c r="Q2484" s="220"/>
      <c r="R2484" s="220"/>
      <c r="S2484" s="221"/>
      <c r="T2484" s="161">
        <f t="shared" si="649"/>
        <v>192750</v>
      </c>
      <c r="U2484" s="161">
        <f t="shared" si="646"/>
        <v>84810</v>
      </c>
      <c r="V2484" s="161">
        <f t="shared" si="647"/>
        <v>12850</v>
      </c>
      <c r="W2484" s="161">
        <f t="shared" si="648"/>
        <v>5140</v>
      </c>
      <c r="X2484" s="11"/>
      <c r="Y2484" s="11"/>
      <c r="Z2484" s="11"/>
      <c r="AA2484" s="11"/>
      <c r="AB2484" s="11"/>
      <c r="AC2484" s="11"/>
      <c r="AD2484" s="11"/>
      <c r="AE2484" s="11"/>
      <c r="AF2484" s="11"/>
      <c r="AG2484" s="11"/>
      <c r="AH2484" s="11"/>
      <c r="AI2484" s="11"/>
      <c r="AJ2484" s="11"/>
      <c r="AK2484" s="11"/>
      <c r="AL2484" s="11"/>
      <c r="AM2484" s="11"/>
      <c r="AN2484" s="11"/>
      <c r="AO2484" s="11"/>
      <c r="AP2484" s="11"/>
      <c r="AQ2484" s="11"/>
      <c r="AR2484" s="11"/>
      <c r="AS2484" s="11"/>
      <c r="AT2484" s="11"/>
      <c r="AU2484" s="11"/>
      <c r="AV2484" s="11"/>
      <c r="AW2484" s="11"/>
      <c r="AX2484" s="11"/>
      <c r="AY2484" s="11"/>
      <c r="AZ2484" s="11"/>
      <c r="BA2484" s="11"/>
      <c r="BB2484" s="11"/>
      <c r="BC2484" s="11"/>
      <c r="BD2484" s="11"/>
      <c r="BE2484" s="11"/>
      <c r="BF2484" s="11"/>
      <c r="BG2484" s="11"/>
      <c r="BH2484" s="11"/>
      <c r="BI2484" s="11"/>
      <c r="BJ2484" s="11"/>
      <c r="BK2484" s="11"/>
      <c r="BL2484" s="11"/>
      <c r="BM2484" s="11"/>
      <c r="BN2484" s="11"/>
      <c r="BO2484" s="11"/>
      <c r="BP2484" s="11"/>
      <c r="BQ2484" s="11"/>
      <c r="BR2484" s="11"/>
      <c r="BS2484" s="11"/>
      <c r="BT2484" s="11"/>
      <c r="BU2484" s="11"/>
      <c r="BV2484" s="11"/>
      <c r="BW2484" s="11"/>
      <c r="BX2484" s="11"/>
      <c r="BY2484" s="11"/>
      <c r="BZ2484" s="11"/>
      <c r="CA2484" s="11"/>
      <c r="CB2484" s="11"/>
      <c r="CC2484" s="11"/>
      <c r="CD2484" s="11"/>
      <c r="CE2484" s="11"/>
      <c r="CF2484" s="11"/>
      <c r="CG2484" s="11"/>
      <c r="CH2484" s="11"/>
      <c r="CI2484" s="11"/>
      <c r="CJ2484" s="11"/>
      <c r="CK2484" s="11"/>
      <c r="CL2484" s="11"/>
      <c r="CM2484" s="11"/>
      <c r="CN2484" s="11"/>
      <c r="CO2484" s="11"/>
      <c r="CP2484" s="11"/>
      <c r="CQ2484" s="11"/>
      <c r="CR2484" s="11"/>
      <c r="CS2484" s="11"/>
      <c r="CT2484" s="11"/>
      <c r="CU2484" s="11"/>
      <c r="CV2484" s="11"/>
      <c r="CW2484" s="11"/>
      <c r="CX2484" s="11"/>
      <c r="CY2484" s="11"/>
      <c r="CZ2484" s="11"/>
      <c r="DA2484" s="11"/>
      <c r="DB2484" s="11"/>
      <c r="DC2484" s="11"/>
      <c r="DD2484" s="11"/>
      <c r="DE2484" s="11"/>
      <c r="DF2484" s="11"/>
      <c r="DG2484" s="11"/>
      <c r="DH2484" s="11"/>
      <c r="DI2484" s="11"/>
      <c r="DJ2484" s="11"/>
      <c r="DK2484" s="11"/>
      <c r="DL2484" s="11"/>
      <c r="DM2484" s="11"/>
      <c r="DN2484" s="11"/>
      <c r="DO2484" s="11"/>
      <c r="DP2484" s="11"/>
      <c r="DQ2484" s="11"/>
      <c r="DR2484" s="11"/>
      <c r="DS2484" s="11"/>
      <c r="DT2484" s="11"/>
      <c r="DU2484" s="11"/>
      <c r="DV2484" s="11"/>
      <c r="DW2484" s="11"/>
      <c r="DX2484" s="11"/>
      <c r="DY2484" s="11"/>
      <c r="DZ2484" s="11"/>
      <c r="EA2484" s="11"/>
      <c r="EB2484" s="11"/>
      <c r="EC2484" s="11"/>
      <c r="ED2484" s="11"/>
      <c r="EE2484" s="11"/>
      <c r="EF2484" s="11"/>
      <c r="EG2484" s="11"/>
      <c r="EH2484" s="11"/>
      <c r="EI2484" s="11"/>
      <c r="EJ2484" s="11"/>
      <c r="EK2484" s="11"/>
      <c r="EL2484" s="11"/>
      <c r="EM2484" s="11"/>
      <c r="EN2484" s="11"/>
      <c r="EO2484" s="11"/>
      <c r="EP2484" s="11"/>
      <c r="EQ2484" s="11"/>
      <c r="ER2484" s="11"/>
      <c r="ES2484" s="11"/>
      <c r="ET2484" s="11"/>
      <c r="EU2484" s="11"/>
      <c r="EV2484" s="11"/>
      <c r="EW2484" s="11"/>
      <c r="EX2484" s="11"/>
      <c r="EY2484" s="11"/>
      <c r="EZ2484" s="11"/>
      <c r="FA2484" s="11"/>
      <c r="FB2484" s="11"/>
      <c r="FC2484" s="11"/>
      <c r="FD2484" s="11"/>
      <c r="FE2484" s="11"/>
      <c r="FF2484" s="11"/>
      <c r="FG2484" s="11"/>
      <c r="FH2484" s="11"/>
      <c r="FI2484" s="11"/>
      <c r="FJ2484" s="11"/>
      <c r="FK2484" s="11"/>
      <c r="FL2484" s="11"/>
      <c r="FM2484" s="11"/>
      <c r="FN2484" s="11"/>
      <c r="FO2484" s="11"/>
      <c r="FP2484" s="11"/>
      <c r="FQ2484" s="11"/>
      <c r="FR2484" s="11"/>
      <c r="FS2484" s="11"/>
      <c r="FT2484" s="11"/>
      <c r="FU2484" s="11"/>
      <c r="FV2484" s="11"/>
      <c r="FW2484" s="11"/>
      <c r="FX2484" s="11"/>
      <c r="FY2484" s="11"/>
      <c r="FZ2484" s="11"/>
      <c r="GA2484" s="11"/>
      <c r="GB2484" s="11"/>
      <c r="GC2484" s="11"/>
      <c r="GD2484" s="11"/>
      <c r="GE2484" s="11"/>
      <c r="GF2484" s="11"/>
      <c r="GG2484" s="11"/>
      <c r="GH2484" s="11"/>
      <c r="GI2484" s="11"/>
      <c r="GJ2484" s="11"/>
      <c r="GK2484" s="11"/>
      <c r="GL2484" s="11"/>
      <c r="GM2484" s="11"/>
      <c r="GN2484" s="11"/>
      <c r="GO2484" s="11"/>
      <c r="GP2484" s="11"/>
      <c r="GQ2484" s="11"/>
      <c r="GR2484" s="11"/>
      <c r="GS2484" s="11"/>
      <c r="GT2484" s="11"/>
      <c r="GU2484" s="11"/>
      <c r="GV2484" s="11"/>
      <c r="GW2484" s="11"/>
      <c r="GX2484" s="11"/>
      <c r="GY2484" s="11"/>
      <c r="GZ2484" s="11"/>
      <c r="HA2484" s="11"/>
      <c r="HB2484" s="11"/>
      <c r="HC2484" s="11"/>
      <c r="HD2484" s="11"/>
      <c r="HE2484" s="11"/>
      <c r="HF2484" s="11"/>
      <c r="HG2484" s="11"/>
      <c r="HH2484" s="11"/>
      <c r="HI2484" s="11"/>
      <c r="HJ2484" s="11"/>
      <c r="HK2484" s="11"/>
      <c r="HL2484" s="11"/>
      <c r="HM2484" s="11"/>
      <c r="HN2484" s="11"/>
      <c r="HO2484" s="11"/>
      <c r="HP2484" s="11"/>
      <c r="HQ2484" s="11"/>
      <c r="HR2484" s="11"/>
      <c r="HS2484" s="11"/>
      <c r="HT2484" s="11"/>
      <c r="HU2484" s="11"/>
      <c r="HV2484" s="11"/>
      <c r="HW2484" s="11"/>
      <c r="HX2484" s="11"/>
      <c r="HY2484" s="11"/>
      <c r="HZ2484" s="11"/>
      <c r="IA2484" s="11"/>
      <c r="IB2484" s="11"/>
      <c r="IC2484" s="11"/>
      <c r="ID2484" s="11"/>
      <c r="IE2484" s="11"/>
      <c r="IF2484" s="11"/>
      <c r="IG2484" s="11"/>
      <c r="IH2484" s="11"/>
      <c r="II2484" s="11"/>
      <c r="IJ2484" s="11"/>
    </row>
    <row r="2485" spans="1:244" s="128" customFormat="1" ht="12.75" customHeight="1">
      <c r="A2485" s="118">
        <v>2484</v>
      </c>
      <c r="B2485" s="128">
        <v>26</v>
      </c>
      <c r="C2485" s="156">
        <v>39479</v>
      </c>
      <c r="D2485" s="157" t="s">
        <v>45</v>
      </c>
      <c r="E2485" s="127">
        <v>2008</v>
      </c>
      <c r="F2485" s="158">
        <f t="shared" si="644"/>
        <v>671</v>
      </c>
      <c r="G2485" s="158">
        <f t="shared" si="645"/>
        <v>2</v>
      </c>
      <c r="H2485" s="178">
        <v>38808</v>
      </c>
      <c r="I2485" s="194">
        <v>256000</v>
      </c>
      <c r="J2485" s="164">
        <v>0.3</v>
      </c>
      <c r="K2485" s="164">
        <v>0.63333329999999999</v>
      </c>
      <c r="L2485" s="164">
        <v>0.3</v>
      </c>
      <c r="M2485" s="193">
        <v>0</v>
      </c>
      <c r="N2485" s="529"/>
      <c r="O2485" s="164">
        <v>0</v>
      </c>
      <c r="P2485" s="207"/>
      <c r="Q2485" s="220"/>
      <c r="R2485" s="220"/>
      <c r="S2485" s="221"/>
      <c r="T2485" s="161">
        <f t="shared" si="649"/>
        <v>162133.3248</v>
      </c>
      <c r="U2485" s="161">
        <f t="shared" si="646"/>
        <v>76800</v>
      </c>
      <c r="V2485" s="161">
        <f t="shared" si="647"/>
        <v>0</v>
      </c>
      <c r="W2485" s="161">
        <f t="shared" si="648"/>
        <v>0</v>
      </c>
      <c r="X2485" s="11"/>
      <c r="Y2485" s="11"/>
      <c r="Z2485" s="11"/>
      <c r="AA2485" s="11"/>
      <c r="AB2485" s="11"/>
      <c r="AC2485" s="11"/>
      <c r="AD2485" s="11"/>
      <c r="AE2485" s="11"/>
      <c r="AF2485" s="11"/>
      <c r="AG2485" s="11"/>
      <c r="AH2485" s="11"/>
      <c r="AI2485" s="11"/>
      <c r="AJ2485" s="11"/>
      <c r="AK2485" s="11"/>
      <c r="AL2485" s="11"/>
      <c r="AM2485" s="11"/>
      <c r="AN2485" s="11"/>
      <c r="AO2485" s="11"/>
      <c r="AP2485" s="11"/>
      <c r="AQ2485" s="11"/>
      <c r="AR2485" s="11"/>
      <c r="AS2485" s="11"/>
      <c r="AT2485" s="11"/>
      <c r="AU2485" s="11"/>
      <c r="AV2485" s="11"/>
      <c r="AW2485" s="11"/>
      <c r="AX2485" s="11"/>
      <c r="AY2485" s="11"/>
      <c r="AZ2485" s="11"/>
      <c r="BA2485" s="11"/>
      <c r="BB2485" s="11"/>
      <c r="BC2485" s="11"/>
      <c r="BD2485" s="11"/>
      <c r="BE2485" s="11"/>
      <c r="BF2485" s="11"/>
      <c r="BG2485" s="11"/>
      <c r="BH2485" s="11"/>
      <c r="BI2485" s="11"/>
      <c r="BJ2485" s="11"/>
      <c r="BK2485" s="11"/>
      <c r="BL2485" s="11"/>
      <c r="BM2485" s="11"/>
      <c r="BN2485" s="11"/>
      <c r="BO2485" s="11"/>
      <c r="BP2485" s="11"/>
      <c r="BQ2485" s="11"/>
      <c r="BR2485" s="11"/>
      <c r="BS2485" s="11"/>
      <c r="BT2485" s="11"/>
      <c r="BU2485" s="11"/>
      <c r="BV2485" s="11"/>
      <c r="BW2485" s="11"/>
      <c r="BX2485" s="11"/>
      <c r="BY2485" s="11"/>
      <c r="BZ2485" s="11"/>
      <c r="CA2485" s="11"/>
      <c r="CB2485" s="11"/>
      <c r="CC2485" s="11"/>
      <c r="CD2485" s="11"/>
      <c r="CE2485" s="11"/>
      <c r="CF2485" s="11"/>
      <c r="CG2485" s="11"/>
      <c r="CH2485" s="11"/>
      <c r="CI2485" s="11"/>
      <c r="CJ2485" s="11"/>
      <c r="CK2485" s="11"/>
      <c r="CL2485" s="11"/>
      <c r="CM2485" s="11"/>
      <c r="CN2485" s="11"/>
      <c r="CO2485" s="11"/>
      <c r="CP2485" s="11"/>
      <c r="CQ2485" s="11"/>
      <c r="CR2485" s="11"/>
      <c r="CS2485" s="11"/>
      <c r="CT2485" s="11"/>
      <c r="CU2485" s="11"/>
      <c r="CV2485" s="11"/>
      <c r="CW2485" s="11"/>
      <c r="CX2485" s="11"/>
      <c r="CY2485" s="11"/>
      <c r="CZ2485" s="11"/>
      <c r="DA2485" s="11"/>
      <c r="DB2485" s="11"/>
      <c r="DC2485" s="11"/>
      <c r="DD2485" s="11"/>
      <c r="DE2485" s="11"/>
      <c r="DF2485" s="11"/>
      <c r="DG2485" s="11"/>
      <c r="DH2485" s="11"/>
      <c r="DI2485" s="11"/>
      <c r="DJ2485" s="11"/>
      <c r="DK2485" s="11"/>
      <c r="DL2485" s="11"/>
      <c r="DM2485" s="11"/>
      <c r="DN2485" s="11"/>
      <c r="DO2485" s="11"/>
      <c r="DP2485" s="11"/>
      <c r="DQ2485" s="11"/>
      <c r="DR2485" s="11"/>
      <c r="DS2485" s="11"/>
      <c r="DT2485" s="11"/>
      <c r="DU2485" s="11"/>
      <c r="DV2485" s="11"/>
      <c r="DW2485" s="11"/>
      <c r="DX2485" s="11"/>
      <c r="DY2485" s="11"/>
      <c r="DZ2485" s="11"/>
      <c r="EA2485" s="11"/>
      <c r="EB2485" s="11"/>
      <c r="EC2485" s="11"/>
      <c r="ED2485" s="11"/>
      <c r="EE2485" s="11"/>
      <c r="EF2485" s="11"/>
      <c r="EG2485" s="11"/>
      <c r="EH2485" s="11"/>
      <c r="EI2485" s="11"/>
      <c r="EJ2485" s="11"/>
      <c r="EK2485" s="11"/>
      <c r="EL2485" s="11"/>
      <c r="EM2485" s="11"/>
      <c r="EN2485" s="11"/>
      <c r="EO2485" s="11"/>
      <c r="EP2485" s="11"/>
      <c r="EQ2485" s="11"/>
      <c r="ER2485" s="11"/>
      <c r="ES2485" s="11"/>
      <c r="ET2485" s="11"/>
      <c r="EU2485" s="11"/>
      <c r="EV2485" s="11"/>
      <c r="EW2485" s="11"/>
      <c r="EX2485" s="11"/>
      <c r="EY2485" s="11"/>
      <c r="EZ2485" s="11"/>
      <c r="FA2485" s="11"/>
      <c r="FB2485" s="11"/>
      <c r="FC2485" s="11"/>
      <c r="FD2485" s="11"/>
      <c r="FE2485" s="11"/>
      <c r="FF2485" s="11"/>
      <c r="FG2485" s="11"/>
      <c r="FH2485" s="11"/>
      <c r="FI2485" s="11"/>
      <c r="FJ2485" s="11"/>
      <c r="FK2485" s="11"/>
      <c r="FL2485" s="11"/>
      <c r="FM2485" s="11"/>
      <c r="FN2485" s="11"/>
      <c r="FO2485" s="11"/>
      <c r="FP2485" s="11"/>
      <c r="FQ2485" s="11"/>
      <c r="FR2485" s="11"/>
      <c r="FS2485" s="11"/>
      <c r="FT2485" s="11"/>
      <c r="FU2485" s="11"/>
      <c r="FV2485" s="11"/>
      <c r="FW2485" s="11"/>
      <c r="FX2485" s="11"/>
      <c r="FY2485" s="11"/>
      <c r="FZ2485" s="11"/>
      <c r="GA2485" s="11"/>
      <c r="GB2485" s="11"/>
      <c r="GC2485" s="11"/>
      <c r="GD2485" s="11"/>
      <c r="GE2485" s="11"/>
      <c r="GF2485" s="11"/>
      <c r="GG2485" s="11"/>
      <c r="GH2485" s="11"/>
      <c r="GI2485" s="11"/>
      <c r="GJ2485" s="11"/>
      <c r="GK2485" s="11"/>
      <c r="GL2485" s="11"/>
      <c r="GM2485" s="11"/>
      <c r="GN2485" s="11"/>
      <c r="GO2485" s="11"/>
      <c r="GP2485" s="11"/>
      <c r="GQ2485" s="11"/>
      <c r="GR2485" s="11"/>
      <c r="GS2485" s="11"/>
      <c r="GT2485" s="11"/>
      <c r="GU2485" s="11"/>
      <c r="GV2485" s="11"/>
      <c r="GW2485" s="11"/>
      <c r="GX2485" s="11"/>
      <c r="GY2485" s="11"/>
      <c r="GZ2485" s="11"/>
      <c r="HA2485" s="11"/>
      <c r="HB2485" s="11"/>
      <c r="HC2485" s="11"/>
      <c r="HD2485" s="11"/>
      <c r="HE2485" s="11"/>
      <c r="HF2485" s="11"/>
      <c r="HG2485" s="11"/>
      <c r="HH2485" s="11"/>
      <c r="HI2485" s="11"/>
      <c r="HJ2485" s="11"/>
      <c r="HK2485" s="11"/>
      <c r="HL2485" s="11"/>
      <c r="HM2485" s="11"/>
      <c r="HN2485" s="11"/>
      <c r="HO2485" s="11"/>
      <c r="HP2485" s="11"/>
      <c r="HQ2485" s="11"/>
      <c r="HR2485" s="11"/>
      <c r="HS2485" s="11"/>
      <c r="HT2485" s="11"/>
      <c r="HU2485" s="11"/>
      <c r="HV2485" s="11"/>
      <c r="HW2485" s="11"/>
      <c r="HX2485" s="11"/>
      <c r="HY2485" s="11"/>
      <c r="HZ2485" s="11"/>
      <c r="IA2485" s="11"/>
      <c r="IB2485" s="11"/>
      <c r="IC2485" s="11"/>
      <c r="ID2485" s="11"/>
      <c r="IE2485" s="11"/>
      <c r="IF2485" s="11"/>
      <c r="IG2485" s="11"/>
      <c r="IH2485" s="11"/>
      <c r="II2485" s="11"/>
      <c r="IJ2485" s="11"/>
    </row>
    <row r="2486" spans="1:244" s="128" customFormat="1" ht="12.75" customHeight="1">
      <c r="A2486" s="118">
        <v>2485</v>
      </c>
      <c r="B2486" s="128">
        <v>26</v>
      </c>
      <c r="C2486" s="156">
        <v>39508</v>
      </c>
      <c r="D2486" s="157" t="s">
        <v>46</v>
      </c>
      <c r="E2486" s="127">
        <v>2008</v>
      </c>
      <c r="F2486" s="158">
        <f t="shared" si="644"/>
        <v>700</v>
      </c>
      <c r="G2486" s="158">
        <f t="shared" si="645"/>
        <v>2</v>
      </c>
      <c r="H2486" s="178">
        <v>38808</v>
      </c>
      <c r="I2486" s="194">
        <v>61000</v>
      </c>
      <c r="J2486" s="164">
        <v>0.03</v>
      </c>
      <c r="K2486" s="164">
        <v>0.92</v>
      </c>
      <c r="L2486" s="164">
        <v>0.43</v>
      </c>
      <c r="M2486" s="193"/>
      <c r="N2486" s="529"/>
      <c r="O2486" s="164">
        <v>0.12</v>
      </c>
      <c r="P2486" s="207"/>
      <c r="Q2486" s="220"/>
      <c r="R2486" s="220"/>
      <c r="S2486" s="221"/>
      <c r="T2486" s="161">
        <f t="shared" si="649"/>
        <v>56120</v>
      </c>
      <c r="U2486" s="161">
        <f t="shared" si="646"/>
        <v>26230</v>
      </c>
      <c r="V2486" s="161">
        <f t="shared" si="647"/>
        <v>7320</v>
      </c>
      <c r="W2486" s="161">
        <f t="shared" si="648"/>
        <v>2928</v>
      </c>
      <c r="X2486" s="11"/>
      <c r="Y2486" s="11"/>
      <c r="Z2486" s="11"/>
      <c r="AA2486" s="11"/>
      <c r="AB2486" s="11"/>
      <c r="AC2486" s="11"/>
      <c r="AD2486" s="11"/>
      <c r="AE2486" s="11"/>
      <c r="AF2486" s="11"/>
      <c r="AG2486" s="11"/>
      <c r="AH2486" s="11"/>
      <c r="AI2486" s="11"/>
      <c r="AJ2486" s="11"/>
      <c r="AK2486" s="11"/>
      <c r="AL2486" s="11"/>
      <c r="AM2486" s="11"/>
      <c r="AN2486" s="11"/>
      <c r="AO2486" s="11"/>
      <c r="AP2486" s="11"/>
      <c r="AQ2486" s="11"/>
      <c r="AR2486" s="11"/>
      <c r="AS2486" s="11"/>
      <c r="AT2486" s="11"/>
      <c r="AU2486" s="11"/>
      <c r="AV2486" s="11"/>
      <c r="AW2486" s="11"/>
      <c r="AX2486" s="11"/>
      <c r="AY2486" s="11"/>
      <c r="AZ2486" s="11"/>
      <c r="BA2486" s="11"/>
      <c r="BB2486" s="11"/>
      <c r="BC2486" s="11"/>
      <c r="BD2486" s="11"/>
      <c r="BE2486" s="11"/>
      <c r="BF2486" s="11"/>
      <c r="BG2486" s="11"/>
      <c r="BH2486" s="11"/>
      <c r="BI2486" s="11"/>
      <c r="BJ2486" s="11"/>
      <c r="BK2486" s="11"/>
      <c r="BL2486" s="11"/>
      <c r="BM2486" s="11"/>
      <c r="BN2486" s="11"/>
      <c r="BO2486" s="11"/>
      <c r="BP2486" s="11"/>
      <c r="BQ2486" s="11"/>
      <c r="BR2486" s="11"/>
      <c r="BS2486" s="11"/>
      <c r="BT2486" s="11"/>
      <c r="BU2486" s="11"/>
      <c r="BV2486" s="11"/>
      <c r="BW2486" s="11"/>
      <c r="BX2486" s="11"/>
      <c r="BY2486" s="11"/>
      <c r="BZ2486" s="11"/>
      <c r="CA2486" s="11"/>
      <c r="CB2486" s="11"/>
      <c r="CC2486" s="11"/>
      <c r="CD2486" s="11"/>
      <c r="CE2486" s="11"/>
      <c r="CF2486" s="11"/>
      <c r="CG2486" s="11"/>
      <c r="CH2486" s="11"/>
      <c r="CI2486" s="11"/>
      <c r="CJ2486" s="11"/>
      <c r="CK2486" s="11"/>
      <c r="CL2486" s="11"/>
      <c r="CM2486" s="11"/>
      <c r="CN2486" s="11"/>
      <c r="CO2486" s="11"/>
      <c r="CP2486" s="11"/>
      <c r="CQ2486" s="11"/>
      <c r="CR2486" s="11"/>
      <c r="CS2486" s="11"/>
      <c r="CT2486" s="11"/>
      <c r="CU2486" s="11"/>
      <c r="CV2486" s="11"/>
      <c r="CW2486" s="11"/>
      <c r="CX2486" s="11"/>
      <c r="CY2486" s="11"/>
      <c r="CZ2486" s="11"/>
      <c r="DA2486" s="11"/>
      <c r="DB2486" s="11"/>
      <c r="DC2486" s="11"/>
      <c r="DD2486" s="11"/>
      <c r="DE2486" s="11"/>
      <c r="DF2486" s="11"/>
      <c r="DG2486" s="11"/>
      <c r="DH2486" s="11"/>
      <c r="DI2486" s="11"/>
      <c r="DJ2486" s="11"/>
      <c r="DK2486" s="11"/>
      <c r="DL2486" s="11"/>
      <c r="DM2486" s="11"/>
      <c r="DN2486" s="11"/>
      <c r="DO2486" s="11"/>
      <c r="DP2486" s="11"/>
      <c r="DQ2486" s="11"/>
      <c r="DR2486" s="11"/>
      <c r="DS2486" s="11"/>
      <c r="DT2486" s="11"/>
      <c r="DU2486" s="11"/>
      <c r="DV2486" s="11"/>
      <c r="DW2486" s="11"/>
      <c r="DX2486" s="11"/>
      <c r="DY2486" s="11"/>
      <c r="DZ2486" s="11"/>
      <c r="EA2486" s="11"/>
      <c r="EB2486" s="11"/>
      <c r="EC2486" s="11"/>
      <c r="ED2486" s="11"/>
      <c r="EE2486" s="11"/>
      <c r="EF2486" s="11"/>
      <c r="EG2486" s="11"/>
      <c r="EH2486" s="11"/>
      <c r="EI2486" s="11"/>
      <c r="EJ2486" s="11"/>
      <c r="EK2486" s="11"/>
      <c r="EL2486" s="11"/>
      <c r="EM2486" s="11"/>
      <c r="EN2486" s="11"/>
      <c r="EO2486" s="11"/>
      <c r="EP2486" s="11"/>
      <c r="EQ2486" s="11"/>
      <c r="ER2486" s="11"/>
      <c r="ES2486" s="11"/>
      <c r="ET2486" s="11"/>
      <c r="EU2486" s="11"/>
      <c r="EV2486" s="11"/>
      <c r="EW2486" s="11"/>
      <c r="EX2486" s="11"/>
      <c r="EY2486" s="11"/>
      <c r="EZ2486" s="11"/>
      <c r="FA2486" s="11"/>
      <c r="FB2486" s="11"/>
      <c r="FC2486" s="11"/>
      <c r="FD2486" s="11"/>
      <c r="FE2486" s="11"/>
      <c r="FF2486" s="11"/>
      <c r="FG2486" s="11"/>
      <c r="FH2486" s="11"/>
      <c r="FI2486" s="11"/>
      <c r="FJ2486" s="11"/>
      <c r="FK2486" s="11"/>
      <c r="FL2486" s="11"/>
      <c r="FM2486" s="11"/>
      <c r="FN2486" s="11"/>
      <c r="FO2486" s="11"/>
      <c r="FP2486" s="11"/>
      <c r="FQ2486" s="11"/>
      <c r="FR2486" s="11"/>
      <c r="FS2486" s="11"/>
      <c r="FT2486" s="11"/>
      <c r="FU2486" s="11"/>
      <c r="FV2486" s="11"/>
      <c r="FW2486" s="11"/>
      <c r="FX2486" s="11"/>
      <c r="FY2486" s="11"/>
      <c r="FZ2486" s="11"/>
      <c r="GA2486" s="11"/>
      <c r="GB2486" s="11"/>
      <c r="GC2486" s="11"/>
      <c r="GD2486" s="11"/>
      <c r="GE2486" s="11"/>
      <c r="GF2486" s="11"/>
      <c r="GG2486" s="11"/>
      <c r="GH2486" s="11"/>
      <c r="GI2486" s="11"/>
      <c r="GJ2486" s="11"/>
      <c r="GK2486" s="11"/>
      <c r="GL2486" s="11"/>
      <c r="GM2486" s="11"/>
      <c r="GN2486" s="11"/>
      <c r="GO2486" s="11"/>
      <c r="GP2486" s="11"/>
      <c r="GQ2486" s="11"/>
      <c r="GR2486" s="11"/>
      <c r="GS2486" s="11"/>
      <c r="GT2486" s="11"/>
      <c r="GU2486" s="11"/>
      <c r="GV2486" s="11"/>
      <c r="GW2486" s="11"/>
      <c r="GX2486" s="11"/>
      <c r="GY2486" s="11"/>
      <c r="GZ2486" s="11"/>
      <c r="HA2486" s="11"/>
      <c r="HB2486" s="11"/>
      <c r="HC2486" s="11"/>
      <c r="HD2486" s="11"/>
      <c r="HE2486" s="11"/>
      <c r="HF2486" s="11"/>
      <c r="HG2486" s="11"/>
      <c r="HH2486" s="11"/>
      <c r="HI2486" s="11"/>
      <c r="HJ2486" s="11"/>
      <c r="HK2486" s="11"/>
      <c r="HL2486" s="11"/>
      <c r="HM2486" s="11"/>
      <c r="HN2486" s="11"/>
      <c r="HO2486" s="11"/>
      <c r="HP2486" s="11"/>
      <c r="HQ2486" s="11"/>
      <c r="HR2486" s="11"/>
      <c r="HS2486" s="11"/>
      <c r="HT2486" s="11"/>
      <c r="HU2486" s="11"/>
      <c r="HV2486" s="11"/>
      <c r="HW2486" s="11"/>
      <c r="HX2486" s="11"/>
      <c r="HY2486" s="11"/>
      <c r="HZ2486" s="11"/>
      <c r="IA2486" s="11"/>
      <c r="IB2486" s="11"/>
      <c r="IC2486" s="11"/>
      <c r="ID2486" s="11"/>
      <c r="IE2486" s="11"/>
      <c r="IF2486" s="11"/>
      <c r="IG2486" s="11"/>
      <c r="IH2486" s="11"/>
      <c r="II2486" s="11"/>
      <c r="IJ2486" s="11"/>
    </row>
    <row r="2487" spans="1:244" s="128" customFormat="1" ht="12.75" customHeight="1">
      <c r="A2487" s="118">
        <v>2486</v>
      </c>
      <c r="B2487" s="128">
        <v>26</v>
      </c>
      <c r="C2487" s="156">
        <v>39539</v>
      </c>
      <c r="D2487" s="157" t="s">
        <v>47</v>
      </c>
      <c r="E2487" s="127">
        <v>2008</v>
      </c>
      <c r="F2487" s="118"/>
      <c r="G2487" s="118"/>
      <c r="H2487" s="178"/>
      <c r="I2487" s="194"/>
      <c r="J2487" s="164"/>
      <c r="K2487" s="164"/>
      <c r="L2487" s="164"/>
      <c r="M2487" s="193"/>
      <c r="N2487" s="529"/>
      <c r="O2487" s="164"/>
      <c r="P2487" s="207"/>
      <c r="Q2487" s="220"/>
      <c r="R2487" s="220"/>
      <c r="S2487" s="221"/>
      <c r="U2487" s="118"/>
      <c r="V2487" s="118"/>
      <c r="W2487" s="118"/>
      <c r="X2487" s="11"/>
      <c r="Y2487" s="11"/>
      <c r="Z2487" s="11"/>
      <c r="AA2487" s="11"/>
      <c r="AB2487" s="11"/>
      <c r="AC2487" s="11"/>
      <c r="AD2487" s="11"/>
      <c r="AE2487" s="11"/>
      <c r="AF2487" s="11"/>
      <c r="AG2487" s="11"/>
      <c r="AH2487" s="11"/>
      <c r="AI2487" s="11"/>
      <c r="AJ2487" s="11"/>
      <c r="AK2487" s="11"/>
      <c r="AL2487" s="11"/>
      <c r="AM2487" s="11"/>
      <c r="AN2487" s="11"/>
      <c r="AO2487" s="11"/>
      <c r="AP2487" s="11"/>
      <c r="AQ2487" s="11"/>
      <c r="AR2487" s="11"/>
      <c r="AS2487" s="11"/>
      <c r="AT2487" s="11"/>
      <c r="AU2487" s="11"/>
      <c r="AV2487" s="11"/>
      <c r="AW2487" s="11"/>
      <c r="AX2487" s="11"/>
      <c r="AY2487" s="11"/>
      <c r="AZ2487" s="11"/>
      <c r="BA2487" s="11"/>
      <c r="BB2487" s="11"/>
      <c r="BC2487" s="11"/>
      <c r="BD2487" s="11"/>
      <c r="BE2487" s="11"/>
      <c r="BF2487" s="11"/>
      <c r="BG2487" s="11"/>
      <c r="BH2487" s="11"/>
      <c r="BI2487" s="11"/>
      <c r="BJ2487" s="11"/>
      <c r="BK2487" s="11"/>
      <c r="BL2487" s="11"/>
      <c r="BM2487" s="11"/>
      <c r="BN2487" s="11"/>
      <c r="BO2487" s="11"/>
      <c r="BP2487" s="11"/>
      <c r="BQ2487" s="11"/>
      <c r="BR2487" s="11"/>
      <c r="BS2487" s="11"/>
      <c r="BT2487" s="11"/>
      <c r="BU2487" s="11"/>
      <c r="BV2487" s="11"/>
      <c r="BW2487" s="11"/>
      <c r="BX2487" s="11"/>
      <c r="BY2487" s="11"/>
      <c r="BZ2487" s="11"/>
      <c r="CA2487" s="11"/>
      <c r="CB2487" s="11"/>
      <c r="CC2487" s="11"/>
      <c r="CD2487" s="11"/>
      <c r="CE2487" s="11"/>
      <c r="CF2487" s="11"/>
      <c r="CG2487" s="11"/>
      <c r="CH2487" s="11"/>
      <c r="CI2487" s="11"/>
      <c r="CJ2487" s="11"/>
      <c r="CK2487" s="11"/>
      <c r="CL2487" s="11"/>
      <c r="CM2487" s="11"/>
      <c r="CN2487" s="11"/>
      <c r="CO2487" s="11"/>
      <c r="CP2487" s="11"/>
      <c r="CQ2487" s="11"/>
      <c r="CR2487" s="11"/>
      <c r="CS2487" s="11"/>
      <c r="CT2487" s="11"/>
      <c r="CU2487" s="11"/>
      <c r="CV2487" s="11"/>
      <c r="CW2487" s="11"/>
      <c r="CX2487" s="11"/>
      <c r="CY2487" s="11"/>
      <c r="CZ2487" s="11"/>
      <c r="DA2487" s="11"/>
      <c r="DB2487" s="11"/>
      <c r="DC2487" s="11"/>
      <c r="DD2487" s="11"/>
      <c r="DE2487" s="11"/>
      <c r="DF2487" s="11"/>
      <c r="DG2487" s="11"/>
      <c r="DH2487" s="11"/>
      <c r="DI2487" s="11"/>
      <c r="DJ2487" s="11"/>
      <c r="DK2487" s="11"/>
      <c r="DL2487" s="11"/>
      <c r="DM2487" s="11"/>
      <c r="DN2487" s="11"/>
      <c r="DO2487" s="11"/>
      <c r="DP2487" s="11"/>
      <c r="DQ2487" s="11"/>
      <c r="DR2487" s="11"/>
      <c r="DS2487" s="11"/>
      <c r="DT2487" s="11"/>
      <c r="DU2487" s="11"/>
      <c r="DV2487" s="11"/>
      <c r="DW2487" s="11"/>
      <c r="DX2487" s="11"/>
      <c r="DY2487" s="11"/>
      <c r="DZ2487" s="11"/>
      <c r="EA2487" s="11"/>
      <c r="EB2487" s="11"/>
      <c r="EC2487" s="11"/>
      <c r="ED2487" s="11"/>
      <c r="EE2487" s="11"/>
      <c r="EF2487" s="11"/>
      <c r="EG2487" s="11"/>
      <c r="EH2487" s="11"/>
      <c r="EI2487" s="11"/>
      <c r="EJ2487" s="11"/>
      <c r="EK2487" s="11"/>
      <c r="EL2487" s="11"/>
      <c r="EM2487" s="11"/>
      <c r="EN2487" s="11"/>
      <c r="EO2487" s="11"/>
      <c r="EP2487" s="11"/>
      <c r="EQ2487" s="11"/>
      <c r="ER2487" s="11"/>
      <c r="ES2487" s="11"/>
      <c r="ET2487" s="11"/>
      <c r="EU2487" s="11"/>
      <c r="EV2487" s="11"/>
      <c r="EW2487" s="11"/>
      <c r="EX2487" s="11"/>
      <c r="EY2487" s="11"/>
      <c r="EZ2487" s="11"/>
      <c r="FA2487" s="11"/>
      <c r="FB2487" s="11"/>
      <c r="FC2487" s="11"/>
      <c r="FD2487" s="11"/>
      <c r="FE2487" s="11"/>
      <c r="FF2487" s="11"/>
      <c r="FG2487" s="11"/>
      <c r="FH2487" s="11"/>
      <c r="FI2487" s="11"/>
      <c r="FJ2487" s="11"/>
      <c r="FK2487" s="11"/>
      <c r="FL2487" s="11"/>
      <c r="FM2487" s="11"/>
      <c r="FN2487" s="11"/>
      <c r="FO2487" s="11"/>
      <c r="FP2487" s="11"/>
      <c r="FQ2487" s="11"/>
      <c r="FR2487" s="11"/>
      <c r="FS2487" s="11"/>
      <c r="FT2487" s="11"/>
      <c r="FU2487" s="11"/>
      <c r="FV2487" s="11"/>
      <c r="FW2487" s="11"/>
      <c r="FX2487" s="11"/>
      <c r="FY2487" s="11"/>
      <c r="FZ2487" s="11"/>
      <c r="GA2487" s="11"/>
      <c r="GB2487" s="11"/>
      <c r="GC2487" s="11"/>
      <c r="GD2487" s="11"/>
      <c r="GE2487" s="11"/>
      <c r="GF2487" s="11"/>
      <c r="GG2487" s="11"/>
      <c r="GH2487" s="11"/>
      <c r="GI2487" s="11"/>
      <c r="GJ2487" s="11"/>
      <c r="GK2487" s="11"/>
      <c r="GL2487" s="11"/>
      <c r="GM2487" s="11"/>
      <c r="GN2487" s="11"/>
      <c r="GO2487" s="11"/>
      <c r="GP2487" s="11"/>
      <c r="GQ2487" s="11"/>
      <c r="GR2487" s="11"/>
      <c r="GS2487" s="11"/>
      <c r="GT2487" s="11"/>
      <c r="GU2487" s="11"/>
      <c r="GV2487" s="11"/>
      <c r="GW2487" s="11"/>
      <c r="GX2487" s="11"/>
      <c r="GY2487" s="11"/>
      <c r="GZ2487" s="11"/>
      <c r="HA2487" s="11"/>
      <c r="HB2487" s="11"/>
      <c r="HC2487" s="11"/>
      <c r="HD2487" s="11"/>
      <c r="HE2487" s="11"/>
      <c r="HF2487" s="11"/>
      <c r="HG2487" s="11"/>
      <c r="HH2487" s="11"/>
      <c r="HI2487" s="11"/>
      <c r="HJ2487" s="11"/>
      <c r="HK2487" s="11"/>
      <c r="HL2487" s="11"/>
      <c r="HM2487" s="11"/>
      <c r="HN2487" s="11"/>
      <c r="HO2487" s="11"/>
      <c r="HP2487" s="11"/>
      <c r="HQ2487" s="11"/>
      <c r="HR2487" s="11"/>
      <c r="HS2487" s="11"/>
      <c r="HT2487" s="11"/>
      <c r="HU2487" s="11"/>
      <c r="HV2487" s="11"/>
      <c r="HW2487" s="11"/>
      <c r="HX2487" s="11"/>
      <c r="HY2487" s="11"/>
      <c r="HZ2487" s="11"/>
      <c r="IA2487" s="11"/>
      <c r="IB2487" s="11"/>
      <c r="IC2487" s="11"/>
      <c r="ID2487" s="11"/>
      <c r="IE2487" s="11"/>
      <c r="IF2487" s="11"/>
      <c r="IG2487" s="11"/>
      <c r="IH2487" s="11"/>
      <c r="II2487" s="11"/>
      <c r="IJ2487" s="11"/>
    </row>
    <row r="2488" spans="1:244" s="128" customFormat="1" ht="12.75" customHeight="1">
      <c r="A2488" s="118">
        <v>2487</v>
      </c>
      <c r="B2488" s="128">
        <v>26</v>
      </c>
      <c r="C2488" s="156">
        <v>39569</v>
      </c>
      <c r="D2488" s="157" t="s">
        <v>48</v>
      </c>
      <c r="E2488" s="127">
        <v>2008</v>
      </c>
      <c r="F2488" s="158">
        <f t="shared" ref="F2488:F2501" si="650">C2488-H2488</f>
        <v>0</v>
      </c>
      <c r="G2488" s="158">
        <f t="shared" ref="G2488:G2501" si="651">IF(F2488&lt;365,1,2)</f>
        <v>1</v>
      </c>
      <c r="H2488" s="178">
        <v>39569</v>
      </c>
      <c r="I2488" s="194">
        <v>589000</v>
      </c>
      <c r="J2488" s="191"/>
      <c r="K2488" s="195">
        <v>0</v>
      </c>
      <c r="L2488" s="195">
        <v>0</v>
      </c>
      <c r="M2488" s="193"/>
      <c r="N2488" s="529" t="s">
        <v>794</v>
      </c>
      <c r="O2488" s="195">
        <v>0</v>
      </c>
      <c r="P2488" s="207"/>
      <c r="Q2488" s="220"/>
      <c r="R2488" s="220"/>
      <c r="S2488" s="221" t="s">
        <v>100</v>
      </c>
      <c r="T2488" s="161">
        <f t="shared" ref="T2488:T2501" si="652">$I2488*K2488</f>
        <v>0</v>
      </c>
      <c r="U2488" s="161">
        <f t="shared" ref="U2488:U2501" si="653">$I2488*L2488</f>
        <v>0</v>
      </c>
      <c r="V2488" s="161">
        <f t="shared" ref="V2488:V2501" si="654">$I2488*O2488</f>
        <v>0</v>
      </c>
      <c r="W2488" s="161">
        <f t="shared" ref="W2488:W2507" si="655">V2488*0.4</f>
        <v>0</v>
      </c>
      <c r="X2488" s="11"/>
      <c r="Y2488" s="11"/>
      <c r="Z2488" s="11"/>
      <c r="AA2488" s="11"/>
      <c r="AB2488" s="11"/>
      <c r="AC2488" s="11"/>
      <c r="AD2488" s="11"/>
      <c r="AE2488" s="11"/>
      <c r="AF2488" s="11"/>
      <c r="AG2488" s="11"/>
      <c r="AH2488" s="11"/>
      <c r="AI2488" s="11"/>
      <c r="AJ2488" s="11"/>
      <c r="AK2488" s="11"/>
      <c r="AL2488" s="11"/>
      <c r="AM2488" s="11"/>
      <c r="AN2488" s="11"/>
      <c r="AO2488" s="11"/>
      <c r="AP2488" s="11"/>
      <c r="AQ2488" s="11"/>
      <c r="AR2488" s="11"/>
      <c r="AS2488" s="11"/>
      <c r="AT2488" s="11"/>
      <c r="AU2488" s="11"/>
      <c r="AV2488" s="11"/>
      <c r="AW2488" s="11"/>
      <c r="AX2488" s="11"/>
      <c r="AY2488" s="11"/>
      <c r="AZ2488" s="11"/>
      <c r="BA2488" s="11"/>
      <c r="BB2488" s="11"/>
      <c r="BC2488" s="11"/>
      <c r="BD2488" s="11"/>
      <c r="BE2488" s="11"/>
      <c r="BF2488" s="11"/>
      <c r="BG2488" s="11"/>
      <c r="BH2488" s="11"/>
      <c r="BI2488" s="11"/>
      <c r="BJ2488" s="11"/>
      <c r="BK2488" s="11"/>
      <c r="BL2488" s="11"/>
      <c r="BM2488" s="11"/>
      <c r="BN2488" s="11"/>
      <c r="BO2488" s="11"/>
      <c r="BP2488" s="11"/>
      <c r="BQ2488" s="11"/>
      <c r="BR2488" s="11"/>
      <c r="BS2488" s="11"/>
      <c r="BT2488" s="11"/>
      <c r="BU2488" s="11"/>
      <c r="BV2488" s="11"/>
      <c r="BW2488" s="11"/>
      <c r="BX2488" s="11"/>
      <c r="BY2488" s="11"/>
      <c r="BZ2488" s="11"/>
      <c r="CA2488" s="11"/>
      <c r="CB2488" s="11"/>
      <c r="CC2488" s="11"/>
      <c r="CD2488" s="11"/>
      <c r="CE2488" s="11"/>
      <c r="CF2488" s="11"/>
      <c r="CG2488" s="11"/>
      <c r="CH2488" s="11"/>
      <c r="CI2488" s="11"/>
      <c r="CJ2488" s="11"/>
      <c r="CK2488" s="11"/>
      <c r="CL2488" s="11"/>
      <c r="CM2488" s="11"/>
      <c r="CN2488" s="11"/>
      <c r="CO2488" s="11"/>
      <c r="CP2488" s="11"/>
      <c r="CQ2488" s="11"/>
      <c r="CR2488" s="11"/>
      <c r="CS2488" s="11"/>
      <c r="CT2488" s="11"/>
      <c r="CU2488" s="11"/>
      <c r="CV2488" s="11"/>
      <c r="CW2488" s="11"/>
      <c r="CX2488" s="11"/>
      <c r="CY2488" s="11"/>
      <c r="CZ2488" s="11"/>
      <c r="DA2488" s="11"/>
      <c r="DB2488" s="11"/>
      <c r="DC2488" s="11"/>
      <c r="DD2488" s="11"/>
      <c r="DE2488" s="11"/>
      <c r="DF2488" s="11"/>
      <c r="DG2488" s="11"/>
      <c r="DH2488" s="11"/>
      <c r="DI2488" s="11"/>
      <c r="DJ2488" s="11"/>
      <c r="DK2488" s="11"/>
      <c r="DL2488" s="11"/>
      <c r="DM2488" s="11"/>
      <c r="DN2488" s="11"/>
      <c r="DO2488" s="11"/>
      <c r="DP2488" s="11"/>
      <c r="DQ2488" s="11"/>
      <c r="DR2488" s="11"/>
      <c r="DS2488" s="11"/>
      <c r="DT2488" s="11"/>
      <c r="DU2488" s="11"/>
      <c r="DV2488" s="11"/>
      <c r="DW2488" s="11"/>
      <c r="DX2488" s="11"/>
      <c r="DY2488" s="11"/>
      <c r="DZ2488" s="11"/>
      <c r="EA2488" s="11"/>
      <c r="EB2488" s="11"/>
      <c r="EC2488" s="11"/>
      <c r="ED2488" s="11"/>
      <c r="EE2488" s="11"/>
      <c r="EF2488" s="11"/>
      <c r="EG2488" s="11"/>
      <c r="EH2488" s="11"/>
      <c r="EI2488" s="11"/>
      <c r="EJ2488" s="11"/>
      <c r="EK2488" s="11"/>
      <c r="EL2488" s="11"/>
      <c r="EM2488" s="11"/>
      <c r="EN2488" s="11"/>
      <c r="EO2488" s="11"/>
      <c r="EP2488" s="11"/>
      <c r="EQ2488" s="11"/>
      <c r="ER2488" s="11"/>
      <c r="ES2488" s="11"/>
      <c r="ET2488" s="11"/>
      <c r="EU2488" s="11"/>
      <c r="EV2488" s="11"/>
      <c r="EW2488" s="11"/>
      <c r="EX2488" s="11"/>
      <c r="EY2488" s="11"/>
      <c r="EZ2488" s="11"/>
      <c r="FA2488" s="11"/>
      <c r="FB2488" s="11"/>
      <c r="FC2488" s="11"/>
      <c r="FD2488" s="11"/>
      <c r="FE2488" s="11"/>
      <c r="FF2488" s="11"/>
      <c r="FG2488" s="11"/>
      <c r="FH2488" s="11"/>
      <c r="FI2488" s="11"/>
      <c r="FJ2488" s="11"/>
      <c r="FK2488" s="11"/>
      <c r="FL2488" s="11"/>
      <c r="FM2488" s="11"/>
      <c r="FN2488" s="11"/>
      <c r="FO2488" s="11"/>
      <c r="FP2488" s="11"/>
      <c r="FQ2488" s="11"/>
      <c r="FR2488" s="11"/>
      <c r="FS2488" s="11"/>
      <c r="FT2488" s="11"/>
      <c r="FU2488" s="11"/>
      <c r="FV2488" s="11"/>
      <c r="FW2488" s="11"/>
      <c r="FX2488" s="11"/>
      <c r="FY2488" s="11"/>
      <c r="FZ2488" s="11"/>
      <c r="GA2488" s="11"/>
      <c r="GB2488" s="11"/>
      <c r="GC2488" s="11"/>
      <c r="GD2488" s="11"/>
      <c r="GE2488" s="11"/>
      <c r="GF2488" s="11"/>
      <c r="GG2488" s="11"/>
      <c r="GH2488" s="11"/>
      <c r="GI2488" s="11"/>
      <c r="GJ2488" s="11"/>
      <c r="GK2488" s="11"/>
      <c r="GL2488" s="11"/>
      <c r="GM2488" s="11"/>
      <c r="GN2488" s="11"/>
      <c r="GO2488" s="11"/>
      <c r="GP2488" s="11"/>
      <c r="GQ2488" s="11"/>
      <c r="GR2488" s="11"/>
      <c r="GS2488" s="11"/>
      <c r="GT2488" s="11"/>
      <c r="GU2488" s="11"/>
      <c r="GV2488" s="11"/>
      <c r="GW2488" s="11"/>
      <c r="GX2488" s="11"/>
      <c r="GY2488" s="11"/>
      <c r="GZ2488" s="11"/>
      <c r="HA2488" s="11"/>
      <c r="HB2488" s="11"/>
      <c r="HC2488" s="11"/>
      <c r="HD2488" s="11"/>
      <c r="HE2488" s="11"/>
      <c r="HF2488" s="11"/>
      <c r="HG2488" s="11"/>
      <c r="HH2488" s="11"/>
      <c r="HI2488" s="11"/>
      <c r="HJ2488" s="11"/>
      <c r="HK2488" s="11"/>
      <c r="HL2488" s="11"/>
      <c r="HM2488" s="11"/>
      <c r="HN2488" s="11"/>
      <c r="HO2488" s="11"/>
      <c r="HP2488" s="11"/>
      <c r="HQ2488" s="11"/>
      <c r="HR2488" s="11"/>
      <c r="HS2488" s="11"/>
      <c r="HT2488" s="11"/>
      <c r="HU2488" s="11"/>
      <c r="HV2488" s="11"/>
      <c r="HW2488" s="11"/>
      <c r="HX2488" s="11"/>
      <c r="HY2488" s="11"/>
      <c r="HZ2488" s="11"/>
      <c r="IA2488" s="11"/>
      <c r="IB2488" s="11"/>
      <c r="IC2488" s="11"/>
      <c r="ID2488" s="11"/>
      <c r="IE2488" s="11"/>
      <c r="IF2488" s="11"/>
      <c r="IG2488" s="11"/>
      <c r="IH2488" s="11"/>
      <c r="II2488" s="11"/>
      <c r="IJ2488" s="11"/>
    </row>
    <row r="2489" spans="1:244" s="128" customFormat="1" ht="12.75" customHeight="1">
      <c r="A2489" s="118">
        <v>2488</v>
      </c>
      <c r="B2489" s="128">
        <v>26</v>
      </c>
      <c r="C2489" s="156">
        <v>39600</v>
      </c>
      <c r="D2489" s="157" t="s">
        <v>49</v>
      </c>
      <c r="E2489" s="127">
        <v>2008</v>
      </c>
      <c r="F2489" s="158">
        <f t="shared" si="650"/>
        <v>31</v>
      </c>
      <c r="G2489" s="158">
        <f t="shared" si="651"/>
        <v>1</v>
      </c>
      <c r="H2489" s="178">
        <v>39569</v>
      </c>
      <c r="I2489" s="194">
        <v>883000</v>
      </c>
      <c r="J2489" s="164">
        <v>0</v>
      </c>
      <c r="K2489" s="164">
        <v>1.6666666666666666E-2</v>
      </c>
      <c r="L2489" s="164">
        <v>0</v>
      </c>
      <c r="M2489" s="193"/>
      <c r="N2489" s="529"/>
      <c r="O2489" s="164">
        <v>1.6666666666666666E-2</v>
      </c>
      <c r="P2489" s="207"/>
      <c r="Q2489" s="220"/>
      <c r="R2489" s="220"/>
      <c r="S2489" s="221"/>
      <c r="T2489" s="161">
        <f t="shared" si="652"/>
        <v>14716.666666666666</v>
      </c>
      <c r="U2489" s="161">
        <f t="shared" si="653"/>
        <v>0</v>
      </c>
      <c r="V2489" s="161">
        <f t="shared" si="654"/>
        <v>14716.666666666666</v>
      </c>
      <c r="W2489" s="161">
        <f t="shared" si="655"/>
        <v>5886.666666666667</v>
      </c>
      <c r="X2489" s="11"/>
      <c r="Y2489" s="11"/>
      <c r="Z2489" s="11"/>
      <c r="AA2489" s="11"/>
      <c r="AB2489" s="11"/>
      <c r="AC2489" s="11"/>
      <c r="AD2489" s="11"/>
      <c r="AE2489" s="11"/>
      <c r="AF2489" s="11"/>
      <c r="AG2489" s="11"/>
      <c r="AH2489" s="11"/>
      <c r="AI2489" s="11"/>
      <c r="AJ2489" s="11"/>
      <c r="AK2489" s="11"/>
      <c r="AL2489" s="11"/>
      <c r="AM2489" s="11"/>
      <c r="AN2489" s="11"/>
      <c r="AO2489" s="11"/>
      <c r="AP2489" s="11"/>
      <c r="AQ2489" s="11"/>
      <c r="AR2489" s="11"/>
      <c r="AS2489" s="11"/>
      <c r="AT2489" s="11"/>
      <c r="AU2489" s="11"/>
      <c r="AV2489" s="11"/>
      <c r="AW2489" s="11"/>
      <c r="AX2489" s="11"/>
      <c r="AY2489" s="11"/>
      <c r="AZ2489" s="11"/>
      <c r="BA2489" s="11"/>
      <c r="BB2489" s="11"/>
      <c r="BC2489" s="11"/>
      <c r="BD2489" s="11"/>
      <c r="BE2489" s="11"/>
      <c r="BF2489" s="11"/>
      <c r="BG2489" s="11"/>
      <c r="BH2489" s="11"/>
      <c r="BI2489" s="11"/>
      <c r="BJ2489" s="11"/>
      <c r="BK2489" s="11"/>
      <c r="BL2489" s="11"/>
      <c r="BM2489" s="11"/>
      <c r="BN2489" s="11"/>
      <c r="BO2489" s="11"/>
      <c r="BP2489" s="11"/>
      <c r="BQ2489" s="11"/>
      <c r="BR2489" s="11"/>
      <c r="BS2489" s="11"/>
      <c r="BT2489" s="11"/>
      <c r="BU2489" s="11"/>
      <c r="BV2489" s="11"/>
      <c r="BW2489" s="11"/>
      <c r="BX2489" s="11"/>
      <c r="BY2489" s="11"/>
      <c r="BZ2489" s="11"/>
      <c r="CA2489" s="11"/>
      <c r="CB2489" s="11"/>
      <c r="CC2489" s="11"/>
      <c r="CD2489" s="11"/>
      <c r="CE2489" s="11"/>
      <c r="CF2489" s="11"/>
      <c r="CG2489" s="11"/>
      <c r="CH2489" s="11"/>
      <c r="CI2489" s="11"/>
      <c r="CJ2489" s="11"/>
      <c r="CK2489" s="11"/>
      <c r="CL2489" s="11"/>
      <c r="CM2489" s="11"/>
      <c r="CN2489" s="11"/>
      <c r="CO2489" s="11"/>
      <c r="CP2489" s="11"/>
      <c r="CQ2489" s="11"/>
      <c r="CR2489" s="11"/>
      <c r="CS2489" s="11"/>
      <c r="CT2489" s="11"/>
      <c r="CU2489" s="11"/>
      <c r="CV2489" s="11"/>
      <c r="CW2489" s="11"/>
      <c r="CX2489" s="11"/>
      <c r="CY2489" s="11"/>
      <c r="CZ2489" s="11"/>
      <c r="DA2489" s="11"/>
      <c r="DB2489" s="11"/>
      <c r="DC2489" s="11"/>
      <c r="DD2489" s="11"/>
      <c r="DE2489" s="11"/>
      <c r="DF2489" s="11"/>
      <c r="DG2489" s="11"/>
      <c r="DH2489" s="11"/>
      <c r="DI2489" s="11"/>
      <c r="DJ2489" s="11"/>
      <c r="DK2489" s="11"/>
      <c r="DL2489" s="11"/>
      <c r="DM2489" s="11"/>
      <c r="DN2489" s="11"/>
      <c r="DO2489" s="11"/>
      <c r="DP2489" s="11"/>
      <c r="DQ2489" s="11"/>
      <c r="DR2489" s="11"/>
      <c r="DS2489" s="11"/>
      <c r="DT2489" s="11"/>
      <c r="DU2489" s="11"/>
      <c r="DV2489" s="11"/>
      <c r="DW2489" s="11"/>
      <c r="DX2489" s="11"/>
      <c r="DY2489" s="11"/>
      <c r="DZ2489" s="11"/>
      <c r="EA2489" s="11"/>
      <c r="EB2489" s="11"/>
      <c r="EC2489" s="11"/>
      <c r="ED2489" s="11"/>
      <c r="EE2489" s="11"/>
      <c r="EF2489" s="11"/>
      <c r="EG2489" s="11"/>
      <c r="EH2489" s="11"/>
      <c r="EI2489" s="11"/>
      <c r="EJ2489" s="11"/>
      <c r="EK2489" s="11"/>
      <c r="EL2489" s="11"/>
      <c r="EM2489" s="11"/>
      <c r="EN2489" s="11"/>
      <c r="EO2489" s="11"/>
      <c r="EP2489" s="11"/>
      <c r="EQ2489" s="11"/>
      <c r="ER2489" s="11"/>
      <c r="ES2489" s="11"/>
      <c r="ET2489" s="11"/>
      <c r="EU2489" s="11"/>
      <c r="EV2489" s="11"/>
      <c r="EW2489" s="11"/>
      <c r="EX2489" s="11"/>
      <c r="EY2489" s="11"/>
      <c r="EZ2489" s="11"/>
      <c r="FA2489" s="11"/>
      <c r="FB2489" s="11"/>
      <c r="FC2489" s="11"/>
      <c r="FD2489" s="11"/>
      <c r="FE2489" s="11"/>
      <c r="FF2489" s="11"/>
      <c r="FG2489" s="11"/>
      <c r="FH2489" s="11"/>
      <c r="FI2489" s="11"/>
      <c r="FJ2489" s="11"/>
      <c r="FK2489" s="11"/>
      <c r="FL2489" s="11"/>
      <c r="FM2489" s="11"/>
      <c r="FN2489" s="11"/>
      <c r="FO2489" s="11"/>
      <c r="FP2489" s="11"/>
      <c r="FQ2489" s="11"/>
      <c r="FR2489" s="11"/>
      <c r="FS2489" s="11"/>
      <c r="FT2489" s="11"/>
      <c r="FU2489" s="11"/>
      <c r="FV2489" s="11"/>
      <c r="FW2489" s="11"/>
      <c r="FX2489" s="11"/>
      <c r="FY2489" s="11"/>
      <c r="FZ2489" s="11"/>
      <c r="GA2489" s="11"/>
      <c r="GB2489" s="11"/>
      <c r="GC2489" s="11"/>
      <c r="GD2489" s="11"/>
      <c r="GE2489" s="11"/>
      <c r="GF2489" s="11"/>
      <c r="GG2489" s="11"/>
      <c r="GH2489" s="11"/>
      <c r="GI2489" s="11"/>
      <c r="GJ2489" s="11"/>
      <c r="GK2489" s="11"/>
      <c r="GL2489" s="11"/>
      <c r="GM2489" s="11"/>
      <c r="GN2489" s="11"/>
      <c r="GO2489" s="11"/>
      <c r="GP2489" s="11"/>
      <c r="GQ2489" s="11"/>
      <c r="GR2489" s="11"/>
      <c r="GS2489" s="11"/>
      <c r="GT2489" s="11"/>
      <c r="GU2489" s="11"/>
      <c r="GV2489" s="11"/>
      <c r="GW2489" s="11"/>
      <c r="GX2489" s="11"/>
      <c r="GY2489" s="11"/>
      <c r="GZ2489" s="11"/>
      <c r="HA2489" s="11"/>
      <c r="HB2489" s="11"/>
      <c r="HC2489" s="11"/>
      <c r="HD2489" s="11"/>
      <c r="HE2489" s="11"/>
      <c r="HF2489" s="11"/>
      <c r="HG2489" s="11"/>
      <c r="HH2489" s="11"/>
      <c r="HI2489" s="11"/>
      <c r="HJ2489" s="11"/>
      <c r="HK2489" s="11"/>
      <c r="HL2489" s="11"/>
      <c r="HM2489" s="11"/>
      <c r="HN2489" s="11"/>
      <c r="HO2489" s="11"/>
      <c r="HP2489" s="11"/>
      <c r="HQ2489" s="11"/>
      <c r="HR2489" s="11"/>
      <c r="HS2489" s="11"/>
      <c r="HT2489" s="11"/>
      <c r="HU2489" s="11"/>
      <c r="HV2489" s="11"/>
      <c r="HW2489" s="11"/>
      <c r="HX2489" s="11"/>
      <c r="HY2489" s="11"/>
      <c r="HZ2489" s="11"/>
      <c r="IA2489" s="11"/>
      <c r="IB2489" s="11"/>
      <c r="IC2489" s="11"/>
      <c r="ID2489" s="11"/>
      <c r="IE2489" s="11"/>
      <c r="IF2489" s="11"/>
      <c r="IG2489" s="11"/>
      <c r="IH2489" s="11"/>
      <c r="II2489" s="11"/>
      <c r="IJ2489" s="11"/>
    </row>
    <row r="2490" spans="1:244" s="128" customFormat="1" ht="12.75" customHeight="1">
      <c r="A2490" s="118">
        <v>2489</v>
      </c>
      <c r="B2490" s="128">
        <v>26</v>
      </c>
      <c r="C2490" s="156">
        <v>39630</v>
      </c>
      <c r="D2490" s="176" t="s">
        <v>50</v>
      </c>
      <c r="E2490" s="127">
        <v>2008</v>
      </c>
      <c r="F2490" s="158">
        <f t="shared" si="650"/>
        <v>61</v>
      </c>
      <c r="G2490" s="158">
        <f t="shared" si="651"/>
        <v>1</v>
      </c>
      <c r="H2490" s="178">
        <v>39569</v>
      </c>
      <c r="I2490" s="194">
        <v>883000</v>
      </c>
      <c r="J2490" s="164">
        <v>0</v>
      </c>
      <c r="K2490" s="164">
        <v>0.08</v>
      </c>
      <c r="L2490" s="164">
        <v>0</v>
      </c>
      <c r="M2490" s="193">
        <v>0</v>
      </c>
      <c r="N2490" s="529"/>
      <c r="O2490" s="164">
        <v>0</v>
      </c>
      <c r="P2490" s="118"/>
      <c r="Q2490" s="220"/>
      <c r="R2490" s="220"/>
      <c r="S2490" s="221"/>
      <c r="T2490" s="161">
        <f t="shared" si="652"/>
        <v>70640</v>
      </c>
      <c r="U2490" s="161">
        <f t="shared" si="653"/>
        <v>0</v>
      </c>
      <c r="V2490" s="161">
        <f t="shared" si="654"/>
        <v>0</v>
      </c>
      <c r="W2490" s="161">
        <f t="shared" si="655"/>
        <v>0</v>
      </c>
      <c r="X2490" s="11"/>
      <c r="Y2490" s="11"/>
      <c r="Z2490" s="11"/>
      <c r="AA2490" s="11"/>
      <c r="AB2490" s="11"/>
      <c r="AC2490" s="11"/>
      <c r="AD2490" s="11"/>
      <c r="AE2490" s="11"/>
      <c r="AF2490" s="11"/>
      <c r="AG2490" s="11"/>
      <c r="AH2490" s="11"/>
      <c r="AI2490" s="11"/>
      <c r="AJ2490" s="11"/>
      <c r="AK2490" s="11"/>
      <c r="AL2490" s="11"/>
      <c r="AM2490" s="11"/>
      <c r="AN2490" s="11"/>
      <c r="AO2490" s="11"/>
      <c r="AP2490" s="11"/>
      <c r="AQ2490" s="11"/>
      <c r="AR2490" s="11"/>
      <c r="AS2490" s="11"/>
      <c r="AT2490" s="11"/>
      <c r="AU2490" s="11"/>
      <c r="AV2490" s="11"/>
      <c r="AW2490" s="11"/>
      <c r="AX2490" s="11"/>
      <c r="AY2490" s="11"/>
      <c r="AZ2490" s="11"/>
      <c r="BA2490" s="11"/>
      <c r="BB2490" s="11"/>
      <c r="BC2490" s="11"/>
      <c r="BD2490" s="11"/>
      <c r="BE2490" s="11"/>
      <c r="BF2490" s="11"/>
      <c r="BG2490" s="11"/>
      <c r="BH2490" s="11"/>
      <c r="BI2490" s="11"/>
      <c r="BJ2490" s="11"/>
      <c r="BK2490" s="11"/>
      <c r="BL2490" s="11"/>
      <c r="BM2490" s="11"/>
      <c r="BN2490" s="11"/>
      <c r="BO2490" s="11"/>
      <c r="BP2490" s="11"/>
      <c r="BQ2490" s="11"/>
      <c r="BR2490" s="11"/>
      <c r="BS2490" s="11"/>
      <c r="BT2490" s="11"/>
      <c r="BU2490" s="11"/>
      <c r="BV2490" s="11"/>
      <c r="BW2490" s="11"/>
      <c r="BX2490" s="11"/>
      <c r="BY2490" s="11"/>
      <c r="BZ2490" s="11"/>
      <c r="CA2490" s="11"/>
      <c r="CB2490" s="11"/>
      <c r="CC2490" s="11"/>
      <c r="CD2490" s="11"/>
      <c r="CE2490" s="11"/>
      <c r="CF2490" s="11"/>
      <c r="CG2490" s="11"/>
      <c r="CH2490" s="11"/>
      <c r="CI2490" s="11"/>
      <c r="CJ2490" s="11"/>
      <c r="CK2490" s="11"/>
      <c r="CL2490" s="11"/>
      <c r="CM2490" s="11"/>
      <c r="CN2490" s="11"/>
      <c r="CO2490" s="11"/>
      <c r="CP2490" s="11"/>
      <c r="CQ2490" s="11"/>
      <c r="CR2490" s="11"/>
      <c r="CS2490" s="11"/>
      <c r="CT2490" s="11"/>
      <c r="CU2490" s="11"/>
      <c r="CV2490" s="11"/>
      <c r="CW2490" s="11"/>
      <c r="CX2490" s="11"/>
      <c r="CY2490" s="11"/>
      <c r="CZ2490" s="11"/>
      <c r="DA2490" s="11"/>
      <c r="DB2490" s="11"/>
      <c r="DC2490" s="11"/>
      <c r="DD2490" s="11"/>
      <c r="DE2490" s="11"/>
      <c r="DF2490" s="11"/>
      <c r="DG2490" s="11"/>
      <c r="DH2490" s="11"/>
      <c r="DI2490" s="11"/>
      <c r="DJ2490" s="11"/>
      <c r="DK2490" s="11"/>
      <c r="DL2490" s="11"/>
      <c r="DM2490" s="11"/>
      <c r="DN2490" s="11"/>
      <c r="DO2490" s="11"/>
      <c r="DP2490" s="11"/>
      <c r="DQ2490" s="11"/>
      <c r="DR2490" s="11"/>
      <c r="DS2490" s="11"/>
      <c r="DT2490" s="11"/>
      <c r="DU2490" s="11"/>
      <c r="DV2490" s="11"/>
      <c r="DW2490" s="11"/>
      <c r="DX2490" s="11"/>
      <c r="DY2490" s="11"/>
      <c r="DZ2490" s="11"/>
      <c r="EA2490" s="11"/>
      <c r="EB2490" s="11"/>
      <c r="EC2490" s="11"/>
      <c r="ED2490" s="11"/>
      <c r="EE2490" s="11"/>
      <c r="EF2490" s="11"/>
      <c r="EG2490" s="11"/>
      <c r="EH2490" s="11"/>
      <c r="EI2490" s="11"/>
      <c r="EJ2490" s="11"/>
      <c r="EK2490" s="11"/>
      <c r="EL2490" s="11"/>
      <c r="EM2490" s="11"/>
      <c r="EN2490" s="11"/>
      <c r="EO2490" s="11"/>
      <c r="EP2490" s="11"/>
      <c r="EQ2490" s="11"/>
      <c r="ER2490" s="11"/>
      <c r="ES2490" s="11"/>
      <c r="ET2490" s="11"/>
      <c r="EU2490" s="11"/>
      <c r="EV2490" s="11"/>
      <c r="EW2490" s="11"/>
      <c r="EX2490" s="11"/>
      <c r="EY2490" s="11"/>
      <c r="EZ2490" s="11"/>
      <c r="FA2490" s="11"/>
      <c r="FB2490" s="11"/>
      <c r="FC2490" s="11"/>
      <c r="FD2490" s="11"/>
      <c r="FE2490" s="11"/>
      <c r="FF2490" s="11"/>
      <c r="FG2490" s="11"/>
      <c r="FH2490" s="11"/>
      <c r="FI2490" s="11"/>
      <c r="FJ2490" s="11"/>
      <c r="FK2490" s="11"/>
      <c r="FL2490" s="11"/>
      <c r="FM2490" s="11"/>
      <c r="FN2490" s="11"/>
      <c r="FO2490" s="11"/>
      <c r="FP2490" s="11"/>
      <c r="FQ2490" s="11"/>
      <c r="FR2490" s="11"/>
      <c r="FS2490" s="11"/>
      <c r="FT2490" s="11"/>
      <c r="FU2490" s="11"/>
      <c r="FV2490" s="11"/>
      <c r="FW2490" s="11"/>
      <c r="FX2490" s="11"/>
      <c r="FY2490" s="11"/>
      <c r="FZ2490" s="11"/>
      <c r="GA2490" s="11"/>
      <c r="GB2490" s="11"/>
      <c r="GC2490" s="11"/>
      <c r="GD2490" s="11"/>
      <c r="GE2490" s="11"/>
      <c r="GF2490" s="11"/>
      <c r="GG2490" s="11"/>
      <c r="GH2490" s="11"/>
      <c r="GI2490" s="11"/>
      <c r="GJ2490" s="11"/>
      <c r="GK2490" s="11"/>
      <c r="GL2490" s="11"/>
      <c r="GM2490" s="11"/>
      <c r="GN2490" s="11"/>
      <c r="GO2490" s="11"/>
      <c r="GP2490" s="11"/>
      <c r="GQ2490" s="11"/>
      <c r="GR2490" s="11"/>
      <c r="GS2490" s="11"/>
      <c r="GT2490" s="11"/>
      <c r="GU2490" s="11"/>
      <c r="GV2490" s="11"/>
      <c r="GW2490" s="11"/>
      <c r="GX2490" s="11"/>
      <c r="GY2490" s="11"/>
      <c r="GZ2490" s="11"/>
      <c r="HA2490" s="11"/>
      <c r="HB2490" s="11"/>
      <c r="HC2490" s="11"/>
      <c r="HD2490" s="11"/>
      <c r="HE2490" s="11"/>
      <c r="HF2490" s="11"/>
      <c r="HG2490" s="11"/>
      <c r="HH2490" s="11"/>
      <c r="HI2490" s="11"/>
      <c r="HJ2490" s="11"/>
      <c r="HK2490" s="11"/>
      <c r="HL2490" s="11"/>
      <c r="HM2490" s="11"/>
      <c r="HN2490" s="11"/>
      <c r="HO2490" s="11"/>
      <c r="HP2490" s="11"/>
      <c r="HQ2490" s="11"/>
      <c r="HR2490" s="11"/>
      <c r="HS2490" s="11"/>
      <c r="HT2490" s="11"/>
      <c r="HU2490" s="11"/>
      <c r="HV2490" s="11"/>
      <c r="HW2490" s="11"/>
      <c r="HX2490" s="11"/>
      <c r="HY2490" s="11"/>
      <c r="HZ2490" s="11"/>
      <c r="IA2490" s="11"/>
      <c r="IB2490" s="11"/>
      <c r="IC2490" s="11"/>
      <c r="ID2490" s="11"/>
      <c r="IE2490" s="11"/>
      <c r="IF2490" s="11"/>
      <c r="IG2490" s="11"/>
      <c r="IH2490" s="11"/>
      <c r="II2490" s="11"/>
      <c r="IJ2490" s="11"/>
    </row>
    <row r="2491" spans="1:244" s="128" customFormat="1" ht="12.75" customHeight="1">
      <c r="A2491" s="118">
        <v>2490</v>
      </c>
      <c r="B2491" s="128">
        <v>26</v>
      </c>
      <c r="C2491" s="156">
        <v>39661</v>
      </c>
      <c r="D2491" s="176" t="s">
        <v>51</v>
      </c>
      <c r="E2491" s="127">
        <v>2008</v>
      </c>
      <c r="F2491" s="158">
        <f t="shared" si="650"/>
        <v>92</v>
      </c>
      <c r="G2491" s="158">
        <f t="shared" si="651"/>
        <v>1</v>
      </c>
      <c r="H2491" s="178">
        <v>39569</v>
      </c>
      <c r="I2491" s="194">
        <v>880000</v>
      </c>
      <c r="J2491" s="164">
        <v>7.0000000000000007E-2</v>
      </c>
      <c r="K2491" s="164">
        <v>0.03</v>
      </c>
      <c r="L2491" s="164">
        <v>0</v>
      </c>
      <c r="M2491" s="193">
        <v>0</v>
      </c>
      <c r="N2491" s="529"/>
      <c r="O2491" s="164">
        <v>0</v>
      </c>
      <c r="P2491" s="118"/>
      <c r="Q2491" s="220"/>
      <c r="R2491" s="220"/>
      <c r="S2491" s="221"/>
      <c r="T2491" s="161">
        <f t="shared" si="652"/>
        <v>26400</v>
      </c>
      <c r="U2491" s="161">
        <f t="shared" si="653"/>
        <v>0</v>
      </c>
      <c r="V2491" s="161">
        <f t="shared" si="654"/>
        <v>0</v>
      </c>
      <c r="W2491" s="161">
        <f t="shared" si="655"/>
        <v>0</v>
      </c>
      <c r="X2491" s="11"/>
      <c r="Y2491" s="11"/>
      <c r="Z2491" s="11"/>
      <c r="AA2491" s="11"/>
      <c r="AB2491" s="11"/>
      <c r="AC2491" s="11"/>
      <c r="AD2491" s="11"/>
      <c r="AE2491" s="11"/>
      <c r="AF2491" s="11"/>
      <c r="AG2491" s="11"/>
      <c r="AH2491" s="11"/>
      <c r="AI2491" s="11"/>
      <c r="AJ2491" s="11"/>
      <c r="AK2491" s="11"/>
      <c r="AL2491" s="11"/>
      <c r="AM2491" s="11"/>
      <c r="AN2491" s="11"/>
      <c r="AO2491" s="11"/>
      <c r="AP2491" s="11"/>
      <c r="AQ2491" s="11"/>
      <c r="AR2491" s="11"/>
      <c r="AS2491" s="11"/>
      <c r="AT2491" s="11"/>
      <c r="AU2491" s="11"/>
      <c r="AV2491" s="11"/>
      <c r="AW2491" s="11"/>
      <c r="AX2491" s="11"/>
      <c r="AY2491" s="11"/>
      <c r="AZ2491" s="11"/>
      <c r="BA2491" s="11"/>
      <c r="BB2491" s="11"/>
      <c r="BC2491" s="11"/>
      <c r="BD2491" s="11"/>
      <c r="BE2491" s="11"/>
      <c r="BF2491" s="11"/>
      <c r="BG2491" s="11"/>
      <c r="BH2491" s="11"/>
      <c r="BI2491" s="11"/>
      <c r="BJ2491" s="11"/>
      <c r="BK2491" s="11"/>
      <c r="BL2491" s="11"/>
      <c r="BM2491" s="11"/>
      <c r="BN2491" s="11"/>
      <c r="BO2491" s="11"/>
      <c r="BP2491" s="11"/>
      <c r="BQ2491" s="11"/>
      <c r="BR2491" s="11"/>
      <c r="BS2491" s="11"/>
      <c r="BT2491" s="11"/>
      <c r="BU2491" s="11"/>
      <c r="BV2491" s="11"/>
      <c r="BW2491" s="11"/>
      <c r="BX2491" s="11"/>
      <c r="BY2491" s="11"/>
      <c r="BZ2491" s="11"/>
      <c r="CA2491" s="11"/>
      <c r="CB2491" s="11"/>
      <c r="CC2491" s="11"/>
      <c r="CD2491" s="11"/>
      <c r="CE2491" s="11"/>
      <c r="CF2491" s="11"/>
      <c r="CG2491" s="11"/>
      <c r="CH2491" s="11"/>
      <c r="CI2491" s="11"/>
      <c r="CJ2491" s="11"/>
      <c r="CK2491" s="11"/>
      <c r="CL2491" s="11"/>
      <c r="CM2491" s="11"/>
      <c r="CN2491" s="11"/>
      <c r="CO2491" s="11"/>
      <c r="CP2491" s="11"/>
      <c r="CQ2491" s="11"/>
      <c r="CR2491" s="11"/>
      <c r="CS2491" s="11"/>
      <c r="CT2491" s="11"/>
      <c r="CU2491" s="11"/>
      <c r="CV2491" s="11"/>
      <c r="CW2491" s="11"/>
      <c r="CX2491" s="11"/>
      <c r="CY2491" s="11"/>
      <c r="CZ2491" s="11"/>
      <c r="DA2491" s="11"/>
      <c r="DB2491" s="11"/>
      <c r="DC2491" s="11"/>
      <c r="DD2491" s="11"/>
      <c r="DE2491" s="11"/>
      <c r="DF2491" s="11"/>
      <c r="DG2491" s="11"/>
      <c r="DH2491" s="11"/>
      <c r="DI2491" s="11"/>
      <c r="DJ2491" s="11"/>
      <c r="DK2491" s="11"/>
      <c r="DL2491" s="11"/>
      <c r="DM2491" s="11"/>
      <c r="DN2491" s="11"/>
      <c r="DO2491" s="11"/>
      <c r="DP2491" s="11"/>
      <c r="DQ2491" s="11"/>
      <c r="DR2491" s="11"/>
      <c r="DS2491" s="11"/>
      <c r="DT2491" s="11"/>
      <c r="DU2491" s="11"/>
      <c r="DV2491" s="11"/>
      <c r="DW2491" s="11"/>
      <c r="DX2491" s="11"/>
      <c r="DY2491" s="11"/>
      <c r="DZ2491" s="11"/>
      <c r="EA2491" s="11"/>
      <c r="EB2491" s="11"/>
      <c r="EC2491" s="11"/>
      <c r="ED2491" s="11"/>
      <c r="EE2491" s="11"/>
      <c r="EF2491" s="11"/>
      <c r="EG2491" s="11"/>
      <c r="EH2491" s="11"/>
      <c r="EI2491" s="11"/>
      <c r="EJ2491" s="11"/>
      <c r="EK2491" s="11"/>
      <c r="EL2491" s="11"/>
      <c r="EM2491" s="11"/>
      <c r="EN2491" s="11"/>
      <c r="EO2491" s="11"/>
      <c r="EP2491" s="11"/>
      <c r="EQ2491" s="11"/>
      <c r="ER2491" s="11"/>
      <c r="ES2491" s="11"/>
      <c r="ET2491" s="11"/>
      <c r="EU2491" s="11"/>
      <c r="EV2491" s="11"/>
      <c r="EW2491" s="11"/>
      <c r="EX2491" s="11"/>
      <c r="EY2491" s="11"/>
      <c r="EZ2491" s="11"/>
      <c r="FA2491" s="11"/>
      <c r="FB2491" s="11"/>
      <c r="FC2491" s="11"/>
      <c r="FD2491" s="11"/>
      <c r="FE2491" s="11"/>
      <c r="FF2491" s="11"/>
      <c r="FG2491" s="11"/>
      <c r="FH2491" s="11"/>
      <c r="FI2491" s="11"/>
      <c r="FJ2491" s="11"/>
      <c r="FK2491" s="11"/>
      <c r="FL2491" s="11"/>
      <c r="FM2491" s="11"/>
      <c r="FN2491" s="11"/>
      <c r="FO2491" s="11"/>
      <c r="FP2491" s="11"/>
      <c r="FQ2491" s="11"/>
      <c r="FR2491" s="11"/>
      <c r="FS2491" s="11"/>
      <c r="FT2491" s="11"/>
      <c r="FU2491" s="11"/>
      <c r="FV2491" s="11"/>
      <c r="FW2491" s="11"/>
      <c r="FX2491" s="11"/>
      <c r="FY2491" s="11"/>
      <c r="FZ2491" s="11"/>
      <c r="GA2491" s="11"/>
      <c r="GB2491" s="11"/>
      <c r="GC2491" s="11"/>
      <c r="GD2491" s="11"/>
      <c r="GE2491" s="11"/>
      <c r="GF2491" s="11"/>
      <c r="GG2491" s="11"/>
      <c r="GH2491" s="11"/>
      <c r="GI2491" s="11"/>
      <c r="GJ2491" s="11"/>
      <c r="GK2491" s="11"/>
      <c r="GL2491" s="11"/>
      <c r="GM2491" s="11"/>
      <c r="GN2491" s="11"/>
      <c r="GO2491" s="11"/>
      <c r="GP2491" s="11"/>
      <c r="GQ2491" s="11"/>
      <c r="GR2491" s="11"/>
      <c r="GS2491" s="11"/>
      <c r="GT2491" s="11"/>
      <c r="GU2491" s="11"/>
      <c r="GV2491" s="11"/>
      <c r="GW2491" s="11"/>
      <c r="GX2491" s="11"/>
      <c r="GY2491" s="11"/>
      <c r="GZ2491" s="11"/>
      <c r="HA2491" s="11"/>
      <c r="HB2491" s="11"/>
      <c r="HC2491" s="11"/>
      <c r="HD2491" s="11"/>
      <c r="HE2491" s="11"/>
      <c r="HF2491" s="11"/>
      <c r="HG2491" s="11"/>
      <c r="HH2491" s="11"/>
      <c r="HI2491" s="11"/>
      <c r="HJ2491" s="11"/>
      <c r="HK2491" s="11"/>
      <c r="HL2491" s="11"/>
      <c r="HM2491" s="11"/>
      <c r="HN2491" s="11"/>
      <c r="HO2491" s="11"/>
      <c r="HP2491" s="11"/>
      <c r="HQ2491" s="11"/>
      <c r="HR2491" s="11"/>
      <c r="HS2491" s="11"/>
      <c r="HT2491" s="11"/>
      <c r="HU2491" s="11"/>
      <c r="HV2491" s="11"/>
      <c r="HW2491" s="11"/>
      <c r="HX2491" s="11"/>
      <c r="HY2491" s="11"/>
      <c r="HZ2491" s="11"/>
      <c r="IA2491" s="11"/>
      <c r="IB2491" s="11"/>
      <c r="IC2491" s="11"/>
      <c r="ID2491" s="11"/>
      <c r="IE2491" s="11"/>
      <c r="IF2491" s="11"/>
      <c r="IG2491" s="11"/>
      <c r="IH2491" s="11"/>
      <c r="II2491" s="11"/>
      <c r="IJ2491" s="11"/>
    </row>
    <row r="2492" spans="1:244" s="128" customFormat="1" ht="12.75" customHeight="1">
      <c r="A2492" s="118">
        <v>2491</v>
      </c>
      <c r="B2492" s="128">
        <v>26</v>
      </c>
      <c r="C2492" s="156">
        <v>39692</v>
      </c>
      <c r="D2492" s="176" t="s">
        <v>52</v>
      </c>
      <c r="E2492" s="127">
        <v>2008</v>
      </c>
      <c r="F2492" s="158">
        <f t="shared" si="650"/>
        <v>123</v>
      </c>
      <c r="G2492" s="158">
        <f t="shared" si="651"/>
        <v>1</v>
      </c>
      <c r="H2492" s="178">
        <v>39569</v>
      </c>
      <c r="I2492" s="194">
        <v>876000</v>
      </c>
      <c r="J2492" s="164">
        <v>0</v>
      </c>
      <c r="K2492" s="164">
        <v>0</v>
      </c>
      <c r="L2492" s="164">
        <v>0</v>
      </c>
      <c r="M2492" s="193">
        <v>0</v>
      </c>
      <c r="N2492" s="529"/>
      <c r="O2492" s="164">
        <v>0</v>
      </c>
      <c r="P2492" s="118"/>
      <c r="Q2492" s="220"/>
      <c r="R2492" s="220"/>
      <c r="S2492" s="221"/>
      <c r="T2492" s="161">
        <f t="shared" si="652"/>
        <v>0</v>
      </c>
      <c r="U2492" s="161">
        <f t="shared" si="653"/>
        <v>0</v>
      </c>
      <c r="V2492" s="161">
        <f t="shared" si="654"/>
        <v>0</v>
      </c>
      <c r="W2492" s="161">
        <f t="shared" si="655"/>
        <v>0</v>
      </c>
      <c r="X2492" s="11"/>
      <c r="Y2492" s="11"/>
      <c r="Z2492" s="11"/>
      <c r="AA2492" s="11"/>
      <c r="AB2492" s="11"/>
      <c r="AC2492" s="11"/>
      <c r="AD2492" s="11"/>
      <c r="AE2492" s="11"/>
      <c r="AF2492" s="11"/>
      <c r="AG2492" s="11"/>
      <c r="AH2492" s="11"/>
      <c r="AI2492" s="11"/>
      <c r="AJ2492" s="11"/>
      <c r="AK2492" s="11"/>
      <c r="AL2492" s="11"/>
      <c r="AM2492" s="11"/>
      <c r="AN2492" s="11"/>
      <c r="AO2492" s="11"/>
      <c r="AP2492" s="11"/>
      <c r="AQ2492" s="11"/>
      <c r="AR2492" s="11"/>
      <c r="AS2492" s="11"/>
      <c r="AT2492" s="11"/>
      <c r="AU2492" s="11"/>
      <c r="AV2492" s="11"/>
      <c r="AW2492" s="11"/>
      <c r="AX2492" s="11"/>
      <c r="AY2492" s="11"/>
      <c r="AZ2492" s="11"/>
      <c r="BA2492" s="11"/>
      <c r="BB2492" s="11"/>
      <c r="BC2492" s="11"/>
      <c r="BD2492" s="11"/>
      <c r="BE2492" s="11"/>
      <c r="BF2492" s="11"/>
      <c r="BG2492" s="11"/>
      <c r="BH2492" s="11"/>
      <c r="BI2492" s="11"/>
      <c r="BJ2492" s="11"/>
      <c r="BK2492" s="11"/>
      <c r="BL2492" s="11"/>
      <c r="BM2492" s="11"/>
      <c r="BN2492" s="11"/>
      <c r="BO2492" s="11"/>
      <c r="BP2492" s="11"/>
      <c r="BQ2492" s="11"/>
      <c r="BR2492" s="11"/>
      <c r="BS2492" s="11"/>
      <c r="BT2492" s="11"/>
      <c r="BU2492" s="11"/>
      <c r="BV2492" s="11"/>
      <c r="BW2492" s="11"/>
      <c r="BX2492" s="11"/>
      <c r="BY2492" s="11"/>
      <c r="BZ2492" s="11"/>
      <c r="CA2492" s="11"/>
      <c r="CB2492" s="11"/>
      <c r="CC2492" s="11"/>
      <c r="CD2492" s="11"/>
      <c r="CE2492" s="11"/>
      <c r="CF2492" s="11"/>
      <c r="CG2492" s="11"/>
      <c r="CH2492" s="11"/>
      <c r="CI2492" s="11"/>
      <c r="CJ2492" s="11"/>
      <c r="CK2492" s="11"/>
      <c r="CL2492" s="11"/>
      <c r="CM2492" s="11"/>
      <c r="CN2492" s="11"/>
      <c r="CO2492" s="11"/>
      <c r="CP2492" s="11"/>
      <c r="CQ2492" s="11"/>
      <c r="CR2492" s="11"/>
      <c r="CS2492" s="11"/>
      <c r="CT2492" s="11"/>
      <c r="CU2492" s="11"/>
      <c r="CV2492" s="11"/>
      <c r="CW2492" s="11"/>
      <c r="CX2492" s="11"/>
      <c r="CY2492" s="11"/>
      <c r="CZ2492" s="11"/>
      <c r="DA2492" s="11"/>
      <c r="DB2492" s="11"/>
      <c r="DC2492" s="11"/>
      <c r="DD2492" s="11"/>
      <c r="DE2492" s="11"/>
      <c r="DF2492" s="11"/>
      <c r="DG2492" s="11"/>
      <c r="DH2492" s="11"/>
      <c r="DI2492" s="11"/>
      <c r="DJ2492" s="11"/>
      <c r="DK2492" s="11"/>
      <c r="DL2492" s="11"/>
      <c r="DM2492" s="11"/>
      <c r="DN2492" s="11"/>
      <c r="DO2492" s="11"/>
      <c r="DP2492" s="11"/>
      <c r="DQ2492" s="11"/>
      <c r="DR2492" s="11"/>
      <c r="DS2492" s="11"/>
      <c r="DT2492" s="11"/>
      <c r="DU2492" s="11"/>
      <c r="DV2492" s="11"/>
      <c r="DW2492" s="11"/>
      <c r="DX2492" s="11"/>
      <c r="DY2492" s="11"/>
      <c r="DZ2492" s="11"/>
      <c r="EA2492" s="11"/>
      <c r="EB2492" s="11"/>
      <c r="EC2492" s="11"/>
      <c r="ED2492" s="11"/>
      <c r="EE2492" s="11"/>
      <c r="EF2492" s="11"/>
      <c r="EG2492" s="11"/>
      <c r="EH2492" s="11"/>
      <c r="EI2492" s="11"/>
      <c r="EJ2492" s="11"/>
      <c r="EK2492" s="11"/>
      <c r="EL2492" s="11"/>
      <c r="EM2492" s="11"/>
      <c r="EN2492" s="11"/>
      <c r="EO2492" s="11"/>
      <c r="EP2492" s="11"/>
      <c r="EQ2492" s="11"/>
      <c r="ER2492" s="11"/>
      <c r="ES2492" s="11"/>
      <c r="ET2492" s="11"/>
      <c r="EU2492" s="11"/>
      <c r="EV2492" s="11"/>
      <c r="EW2492" s="11"/>
      <c r="EX2492" s="11"/>
      <c r="EY2492" s="11"/>
      <c r="EZ2492" s="11"/>
      <c r="FA2492" s="11"/>
      <c r="FB2492" s="11"/>
      <c r="FC2492" s="11"/>
      <c r="FD2492" s="11"/>
      <c r="FE2492" s="11"/>
      <c r="FF2492" s="11"/>
      <c r="FG2492" s="11"/>
      <c r="FH2492" s="11"/>
      <c r="FI2492" s="11"/>
      <c r="FJ2492" s="11"/>
      <c r="FK2492" s="11"/>
      <c r="FL2492" s="11"/>
      <c r="FM2492" s="11"/>
      <c r="FN2492" s="11"/>
      <c r="FO2492" s="11"/>
      <c r="FP2492" s="11"/>
      <c r="FQ2492" s="11"/>
      <c r="FR2492" s="11"/>
      <c r="FS2492" s="11"/>
      <c r="FT2492" s="11"/>
      <c r="FU2492" s="11"/>
      <c r="FV2492" s="11"/>
      <c r="FW2492" s="11"/>
      <c r="FX2492" s="11"/>
      <c r="FY2492" s="11"/>
      <c r="FZ2492" s="11"/>
      <c r="GA2492" s="11"/>
      <c r="GB2492" s="11"/>
      <c r="GC2492" s="11"/>
      <c r="GD2492" s="11"/>
      <c r="GE2492" s="11"/>
      <c r="GF2492" s="11"/>
      <c r="GG2492" s="11"/>
      <c r="GH2492" s="11"/>
      <c r="GI2492" s="11"/>
      <c r="GJ2492" s="11"/>
      <c r="GK2492" s="11"/>
      <c r="GL2492" s="11"/>
      <c r="GM2492" s="11"/>
      <c r="GN2492" s="11"/>
      <c r="GO2492" s="11"/>
      <c r="GP2492" s="11"/>
      <c r="GQ2492" s="11"/>
      <c r="GR2492" s="11"/>
      <c r="GS2492" s="11"/>
      <c r="GT2492" s="11"/>
      <c r="GU2492" s="11"/>
      <c r="GV2492" s="11"/>
      <c r="GW2492" s="11"/>
      <c r="GX2492" s="11"/>
      <c r="GY2492" s="11"/>
      <c r="GZ2492" s="11"/>
      <c r="HA2492" s="11"/>
      <c r="HB2492" s="11"/>
      <c r="HC2492" s="11"/>
      <c r="HD2492" s="11"/>
      <c r="HE2492" s="11"/>
      <c r="HF2492" s="11"/>
      <c r="HG2492" s="11"/>
      <c r="HH2492" s="11"/>
      <c r="HI2492" s="11"/>
      <c r="HJ2492" s="11"/>
      <c r="HK2492" s="11"/>
      <c r="HL2492" s="11"/>
      <c r="HM2492" s="11"/>
      <c r="HN2492" s="11"/>
      <c r="HO2492" s="11"/>
      <c r="HP2492" s="11"/>
      <c r="HQ2492" s="11"/>
      <c r="HR2492" s="11"/>
      <c r="HS2492" s="11"/>
      <c r="HT2492" s="11"/>
      <c r="HU2492" s="11"/>
      <c r="HV2492" s="11"/>
      <c r="HW2492" s="11"/>
      <c r="HX2492" s="11"/>
      <c r="HY2492" s="11"/>
      <c r="HZ2492" s="11"/>
      <c r="IA2492" s="11"/>
      <c r="IB2492" s="11"/>
      <c r="IC2492" s="11"/>
      <c r="ID2492" s="11"/>
      <c r="IE2492" s="11"/>
      <c r="IF2492" s="11"/>
      <c r="IG2492" s="11"/>
      <c r="IH2492" s="11"/>
      <c r="II2492" s="11"/>
      <c r="IJ2492" s="11"/>
    </row>
    <row r="2493" spans="1:244" s="128" customFormat="1" ht="12.75" customHeight="1">
      <c r="A2493" s="118">
        <v>2492</v>
      </c>
      <c r="B2493" s="128">
        <v>26</v>
      </c>
      <c r="C2493" s="156">
        <v>39722</v>
      </c>
      <c r="D2493" s="176" t="s">
        <v>53</v>
      </c>
      <c r="E2493" s="127">
        <v>2008</v>
      </c>
      <c r="F2493" s="158">
        <f t="shared" si="650"/>
        <v>153</v>
      </c>
      <c r="G2493" s="158">
        <f t="shared" si="651"/>
        <v>1</v>
      </c>
      <c r="H2493" s="178">
        <v>39569</v>
      </c>
      <c r="I2493" s="194">
        <v>746000</v>
      </c>
      <c r="J2493" s="164">
        <v>7.0000000000000007E-2</v>
      </c>
      <c r="K2493" s="164">
        <v>0</v>
      </c>
      <c r="L2493" s="164">
        <v>0</v>
      </c>
      <c r="M2493" s="193">
        <v>0</v>
      </c>
      <c r="N2493" s="529"/>
      <c r="O2493" s="164">
        <v>0</v>
      </c>
      <c r="P2493" s="118"/>
      <c r="Q2493" s="220"/>
      <c r="R2493" s="220"/>
      <c r="S2493" s="221" t="s">
        <v>243</v>
      </c>
      <c r="T2493" s="161">
        <f t="shared" si="652"/>
        <v>0</v>
      </c>
      <c r="U2493" s="161">
        <f t="shared" si="653"/>
        <v>0</v>
      </c>
      <c r="V2493" s="161">
        <f t="shared" si="654"/>
        <v>0</v>
      </c>
      <c r="W2493" s="161">
        <f t="shared" si="655"/>
        <v>0</v>
      </c>
      <c r="X2493" s="11"/>
      <c r="Y2493" s="11"/>
      <c r="Z2493" s="11"/>
      <c r="AA2493" s="11"/>
      <c r="AB2493" s="11"/>
      <c r="AC2493" s="11"/>
      <c r="AD2493" s="11"/>
      <c r="AE2493" s="11"/>
      <c r="AF2493" s="11"/>
      <c r="AG2493" s="11"/>
      <c r="AH2493" s="11"/>
      <c r="AI2493" s="11"/>
      <c r="AJ2493" s="11"/>
      <c r="AK2493" s="11"/>
      <c r="AL2493" s="11"/>
      <c r="AM2493" s="11"/>
      <c r="AN2493" s="11"/>
      <c r="AO2493" s="11"/>
      <c r="AP2493" s="11"/>
      <c r="AQ2493" s="11"/>
      <c r="AR2493" s="11"/>
      <c r="AS2493" s="11"/>
      <c r="AT2493" s="11"/>
      <c r="AU2493" s="11"/>
      <c r="AV2493" s="11"/>
      <c r="AW2493" s="11"/>
      <c r="AX2493" s="11"/>
      <c r="AY2493" s="11"/>
      <c r="AZ2493" s="11"/>
      <c r="BA2493" s="11"/>
      <c r="BB2493" s="11"/>
      <c r="BC2493" s="11"/>
      <c r="BD2493" s="11"/>
      <c r="BE2493" s="11"/>
      <c r="BF2493" s="11"/>
      <c r="BG2493" s="11"/>
      <c r="BH2493" s="11"/>
      <c r="BI2493" s="11"/>
      <c r="BJ2493" s="11"/>
      <c r="BK2493" s="11"/>
      <c r="BL2493" s="11"/>
      <c r="BM2493" s="11"/>
      <c r="BN2493" s="11"/>
      <c r="BO2493" s="11"/>
      <c r="BP2493" s="11"/>
      <c r="BQ2493" s="11"/>
      <c r="BR2493" s="11"/>
      <c r="BS2493" s="11"/>
      <c r="BT2493" s="11"/>
      <c r="BU2493" s="11"/>
      <c r="BV2493" s="11"/>
      <c r="BW2493" s="11"/>
      <c r="BX2493" s="11"/>
      <c r="BY2493" s="11"/>
      <c r="BZ2493" s="11"/>
      <c r="CA2493" s="11"/>
      <c r="CB2493" s="11"/>
      <c r="CC2493" s="11"/>
      <c r="CD2493" s="11"/>
      <c r="CE2493" s="11"/>
      <c r="CF2493" s="11"/>
      <c r="CG2493" s="11"/>
      <c r="CH2493" s="11"/>
      <c r="CI2493" s="11"/>
      <c r="CJ2493" s="11"/>
      <c r="CK2493" s="11"/>
      <c r="CL2493" s="11"/>
      <c r="CM2493" s="11"/>
      <c r="CN2493" s="11"/>
      <c r="CO2493" s="11"/>
      <c r="CP2493" s="11"/>
      <c r="CQ2493" s="11"/>
      <c r="CR2493" s="11"/>
      <c r="CS2493" s="11"/>
      <c r="CT2493" s="11"/>
      <c r="CU2493" s="11"/>
      <c r="CV2493" s="11"/>
      <c r="CW2493" s="11"/>
      <c r="CX2493" s="11"/>
      <c r="CY2493" s="11"/>
      <c r="CZ2493" s="11"/>
      <c r="DA2493" s="11"/>
      <c r="DB2493" s="11"/>
      <c r="DC2493" s="11"/>
      <c r="DD2493" s="11"/>
      <c r="DE2493" s="11"/>
      <c r="DF2493" s="11"/>
      <c r="DG2493" s="11"/>
      <c r="DH2493" s="11"/>
      <c r="DI2493" s="11"/>
      <c r="DJ2493" s="11"/>
      <c r="DK2493" s="11"/>
      <c r="DL2493" s="11"/>
      <c r="DM2493" s="11"/>
      <c r="DN2493" s="11"/>
      <c r="DO2493" s="11"/>
      <c r="DP2493" s="11"/>
      <c r="DQ2493" s="11"/>
      <c r="DR2493" s="11"/>
      <c r="DS2493" s="11"/>
      <c r="DT2493" s="11"/>
      <c r="DU2493" s="11"/>
      <c r="DV2493" s="11"/>
      <c r="DW2493" s="11"/>
      <c r="DX2493" s="11"/>
      <c r="DY2493" s="11"/>
      <c r="DZ2493" s="11"/>
      <c r="EA2493" s="11"/>
      <c r="EB2493" s="11"/>
      <c r="EC2493" s="11"/>
      <c r="ED2493" s="11"/>
      <c r="EE2493" s="11"/>
      <c r="EF2493" s="11"/>
      <c r="EG2493" s="11"/>
      <c r="EH2493" s="11"/>
      <c r="EI2493" s="11"/>
      <c r="EJ2493" s="11"/>
      <c r="EK2493" s="11"/>
      <c r="EL2493" s="11"/>
      <c r="EM2493" s="11"/>
      <c r="EN2493" s="11"/>
      <c r="EO2493" s="11"/>
      <c r="EP2493" s="11"/>
      <c r="EQ2493" s="11"/>
      <c r="ER2493" s="11"/>
      <c r="ES2493" s="11"/>
      <c r="ET2493" s="11"/>
      <c r="EU2493" s="11"/>
      <c r="EV2493" s="11"/>
      <c r="EW2493" s="11"/>
      <c r="EX2493" s="11"/>
      <c r="EY2493" s="11"/>
      <c r="EZ2493" s="11"/>
      <c r="FA2493" s="11"/>
      <c r="FB2493" s="11"/>
      <c r="FC2493" s="11"/>
      <c r="FD2493" s="11"/>
      <c r="FE2493" s="11"/>
      <c r="FF2493" s="11"/>
      <c r="FG2493" s="11"/>
      <c r="FH2493" s="11"/>
      <c r="FI2493" s="11"/>
      <c r="FJ2493" s="11"/>
      <c r="FK2493" s="11"/>
      <c r="FL2493" s="11"/>
      <c r="FM2493" s="11"/>
      <c r="FN2493" s="11"/>
      <c r="FO2493" s="11"/>
      <c r="FP2493" s="11"/>
      <c r="FQ2493" s="11"/>
      <c r="FR2493" s="11"/>
      <c r="FS2493" s="11"/>
      <c r="FT2493" s="11"/>
      <c r="FU2493" s="11"/>
      <c r="FV2493" s="11"/>
      <c r="FW2493" s="11"/>
      <c r="FX2493" s="11"/>
      <c r="FY2493" s="11"/>
      <c r="FZ2493" s="11"/>
      <c r="GA2493" s="11"/>
      <c r="GB2493" s="11"/>
      <c r="GC2493" s="11"/>
      <c r="GD2493" s="11"/>
      <c r="GE2493" s="11"/>
      <c r="GF2493" s="11"/>
      <c r="GG2493" s="11"/>
      <c r="GH2493" s="11"/>
      <c r="GI2493" s="11"/>
      <c r="GJ2493" s="11"/>
      <c r="GK2493" s="11"/>
      <c r="GL2493" s="11"/>
      <c r="GM2493" s="11"/>
      <c r="GN2493" s="11"/>
      <c r="GO2493" s="11"/>
      <c r="GP2493" s="11"/>
      <c r="GQ2493" s="11"/>
      <c r="GR2493" s="11"/>
      <c r="GS2493" s="11"/>
      <c r="GT2493" s="11"/>
      <c r="GU2493" s="11"/>
      <c r="GV2493" s="11"/>
      <c r="GW2493" s="11"/>
      <c r="GX2493" s="11"/>
      <c r="GY2493" s="11"/>
      <c r="GZ2493" s="11"/>
      <c r="HA2493" s="11"/>
      <c r="HB2493" s="11"/>
      <c r="HC2493" s="11"/>
      <c r="HD2493" s="11"/>
      <c r="HE2493" s="11"/>
      <c r="HF2493" s="11"/>
      <c r="HG2493" s="11"/>
      <c r="HH2493" s="11"/>
      <c r="HI2493" s="11"/>
      <c r="HJ2493" s="11"/>
      <c r="HK2493" s="11"/>
      <c r="HL2493" s="11"/>
      <c r="HM2493" s="11"/>
      <c r="HN2493" s="11"/>
      <c r="HO2493" s="11"/>
      <c r="HP2493" s="11"/>
      <c r="HQ2493" s="11"/>
      <c r="HR2493" s="11"/>
      <c r="HS2493" s="11"/>
      <c r="HT2493" s="11"/>
      <c r="HU2493" s="11"/>
      <c r="HV2493" s="11"/>
      <c r="HW2493" s="11"/>
      <c r="HX2493" s="11"/>
      <c r="HY2493" s="11"/>
      <c r="HZ2493" s="11"/>
      <c r="IA2493" s="11"/>
      <c r="IB2493" s="11"/>
      <c r="IC2493" s="11"/>
      <c r="ID2493" s="11"/>
      <c r="IE2493" s="11"/>
      <c r="IF2493" s="11"/>
      <c r="IG2493" s="11"/>
      <c r="IH2493" s="11"/>
      <c r="II2493" s="11"/>
      <c r="IJ2493" s="11"/>
    </row>
    <row r="2494" spans="1:244" s="128" customFormat="1" ht="12.75" customHeight="1">
      <c r="A2494" s="118">
        <v>2493</v>
      </c>
      <c r="B2494" s="128">
        <v>26</v>
      </c>
      <c r="C2494" s="156">
        <v>39753</v>
      </c>
      <c r="D2494" s="176" t="s">
        <v>54</v>
      </c>
      <c r="E2494" s="127">
        <v>2008</v>
      </c>
      <c r="F2494" s="158">
        <f t="shared" si="650"/>
        <v>184</v>
      </c>
      <c r="G2494" s="158">
        <f t="shared" si="651"/>
        <v>1</v>
      </c>
      <c r="H2494" s="178">
        <v>39569</v>
      </c>
      <c r="I2494" s="194">
        <v>659000</v>
      </c>
      <c r="J2494" s="164">
        <v>1.75</v>
      </c>
      <c r="K2494" s="164">
        <v>0.05</v>
      </c>
      <c r="L2494" s="164">
        <v>1.6666666666666666E-2</v>
      </c>
      <c r="M2494" s="193">
        <v>0</v>
      </c>
      <c r="N2494" s="529"/>
      <c r="O2494" s="164">
        <v>0</v>
      </c>
      <c r="P2494" s="118"/>
      <c r="Q2494" s="220"/>
      <c r="R2494" s="220"/>
      <c r="S2494" s="221" t="s">
        <v>243</v>
      </c>
      <c r="T2494" s="161">
        <f t="shared" si="652"/>
        <v>32950</v>
      </c>
      <c r="U2494" s="161">
        <f t="shared" si="653"/>
        <v>10983.333333333334</v>
      </c>
      <c r="V2494" s="161">
        <f t="shared" si="654"/>
        <v>0</v>
      </c>
      <c r="W2494" s="161">
        <f t="shared" si="655"/>
        <v>0</v>
      </c>
      <c r="X2494" s="11"/>
      <c r="Y2494" s="11"/>
      <c r="Z2494" s="11"/>
      <c r="AA2494" s="11"/>
      <c r="AB2494" s="11"/>
      <c r="AC2494" s="11"/>
      <c r="AD2494" s="11"/>
      <c r="AE2494" s="11"/>
      <c r="AF2494" s="11"/>
      <c r="AG2494" s="11"/>
      <c r="AH2494" s="11"/>
      <c r="AI2494" s="11"/>
      <c r="AJ2494" s="11"/>
      <c r="AK2494" s="11"/>
      <c r="AL2494" s="11"/>
      <c r="AM2494" s="11"/>
      <c r="AN2494" s="11"/>
      <c r="AO2494" s="11"/>
      <c r="AP2494" s="11"/>
      <c r="AQ2494" s="11"/>
      <c r="AR2494" s="11"/>
      <c r="AS2494" s="11"/>
      <c r="AT2494" s="11"/>
      <c r="AU2494" s="11"/>
      <c r="AV2494" s="11"/>
      <c r="AW2494" s="11"/>
      <c r="AX2494" s="11"/>
      <c r="AY2494" s="11"/>
      <c r="AZ2494" s="11"/>
      <c r="BA2494" s="11"/>
      <c r="BB2494" s="11"/>
      <c r="BC2494" s="11"/>
      <c r="BD2494" s="11"/>
      <c r="BE2494" s="11"/>
      <c r="BF2494" s="11"/>
      <c r="BG2494" s="11"/>
      <c r="BH2494" s="11"/>
      <c r="BI2494" s="11"/>
      <c r="BJ2494" s="11"/>
      <c r="BK2494" s="11"/>
      <c r="BL2494" s="11"/>
      <c r="BM2494" s="11"/>
      <c r="BN2494" s="11"/>
      <c r="BO2494" s="11"/>
      <c r="BP2494" s="11"/>
      <c r="BQ2494" s="11"/>
      <c r="BR2494" s="11"/>
      <c r="BS2494" s="11"/>
      <c r="BT2494" s="11"/>
      <c r="BU2494" s="11"/>
      <c r="BV2494" s="11"/>
      <c r="BW2494" s="11"/>
      <c r="BX2494" s="11"/>
      <c r="BY2494" s="11"/>
      <c r="BZ2494" s="11"/>
      <c r="CA2494" s="11"/>
      <c r="CB2494" s="11"/>
      <c r="CC2494" s="11"/>
      <c r="CD2494" s="11"/>
      <c r="CE2494" s="11"/>
      <c r="CF2494" s="11"/>
      <c r="CG2494" s="11"/>
      <c r="CH2494" s="11"/>
      <c r="CI2494" s="11"/>
      <c r="CJ2494" s="11"/>
      <c r="CK2494" s="11"/>
      <c r="CL2494" s="11"/>
      <c r="CM2494" s="11"/>
      <c r="CN2494" s="11"/>
      <c r="CO2494" s="11"/>
      <c r="CP2494" s="11"/>
      <c r="CQ2494" s="11"/>
      <c r="CR2494" s="11"/>
      <c r="CS2494" s="11"/>
      <c r="CT2494" s="11"/>
      <c r="CU2494" s="11"/>
      <c r="CV2494" s="11"/>
      <c r="CW2494" s="11"/>
      <c r="CX2494" s="11"/>
      <c r="CY2494" s="11"/>
      <c r="CZ2494" s="11"/>
      <c r="DA2494" s="11"/>
      <c r="DB2494" s="11"/>
      <c r="DC2494" s="11"/>
      <c r="DD2494" s="11"/>
      <c r="DE2494" s="11"/>
      <c r="DF2494" s="11"/>
      <c r="DG2494" s="11"/>
      <c r="DH2494" s="11"/>
      <c r="DI2494" s="11"/>
      <c r="DJ2494" s="11"/>
      <c r="DK2494" s="11"/>
      <c r="DL2494" s="11"/>
      <c r="DM2494" s="11"/>
      <c r="DN2494" s="11"/>
      <c r="DO2494" s="11"/>
      <c r="DP2494" s="11"/>
      <c r="DQ2494" s="11"/>
      <c r="DR2494" s="11"/>
      <c r="DS2494" s="11"/>
      <c r="DT2494" s="11"/>
      <c r="DU2494" s="11"/>
      <c r="DV2494" s="11"/>
      <c r="DW2494" s="11"/>
      <c r="DX2494" s="11"/>
      <c r="DY2494" s="11"/>
      <c r="DZ2494" s="11"/>
      <c r="EA2494" s="11"/>
      <c r="EB2494" s="11"/>
      <c r="EC2494" s="11"/>
      <c r="ED2494" s="11"/>
      <c r="EE2494" s="11"/>
      <c r="EF2494" s="11"/>
      <c r="EG2494" s="11"/>
      <c r="EH2494" s="11"/>
      <c r="EI2494" s="11"/>
      <c r="EJ2494" s="11"/>
      <c r="EK2494" s="11"/>
      <c r="EL2494" s="11"/>
      <c r="EM2494" s="11"/>
      <c r="EN2494" s="11"/>
      <c r="EO2494" s="11"/>
      <c r="EP2494" s="11"/>
      <c r="EQ2494" s="11"/>
      <c r="ER2494" s="11"/>
      <c r="ES2494" s="11"/>
      <c r="ET2494" s="11"/>
      <c r="EU2494" s="11"/>
      <c r="EV2494" s="11"/>
      <c r="EW2494" s="11"/>
      <c r="EX2494" s="11"/>
      <c r="EY2494" s="11"/>
      <c r="EZ2494" s="11"/>
      <c r="FA2494" s="11"/>
      <c r="FB2494" s="11"/>
      <c r="FC2494" s="11"/>
      <c r="FD2494" s="11"/>
      <c r="FE2494" s="11"/>
      <c r="FF2494" s="11"/>
      <c r="FG2494" s="11"/>
      <c r="FH2494" s="11"/>
      <c r="FI2494" s="11"/>
      <c r="FJ2494" s="11"/>
      <c r="FK2494" s="11"/>
      <c r="FL2494" s="11"/>
      <c r="FM2494" s="11"/>
      <c r="FN2494" s="11"/>
      <c r="FO2494" s="11"/>
      <c r="FP2494" s="11"/>
      <c r="FQ2494" s="11"/>
      <c r="FR2494" s="11"/>
      <c r="FS2494" s="11"/>
      <c r="FT2494" s="11"/>
      <c r="FU2494" s="11"/>
      <c r="FV2494" s="11"/>
      <c r="FW2494" s="11"/>
      <c r="FX2494" s="11"/>
      <c r="FY2494" s="11"/>
      <c r="FZ2494" s="11"/>
      <c r="GA2494" s="11"/>
      <c r="GB2494" s="11"/>
      <c r="GC2494" s="11"/>
      <c r="GD2494" s="11"/>
      <c r="GE2494" s="11"/>
      <c r="GF2494" s="11"/>
      <c r="GG2494" s="11"/>
      <c r="GH2494" s="11"/>
      <c r="GI2494" s="11"/>
      <c r="GJ2494" s="11"/>
      <c r="GK2494" s="11"/>
      <c r="GL2494" s="11"/>
      <c r="GM2494" s="11"/>
      <c r="GN2494" s="11"/>
      <c r="GO2494" s="11"/>
      <c r="GP2494" s="11"/>
      <c r="GQ2494" s="11"/>
      <c r="GR2494" s="11"/>
      <c r="GS2494" s="11"/>
      <c r="GT2494" s="11"/>
      <c r="GU2494" s="11"/>
      <c r="GV2494" s="11"/>
      <c r="GW2494" s="11"/>
      <c r="GX2494" s="11"/>
      <c r="GY2494" s="11"/>
      <c r="GZ2494" s="11"/>
      <c r="HA2494" s="11"/>
      <c r="HB2494" s="11"/>
      <c r="HC2494" s="11"/>
      <c r="HD2494" s="11"/>
      <c r="HE2494" s="11"/>
      <c r="HF2494" s="11"/>
      <c r="HG2494" s="11"/>
      <c r="HH2494" s="11"/>
      <c r="HI2494" s="11"/>
      <c r="HJ2494" s="11"/>
      <c r="HK2494" s="11"/>
      <c r="HL2494" s="11"/>
      <c r="HM2494" s="11"/>
      <c r="HN2494" s="11"/>
      <c r="HO2494" s="11"/>
      <c r="HP2494" s="11"/>
      <c r="HQ2494" s="11"/>
      <c r="HR2494" s="11"/>
      <c r="HS2494" s="11"/>
      <c r="HT2494" s="11"/>
      <c r="HU2494" s="11"/>
      <c r="HV2494" s="11"/>
      <c r="HW2494" s="11"/>
      <c r="HX2494" s="11"/>
      <c r="HY2494" s="11"/>
      <c r="HZ2494" s="11"/>
      <c r="IA2494" s="11"/>
      <c r="IB2494" s="11"/>
      <c r="IC2494" s="11"/>
      <c r="ID2494" s="11"/>
      <c r="IE2494" s="11"/>
      <c r="IF2494" s="11"/>
      <c r="IG2494" s="11"/>
      <c r="IH2494" s="11"/>
      <c r="II2494" s="11"/>
      <c r="IJ2494" s="11"/>
    </row>
    <row r="2495" spans="1:244" s="128" customFormat="1" ht="12.75" customHeight="1">
      <c r="A2495" s="118">
        <v>2494</v>
      </c>
      <c r="B2495" s="128">
        <v>26</v>
      </c>
      <c r="C2495" s="156">
        <v>39783</v>
      </c>
      <c r="D2495" s="176" t="s">
        <v>55</v>
      </c>
      <c r="E2495" s="127">
        <v>2008</v>
      </c>
      <c r="F2495" s="158">
        <f t="shared" si="650"/>
        <v>214</v>
      </c>
      <c r="G2495" s="158">
        <f t="shared" si="651"/>
        <v>1</v>
      </c>
      <c r="H2495" s="178">
        <v>39569</v>
      </c>
      <c r="I2495" s="194">
        <v>656000</v>
      </c>
      <c r="J2495" s="164">
        <v>4.0999999999999996</v>
      </c>
      <c r="K2495" s="164">
        <v>0.31666666666666665</v>
      </c>
      <c r="L2495" s="164">
        <v>0</v>
      </c>
      <c r="M2495" s="193">
        <v>0</v>
      </c>
      <c r="N2495" s="529"/>
      <c r="O2495" s="164">
        <v>0</v>
      </c>
      <c r="P2495" s="118"/>
      <c r="Q2495" s="220"/>
      <c r="R2495" s="220"/>
      <c r="S2495" s="221"/>
      <c r="T2495" s="161">
        <f t="shared" si="652"/>
        <v>207733.33333333331</v>
      </c>
      <c r="U2495" s="161">
        <f t="shared" si="653"/>
        <v>0</v>
      </c>
      <c r="V2495" s="161">
        <f t="shared" si="654"/>
        <v>0</v>
      </c>
      <c r="W2495" s="161">
        <f t="shared" si="655"/>
        <v>0</v>
      </c>
      <c r="X2495" s="11"/>
      <c r="Y2495" s="11"/>
      <c r="Z2495" s="11"/>
      <c r="AA2495" s="11"/>
      <c r="AB2495" s="11"/>
      <c r="AC2495" s="11"/>
      <c r="AD2495" s="11"/>
      <c r="AE2495" s="11"/>
      <c r="AF2495" s="11"/>
      <c r="AG2495" s="11"/>
      <c r="AH2495" s="11"/>
      <c r="AI2495" s="11"/>
      <c r="AJ2495" s="11"/>
      <c r="AK2495" s="11"/>
      <c r="AL2495" s="11"/>
      <c r="AM2495" s="11"/>
      <c r="AN2495" s="11"/>
      <c r="AO2495" s="11"/>
      <c r="AP2495" s="11"/>
      <c r="AQ2495" s="11"/>
      <c r="AR2495" s="11"/>
      <c r="AS2495" s="11"/>
      <c r="AT2495" s="11"/>
      <c r="AU2495" s="11"/>
      <c r="AV2495" s="11"/>
      <c r="AW2495" s="11"/>
      <c r="AX2495" s="11"/>
      <c r="AY2495" s="11"/>
      <c r="AZ2495" s="11"/>
      <c r="BA2495" s="11"/>
      <c r="BB2495" s="11"/>
      <c r="BC2495" s="11"/>
      <c r="BD2495" s="11"/>
      <c r="BE2495" s="11"/>
      <c r="BF2495" s="11"/>
      <c r="BG2495" s="11"/>
      <c r="BH2495" s="11"/>
      <c r="BI2495" s="11"/>
      <c r="BJ2495" s="11"/>
      <c r="BK2495" s="11"/>
      <c r="BL2495" s="11"/>
      <c r="BM2495" s="11"/>
      <c r="BN2495" s="11"/>
      <c r="BO2495" s="11"/>
      <c r="BP2495" s="11"/>
      <c r="BQ2495" s="11"/>
      <c r="BR2495" s="11"/>
      <c r="BS2495" s="11"/>
      <c r="BT2495" s="11"/>
      <c r="BU2495" s="11"/>
      <c r="BV2495" s="11"/>
      <c r="BW2495" s="11"/>
      <c r="BX2495" s="11"/>
      <c r="BY2495" s="11"/>
      <c r="BZ2495" s="11"/>
      <c r="CA2495" s="11"/>
      <c r="CB2495" s="11"/>
      <c r="CC2495" s="11"/>
      <c r="CD2495" s="11"/>
      <c r="CE2495" s="11"/>
      <c r="CF2495" s="11"/>
      <c r="CG2495" s="11"/>
      <c r="CH2495" s="11"/>
      <c r="CI2495" s="11"/>
      <c r="CJ2495" s="11"/>
      <c r="CK2495" s="11"/>
      <c r="CL2495" s="11"/>
      <c r="CM2495" s="11"/>
      <c r="CN2495" s="11"/>
      <c r="CO2495" s="11"/>
      <c r="CP2495" s="11"/>
      <c r="CQ2495" s="11"/>
      <c r="CR2495" s="11"/>
      <c r="CS2495" s="11"/>
      <c r="CT2495" s="11"/>
      <c r="CU2495" s="11"/>
      <c r="CV2495" s="11"/>
      <c r="CW2495" s="11"/>
      <c r="CX2495" s="11"/>
      <c r="CY2495" s="11"/>
      <c r="CZ2495" s="11"/>
      <c r="DA2495" s="11"/>
      <c r="DB2495" s="11"/>
      <c r="DC2495" s="11"/>
      <c r="DD2495" s="11"/>
      <c r="DE2495" s="11"/>
      <c r="DF2495" s="11"/>
      <c r="DG2495" s="11"/>
      <c r="DH2495" s="11"/>
      <c r="DI2495" s="11"/>
      <c r="DJ2495" s="11"/>
      <c r="DK2495" s="11"/>
      <c r="DL2495" s="11"/>
      <c r="DM2495" s="11"/>
      <c r="DN2495" s="11"/>
      <c r="DO2495" s="11"/>
      <c r="DP2495" s="11"/>
      <c r="DQ2495" s="11"/>
      <c r="DR2495" s="11"/>
      <c r="DS2495" s="11"/>
      <c r="DT2495" s="11"/>
      <c r="DU2495" s="11"/>
      <c r="DV2495" s="11"/>
      <c r="DW2495" s="11"/>
      <c r="DX2495" s="11"/>
      <c r="DY2495" s="11"/>
      <c r="DZ2495" s="11"/>
      <c r="EA2495" s="11"/>
      <c r="EB2495" s="11"/>
      <c r="EC2495" s="11"/>
      <c r="ED2495" s="11"/>
      <c r="EE2495" s="11"/>
      <c r="EF2495" s="11"/>
      <c r="EG2495" s="11"/>
      <c r="EH2495" s="11"/>
      <c r="EI2495" s="11"/>
      <c r="EJ2495" s="11"/>
      <c r="EK2495" s="11"/>
      <c r="EL2495" s="11"/>
      <c r="EM2495" s="11"/>
      <c r="EN2495" s="11"/>
      <c r="EO2495" s="11"/>
      <c r="EP2495" s="11"/>
      <c r="EQ2495" s="11"/>
      <c r="ER2495" s="11"/>
      <c r="ES2495" s="11"/>
      <c r="ET2495" s="11"/>
      <c r="EU2495" s="11"/>
      <c r="EV2495" s="11"/>
      <c r="EW2495" s="11"/>
      <c r="EX2495" s="11"/>
      <c r="EY2495" s="11"/>
      <c r="EZ2495" s="11"/>
      <c r="FA2495" s="11"/>
      <c r="FB2495" s="11"/>
      <c r="FC2495" s="11"/>
      <c r="FD2495" s="11"/>
      <c r="FE2495" s="11"/>
      <c r="FF2495" s="11"/>
      <c r="FG2495" s="11"/>
      <c r="FH2495" s="11"/>
      <c r="FI2495" s="11"/>
      <c r="FJ2495" s="11"/>
      <c r="FK2495" s="11"/>
      <c r="FL2495" s="11"/>
      <c r="FM2495" s="11"/>
      <c r="FN2495" s="11"/>
      <c r="FO2495" s="11"/>
      <c r="FP2495" s="11"/>
      <c r="FQ2495" s="11"/>
      <c r="FR2495" s="11"/>
      <c r="FS2495" s="11"/>
      <c r="FT2495" s="11"/>
      <c r="FU2495" s="11"/>
      <c r="FV2495" s="11"/>
      <c r="FW2495" s="11"/>
      <c r="FX2495" s="11"/>
      <c r="FY2495" s="11"/>
      <c r="FZ2495" s="11"/>
      <c r="GA2495" s="11"/>
      <c r="GB2495" s="11"/>
      <c r="GC2495" s="11"/>
      <c r="GD2495" s="11"/>
      <c r="GE2495" s="11"/>
      <c r="GF2495" s="11"/>
      <c r="GG2495" s="11"/>
      <c r="GH2495" s="11"/>
      <c r="GI2495" s="11"/>
      <c r="GJ2495" s="11"/>
      <c r="GK2495" s="11"/>
      <c r="GL2495" s="11"/>
      <c r="GM2495" s="11"/>
      <c r="GN2495" s="11"/>
      <c r="GO2495" s="11"/>
      <c r="GP2495" s="11"/>
      <c r="GQ2495" s="11"/>
      <c r="GR2495" s="11"/>
      <c r="GS2495" s="11"/>
      <c r="GT2495" s="11"/>
      <c r="GU2495" s="11"/>
      <c r="GV2495" s="11"/>
      <c r="GW2495" s="11"/>
      <c r="GX2495" s="11"/>
      <c r="GY2495" s="11"/>
      <c r="GZ2495" s="11"/>
      <c r="HA2495" s="11"/>
      <c r="HB2495" s="11"/>
      <c r="HC2495" s="11"/>
      <c r="HD2495" s="11"/>
      <c r="HE2495" s="11"/>
      <c r="HF2495" s="11"/>
      <c r="HG2495" s="11"/>
      <c r="HH2495" s="11"/>
      <c r="HI2495" s="11"/>
      <c r="HJ2495" s="11"/>
      <c r="HK2495" s="11"/>
      <c r="HL2495" s="11"/>
      <c r="HM2495" s="11"/>
      <c r="HN2495" s="11"/>
      <c r="HO2495" s="11"/>
      <c r="HP2495" s="11"/>
      <c r="HQ2495" s="11"/>
      <c r="HR2495" s="11"/>
      <c r="HS2495" s="11"/>
      <c r="HT2495" s="11"/>
      <c r="HU2495" s="11"/>
      <c r="HV2495" s="11"/>
      <c r="HW2495" s="11"/>
      <c r="HX2495" s="11"/>
      <c r="HY2495" s="11"/>
      <c r="HZ2495" s="11"/>
      <c r="IA2495" s="11"/>
      <c r="IB2495" s="11"/>
      <c r="IC2495" s="11"/>
      <c r="ID2495" s="11"/>
      <c r="IE2495" s="11"/>
      <c r="IF2495" s="11"/>
      <c r="IG2495" s="11"/>
      <c r="IH2495" s="11"/>
      <c r="II2495" s="11"/>
      <c r="IJ2495" s="11"/>
    </row>
    <row r="2496" spans="1:244" s="128" customFormat="1" ht="12.75" customHeight="1">
      <c r="A2496" s="118">
        <v>2495</v>
      </c>
      <c r="B2496" s="128">
        <v>26</v>
      </c>
      <c r="C2496" s="156">
        <v>39814</v>
      </c>
      <c r="D2496" s="157" t="s">
        <v>44</v>
      </c>
      <c r="E2496" s="127">
        <v>2009</v>
      </c>
      <c r="F2496" s="158">
        <f t="shared" si="650"/>
        <v>245</v>
      </c>
      <c r="G2496" s="158">
        <f t="shared" si="651"/>
        <v>1</v>
      </c>
      <c r="H2496" s="178">
        <v>39569</v>
      </c>
      <c r="I2496" s="194">
        <v>656000</v>
      </c>
      <c r="J2496" s="164">
        <v>0.97</v>
      </c>
      <c r="K2496" s="164">
        <v>0.5</v>
      </c>
      <c r="L2496" s="164">
        <v>0</v>
      </c>
      <c r="M2496" s="193">
        <v>0</v>
      </c>
      <c r="N2496" s="529"/>
      <c r="O2496" s="164">
        <v>0</v>
      </c>
      <c r="P2496" s="118">
        <v>1</v>
      </c>
      <c r="Q2496" s="118"/>
      <c r="R2496" s="118"/>
      <c r="S2496" s="221"/>
      <c r="T2496" s="161">
        <f t="shared" si="652"/>
        <v>328000</v>
      </c>
      <c r="U2496" s="161">
        <f t="shared" si="653"/>
        <v>0</v>
      </c>
      <c r="V2496" s="161">
        <f t="shared" si="654"/>
        <v>0</v>
      </c>
      <c r="W2496" s="161">
        <f t="shared" si="655"/>
        <v>0</v>
      </c>
      <c r="X2496" s="11"/>
      <c r="Y2496" s="11"/>
      <c r="Z2496" s="11"/>
      <c r="AA2496" s="11"/>
      <c r="AB2496" s="11"/>
      <c r="AC2496" s="11"/>
      <c r="AD2496" s="11"/>
      <c r="AE2496" s="11"/>
      <c r="AF2496" s="11"/>
      <c r="AG2496" s="11"/>
      <c r="AH2496" s="11"/>
      <c r="AI2496" s="11"/>
      <c r="AJ2496" s="11"/>
      <c r="AK2496" s="11"/>
      <c r="AL2496" s="11"/>
      <c r="AM2496" s="11"/>
      <c r="AN2496" s="11"/>
      <c r="AO2496" s="11"/>
      <c r="AP2496" s="11"/>
      <c r="AQ2496" s="11"/>
      <c r="AR2496" s="11"/>
      <c r="AS2496" s="11"/>
      <c r="AT2496" s="11"/>
      <c r="AU2496" s="11"/>
      <c r="AV2496" s="11"/>
      <c r="AW2496" s="11"/>
      <c r="AX2496" s="11"/>
      <c r="AY2496" s="11"/>
      <c r="AZ2496" s="11"/>
      <c r="BA2496" s="11"/>
      <c r="BB2496" s="11"/>
      <c r="BC2496" s="11"/>
      <c r="BD2496" s="11"/>
      <c r="BE2496" s="11"/>
      <c r="BF2496" s="11"/>
      <c r="BG2496" s="11"/>
      <c r="BH2496" s="11"/>
      <c r="BI2496" s="11"/>
      <c r="BJ2496" s="11"/>
      <c r="BK2496" s="11"/>
      <c r="BL2496" s="11"/>
      <c r="BM2496" s="11"/>
      <c r="BN2496" s="11"/>
      <c r="BO2496" s="11"/>
      <c r="BP2496" s="11"/>
      <c r="BQ2496" s="11"/>
      <c r="BR2496" s="11"/>
      <c r="BS2496" s="11"/>
      <c r="BT2496" s="11"/>
      <c r="BU2496" s="11"/>
      <c r="BV2496" s="11"/>
      <c r="BW2496" s="11"/>
      <c r="BX2496" s="11"/>
      <c r="BY2496" s="11"/>
      <c r="BZ2496" s="11"/>
      <c r="CA2496" s="11"/>
      <c r="CB2496" s="11"/>
      <c r="CC2496" s="11"/>
      <c r="CD2496" s="11"/>
      <c r="CE2496" s="11"/>
      <c r="CF2496" s="11"/>
      <c r="CG2496" s="11"/>
      <c r="CH2496" s="11"/>
      <c r="CI2496" s="11"/>
      <c r="CJ2496" s="11"/>
      <c r="CK2496" s="11"/>
      <c r="CL2496" s="11"/>
      <c r="CM2496" s="11"/>
      <c r="CN2496" s="11"/>
      <c r="CO2496" s="11"/>
      <c r="CP2496" s="11"/>
      <c r="CQ2496" s="11"/>
      <c r="CR2496" s="11"/>
      <c r="CS2496" s="11"/>
      <c r="CT2496" s="11"/>
      <c r="CU2496" s="11"/>
      <c r="CV2496" s="11"/>
      <c r="CW2496" s="11"/>
      <c r="CX2496" s="11"/>
      <c r="CY2496" s="11"/>
      <c r="CZ2496" s="11"/>
      <c r="DA2496" s="11"/>
      <c r="DB2496" s="11"/>
      <c r="DC2496" s="11"/>
      <c r="DD2496" s="11"/>
      <c r="DE2496" s="11"/>
      <c r="DF2496" s="11"/>
      <c r="DG2496" s="11"/>
      <c r="DH2496" s="11"/>
      <c r="DI2496" s="11"/>
      <c r="DJ2496" s="11"/>
      <c r="DK2496" s="11"/>
      <c r="DL2496" s="11"/>
      <c r="DM2496" s="11"/>
      <c r="DN2496" s="11"/>
      <c r="DO2496" s="11"/>
      <c r="DP2496" s="11"/>
      <c r="DQ2496" s="11"/>
      <c r="DR2496" s="11"/>
      <c r="DS2496" s="11"/>
      <c r="DT2496" s="11"/>
      <c r="DU2496" s="11"/>
      <c r="DV2496" s="11"/>
      <c r="DW2496" s="11"/>
      <c r="DX2496" s="11"/>
      <c r="DY2496" s="11"/>
      <c r="DZ2496" s="11"/>
      <c r="EA2496" s="11"/>
      <c r="EB2496" s="11"/>
      <c r="EC2496" s="11"/>
      <c r="ED2496" s="11"/>
      <c r="EE2496" s="11"/>
      <c r="EF2496" s="11"/>
      <c r="EG2496" s="11"/>
      <c r="EH2496" s="11"/>
      <c r="EI2496" s="11"/>
      <c r="EJ2496" s="11"/>
      <c r="EK2496" s="11"/>
      <c r="EL2496" s="11"/>
      <c r="EM2496" s="11"/>
      <c r="EN2496" s="11"/>
      <c r="EO2496" s="11"/>
      <c r="EP2496" s="11"/>
      <c r="EQ2496" s="11"/>
      <c r="ER2496" s="11"/>
      <c r="ES2496" s="11"/>
      <c r="ET2496" s="11"/>
      <c r="EU2496" s="11"/>
      <c r="EV2496" s="11"/>
      <c r="EW2496" s="11"/>
      <c r="EX2496" s="11"/>
      <c r="EY2496" s="11"/>
      <c r="EZ2496" s="11"/>
      <c r="FA2496" s="11"/>
      <c r="FB2496" s="11"/>
      <c r="FC2496" s="11"/>
      <c r="FD2496" s="11"/>
      <c r="FE2496" s="11"/>
      <c r="FF2496" s="11"/>
      <c r="FG2496" s="11"/>
      <c r="FH2496" s="11"/>
      <c r="FI2496" s="11"/>
      <c r="FJ2496" s="11"/>
      <c r="FK2496" s="11"/>
      <c r="FL2496" s="11"/>
      <c r="FM2496" s="11"/>
      <c r="FN2496" s="11"/>
      <c r="FO2496" s="11"/>
      <c r="FP2496" s="11"/>
      <c r="FQ2496" s="11"/>
      <c r="FR2496" s="11"/>
      <c r="FS2496" s="11"/>
      <c r="FT2496" s="11"/>
      <c r="FU2496" s="11"/>
      <c r="FV2496" s="11"/>
      <c r="FW2496" s="11"/>
      <c r="FX2496" s="11"/>
      <c r="FY2496" s="11"/>
      <c r="FZ2496" s="11"/>
      <c r="GA2496" s="11"/>
      <c r="GB2496" s="11"/>
      <c r="GC2496" s="11"/>
      <c r="GD2496" s="11"/>
      <c r="GE2496" s="11"/>
      <c r="GF2496" s="11"/>
      <c r="GG2496" s="11"/>
      <c r="GH2496" s="11"/>
      <c r="GI2496" s="11"/>
      <c r="GJ2496" s="11"/>
      <c r="GK2496" s="11"/>
      <c r="GL2496" s="11"/>
      <c r="GM2496" s="11"/>
      <c r="GN2496" s="11"/>
      <c r="GO2496" s="11"/>
      <c r="GP2496" s="11"/>
      <c r="GQ2496" s="11"/>
      <c r="GR2496" s="11"/>
      <c r="GS2496" s="11"/>
      <c r="GT2496" s="11"/>
      <c r="GU2496" s="11"/>
      <c r="GV2496" s="11"/>
      <c r="GW2496" s="11"/>
      <c r="GX2496" s="11"/>
      <c r="GY2496" s="11"/>
      <c r="GZ2496" s="11"/>
      <c r="HA2496" s="11"/>
      <c r="HB2496" s="11"/>
      <c r="HC2496" s="11"/>
      <c r="HD2496" s="11"/>
      <c r="HE2496" s="11"/>
      <c r="HF2496" s="11"/>
      <c r="HG2496" s="11"/>
      <c r="HH2496" s="11"/>
      <c r="HI2496" s="11"/>
      <c r="HJ2496" s="11"/>
      <c r="HK2496" s="11"/>
      <c r="HL2496" s="11"/>
      <c r="HM2496" s="11"/>
      <c r="HN2496" s="11"/>
      <c r="HO2496" s="11"/>
      <c r="HP2496" s="11"/>
      <c r="HQ2496" s="11"/>
      <c r="HR2496" s="11"/>
      <c r="HS2496" s="11"/>
      <c r="HT2496" s="11"/>
      <c r="HU2496" s="11"/>
      <c r="HV2496" s="11"/>
      <c r="HW2496" s="11"/>
      <c r="HX2496" s="11"/>
      <c r="HY2496" s="11"/>
      <c r="HZ2496" s="11"/>
      <c r="IA2496" s="11"/>
      <c r="IB2496" s="11"/>
      <c r="IC2496" s="11"/>
      <c r="ID2496" s="11"/>
      <c r="IE2496" s="11"/>
      <c r="IF2496" s="11"/>
      <c r="IG2496" s="11"/>
      <c r="IH2496" s="11"/>
      <c r="II2496" s="11"/>
      <c r="IJ2496" s="11"/>
    </row>
    <row r="2497" spans="1:244" s="128" customFormat="1" ht="12.75" customHeight="1">
      <c r="A2497" s="118">
        <v>2496</v>
      </c>
      <c r="B2497" s="128">
        <v>26</v>
      </c>
      <c r="C2497" s="156">
        <v>39845</v>
      </c>
      <c r="D2497" s="157" t="s">
        <v>45</v>
      </c>
      <c r="E2497" s="127">
        <v>2009</v>
      </c>
      <c r="F2497" s="158">
        <f t="shared" si="650"/>
        <v>276</v>
      </c>
      <c r="G2497" s="158">
        <f t="shared" si="651"/>
        <v>1</v>
      </c>
      <c r="H2497" s="178">
        <v>39569</v>
      </c>
      <c r="I2497" s="194">
        <v>637000</v>
      </c>
      <c r="J2497" s="164">
        <v>0</v>
      </c>
      <c r="K2497" s="164">
        <v>6.6666600000000006E-2</v>
      </c>
      <c r="L2497" s="164">
        <v>0</v>
      </c>
      <c r="M2497" s="193">
        <v>0</v>
      </c>
      <c r="N2497" s="529"/>
      <c r="O2497" s="164">
        <v>0</v>
      </c>
      <c r="P2497" s="118"/>
      <c r="Q2497" s="118"/>
      <c r="R2497" s="118"/>
      <c r="S2497" s="221"/>
      <c r="T2497" s="161">
        <f t="shared" si="652"/>
        <v>42466.624200000006</v>
      </c>
      <c r="U2497" s="161">
        <f t="shared" si="653"/>
        <v>0</v>
      </c>
      <c r="V2497" s="161">
        <f t="shared" si="654"/>
        <v>0</v>
      </c>
      <c r="W2497" s="161">
        <f t="shared" si="655"/>
        <v>0</v>
      </c>
      <c r="X2497" s="11"/>
      <c r="Y2497" s="11"/>
      <c r="Z2497" s="11"/>
      <c r="AA2497" s="11"/>
      <c r="AB2497" s="11"/>
      <c r="AC2497" s="11"/>
      <c r="AD2497" s="11"/>
      <c r="AE2497" s="11"/>
      <c r="AF2497" s="11"/>
      <c r="AG2497" s="11"/>
      <c r="AH2497" s="11"/>
      <c r="AI2497" s="11"/>
      <c r="AJ2497" s="11"/>
      <c r="AK2497" s="11"/>
      <c r="AL2497" s="11"/>
      <c r="AM2497" s="11"/>
      <c r="AN2497" s="11"/>
      <c r="AO2497" s="11"/>
      <c r="AP2497" s="11"/>
      <c r="AQ2497" s="11"/>
      <c r="AR2497" s="11"/>
      <c r="AS2497" s="11"/>
      <c r="AT2497" s="11"/>
      <c r="AU2497" s="11"/>
      <c r="AV2497" s="11"/>
      <c r="AW2497" s="11"/>
      <c r="AX2497" s="11"/>
      <c r="AY2497" s="11"/>
      <c r="AZ2497" s="11"/>
      <c r="BA2497" s="11"/>
      <c r="BB2497" s="11"/>
      <c r="BC2497" s="11"/>
      <c r="BD2497" s="11"/>
      <c r="BE2497" s="11"/>
      <c r="BF2497" s="11"/>
      <c r="BG2497" s="11"/>
      <c r="BH2497" s="11"/>
      <c r="BI2497" s="11"/>
      <c r="BJ2497" s="11"/>
      <c r="BK2497" s="11"/>
      <c r="BL2497" s="11"/>
      <c r="BM2497" s="11"/>
      <c r="BN2497" s="11"/>
      <c r="BO2497" s="11"/>
      <c r="BP2497" s="11"/>
      <c r="BQ2497" s="11"/>
      <c r="BR2497" s="11"/>
      <c r="BS2497" s="11"/>
      <c r="BT2497" s="11"/>
      <c r="BU2497" s="11"/>
      <c r="BV2497" s="11"/>
      <c r="BW2497" s="11"/>
      <c r="BX2497" s="11"/>
      <c r="BY2497" s="11"/>
      <c r="BZ2497" s="11"/>
      <c r="CA2497" s="11"/>
      <c r="CB2497" s="11"/>
      <c r="CC2497" s="11"/>
      <c r="CD2497" s="11"/>
      <c r="CE2497" s="11"/>
      <c r="CF2497" s="11"/>
      <c r="CG2497" s="11"/>
      <c r="CH2497" s="11"/>
      <c r="CI2497" s="11"/>
      <c r="CJ2497" s="11"/>
      <c r="CK2497" s="11"/>
      <c r="CL2497" s="11"/>
      <c r="CM2497" s="11"/>
      <c r="CN2497" s="11"/>
      <c r="CO2497" s="11"/>
      <c r="CP2497" s="11"/>
      <c r="CQ2497" s="11"/>
      <c r="CR2497" s="11"/>
      <c r="CS2497" s="11"/>
      <c r="CT2497" s="11"/>
      <c r="CU2497" s="11"/>
      <c r="CV2497" s="11"/>
      <c r="CW2497" s="11"/>
      <c r="CX2497" s="11"/>
      <c r="CY2497" s="11"/>
      <c r="CZ2497" s="11"/>
      <c r="DA2497" s="11"/>
      <c r="DB2497" s="11"/>
      <c r="DC2497" s="11"/>
      <c r="DD2497" s="11"/>
      <c r="DE2497" s="11"/>
      <c r="DF2497" s="11"/>
      <c r="DG2497" s="11"/>
      <c r="DH2497" s="11"/>
      <c r="DI2497" s="11"/>
      <c r="DJ2497" s="11"/>
      <c r="DK2497" s="11"/>
      <c r="DL2497" s="11"/>
      <c r="DM2497" s="11"/>
      <c r="DN2497" s="11"/>
      <c r="DO2497" s="11"/>
      <c r="DP2497" s="11"/>
      <c r="DQ2497" s="11"/>
      <c r="DR2497" s="11"/>
      <c r="DS2497" s="11"/>
      <c r="DT2497" s="11"/>
      <c r="DU2497" s="11"/>
      <c r="DV2497" s="11"/>
      <c r="DW2497" s="11"/>
      <c r="DX2497" s="11"/>
      <c r="DY2497" s="11"/>
      <c r="DZ2497" s="11"/>
      <c r="EA2497" s="11"/>
      <c r="EB2497" s="11"/>
      <c r="EC2497" s="11"/>
      <c r="ED2497" s="11"/>
      <c r="EE2497" s="11"/>
      <c r="EF2497" s="11"/>
      <c r="EG2497" s="11"/>
      <c r="EH2497" s="11"/>
      <c r="EI2497" s="11"/>
      <c r="EJ2497" s="11"/>
      <c r="EK2497" s="11"/>
      <c r="EL2497" s="11"/>
      <c r="EM2497" s="11"/>
      <c r="EN2497" s="11"/>
      <c r="EO2497" s="11"/>
      <c r="EP2497" s="11"/>
      <c r="EQ2497" s="11"/>
      <c r="ER2497" s="11"/>
      <c r="ES2497" s="11"/>
      <c r="ET2497" s="11"/>
      <c r="EU2497" s="11"/>
      <c r="EV2497" s="11"/>
      <c r="EW2497" s="11"/>
      <c r="EX2497" s="11"/>
      <c r="EY2497" s="11"/>
      <c r="EZ2497" s="11"/>
      <c r="FA2497" s="11"/>
      <c r="FB2497" s="11"/>
      <c r="FC2497" s="11"/>
      <c r="FD2497" s="11"/>
      <c r="FE2497" s="11"/>
      <c r="FF2497" s="11"/>
      <c r="FG2497" s="11"/>
      <c r="FH2497" s="11"/>
      <c r="FI2497" s="11"/>
      <c r="FJ2497" s="11"/>
      <c r="FK2497" s="11"/>
      <c r="FL2497" s="11"/>
      <c r="FM2497" s="11"/>
      <c r="FN2497" s="11"/>
      <c r="FO2497" s="11"/>
      <c r="FP2497" s="11"/>
      <c r="FQ2497" s="11"/>
      <c r="FR2497" s="11"/>
      <c r="FS2497" s="11"/>
      <c r="FT2497" s="11"/>
      <c r="FU2497" s="11"/>
      <c r="FV2497" s="11"/>
      <c r="FW2497" s="11"/>
      <c r="FX2497" s="11"/>
      <c r="FY2497" s="11"/>
      <c r="FZ2497" s="11"/>
      <c r="GA2497" s="11"/>
      <c r="GB2497" s="11"/>
      <c r="GC2497" s="11"/>
      <c r="GD2497" s="11"/>
      <c r="GE2497" s="11"/>
      <c r="GF2497" s="11"/>
      <c r="GG2497" s="11"/>
      <c r="GH2497" s="11"/>
      <c r="GI2497" s="11"/>
      <c r="GJ2497" s="11"/>
      <c r="GK2497" s="11"/>
      <c r="GL2497" s="11"/>
      <c r="GM2497" s="11"/>
      <c r="GN2497" s="11"/>
      <c r="GO2497" s="11"/>
      <c r="GP2497" s="11"/>
      <c r="GQ2497" s="11"/>
      <c r="GR2497" s="11"/>
      <c r="GS2497" s="11"/>
      <c r="GT2497" s="11"/>
      <c r="GU2497" s="11"/>
      <c r="GV2497" s="11"/>
      <c r="GW2497" s="11"/>
      <c r="GX2497" s="11"/>
      <c r="GY2497" s="11"/>
      <c r="GZ2497" s="11"/>
      <c r="HA2497" s="11"/>
      <c r="HB2497" s="11"/>
      <c r="HC2497" s="11"/>
      <c r="HD2497" s="11"/>
      <c r="HE2497" s="11"/>
      <c r="HF2497" s="11"/>
      <c r="HG2497" s="11"/>
      <c r="HH2497" s="11"/>
      <c r="HI2497" s="11"/>
      <c r="HJ2497" s="11"/>
      <c r="HK2497" s="11"/>
      <c r="HL2497" s="11"/>
      <c r="HM2497" s="11"/>
      <c r="HN2497" s="11"/>
      <c r="HO2497" s="11"/>
      <c r="HP2497" s="11"/>
      <c r="HQ2497" s="11"/>
      <c r="HR2497" s="11"/>
      <c r="HS2497" s="11"/>
      <c r="HT2497" s="11"/>
      <c r="HU2497" s="11"/>
      <c r="HV2497" s="11"/>
      <c r="HW2497" s="11"/>
      <c r="HX2497" s="11"/>
      <c r="HY2497" s="11"/>
      <c r="HZ2497" s="11"/>
      <c r="IA2497" s="11"/>
      <c r="IB2497" s="11"/>
      <c r="IC2497" s="11"/>
      <c r="ID2497" s="11"/>
      <c r="IE2497" s="11"/>
      <c r="IF2497" s="11"/>
      <c r="IG2497" s="11"/>
      <c r="IH2497" s="11"/>
      <c r="II2497" s="11"/>
      <c r="IJ2497" s="11"/>
    </row>
    <row r="2498" spans="1:244" s="128" customFormat="1" ht="12.75" customHeight="1">
      <c r="A2498" s="118">
        <v>2497</v>
      </c>
      <c r="B2498" s="128">
        <v>26</v>
      </c>
      <c r="C2498" s="156">
        <v>39873</v>
      </c>
      <c r="D2498" s="157" t="s">
        <v>46</v>
      </c>
      <c r="E2498" s="127">
        <v>2009</v>
      </c>
      <c r="F2498" s="158">
        <f t="shared" si="650"/>
        <v>304</v>
      </c>
      <c r="G2498" s="158">
        <f t="shared" si="651"/>
        <v>1</v>
      </c>
      <c r="H2498" s="178">
        <v>39569</v>
      </c>
      <c r="I2498" s="194">
        <v>622000</v>
      </c>
      <c r="J2498" s="164">
        <v>0</v>
      </c>
      <c r="K2498" s="164">
        <v>0.06</v>
      </c>
      <c r="L2498" s="164">
        <v>0</v>
      </c>
      <c r="M2498" s="193">
        <v>0</v>
      </c>
      <c r="N2498" s="529"/>
      <c r="O2498" s="164">
        <v>0</v>
      </c>
      <c r="P2498" s="118"/>
      <c r="Q2498" s="118"/>
      <c r="R2498" s="118"/>
      <c r="S2498" s="221"/>
      <c r="T2498" s="161">
        <f t="shared" si="652"/>
        <v>37320</v>
      </c>
      <c r="U2498" s="161">
        <f t="shared" si="653"/>
        <v>0</v>
      </c>
      <c r="V2498" s="161">
        <f t="shared" si="654"/>
        <v>0</v>
      </c>
      <c r="W2498" s="161">
        <f t="shared" si="655"/>
        <v>0</v>
      </c>
      <c r="X2498" s="11"/>
      <c r="Y2498" s="11"/>
      <c r="Z2498" s="11"/>
      <c r="AA2498" s="11"/>
      <c r="AB2498" s="11"/>
      <c r="AC2498" s="11"/>
      <c r="AD2498" s="11"/>
      <c r="AE2498" s="11"/>
      <c r="AF2498" s="11"/>
      <c r="AG2498" s="11"/>
      <c r="AH2498" s="11"/>
      <c r="AI2498" s="11"/>
      <c r="AJ2498" s="11"/>
      <c r="AK2498" s="11"/>
      <c r="AL2498" s="11"/>
      <c r="AM2498" s="11"/>
      <c r="AN2498" s="11"/>
      <c r="AO2498" s="11"/>
      <c r="AP2498" s="11"/>
      <c r="AQ2498" s="11"/>
      <c r="AR2498" s="11"/>
      <c r="AS2498" s="11"/>
      <c r="AT2498" s="11"/>
      <c r="AU2498" s="11"/>
      <c r="AV2498" s="11"/>
      <c r="AW2498" s="11"/>
      <c r="AX2498" s="11"/>
      <c r="AY2498" s="11"/>
      <c r="AZ2498" s="11"/>
      <c r="BA2498" s="11"/>
      <c r="BB2498" s="11"/>
      <c r="BC2498" s="11"/>
      <c r="BD2498" s="11"/>
      <c r="BE2498" s="11"/>
      <c r="BF2498" s="11"/>
      <c r="BG2498" s="11"/>
      <c r="BH2498" s="11"/>
      <c r="BI2498" s="11"/>
      <c r="BJ2498" s="11"/>
      <c r="BK2498" s="11"/>
      <c r="BL2498" s="11"/>
      <c r="BM2498" s="11"/>
      <c r="BN2498" s="11"/>
      <c r="BO2498" s="11"/>
      <c r="BP2498" s="11"/>
      <c r="BQ2498" s="11"/>
      <c r="BR2498" s="11"/>
      <c r="BS2498" s="11"/>
      <c r="BT2498" s="11"/>
      <c r="BU2498" s="11"/>
      <c r="BV2498" s="11"/>
      <c r="BW2498" s="11"/>
      <c r="BX2498" s="11"/>
      <c r="BY2498" s="11"/>
      <c r="BZ2498" s="11"/>
      <c r="CA2498" s="11"/>
      <c r="CB2498" s="11"/>
      <c r="CC2498" s="11"/>
      <c r="CD2498" s="11"/>
      <c r="CE2498" s="11"/>
      <c r="CF2498" s="11"/>
      <c r="CG2498" s="11"/>
      <c r="CH2498" s="11"/>
      <c r="CI2498" s="11"/>
      <c r="CJ2498" s="11"/>
      <c r="CK2498" s="11"/>
      <c r="CL2498" s="11"/>
      <c r="CM2498" s="11"/>
      <c r="CN2498" s="11"/>
      <c r="CO2498" s="11"/>
      <c r="CP2498" s="11"/>
      <c r="CQ2498" s="11"/>
      <c r="CR2498" s="11"/>
      <c r="CS2498" s="11"/>
      <c r="CT2498" s="11"/>
      <c r="CU2498" s="11"/>
      <c r="CV2498" s="11"/>
      <c r="CW2498" s="11"/>
      <c r="CX2498" s="11"/>
      <c r="CY2498" s="11"/>
      <c r="CZ2498" s="11"/>
      <c r="DA2498" s="11"/>
      <c r="DB2498" s="11"/>
      <c r="DC2498" s="11"/>
      <c r="DD2498" s="11"/>
      <c r="DE2498" s="11"/>
      <c r="DF2498" s="11"/>
      <c r="DG2498" s="11"/>
      <c r="DH2498" s="11"/>
      <c r="DI2498" s="11"/>
      <c r="DJ2498" s="11"/>
      <c r="DK2498" s="11"/>
      <c r="DL2498" s="11"/>
      <c r="DM2498" s="11"/>
      <c r="DN2498" s="11"/>
      <c r="DO2498" s="11"/>
      <c r="DP2498" s="11"/>
      <c r="DQ2498" s="11"/>
      <c r="DR2498" s="11"/>
      <c r="DS2498" s="11"/>
      <c r="DT2498" s="11"/>
      <c r="DU2498" s="11"/>
      <c r="DV2498" s="11"/>
      <c r="DW2498" s="11"/>
      <c r="DX2498" s="11"/>
      <c r="DY2498" s="11"/>
      <c r="DZ2498" s="11"/>
      <c r="EA2498" s="11"/>
      <c r="EB2498" s="11"/>
      <c r="EC2498" s="11"/>
      <c r="ED2498" s="11"/>
      <c r="EE2498" s="11"/>
      <c r="EF2498" s="11"/>
      <c r="EG2498" s="11"/>
      <c r="EH2498" s="11"/>
      <c r="EI2498" s="11"/>
      <c r="EJ2498" s="11"/>
      <c r="EK2498" s="11"/>
      <c r="EL2498" s="11"/>
      <c r="EM2498" s="11"/>
      <c r="EN2498" s="11"/>
      <c r="EO2498" s="11"/>
      <c r="EP2498" s="11"/>
      <c r="EQ2498" s="11"/>
      <c r="ER2498" s="11"/>
      <c r="ES2498" s="11"/>
      <c r="ET2498" s="11"/>
      <c r="EU2498" s="11"/>
      <c r="EV2498" s="11"/>
      <c r="EW2498" s="11"/>
      <c r="EX2498" s="11"/>
      <c r="EY2498" s="11"/>
      <c r="EZ2498" s="11"/>
      <c r="FA2498" s="11"/>
      <c r="FB2498" s="11"/>
      <c r="FC2498" s="11"/>
      <c r="FD2498" s="11"/>
      <c r="FE2498" s="11"/>
      <c r="FF2498" s="11"/>
      <c r="FG2498" s="11"/>
      <c r="FH2498" s="11"/>
      <c r="FI2498" s="11"/>
      <c r="FJ2498" s="11"/>
      <c r="FK2498" s="11"/>
      <c r="FL2498" s="11"/>
      <c r="FM2498" s="11"/>
      <c r="FN2498" s="11"/>
      <c r="FO2498" s="11"/>
      <c r="FP2498" s="11"/>
      <c r="FQ2498" s="11"/>
      <c r="FR2498" s="11"/>
      <c r="FS2498" s="11"/>
      <c r="FT2498" s="11"/>
      <c r="FU2498" s="11"/>
      <c r="FV2498" s="11"/>
      <c r="FW2498" s="11"/>
      <c r="FX2498" s="11"/>
      <c r="FY2498" s="11"/>
      <c r="FZ2498" s="11"/>
      <c r="GA2498" s="11"/>
      <c r="GB2498" s="11"/>
      <c r="GC2498" s="11"/>
      <c r="GD2498" s="11"/>
      <c r="GE2498" s="11"/>
      <c r="GF2498" s="11"/>
      <c r="GG2498" s="11"/>
      <c r="GH2498" s="11"/>
      <c r="GI2498" s="11"/>
      <c r="GJ2498" s="11"/>
      <c r="GK2498" s="11"/>
      <c r="GL2498" s="11"/>
      <c r="GM2498" s="11"/>
      <c r="GN2498" s="11"/>
      <c r="GO2498" s="11"/>
      <c r="GP2498" s="11"/>
      <c r="GQ2498" s="11"/>
      <c r="GR2498" s="11"/>
      <c r="GS2498" s="11"/>
      <c r="GT2498" s="11"/>
      <c r="GU2498" s="11"/>
      <c r="GV2498" s="11"/>
      <c r="GW2498" s="11"/>
      <c r="GX2498" s="11"/>
      <c r="GY2498" s="11"/>
      <c r="GZ2498" s="11"/>
      <c r="HA2498" s="11"/>
      <c r="HB2498" s="11"/>
      <c r="HC2498" s="11"/>
      <c r="HD2498" s="11"/>
      <c r="HE2498" s="11"/>
      <c r="HF2498" s="11"/>
      <c r="HG2498" s="11"/>
      <c r="HH2498" s="11"/>
      <c r="HI2498" s="11"/>
      <c r="HJ2498" s="11"/>
      <c r="HK2498" s="11"/>
      <c r="HL2498" s="11"/>
      <c r="HM2498" s="11"/>
      <c r="HN2498" s="11"/>
      <c r="HO2498" s="11"/>
      <c r="HP2498" s="11"/>
      <c r="HQ2498" s="11"/>
      <c r="HR2498" s="11"/>
      <c r="HS2498" s="11"/>
      <c r="HT2498" s="11"/>
      <c r="HU2498" s="11"/>
      <c r="HV2498" s="11"/>
      <c r="HW2498" s="11"/>
      <c r="HX2498" s="11"/>
      <c r="HY2498" s="11"/>
      <c r="HZ2498" s="11"/>
      <c r="IA2498" s="11"/>
      <c r="IB2498" s="11"/>
      <c r="IC2498" s="11"/>
      <c r="ID2498" s="11"/>
      <c r="IE2498" s="11"/>
      <c r="IF2498" s="11"/>
      <c r="IG2498" s="11"/>
      <c r="IH2498" s="11"/>
      <c r="II2498" s="11"/>
      <c r="IJ2498" s="11"/>
    </row>
    <row r="2499" spans="1:244" s="128" customFormat="1" ht="12.75" customHeight="1">
      <c r="A2499" s="118">
        <v>2498</v>
      </c>
      <c r="B2499" s="128">
        <v>26</v>
      </c>
      <c r="C2499" s="156">
        <v>39904</v>
      </c>
      <c r="D2499" s="157" t="s">
        <v>47</v>
      </c>
      <c r="E2499" s="127">
        <v>2009</v>
      </c>
      <c r="F2499" s="158">
        <f t="shared" si="650"/>
        <v>335</v>
      </c>
      <c r="G2499" s="158">
        <f t="shared" si="651"/>
        <v>1</v>
      </c>
      <c r="H2499" s="178">
        <v>39569</v>
      </c>
      <c r="I2499" s="194">
        <v>620000</v>
      </c>
      <c r="J2499" s="164">
        <v>0</v>
      </c>
      <c r="K2499" s="164">
        <v>0.03</v>
      </c>
      <c r="L2499" s="164">
        <v>0.03</v>
      </c>
      <c r="M2499" s="193">
        <v>0</v>
      </c>
      <c r="N2499" s="529"/>
      <c r="O2499" s="164">
        <v>0</v>
      </c>
      <c r="P2499" s="118"/>
      <c r="Q2499" s="118"/>
      <c r="R2499" s="118"/>
      <c r="S2499" s="221"/>
      <c r="T2499" s="161">
        <f t="shared" si="652"/>
        <v>18600</v>
      </c>
      <c r="U2499" s="161">
        <f t="shared" si="653"/>
        <v>18600</v>
      </c>
      <c r="V2499" s="161">
        <f t="shared" si="654"/>
        <v>0</v>
      </c>
      <c r="W2499" s="161">
        <f t="shared" si="655"/>
        <v>0</v>
      </c>
      <c r="X2499" s="11"/>
      <c r="Y2499" s="11"/>
      <c r="Z2499" s="11"/>
      <c r="AA2499" s="11"/>
      <c r="AB2499" s="11"/>
      <c r="AC2499" s="11"/>
      <c r="AD2499" s="11"/>
      <c r="AE2499" s="11"/>
      <c r="AF2499" s="11"/>
      <c r="AG2499" s="11"/>
      <c r="AH2499" s="11"/>
      <c r="AI2499" s="11"/>
      <c r="AJ2499" s="11"/>
      <c r="AK2499" s="11"/>
      <c r="AL2499" s="11"/>
      <c r="AM2499" s="11"/>
      <c r="AN2499" s="11"/>
      <c r="AO2499" s="11"/>
      <c r="AP2499" s="11"/>
      <c r="AQ2499" s="11"/>
      <c r="AR2499" s="11"/>
      <c r="AS2499" s="11"/>
      <c r="AT2499" s="11"/>
      <c r="AU2499" s="11"/>
      <c r="AV2499" s="11"/>
      <c r="AW2499" s="11"/>
      <c r="AX2499" s="11"/>
      <c r="AY2499" s="11"/>
      <c r="AZ2499" s="11"/>
      <c r="BA2499" s="11"/>
      <c r="BB2499" s="11"/>
      <c r="BC2499" s="11"/>
      <c r="BD2499" s="11"/>
      <c r="BE2499" s="11"/>
      <c r="BF2499" s="11"/>
      <c r="BG2499" s="11"/>
      <c r="BH2499" s="11"/>
      <c r="BI2499" s="11"/>
      <c r="BJ2499" s="11"/>
      <c r="BK2499" s="11"/>
      <c r="BL2499" s="11"/>
      <c r="BM2499" s="11"/>
      <c r="BN2499" s="11"/>
      <c r="BO2499" s="11"/>
      <c r="BP2499" s="11"/>
      <c r="BQ2499" s="11"/>
      <c r="BR2499" s="11"/>
      <c r="BS2499" s="11"/>
      <c r="BT2499" s="11"/>
      <c r="BU2499" s="11"/>
      <c r="BV2499" s="11"/>
      <c r="BW2499" s="11"/>
      <c r="BX2499" s="11"/>
      <c r="BY2499" s="11"/>
      <c r="BZ2499" s="11"/>
      <c r="CA2499" s="11"/>
      <c r="CB2499" s="11"/>
      <c r="CC2499" s="11"/>
      <c r="CD2499" s="11"/>
      <c r="CE2499" s="11"/>
      <c r="CF2499" s="11"/>
      <c r="CG2499" s="11"/>
      <c r="CH2499" s="11"/>
      <c r="CI2499" s="11"/>
      <c r="CJ2499" s="11"/>
      <c r="CK2499" s="11"/>
      <c r="CL2499" s="11"/>
      <c r="CM2499" s="11"/>
      <c r="CN2499" s="11"/>
      <c r="CO2499" s="11"/>
      <c r="CP2499" s="11"/>
      <c r="CQ2499" s="11"/>
      <c r="CR2499" s="11"/>
      <c r="CS2499" s="11"/>
      <c r="CT2499" s="11"/>
      <c r="CU2499" s="11"/>
      <c r="CV2499" s="11"/>
      <c r="CW2499" s="11"/>
      <c r="CX2499" s="11"/>
      <c r="CY2499" s="11"/>
      <c r="CZ2499" s="11"/>
      <c r="DA2499" s="11"/>
      <c r="DB2499" s="11"/>
      <c r="DC2499" s="11"/>
      <c r="DD2499" s="11"/>
      <c r="DE2499" s="11"/>
      <c r="DF2499" s="11"/>
      <c r="DG2499" s="11"/>
      <c r="DH2499" s="11"/>
      <c r="DI2499" s="11"/>
      <c r="DJ2499" s="11"/>
      <c r="DK2499" s="11"/>
      <c r="DL2499" s="11"/>
      <c r="DM2499" s="11"/>
      <c r="DN2499" s="11"/>
      <c r="DO2499" s="11"/>
      <c r="DP2499" s="11"/>
      <c r="DQ2499" s="11"/>
      <c r="DR2499" s="11"/>
      <c r="DS2499" s="11"/>
      <c r="DT2499" s="11"/>
      <c r="DU2499" s="11"/>
      <c r="DV2499" s="11"/>
      <c r="DW2499" s="11"/>
      <c r="DX2499" s="11"/>
      <c r="DY2499" s="11"/>
      <c r="DZ2499" s="11"/>
      <c r="EA2499" s="11"/>
      <c r="EB2499" s="11"/>
      <c r="EC2499" s="11"/>
      <c r="ED2499" s="11"/>
      <c r="EE2499" s="11"/>
      <c r="EF2499" s="11"/>
      <c r="EG2499" s="11"/>
      <c r="EH2499" s="11"/>
      <c r="EI2499" s="11"/>
      <c r="EJ2499" s="11"/>
      <c r="EK2499" s="11"/>
      <c r="EL2499" s="11"/>
      <c r="EM2499" s="11"/>
      <c r="EN2499" s="11"/>
      <c r="EO2499" s="11"/>
      <c r="EP2499" s="11"/>
      <c r="EQ2499" s="11"/>
      <c r="ER2499" s="11"/>
      <c r="ES2499" s="11"/>
      <c r="ET2499" s="11"/>
      <c r="EU2499" s="11"/>
      <c r="EV2499" s="11"/>
      <c r="EW2499" s="11"/>
      <c r="EX2499" s="11"/>
      <c r="EY2499" s="11"/>
      <c r="EZ2499" s="11"/>
      <c r="FA2499" s="11"/>
      <c r="FB2499" s="11"/>
      <c r="FC2499" s="11"/>
      <c r="FD2499" s="11"/>
      <c r="FE2499" s="11"/>
      <c r="FF2499" s="11"/>
      <c r="FG2499" s="11"/>
      <c r="FH2499" s="11"/>
      <c r="FI2499" s="11"/>
      <c r="FJ2499" s="11"/>
      <c r="FK2499" s="11"/>
      <c r="FL2499" s="11"/>
      <c r="FM2499" s="11"/>
      <c r="FN2499" s="11"/>
      <c r="FO2499" s="11"/>
      <c r="FP2499" s="11"/>
      <c r="FQ2499" s="11"/>
      <c r="FR2499" s="11"/>
      <c r="FS2499" s="11"/>
      <c r="FT2499" s="11"/>
      <c r="FU2499" s="11"/>
      <c r="FV2499" s="11"/>
      <c r="FW2499" s="11"/>
      <c r="FX2499" s="11"/>
      <c r="FY2499" s="11"/>
      <c r="FZ2499" s="11"/>
      <c r="GA2499" s="11"/>
      <c r="GB2499" s="11"/>
      <c r="GC2499" s="11"/>
      <c r="GD2499" s="11"/>
      <c r="GE2499" s="11"/>
      <c r="GF2499" s="11"/>
      <c r="GG2499" s="11"/>
      <c r="GH2499" s="11"/>
      <c r="GI2499" s="11"/>
      <c r="GJ2499" s="11"/>
      <c r="GK2499" s="11"/>
      <c r="GL2499" s="11"/>
      <c r="GM2499" s="11"/>
      <c r="GN2499" s="11"/>
      <c r="GO2499" s="11"/>
      <c r="GP2499" s="11"/>
      <c r="GQ2499" s="11"/>
      <c r="GR2499" s="11"/>
      <c r="GS2499" s="11"/>
      <c r="GT2499" s="11"/>
      <c r="GU2499" s="11"/>
      <c r="GV2499" s="11"/>
      <c r="GW2499" s="11"/>
      <c r="GX2499" s="11"/>
      <c r="GY2499" s="11"/>
      <c r="GZ2499" s="11"/>
      <c r="HA2499" s="11"/>
      <c r="HB2499" s="11"/>
      <c r="HC2499" s="11"/>
      <c r="HD2499" s="11"/>
      <c r="HE2499" s="11"/>
      <c r="HF2499" s="11"/>
      <c r="HG2499" s="11"/>
      <c r="HH2499" s="11"/>
      <c r="HI2499" s="11"/>
      <c r="HJ2499" s="11"/>
      <c r="HK2499" s="11"/>
      <c r="HL2499" s="11"/>
      <c r="HM2499" s="11"/>
      <c r="HN2499" s="11"/>
      <c r="HO2499" s="11"/>
      <c r="HP2499" s="11"/>
      <c r="HQ2499" s="11"/>
      <c r="HR2499" s="11"/>
      <c r="HS2499" s="11"/>
      <c r="HT2499" s="11"/>
      <c r="HU2499" s="11"/>
      <c r="HV2499" s="11"/>
      <c r="HW2499" s="11"/>
      <c r="HX2499" s="11"/>
      <c r="HY2499" s="11"/>
      <c r="HZ2499" s="11"/>
      <c r="IA2499" s="11"/>
      <c r="IB2499" s="11"/>
      <c r="IC2499" s="11"/>
      <c r="ID2499" s="11"/>
      <c r="IE2499" s="11"/>
      <c r="IF2499" s="11"/>
      <c r="IG2499" s="11"/>
      <c r="IH2499" s="11"/>
      <c r="II2499" s="11"/>
      <c r="IJ2499" s="11"/>
    </row>
    <row r="2500" spans="1:244" s="128" customFormat="1" ht="12.75" customHeight="1">
      <c r="A2500" s="118">
        <v>2499</v>
      </c>
      <c r="B2500" s="128">
        <v>26</v>
      </c>
      <c r="C2500" s="156">
        <v>39934</v>
      </c>
      <c r="D2500" s="157" t="s">
        <v>48</v>
      </c>
      <c r="E2500" s="127">
        <v>2009</v>
      </c>
      <c r="F2500" s="158">
        <f t="shared" si="650"/>
        <v>365</v>
      </c>
      <c r="G2500" s="158">
        <f t="shared" si="651"/>
        <v>2</v>
      </c>
      <c r="H2500" s="178">
        <v>39569</v>
      </c>
      <c r="I2500" s="194">
        <v>617000</v>
      </c>
      <c r="J2500" s="164">
        <v>0</v>
      </c>
      <c r="K2500" s="164">
        <v>0</v>
      </c>
      <c r="L2500" s="164">
        <v>0</v>
      </c>
      <c r="M2500" s="193">
        <v>0</v>
      </c>
      <c r="N2500" s="529"/>
      <c r="O2500" s="164">
        <v>0</v>
      </c>
      <c r="P2500" s="118"/>
      <c r="Q2500" s="118"/>
      <c r="R2500" s="118"/>
      <c r="S2500" s="221"/>
      <c r="T2500" s="161">
        <f t="shared" si="652"/>
        <v>0</v>
      </c>
      <c r="U2500" s="161">
        <f t="shared" si="653"/>
        <v>0</v>
      </c>
      <c r="V2500" s="161">
        <f t="shared" si="654"/>
        <v>0</v>
      </c>
      <c r="W2500" s="161">
        <f t="shared" si="655"/>
        <v>0</v>
      </c>
      <c r="X2500" s="11"/>
      <c r="Y2500" s="11"/>
      <c r="Z2500" s="11"/>
      <c r="AA2500" s="11"/>
      <c r="AB2500" s="11"/>
      <c r="AC2500" s="11"/>
      <c r="AD2500" s="11"/>
      <c r="AE2500" s="11"/>
      <c r="AF2500" s="11"/>
      <c r="AG2500" s="11"/>
      <c r="AH2500" s="11"/>
      <c r="AI2500" s="11"/>
      <c r="AJ2500" s="11"/>
      <c r="AK2500" s="11"/>
      <c r="AL2500" s="11"/>
      <c r="AM2500" s="11"/>
      <c r="AN2500" s="11"/>
      <c r="AO2500" s="11"/>
      <c r="AP2500" s="11"/>
      <c r="AQ2500" s="11"/>
      <c r="AR2500" s="11"/>
      <c r="AS2500" s="11"/>
      <c r="AT2500" s="11"/>
      <c r="AU2500" s="11"/>
      <c r="AV2500" s="11"/>
      <c r="AW2500" s="11"/>
      <c r="AX2500" s="11"/>
      <c r="AY2500" s="11"/>
      <c r="AZ2500" s="11"/>
      <c r="BA2500" s="11"/>
      <c r="BB2500" s="11"/>
      <c r="BC2500" s="11"/>
      <c r="BD2500" s="11"/>
      <c r="BE2500" s="11"/>
      <c r="BF2500" s="11"/>
      <c r="BG2500" s="11"/>
      <c r="BH2500" s="11"/>
      <c r="BI2500" s="11"/>
      <c r="BJ2500" s="11"/>
      <c r="BK2500" s="11"/>
      <c r="BL2500" s="11"/>
      <c r="BM2500" s="11"/>
      <c r="BN2500" s="11"/>
      <c r="BO2500" s="11"/>
      <c r="BP2500" s="11"/>
      <c r="BQ2500" s="11"/>
      <c r="BR2500" s="11"/>
      <c r="BS2500" s="11"/>
      <c r="BT2500" s="11"/>
      <c r="BU2500" s="11"/>
      <c r="BV2500" s="11"/>
      <c r="BW2500" s="11"/>
      <c r="BX2500" s="11"/>
      <c r="BY2500" s="11"/>
      <c r="BZ2500" s="11"/>
      <c r="CA2500" s="11"/>
      <c r="CB2500" s="11"/>
      <c r="CC2500" s="11"/>
      <c r="CD2500" s="11"/>
      <c r="CE2500" s="11"/>
      <c r="CF2500" s="11"/>
      <c r="CG2500" s="11"/>
      <c r="CH2500" s="11"/>
      <c r="CI2500" s="11"/>
      <c r="CJ2500" s="11"/>
      <c r="CK2500" s="11"/>
      <c r="CL2500" s="11"/>
      <c r="CM2500" s="11"/>
      <c r="CN2500" s="11"/>
      <c r="CO2500" s="11"/>
      <c r="CP2500" s="11"/>
      <c r="CQ2500" s="11"/>
      <c r="CR2500" s="11"/>
      <c r="CS2500" s="11"/>
      <c r="CT2500" s="11"/>
      <c r="CU2500" s="11"/>
      <c r="CV2500" s="11"/>
      <c r="CW2500" s="11"/>
      <c r="CX2500" s="11"/>
      <c r="CY2500" s="11"/>
      <c r="CZ2500" s="11"/>
      <c r="DA2500" s="11"/>
      <c r="DB2500" s="11"/>
      <c r="DC2500" s="11"/>
      <c r="DD2500" s="11"/>
      <c r="DE2500" s="11"/>
      <c r="DF2500" s="11"/>
      <c r="DG2500" s="11"/>
      <c r="DH2500" s="11"/>
      <c r="DI2500" s="11"/>
      <c r="DJ2500" s="11"/>
      <c r="DK2500" s="11"/>
      <c r="DL2500" s="11"/>
      <c r="DM2500" s="11"/>
      <c r="DN2500" s="11"/>
      <c r="DO2500" s="11"/>
      <c r="DP2500" s="11"/>
      <c r="DQ2500" s="11"/>
      <c r="DR2500" s="11"/>
      <c r="DS2500" s="11"/>
      <c r="DT2500" s="11"/>
      <c r="DU2500" s="11"/>
      <c r="DV2500" s="11"/>
      <c r="DW2500" s="11"/>
      <c r="DX2500" s="11"/>
      <c r="DY2500" s="11"/>
      <c r="DZ2500" s="11"/>
      <c r="EA2500" s="11"/>
      <c r="EB2500" s="11"/>
      <c r="EC2500" s="11"/>
      <c r="ED2500" s="11"/>
      <c r="EE2500" s="11"/>
      <c r="EF2500" s="11"/>
      <c r="EG2500" s="11"/>
      <c r="EH2500" s="11"/>
      <c r="EI2500" s="11"/>
      <c r="EJ2500" s="11"/>
      <c r="EK2500" s="11"/>
      <c r="EL2500" s="11"/>
      <c r="EM2500" s="11"/>
      <c r="EN2500" s="11"/>
      <c r="EO2500" s="11"/>
      <c r="EP2500" s="11"/>
      <c r="EQ2500" s="11"/>
      <c r="ER2500" s="11"/>
      <c r="ES2500" s="11"/>
      <c r="ET2500" s="11"/>
      <c r="EU2500" s="11"/>
      <c r="EV2500" s="11"/>
      <c r="EW2500" s="11"/>
      <c r="EX2500" s="11"/>
      <c r="EY2500" s="11"/>
      <c r="EZ2500" s="11"/>
      <c r="FA2500" s="11"/>
      <c r="FB2500" s="11"/>
      <c r="FC2500" s="11"/>
      <c r="FD2500" s="11"/>
      <c r="FE2500" s="11"/>
      <c r="FF2500" s="11"/>
      <c r="FG2500" s="11"/>
      <c r="FH2500" s="11"/>
      <c r="FI2500" s="11"/>
      <c r="FJ2500" s="11"/>
      <c r="FK2500" s="11"/>
      <c r="FL2500" s="11"/>
      <c r="FM2500" s="11"/>
      <c r="FN2500" s="11"/>
      <c r="FO2500" s="11"/>
      <c r="FP2500" s="11"/>
      <c r="FQ2500" s="11"/>
      <c r="FR2500" s="11"/>
      <c r="FS2500" s="11"/>
      <c r="FT2500" s="11"/>
      <c r="FU2500" s="11"/>
      <c r="FV2500" s="11"/>
      <c r="FW2500" s="11"/>
      <c r="FX2500" s="11"/>
      <c r="FY2500" s="11"/>
      <c r="FZ2500" s="11"/>
      <c r="GA2500" s="11"/>
      <c r="GB2500" s="11"/>
      <c r="GC2500" s="11"/>
      <c r="GD2500" s="11"/>
      <c r="GE2500" s="11"/>
      <c r="GF2500" s="11"/>
      <c r="GG2500" s="11"/>
      <c r="GH2500" s="11"/>
      <c r="GI2500" s="11"/>
      <c r="GJ2500" s="11"/>
      <c r="GK2500" s="11"/>
      <c r="GL2500" s="11"/>
      <c r="GM2500" s="11"/>
      <c r="GN2500" s="11"/>
      <c r="GO2500" s="11"/>
      <c r="GP2500" s="11"/>
      <c r="GQ2500" s="11"/>
      <c r="GR2500" s="11"/>
      <c r="GS2500" s="11"/>
      <c r="GT2500" s="11"/>
      <c r="GU2500" s="11"/>
      <c r="GV2500" s="11"/>
      <c r="GW2500" s="11"/>
      <c r="GX2500" s="11"/>
      <c r="GY2500" s="11"/>
      <c r="GZ2500" s="11"/>
      <c r="HA2500" s="11"/>
      <c r="HB2500" s="11"/>
      <c r="HC2500" s="11"/>
      <c r="HD2500" s="11"/>
      <c r="HE2500" s="11"/>
      <c r="HF2500" s="11"/>
      <c r="HG2500" s="11"/>
      <c r="HH2500" s="11"/>
      <c r="HI2500" s="11"/>
      <c r="HJ2500" s="11"/>
      <c r="HK2500" s="11"/>
      <c r="HL2500" s="11"/>
      <c r="HM2500" s="11"/>
      <c r="HN2500" s="11"/>
      <c r="HO2500" s="11"/>
      <c r="HP2500" s="11"/>
      <c r="HQ2500" s="11"/>
      <c r="HR2500" s="11"/>
      <c r="HS2500" s="11"/>
      <c r="HT2500" s="11"/>
      <c r="HU2500" s="11"/>
      <c r="HV2500" s="11"/>
      <c r="HW2500" s="11"/>
      <c r="HX2500" s="11"/>
      <c r="HY2500" s="11"/>
      <c r="HZ2500" s="11"/>
      <c r="IA2500" s="11"/>
      <c r="IB2500" s="11"/>
      <c r="IC2500" s="11"/>
      <c r="ID2500" s="11"/>
      <c r="IE2500" s="11"/>
      <c r="IF2500" s="11"/>
      <c r="IG2500" s="11"/>
      <c r="IH2500" s="11"/>
      <c r="II2500" s="11"/>
      <c r="IJ2500" s="11"/>
    </row>
    <row r="2501" spans="1:244" s="128" customFormat="1" ht="12.75" customHeight="1">
      <c r="A2501" s="118">
        <v>2500</v>
      </c>
      <c r="B2501" s="128">
        <v>26</v>
      </c>
      <c r="C2501" s="156">
        <v>39965</v>
      </c>
      <c r="D2501" s="157" t="s">
        <v>49</v>
      </c>
      <c r="E2501" s="127">
        <v>2009</v>
      </c>
      <c r="F2501" s="158">
        <f t="shared" si="650"/>
        <v>396</v>
      </c>
      <c r="G2501" s="158">
        <f t="shared" si="651"/>
        <v>2</v>
      </c>
      <c r="H2501" s="178">
        <v>39569</v>
      </c>
      <c r="I2501" s="194">
        <v>613000</v>
      </c>
      <c r="J2501" s="164">
        <v>0.12</v>
      </c>
      <c r="K2501" s="164">
        <v>0</v>
      </c>
      <c r="L2501" s="164">
        <v>0</v>
      </c>
      <c r="M2501" s="193">
        <v>0</v>
      </c>
      <c r="N2501" s="529"/>
      <c r="O2501" s="164">
        <v>0.05</v>
      </c>
      <c r="P2501" s="118"/>
      <c r="Q2501" s="118"/>
      <c r="R2501" s="118"/>
      <c r="S2501" s="221"/>
      <c r="T2501" s="161">
        <f t="shared" si="652"/>
        <v>0</v>
      </c>
      <c r="U2501" s="161">
        <f t="shared" si="653"/>
        <v>0</v>
      </c>
      <c r="V2501" s="161">
        <f t="shared" si="654"/>
        <v>30650</v>
      </c>
      <c r="W2501" s="161">
        <f t="shared" si="655"/>
        <v>12260</v>
      </c>
      <c r="X2501" s="11"/>
      <c r="Y2501" s="11"/>
      <c r="Z2501" s="11"/>
      <c r="AA2501" s="11"/>
      <c r="AB2501" s="11"/>
      <c r="AC2501" s="11"/>
      <c r="AD2501" s="11"/>
      <c r="AE2501" s="11"/>
      <c r="AF2501" s="11"/>
      <c r="AG2501" s="11"/>
      <c r="AH2501" s="11"/>
      <c r="AI2501" s="11"/>
      <c r="AJ2501" s="11"/>
      <c r="AK2501" s="11"/>
      <c r="AL2501" s="11"/>
      <c r="AM2501" s="11"/>
      <c r="AN2501" s="11"/>
      <c r="AO2501" s="11"/>
      <c r="AP2501" s="11"/>
      <c r="AQ2501" s="11"/>
      <c r="AR2501" s="11"/>
      <c r="AS2501" s="11"/>
      <c r="AT2501" s="11"/>
      <c r="AU2501" s="11"/>
      <c r="AV2501" s="11"/>
      <c r="AW2501" s="11"/>
      <c r="AX2501" s="11"/>
      <c r="AY2501" s="11"/>
      <c r="AZ2501" s="11"/>
      <c r="BA2501" s="11"/>
      <c r="BB2501" s="11"/>
      <c r="BC2501" s="11"/>
      <c r="BD2501" s="11"/>
      <c r="BE2501" s="11"/>
      <c r="BF2501" s="11"/>
      <c r="BG2501" s="11"/>
      <c r="BH2501" s="11"/>
      <c r="BI2501" s="11"/>
      <c r="BJ2501" s="11"/>
      <c r="BK2501" s="11"/>
      <c r="BL2501" s="11"/>
      <c r="BM2501" s="11"/>
      <c r="BN2501" s="11"/>
      <c r="BO2501" s="11"/>
      <c r="BP2501" s="11"/>
      <c r="BQ2501" s="11"/>
      <c r="BR2501" s="11"/>
      <c r="BS2501" s="11"/>
      <c r="BT2501" s="11"/>
      <c r="BU2501" s="11"/>
      <c r="BV2501" s="11"/>
      <c r="BW2501" s="11"/>
      <c r="BX2501" s="11"/>
      <c r="BY2501" s="11"/>
      <c r="BZ2501" s="11"/>
      <c r="CA2501" s="11"/>
      <c r="CB2501" s="11"/>
      <c r="CC2501" s="11"/>
      <c r="CD2501" s="11"/>
      <c r="CE2501" s="11"/>
      <c r="CF2501" s="11"/>
      <c r="CG2501" s="11"/>
      <c r="CH2501" s="11"/>
      <c r="CI2501" s="11"/>
      <c r="CJ2501" s="11"/>
      <c r="CK2501" s="11"/>
      <c r="CL2501" s="11"/>
      <c r="CM2501" s="11"/>
      <c r="CN2501" s="11"/>
      <c r="CO2501" s="11"/>
      <c r="CP2501" s="11"/>
      <c r="CQ2501" s="11"/>
      <c r="CR2501" s="11"/>
      <c r="CS2501" s="11"/>
      <c r="CT2501" s="11"/>
      <c r="CU2501" s="11"/>
      <c r="CV2501" s="11"/>
      <c r="CW2501" s="11"/>
      <c r="CX2501" s="11"/>
      <c r="CY2501" s="11"/>
      <c r="CZ2501" s="11"/>
      <c r="DA2501" s="11"/>
      <c r="DB2501" s="11"/>
      <c r="DC2501" s="11"/>
      <c r="DD2501" s="11"/>
      <c r="DE2501" s="11"/>
      <c r="DF2501" s="11"/>
      <c r="DG2501" s="11"/>
      <c r="DH2501" s="11"/>
      <c r="DI2501" s="11"/>
      <c r="DJ2501" s="11"/>
      <c r="DK2501" s="11"/>
      <c r="DL2501" s="11"/>
      <c r="DM2501" s="11"/>
      <c r="DN2501" s="11"/>
      <c r="DO2501" s="11"/>
      <c r="DP2501" s="11"/>
      <c r="DQ2501" s="11"/>
      <c r="DR2501" s="11"/>
      <c r="DS2501" s="11"/>
      <c r="DT2501" s="11"/>
      <c r="DU2501" s="11"/>
      <c r="DV2501" s="11"/>
      <c r="DW2501" s="11"/>
      <c r="DX2501" s="11"/>
      <c r="DY2501" s="11"/>
      <c r="DZ2501" s="11"/>
      <c r="EA2501" s="11"/>
      <c r="EB2501" s="11"/>
      <c r="EC2501" s="11"/>
      <c r="ED2501" s="11"/>
      <c r="EE2501" s="11"/>
      <c r="EF2501" s="11"/>
      <c r="EG2501" s="11"/>
      <c r="EH2501" s="11"/>
      <c r="EI2501" s="11"/>
      <c r="EJ2501" s="11"/>
      <c r="EK2501" s="11"/>
      <c r="EL2501" s="11"/>
      <c r="EM2501" s="11"/>
      <c r="EN2501" s="11"/>
      <c r="EO2501" s="11"/>
      <c r="EP2501" s="11"/>
      <c r="EQ2501" s="11"/>
      <c r="ER2501" s="11"/>
      <c r="ES2501" s="11"/>
      <c r="ET2501" s="11"/>
      <c r="EU2501" s="11"/>
      <c r="EV2501" s="11"/>
      <c r="EW2501" s="11"/>
      <c r="EX2501" s="11"/>
      <c r="EY2501" s="11"/>
      <c r="EZ2501" s="11"/>
      <c r="FA2501" s="11"/>
      <c r="FB2501" s="11"/>
      <c r="FC2501" s="11"/>
      <c r="FD2501" s="11"/>
      <c r="FE2501" s="11"/>
      <c r="FF2501" s="11"/>
      <c r="FG2501" s="11"/>
      <c r="FH2501" s="11"/>
      <c r="FI2501" s="11"/>
      <c r="FJ2501" s="11"/>
      <c r="FK2501" s="11"/>
      <c r="FL2501" s="11"/>
      <c r="FM2501" s="11"/>
      <c r="FN2501" s="11"/>
      <c r="FO2501" s="11"/>
      <c r="FP2501" s="11"/>
      <c r="FQ2501" s="11"/>
      <c r="FR2501" s="11"/>
      <c r="FS2501" s="11"/>
      <c r="FT2501" s="11"/>
      <c r="FU2501" s="11"/>
      <c r="FV2501" s="11"/>
      <c r="FW2501" s="11"/>
      <c r="FX2501" s="11"/>
      <c r="FY2501" s="11"/>
      <c r="FZ2501" s="11"/>
      <c r="GA2501" s="11"/>
      <c r="GB2501" s="11"/>
      <c r="GC2501" s="11"/>
      <c r="GD2501" s="11"/>
      <c r="GE2501" s="11"/>
      <c r="GF2501" s="11"/>
      <c r="GG2501" s="11"/>
      <c r="GH2501" s="11"/>
      <c r="GI2501" s="11"/>
      <c r="GJ2501" s="11"/>
      <c r="GK2501" s="11"/>
      <c r="GL2501" s="11"/>
      <c r="GM2501" s="11"/>
      <c r="GN2501" s="11"/>
      <c r="GO2501" s="11"/>
      <c r="GP2501" s="11"/>
      <c r="GQ2501" s="11"/>
      <c r="GR2501" s="11"/>
      <c r="GS2501" s="11"/>
      <c r="GT2501" s="11"/>
      <c r="GU2501" s="11"/>
      <c r="GV2501" s="11"/>
      <c r="GW2501" s="11"/>
      <c r="GX2501" s="11"/>
      <c r="GY2501" s="11"/>
      <c r="GZ2501" s="11"/>
      <c r="HA2501" s="11"/>
      <c r="HB2501" s="11"/>
      <c r="HC2501" s="11"/>
      <c r="HD2501" s="11"/>
      <c r="HE2501" s="11"/>
      <c r="HF2501" s="11"/>
      <c r="HG2501" s="11"/>
      <c r="HH2501" s="11"/>
      <c r="HI2501" s="11"/>
      <c r="HJ2501" s="11"/>
      <c r="HK2501" s="11"/>
      <c r="HL2501" s="11"/>
      <c r="HM2501" s="11"/>
      <c r="HN2501" s="11"/>
      <c r="HO2501" s="11"/>
      <c r="HP2501" s="11"/>
      <c r="HQ2501" s="11"/>
      <c r="HR2501" s="11"/>
      <c r="HS2501" s="11"/>
      <c r="HT2501" s="11"/>
      <c r="HU2501" s="11"/>
      <c r="HV2501" s="11"/>
      <c r="HW2501" s="11"/>
      <c r="HX2501" s="11"/>
      <c r="HY2501" s="11"/>
      <c r="HZ2501" s="11"/>
      <c r="IA2501" s="11"/>
      <c r="IB2501" s="11"/>
      <c r="IC2501" s="11"/>
      <c r="ID2501" s="11"/>
      <c r="IE2501" s="11"/>
      <c r="IF2501" s="11"/>
      <c r="IG2501" s="11"/>
      <c r="IH2501" s="11"/>
      <c r="II2501" s="11"/>
      <c r="IJ2501" s="11"/>
    </row>
    <row r="2502" spans="1:244" s="128" customFormat="1" ht="12.75" customHeight="1">
      <c r="A2502" s="118">
        <v>2501</v>
      </c>
      <c r="B2502" s="128">
        <v>26</v>
      </c>
      <c r="C2502" s="156">
        <v>39995</v>
      </c>
      <c r="D2502" s="157" t="s">
        <v>50</v>
      </c>
      <c r="E2502" s="140">
        <v>2009</v>
      </c>
      <c r="F2502" s="158">
        <f t="shared" ref="F2502:F2507" si="656">C2502-H2502</f>
        <v>426</v>
      </c>
      <c r="G2502" s="158">
        <f t="shared" ref="G2502:G2507" si="657">IF(F2502&lt;365,1,2)</f>
        <v>2</v>
      </c>
      <c r="H2502" s="222">
        <v>39569</v>
      </c>
      <c r="I2502" s="168">
        <v>609040.5</v>
      </c>
      <c r="J2502" s="191">
        <v>0</v>
      </c>
      <c r="K2502" s="191">
        <v>0.03</v>
      </c>
      <c r="L2502" s="191">
        <v>0</v>
      </c>
      <c r="M2502" s="193">
        <v>0</v>
      </c>
      <c r="N2502" s="529"/>
      <c r="O2502" s="191">
        <v>0.05</v>
      </c>
      <c r="P2502" s="127"/>
      <c r="Q2502" s="127"/>
      <c r="R2502" s="127"/>
      <c r="S2502" s="140"/>
      <c r="T2502" s="161">
        <f t="shared" ref="T2502:T2507" si="658">$I2502*K2502</f>
        <v>18271.215</v>
      </c>
      <c r="U2502" s="161">
        <f t="shared" ref="U2502:U2507" si="659">$I2502*L2502</f>
        <v>0</v>
      </c>
      <c r="V2502" s="161">
        <f t="shared" ref="V2502:V2507" si="660">$I2502*O2502</f>
        <v>30452.025000000001</v>
      </c>
      <c r="W2502" s="161">
        <f t="shared" si="655"/>
        <v>12180.810000000001</v>
      </c>
      <c r="X2502" s="11"/>
      <c r="Y2502" s="11"/>
      <c r="Z2502" s="11"/>
      <c r="AA2502" s="11"/>
      <c r="AB2502" s="11"/>
      <c r="AC2502" s="11"/>
      <c r="AD2502" s="11"/>
      <c r="AE2502" s="11"/>
      <c r="AF2502" s="11"/>
      <c r="AG2502" s="11"/>
      <c r="AH2502" s="11"/>
      <c r="AI2502" s="11"/>
      <c r="AJ2502" s="11"/>
      <c r="AK2502" s="11"/>
      <c r="AL2502" s="11"/>
      <c r="AM2502" s="11"/>
      <c r="AN2502" s="11"/>
      <c r="AO2502" s="11"/>
      <c r="AP2502" s="11"/>
      <c r="AQ2502" s="11"/>
      <c r="AR2502" s="11"/>
      <c r="AS2502" s="11"/>
      <c r="AT2502" s="11"/>
      <c r="AU2502" s="11"/>
      <c r="AV2502" s="11"/>
      <c r="AW2502" s="11"/>
      <c r="AX2502" s="11"/>
      <c r="AY2502" s="11"/>
      <c r="AZ2502" s="11"/>
      <c r="BA2502" s="11"/>
      <c r="BB2502" s="11"/>
      <c r="BC2502" s="11"/>
      <c r="BD2502" s="11"/>
      <c r="BE2502" s="11"/>
      <c r="BF2502" s="11"/>
      <c r="BG2502" s="11"/>
      <c r="BH2502" s="11"/>
      <c r="BI2502" s="11"/>
      <c r="BJ2502" s="11"/>
      <c r="BK2502" s="11"/>
      <c r="BL2502" s="11"/>
      <c r="BM2502" s="11"/>
      <c r="BN2502" s="11"/>
      <c r="BO2502" s="11"/>
      <c r="BP2502" s="11"/>
      <c r="BQ2502" s="11"/>
      <c r="BR2502" s="11"/>
      <c r="BS2502" s="11"/>
      <c r="BT2502" s="11"/>
      <c r="BU2502" s="11"/>
      <c r="BV2502" s="11"/>
      <c r="BW2502" s="11"/>
      <c r="BX2502" s="11"/>
      <c r="BY2502" s="11"/>
      <c r="BZ2502" s="11"/>
      <c r="CA2502" s="11"/>
      <c r="CB2502" s="11"/>
      <c r="CC2502" s="11"/>
      <c r="CD2502" s="11"/>
      <c r="CE2502" s="11"/>
      <c r="CF2502" s="11"/>
      <c r="CG2502" s="11"/>
      <c r="CH2502" s="11"/>
      <c r="CI2502" s="11"/>
      <c r="CJ2502" s="11"/>
      <c r="CK2502" s="11"/>
      <c r="CL2502" s="11"/>
      <c r="CM2502" s="11"/>
      <c r="CN2502" s="11"/>
      <c r="CO2502" s="11"/>
      <c r="CP2502" s="11"/>
      <c r="CQ2502" s="11"/>
      <c r="CR2502" s="11"/>
      <c r="CS2502" s="11"/>
      <c r="CT2502" s="11"/>
      <c r="CU2502" s="11"/>
      <c r="CV2502" s="11"/>
      <c r="CW2502" s="11"/>
      <c r="CX2502" s="11"/>
      <c r="CY2502" s="11"/>
      <c r="CZ2502" s="11"/>
      <c r="DA2502" s="11"/>
      <c r="DB2502" s="11"/>
      <c r="DC2502" s="11"/>
      <c r="DD2502" s="11"/>
      <c r="DE2502" s="11"/>
      <c r="DF2502" s="11"/>
      <c r="DG2502" s="11"/>
      <c r="DH2502" s="11"/>
      <c r="DI2502" s="11"/>
      <c r="DJ2502" s="11"/>
      <c r="DK2502" s="11"/>
      <c r="DL2502" s="11"/>
      <c r="DM2502" s="11"/>
      <c r="DN2502" s="11"/>
      <c r="DO2502" s="11"/>
      <c r="DP2502" s="11"/>
      <c r="DQ2502" s="11"/>
      <c r="DR2502" s="11"/>
      <c r="DS2502" s="11"/>
      <c r="DT2502" s="11"/>
      <c r="DU2502" s="11"/>
      <c r="DV2502" s="11"/>
      <c r="DW2502" s="11"/>
      <c r="DX2502" s="11"/>
      <c r="DY2502" s="11"/>
      <c r="DZ2502" s="11"/>
      <c r="EA2502" s="11"/>
      <c r="EB2502" s="11"/>
      <c r="EC2502" s="11"/>
      <c r="ED2502" s="11"/>
      <c r="EE2502" s="11"/>
      <c r="EF2502" s="11"/>
      <c r="EG2502" s="11"/>
      <c r="EH2502" s="11"/>
      <c r="EI2502" s="11"/>
      <c r="EJ2502" s="11"/>
      <c r="EK2502" s="11"/>
      <c r="EL2502" s="11"/>
      <c r="EM2502" s="11"/>
      <c r="EN2502" s="11"/>
      <c r="EO2502" s="11"/>
      <c r="EP2502" s="11"/>
      <c r="EQ2502" s="11"/>
      <c r="ER2502" s="11"/>
      <c r="ES2502" s="11"/>
      <c r="ET2502" s="11"/>
      <c r="EU2502" s="11"/>
      <c r="EV2502" s="11"/>
      <c r="EW2502" s="11"/>
      <c r="EX2502" s="11"/>
      <c r="EY2502" s="11"/>
      <c r="EZ2502" s="11"/>
      <c r="FA2502" s="11"/>
      <c r="FB2502" s="11"/>
      <c r="FC2502" s="11"/>
      <c r="FD2502" s="11"/>
      <c r="FE2502" s="11"/>
      <c r="FF2502" s="11"/>
      <c r="FG2502" s="11"/>
      <c r="FH2502" s="11"/>
      <c r="FI2502" s="11"/>
      <c r="FJ2502" s="11"/>
      <c r="FK2502" s="11"/>
      <c r="FL2502" s="11"/>
      <c r="FM2502" s="11"/>
      <c r="FN2502" s="11"/>
      <c r="FO2502" s="11"/>
      <c r="FP2502" s="11"/>
      <c r="FQ2502" s="11"/>
      <c r="FR2502" s="11"/>
      <c r="FS2502" s="11"/>
      <c r="FT2502" s="11"/>
      <c r="FU2502" s="11"/>
      <c r="FV2502" s="11"/>
      <c r="FW2502" s="11"/>
      <c r="FX2502" s="11"/>
      <c r="FY2502" s="11"/>
      <c r="FZ2502" s="11"/>
      <c r="GA2502" s="11"/>
      <c r="GB2502" s="11"/>
      <c r="GC2502" s="11"/>
      <c r="GD2502" s="11"/>
      <c r="GE2502" s="11"/>
      <c r="GF2502" s="11"/>
      <c r="GG2502" s="11"/>
      <c r="GH2502" s="11"/>
      <c r="GI2502" s="11"/>
      <c r="GJ2502" s="11"/>
      <c r="GK2502" s="11"/>
      <c r="GL2502" s="11"/>
      <c r="GM2502" s="11"/>
      <c r="GN2502" s="11"/>
      <c r="GO2502" s="11"/>
      <c r="GP2502" s="11"/>
      <c r="GQ2502" s="11"/>
      <c r="GR2502" s="11"/>
      <c r="GS2502" s="11"/>
      <c r="GT2502" s="11"/>
      <c r="GU2502" s="11"/>
      <c r="GV2502" s="11"/>
      <c r="GW2502" s="11"/>
      <c r="GX2502" s="11"/>
      <c r="GY2502" s="11"/>
      <c r="GZ2502" s="11"/>
      <c r="HA2502" s="11"/>
      <c r="HB2502" s="11"/>
      <c r="HC2502" s="11"/>
      <c r="HD2502" s="11"/>
      <c r="HE2502" s="11"/>
      <c r="HF2502" s="11"/>
      <c r="HG2502" s="11"/>
      <c r="HH2502" s="11"/>
      <c r="HI2502" s="11"/>
      <c r="HJ2502" s="11"/>
      <c r="HK2502" s="11"/>
      <c r="HL2502" s="11"/>
      <c r="HM2502" s="11"/>
      <c r="HN2502" s="11"/>
      <c r="HO2502" s="11"/>
      <c r="HP2502" s="11"/>
      <c r="HQ2502" s="11"/>
      <c r="HR2502" s="11"/>
      <c r="HS2502" s="11"/>
      <c r="HT2502" s="11"/>
      <c r="HU2502" s="11"/>
      <c r="HV2502" s="11"/>
      <c r="HW2502" s="11"/>
      <c r="HX2502" s="11"/>
      <c r="HY2502" s="11"/>
      <c r="HZ2502" s="11"/>
      <c r="IA2502" s="11"/>
      <c r="IB2502" s="11"/>
      <c r="IC2502" s="11"/>
      <c r="ID2502" s="11"/>
      <c r="IE2502" s="11"/>
      <c r="IF2502" s="11"/>
      <c r="IG2502" s="11"/>
      <c r="IH2502" s="11"/>
      <c r="II2502" s="11"/>
      <c r="IJ2502" s="11"/>
    </row>
    <row r="2503" spans="1:244" ht="12.75" customHeight="1">
      <c r="A2503" s="118">
        <v>2502</v>
      </c>
      <c r="B2503" s="128">
        <v>26</v>
      </c>
      <c r="C2503" s="156">
        <v>40026</v>
      </c>
      <c r="D2503" s="157" t="s">
        <v>51</v>
      </c>
      <c r="E2503" s="140">
        <v>2009</v>
      </c>
      <c r="F2503" s="158">
        <f t="shared" si="656"/>
        <v>457</v>
      </c>
      <c r="G2503" s="158">
        <f t="shared" si="657"/>
        <v>2</v>
      </c>
      <c r="H2503" s="222">
        <v>39569</v>
      </c>
      <c r="I2503" s="168">
        <v>600325</v>
      </c>
      <c r="J2503" s="191">
        <v>1.7000000000000001E-2</v>
      </c>
      <c r="K2503" s="191">
        <v>1.7000000000000001E-2</v>
      </c>
      <c r="L2503" s="191">
        <v>0</v>
      </c>
      <c r="M2503" s="193">
        <v>0</v>
      </c>
      <c r="N2503" s="529"/>
      <c r="O2503" s="191">
        <v>6.7000000000000004E-2</v>
      </c>
      <c r="P2503" s="127"/>
      <c r="Q2503" s="127"/>
      <c r="R2503" s="127"/>
      <c r="S2503" s="140"/>
      <c r="T2503" s="161">
        <f t="shared" si="658"/>
        <v>10205.525000000001</v>
      </c>
      <c r="U2503" s="161">
        <f t="shared" si="659"/>
        <v>0</v>
      </c>
      <c r="V2503" s="161">
        <f t="shared" si="660"/>
        <v>40221.775000000001</v>
      </c>
      <c r="W2503" s="161">
        <f t="shared" si="655"/>
        <v>16088.710000000001</v>
      </c>
      <c r="X2503" s="11"/>
      <c r="Y2503" s="11"/>
      <c r="Z2503" s="11"/>
      <c r="AA2503" s="11"/>
      <c r="AB2503" s="11"/>
      <c r="AC2503" s="11"/>
      <c r="AD2503" s="11"/>
      <c r="AE2503" s="11"/>
      <c r="AF2503" s="11"/>
      <c r="AG2503" s="11"/>
      <c r="AH2503" s="11"/>
      <c r="AI2503" s="11"/>
      <c r="AJ2503" s="11"/>
      <c r="AK2503" s="11"/>
      <c r="AL2503" s="11"/>
      <c r="AM2503" s="11"/>
      <c r="AN2503" s="11"/>
      <c r="AO2503" s="11"/>
      <c r="AP2503" s="11"/>
      <c r="AQ2503" s="11"/>
      <c r="AR2503" s="11"/>
      <c r="AS2503" s="11"/>
      <c r="AT2503" s="11"/>
      <c r="AU2503" s="11"/>
      <c r="AV2503" s="11"/>
      <c r="AW2503" s="11"/>
      <c r="AX2503" s="11"/>
      <c r="AY2503" s="11"/>
      <c r="AZ2503" s="11"/>
      <c r="BA2503" s="11"/>
      <c r="BB2503" s="11"/>
      <c r="BC2503" s="11"/>
      <c r="BD2503" s="11"/>
      <c r="BE2503" s="11"/>
      <c r="BF2503" s="11"/>
      <c r="BG2503" s="11"/>
      <c r="BH2503" s="11"/>
      <c r="BI2503" s="11"/>
      <c r="BJ2503" s="11"/>
      <c r="BK2503" s="11"/>
      <c r="BL2503" s="11"/>
      <c r="BM2503" s="11"/>
      <c r="BN2503" s="11"/>
      <c r="BO2503" s="11"/>
      <c r="BP2503" s="11"/>
      <c r="BQ2503" s="11"/>
      <c r="BR2503" s="11"/>
      <c r="BS2503" s="11"/>
      <c r="BT2503" s="11"/>
      <c r="BU2503" s="11"/>
      <c r="BV2503" s="11"/>
      <c r="BW2503" s="11"/>
      <c r="BX2503" s="11"/>
      <c r="BY2503" s="11"/>
      <c r="BZ2503" s="11"/>
      <c r="CA2503" s="11"/>
      <c r="CB2503" s="11"/>
      <c r="CC2503" s="11"/>
      <c r="CD2503" s="11"/>
      <c r="CE2503" s="11"/>
      <c r="CF2503" s="11"/>
      <c r="CG2503" s="11"/>
      <c r="CH2503" s="11"/>
      <c r="CI2503" s="11"/>
      <c r="CJ2503" s="11"/>
      <c r="CK2503" s="11"/>
      <c r="CL2503" s="11"/>
      <c r="CM2503" s="11"/>
      <c r="CN2503" s="11"/>
      <c r="CO2503" s="11"/>
      <c r="CP2503" s="11"/>
      <c r="CQ2503" s="11"/>
      <c r="CR2503" s="11"/>
      <c r="CS2503" s="11"/>
      <c r="CT2503" s="11"/>
      <c r="CU2503" s="11"/>
      <c r="CV2503" s="11"/>
      <c r="CW2503" s="11"/>
      <c r="CX2503" s="11"/>
      <c r="CY2503" s="11"/>
      <c r="CZ2503" s="11"/>
      <c r="DA2503" s="11"/>
      <c r="DB2503" s="11"/>
      <c r="DC2503" s="11"/>
      <c r="DD2503" s="11"/>
      <c r="DE2503" s="11"/>
      <c r="DF2503" s="11"/>
      <c r="DG2503" s="11"/>
      <c r="DH2503" s="11"/>
      <c r="DI2503" s="11"/>
      <c r="DJ2503" s="11"/>
      <c r="DK2503" s="11"/>
      <c r="DL2503" s="11"/>
      <c r="DM2503" s="11"/>
      <c r="DN2503" s="11"/>
      <c r="DO2503" s="11"/>
      <c r="DP2503" s="11"/>
      <c r="DQ2503" s="11"/>
      <c r="DR2503" s="11"/>
      <c r="DS2503" s="11"/>
      <c r="DT2503" s="11"/>
      <c r="DU2503" s="11"/>
      <c r="DV2503" s="11"/>
      <c r="DW2503" s="11"/>
      <c r="DX2503" s="11"/>
      <c r="DY2503" s="11"/>
      <c r="DZ2503" s="11"/>
      <c r="EA2503" s="11"/>
      <c r="EB2503" s="11"/>
      <c r="EC2503" s="11"/>
      <c r="ED2503" s="11"/>
      <c r="EE2503" s="11"/>
      <c r="EF2503" s="11"/>
      <c r="EG2503" s="11"/>
      <c r="EH2503" s="11"/>
      <c r="EI2503" s="11"/>
      <c r="EJ2503" s="11"/>
      <c r="EK2503" s="11"/>
      <c r="EL2503" s="11"/>
      <c r="EM2503" s="11"/>
      <c r="EN2503" s="11"/>
      <c r="EO2503" s="11"/>
      <c r="EP2503" s="11"/>
      <c r="EQ2503" s="11"/>
      <c r="ER2503" s="11"/>
      <c r="ES2503" s="11"/>
      <c r="ET2503" s="11"/>
      <c r="EU2503" s="11"/>
      <c r="EV2503" s="11"/>
      <c r="EW2503" s="11"/>
      <c r="EX2503" s="11"/>
      <c r="EY2503" s="11"/>
      <c r="EZ2503" s="11"/>
      <c r="FA2503" s="11"/>
      <c r="FB2503" s="11"/>
      <c r="FC2503" s="11"/>
      <c r="FD2503" s="11"/>
      <c r="FE2503" s="11"/>
      <c r="FF2503" s="11"/>
      <c r="FG2503" s="11"/>
      <c r="FH2503" s="11"/>
      <c r="FI2503" s="11"/>
      <c r="FJ2503" s="11"/>
      <c r="FK2503" s="11"/>
      <c r="FL2503" s="11"/>
      <c r="FM2503" s="11"/>
      <c r="FN2503" s="11"/>
      <c r="FO2503" s="11"/>
      <c r="FP2503" s="11"/>
      <c r="FQ2503" s="11"/>
      <c r="FR2503" s="11"/>
      <c r="FS2503" s="11"/>
      <c r="FT2503" s="11"/>
      <c r="FU2503" s="11"/>
      <c r="FV2503" s="11"/>
      <c r="FW2503" s="11"/>
      <c r="FX2503" s="11"/>
      <c r="FY2503" s="11"/>
      <c r="FZ2503" s="11"/>
      <c r="GA2503" s="11"/>
      <c r="GB2503" s="11"/>
      <c r="GC2503" s="11"/>
      <c r="GD2503" s="11"/>
      <c r="GE2503" s="11"/>
      <c r="GF2503" s="11"/>
      <c r="GG2503" s="11"/>
      <c r="GH2503" s="11"/>
      <c r="GI2503" s="11"/>
      <c r="GJ2503" s="11"/>
      <c r="GK2503" s="11"/>
      <c r="GL2503" s="11"/>
      <c r="GM2503" s="11"/>
      <c r="GN2503" s="11"/>
      <c r="GO2503" s="11"/>
      <c r="GP2503" s="11"/>
      <c r="GQ2503" s="11"/>
      <c r="GR2503" s="11"/>
      <c r="GS2503" s="11"/>
      <c r="GT2503" s="11"/>
      <c r="GU2503" s="11"/>
      <c r="GV2503" s="11"/>
      <c r="GW2503" s="11"/>
      <c r="GX2503" s="11"/>
      <c r="GY2503" s="11"/>
      <c r="GZ2503" s="11"/>
      <c r="HA2503" s="11"/>
      <c r="HB2503" s="11"/>
      <c r="HC2503" s="11"/>
      <c r="HD2503" s="11"/>
      <c r="HE2503" s="11"/>
      <c r="HF2503" s="11"/>
      <c r="HG2503" s="11"/>
      <c r="HH2503" s="11"/>
      <c r="HI2503" s="11"/>
      <c r="HJ2503" s="11"/>
      <c r="HK2503" s="11"/>
      <c r="HL2503" s="11"/>
      <c r="HM2503" s="11"/>
      <c r="HN2503" s="11"/>
      <c r="HO2503" s="11"/>
      <c r="HP2503" s="11"/>
      <c r="HQ2503" s="11"/>
      <c r="HR2503" s="11"/>
      <c r="HS2503" s="11"/>
      <c r="HT2503" s="11"/>
      <c r="HU2503" s="11"/>
      <c r="HV2503" s="11"/>
      <c r="HW2503" s="11"/>
      <c r="HX2503" s="11"/>
      <c r="HY2503" s="11"/>
      <c r="HZ2503" s="11"/>
      <c r="IA2503" s="11"/>
      <c r="IB2503" s="11"/>
      <c r="IC2503" s="11"/>
      <c r="ID2503" s="11"/>
      <c r="IE2503" s="11"/>
      <c r="IF2503" s="11"/>
      <c r="IG2503" s="11"/>
      <c r="IH2503" s="11"/>
      <c r="II2503" s="11"/>
      <c r="IJ2503" s="11"/>
    </row>
    <row r="2504" spans="1:244" ht="12.75" customHeight="1">
      <c r="A2504" s="118">
        <v>2503</v>
      </c>
      <c r="B2504" s="128">
        <v>26</v>
      </c>
      <c r="C2504" s="156">
        <v>40057</v>
      </c>
      <c r="D2504" s="157" t="s">
        <v>52</v>
      </c>
      <c r="E2504" s="140">
        <v>2009</v>
      </c>
      <c r="F2504" s="158">
        <f t="shared" si="656"/>
        <v>488</v>
      </c>
      <c r="G2504" s="158">
        <f t="shared" si="657"/>
        <v>2</v>
      </c>
      <c r="H2504" s="222">
        <v>39569</v>
      </c>
      <c r="I2504" s="168">
        <v>565418</v>
      </c>
      <c r="J2504" s="191">
        <v>0.1</v>
      </c>
      <c r="K2504" s="191">
        <v>0.13</v>
      </c>
      <c r="L2504" s="191">
        <v>0</v>
      </c>
      <c r="M2504" s="193">
        <v>0</v>
      </c>
      <c r="N2504" s="529"/>
      <c r="O2504" s="191">
        <v>7.0000000000000007E-2</v>
      </c>
      <c r="P2504" s="127"/>
      <c r="Q2504" s="127"/>
      <c r="R2504" s="127"/>
      <c r="S2504" s="140"/>
      <c r="T2504" s="161">
        <f t="shared" si="658"/>
        <v>73504.34</v>
      </c>
      <c r="U2504" s="161">
        <f t="shared" si="659"/>
        <v>0</v>
      </c>
      <c r="V2504" s="161">
        <f t="shared" si="660"/>
        <v>39579.26</v>
      </c>
      <c r="W2504" s="161">
        <f t="shared" si="655"/>
        <v>15831.704000000002</v>
      </c>
      <c r="X2504" s="11"/>
      <c r="Y2504" s="11"/>
      <c r="Z2504" s="11"/>
      <c r="AA2504" s="11"/>
      <c r="AB2504" s="11"/>
      <c r="AC2504" s="11"/>
      <c r="AD2504" s="11"/>
      <c r="AE2504" s="11"/>
      <c r="AF2504" s="11"/>
      <c r="AG2504" s="11"/>
      <c r="AH2504" s="11"/>
      <c r="AI2504" s="11"/>
      <c r="AJ2504" s="11"/>
      <c r="AK2504" s="11"/>
      <c r="AL2504" s="11"/>
      <c r="AM2504" s="11"/>
      <c r="AN2504" s="11"/>
      <c r="AO2504" s="11"/>
      <c r="AP2504" s="11"/>
      <c r="AQ2504" s="11"/>
      <c r="AR2504" s="11"/>
      <c r="AS2504" s="11"/>
      <c r="AT2504" s="11"/>
      <c r="AU2504" s="11"/>
      <c r="AV2504" s="11"/>
      <c r="AW2504" s="11"/>
      <c r="AX2504" s="11"/>
      <c r="AY2504" s="11"/>
      <c r="AZ2504" s="11"/>
      <c r="BA2504" s="11"/>
      <c r="BB2504" s="11"/>
      <c r="BC2504" s="11"/>
      <c r="BD2504" s="11"/>
      <c r="BE2504" s="11"/>
      <c r="BF2504" s="11"/>
      <c r="BG2504" s="11"/>
      <c r="BH2504" s="11"/>
      <c r="BI2504" s="11"/>
      <c r="BJ2504" s="11"/>
      <c r="BK2504" s="11"/>
      <c r="BL2504" s="11"/>
      <c r="BM2504" s="11"/>
      <c r="BN2504" s="11"/>
      <c r="BO2504" s="11"/>
      <c r="BP2504" s="11"/>
      <c r="BQ2504" s="11"/>
      <c r="BR2504" s="11"/>
      <c r="BS2504" s="11"/>
      <c r="BT2504" s="11"/>
      <c r="BU2504" s="11"/>
      <c r="BV2504" s="11"/>
      <c r="BW2504" s="11"/>
      <c r="BX2504" s="11"/>
      <c r="BY2504" s="11"/>
      <c r="BZ2504" s="11"/>
      <c r="CA2504" s="11"/>
      <c r="CB2504" s="11"/>
      <c r="CC2504" s="11"/>
      <c r="CD2504" s="11"/>
      <c r="CE2504" s="11"/>
      <c r="CF2504" s="11"/>
      <c r="CG2504" s="11"/>
      <c r="CH2504" s="11"/>
      <c r="CI2504" s="11"/>
      <c r="CJ2504" s="11"/>
      <c r="CK2504" s="11"/>
      <c r="CL2504" s="11"/>
      <c r="CM2504" s="11"/>
      <c r="CN2504" s="11"/>
      <c r="CO2504" s="11"/>
      <c r="CP2504" s="11"/>
      <c r="CQ2504" s="11"/>
      <c r="CR2504" s="11"/>
      <c r="CS2504" s="11"/>
      <c r="CT2504" s="11"/>
      <c r="CU2504" s="11"/>
      <c r="CV2504" s="11"/>
      <c r="CW2504" s="11"/>
      <c r="CX2504" s="11"/>
      <c r="CY2504" s="11"/>
      <c r="CZ2504" s="11"/>
      <c r="DA2504" s="11"/>
      <c r="DB2504" s="11"/>
      <c r="DC2504" s="11"/>
      <c r="DD2504" s="11"/>
      <c r="DE2504" s="11"/>
      <c r="DF2504" s="11"/>
      <c r="DG2504" s="11"/>
      <c r="DH2504" s="11"/>
      <c r="DI2504" s="11"/>
      <c r="DJ2504" s="11"/>
      <c r="DK2504" s="11"/>
      <c r="DL2504" s="11"/>
      <c r="DM2504" s="11"/>
      <c r="DN2504" s="11"/>
      <c r="DO2504" s="11"/>
      <c r="DP2504" s="11"/>
      <c r="DQ2504" s="11"/>
      <c r="DR2504" s="11"/>
      <c r="DS2504" s="11"/>
      <c r="DT2504" s="11"/>
      <c r="DU2504" s="11"/>
      <c r="DV2504" s="11"/>
      <c r="DW2504" s="11"/>
      <c r="DX2504" s="11"/>
      <c r="DY2504" s="11"/>
      <c r="DZ2504" s="11"/>
      <c r="EA2504" s="11"/>
      <c r="EB2504" s="11"/>
      <c r="EC2504" s="11"/>
      <c r="ED2504" s="11"/>
      <c r="EE2504" s="11"/>
      <c r="EF2504" s="11"/>
      <c r="EG2504" s="11"/>
      <c r="EH2504" s="11"/>
      <c r="EI2504" s="11"/>
      <c r="EJ2504" s="11"/>
      <c r="EK2504" s="11"/>
      <c r="EL2504" s="11"/>
      <c r="EM2504" s="11"/>
      <c r="EN2504" s="11"/>
      <c r="EO2504" s="11"/>
      <c r="EP2504" s="11"/>
      <c r="EQ2504" s="11"/>
      <c r="ER2504" s="11"/>
      <c r="ES2504" s="11"/>
      <c r="ET2504" s="11"/>
      <c r="EU2504" s="11"/>
      <c r="EV2504" s="11"/>
      <c r="EW2504" s="11"/>
      <c r="EX2504" s="11"/>
      <c r="EY2504" s="11"/>
      <c r="EZ2504" s="11"/>
      <c r="FA2504" s="11"/>
      <c r="FB2504" s="11"/>
      <c r="FC2504" s="11"/>
      <c r="FD2504" s="11"/>
      <c r="FE2504" s="11"/>
      <c r="FF2504" s="11"/>
      <c r="FG2504" s="11"/>
      <c r="FH2504" s="11"/>
      <c r="FI2504" s="11"/>
      <c r="FJ2504" s="11"/>
      <c r="FK2504" s="11"/>
      <c r="FL2504" s="11"/>
      <c r="FM2504" s="11"/>
      <c r="FN2504" s="11"/>
      <c r="FO2504" s="11"/>
      <c r="FP2504" s="11"/>
      <c r="FQ2504" s="11"/>
      <c r="FR2504" s="11"/>
      <c r="FS2504" s="11"/>
      <c r="FT2504" s="11"/>
      <c r="FU2504" s="11"/>
      <c r="FV2504" s="11"/>
      <c r="FW2504" s="11"/>
      <c r="FX2504" s="11"/>
      <c r="FY2504" s="11"/>
      <c r="FZ2504" s="11"/>
      <c r="GA2504" s="11"/>
      <c r="GB2504" s="11"/>
      <c r="GC2504" s="11"/>
      <c r="GD2504" s="11"/>
      <c r="GE2504" s="11"/>
      <c r="GF2504" s="11"/>
      <c r="GG2504" s="11"/>
      <c r="GH2504" s="11"/>
      <c r="GI2504" s="11"/>
      <c r="GJ2504" s="11"/>
      <c r="GK2504" s="11"/>
      <c r="GL2504" s="11"/>
      <c r="GM2504" s="11"/>
      <c r="GN2504" s="11"/>
      <c r="GO2504" s="11"/>
      <c r="GP2504" s="11"/>
      <c r="GQ2504" s="11"/>
      <c r="GR2504" s="11"/>
      <c r="GS2504" s="11"/>
      <c r="GT2504" s="11"/>
      <c r="GU2504" s="11"/>
      <c r="GV2504" s="11"/>
      <c r="GW2504" s="11"/>
      <c r="GX2504" s="11"/>
      <c r="GY2504" s="11"/>
      <c r="GZ2504" s="11"/>
      <c r="HA2504" s="11"/>
      <c r="HB2504" s="11"/>
      <c r="HC2504" s="11"/>
      <c r="HD2504" s="11"/>
      <c r="HE2504" s="11"/>
      <c r="HF2504" s="11"/>
      <c r="HG2504" s="11"/>
      <c r="HH2504" s="11"/>
      <c r="HI2504" s="11"/>
      <c r="HJ2504" s="11"/>
      <c r="HK2504" s="11"/>
      <c r="HL2504" s="11"/>
      <c r="HM2504" s="11"/>
      <c r="HN2504" s="11"/>
      <c r="HO2504" s="11"/>
      <c r="HP2504" s="11"/>
      <c r="HQ2504" s="11"/>
      <c r="HR2504" s="11"/>
      <c r="HS2504" s="11"/>
      <c r="HT2504" s="11"/>
      <c r="HU2504" s="11"/>
      <c r="HV2504" s="11"/>
      <c r="HW2504" s="11"/>
      <c r="HX2504" s="11"/>
      <c r="HY2504" s="11"/>
      <c r="HZ2504" s="11"/>
      <c r="IA2504" s="11"/>
      <c r="IB2504" s="11"/>
      <c r="IC2504" s="11"/>
      <c r="ID2504" s="11"/>
      <c r="IE2504" s="11"/>
      <c r="IF2504" s="11"/>
      <c r="IG2504" s="11"/>
      <c r="IH2504" s="11"/>
      <c r="II2504" s="11"/>
      <c r="IJ2504" s="11"/>
    </row>
    <row r="2505" spans="1:244" ht="12.75" customHeight="1">
      <c r="A2505" s="118">
        <v>2504</v>
      </c>
      <c r="B2505" s="128">
        <v>26</v>
      </c>
      <c r="C2505" s="156">
        <v>40087</v>
      </c>
      <c r="D2505" s="157" t="s">
        <v>53</v>
      </c>
      <c r="E2505" s="140">
        <v>2009</v>
      </c>
      <c r="F2505" s="158">
        <f t="shared" si="656"/>
        <v>518</v>
      </c>
      <c r="G2505" s="158">
        <f t="shared" si="657"/>
        <v>2</v>
      </c>
      <c r="H2505" s="222">
        <v>39569</v>
      </c>
      <c r="I2505" s="168">
        <v>536058</v>
      </c>
      <c r="J2505" s="191">
        <v>0</v>
      </c>
      <c r="K2505" s="191">
        <v>0.18</v>
      </c>
      <c r="L2505" s="191">
        <v>7.0000000000000007E-2</v>
      </c>
      <c r="M2505" s="193">
        <v>0</v>
      </c>
      <c r="N2505" s="529"/>
      <c r="O2505" s="191">
        <v>0</v>
      </c>
      <c r="P2505" s="127"/>
      <c r="Q2505" s="127"/>
      <c r="R2505" s="127"/>
      <c r="S2505" s="140"/>
      <c r="T2505" s="161">
        <f t="shared" si="658"/>
        <v>96490.44</v>
      </c>
      <c r="U2505" s="161">
        <f t="shared" si="659"/>
        <v>37524.060000000005</v>
      </c>
      <c r="V2505" s="161">
        <f t="shared" si="660"/>
        <v>0</v>
      </c>
      <c r="W2505" s="161">
        <f t="shared" si="655"/>
        <v>0</v>
      </c>
      <c r="X2505" s="11"/>
      <c r="Y2505" s="11"/>
      <c r="Z2505" s="11"/>
      <c r="AA2505" s="11"/>
      <c r="AB2505" s="11"/>
      <c r="AC2505" s="11"/>
      <c r="AD2505" s="11"/>
      <c r="AE2505" s="11"/>
      <c r="AF2505" s="11"/>
      <c r="AG2505" s="11"/>
      <c r="AH2505" s="11"/>
      <c r="AI2505" s="11"/>
      <c r="AJ2505" s="11"/>
      <c r="AK2505" s="11"/>
      <c r="AL2505" s="11"/>
      <c r="AM2505" s="11"/>
      <c r="AN2505" s="11"/>
      <c r="AO2505" s="11"/>
      <c r="AP2505" s="11"/>
      <c r="AQ2505" s="11"/>
      <c r="AR2505" s="11"/>
      <c r="AS2505" s="11"/>
      <c r="AT2505" s="11"/>
      <c r="AU2505" s="11"/>
      <c r="AV2505" s="11"/>
      <c r="AW2505" s="11"/>
      <c r="AX2505" s="11"/>
      <c r="AY2505" s="11"/>
      <c r="AZ2505" s="11"/>
      <c r="BA2505" s="11"/>
      <c r="BB2505" s="11"/>
      <c r="BC2505" s="11"/>
      <c r="BD2505" s="11"/>
      <c r="BE2505" s="11"/>
      <c r="BF2505" s="11"/>
      <c r="BG2505" s="11"/>
      <c r="BH2505" s="11"/>
      <c r="BI2505" s="11"/>
      <c r="BJ2505" s="11"/>
      <c r="BK2505" s="11"/>
      <c r="BL2505" s="11"/>
      <c r="BM2505" s="11"/>
      <c r="BN2505" s="11"/>
      <c r="BO2505" s="11"/>
      <c r="BP2505" s="11"/>
      <c r="BQ2505" s="11"/>
      <c r="BR2505" s="11"/>
      <c r="BS2505" s="11"/>
      <c r="BT2505" s="11"/>
      <c r="BU2505" s="11"/>
      <c r="BV2505" s="11"/>
      <c r="BW2505" s="11"/>
      <c r="BX2505" s="11"/>
      <c r="BY2505" s="11"/>
      <c r="BZ2505" s="11"/>
      <c r="CA2505" s="11"/>
      <c r="CB2505" s="11"/>
      <c r="CC2505" s="11"/>
      <c r="CD2505" s="11"/>
      <c r="CE2505" s="11"/>
      <c r="CF2505" s="11"/>
      <c r="CG2505" s="11"/>
      <c r="CH2505" s="11"/>
      <c r="CI2505" s="11"/>
      <c r="CJ2505" s="11"/>
      <c r="CK2505" s="11"/>
      <c r="CL2505" s="11"/>
      <c r="CM2505" s="11"/>
      <c r="CN2505" s="11"/>
      <c r="CO2505" s="11"/>
      <c r="CP2505" s="11"/>
      <c r="CQ2505" s="11"/>
      <c r="CR2505" s="11"/>
      <c r="CS2505" s="11"/>
      <c r="CT2505" s="11"/>
      <c r="CU2505" s="11"/>
      <c r="CV2505" s="11"/>
      <c r="CW2505" s="11"/>
      <c r="CX2505" s="11"/>
      <c r="CY2505" s="11"/>
      <c r="CZ2505" s="11"/>
      <c r="DA2505" s="11"/>
      <c r="DB2505" s="11"/>
      <c r="DC2505" s="11"/>
      <c r="DD2505" s="11"/>
      <c r="DE2505" s="11"/>
      <c r="DF2505" s="11"/>
      <c r="DG2505" s="11"/>
      <c r="DH2505" s="11"/>
      <c r="DI2505" s="11"/>
      <c r="DJ2505" s="11"/>
      <c r="DK2505" s="11"/>
      <c r="DL2505" s="11"/>
      <c r="DM2505" s="11"/>
      <c r="DN2505" s="11"/>
      <c r="DO2505" s="11"/>
      <c r="DP2505" s="11"/>
      <c r="DQ2505" s="11"/>
      <c r="DR2505" s="11"/>
      <c r="DS2505" s="11"/>
      <c r="DT2505" s="11"/>
      <c r="DU2505" s="11"/>
      <c r="DV2505" s="11"/>
      <c r="DW2505" s="11"/>
      <c r="DX2505" s="11"/>
      <c r="DY2505" s="11"/>
      <c r="DZ2505" s="11"/>
      <c r="EA2505" s="11"/>
      <c r="EB2505" s="11"/>
      <c r="EC2505" s="11"/>
      <c r="ED2505" s="11"/>
      <c r="EE2505" s="11"/>
      <c r="EF2505" s="11"/>
      <c r="EG2505" s="11"/>
      <c r="EH2505" s="11"/>
      <c r="EI2505" s="11"/>
      <c r="EJ2505" s="11"/>
      <c r="EK2505" s="11"/>
      <c r="EL2505" s="11"/>
      <c r="EM2505" s="11"/>
      <c r="EN2505" s="11"/>
      <c r="EO2505" s="11"/>
      <c r="EP2505" s="11"/>
      <c r="EQ2505" s="11"/>
      <c r="ER2505" s="11"/>
      <c r="ES2505" s="11"/>
      <c r="ET2505" s="11"/>
      <c r="EU2505" s="11"/>
      <c r="EV2505" s="11"/>
      <c r="EW2505" s="11"/>
      <c r="EX2505" s="11"/>
      <c r="EY2505" s="11"/>
      <c r="EZ2505" s="11"/>
      <c r="FA2505" s="11"/>
      <c r="FB2505" s="11"/>
      <c r="FC2505" s="11"/>
      <c r="FD2505" s="11"/>
      <c r="FE2505" s="11"/>
      <c r="FF2505" s="11"/>
      <c r="FG2505" s="11"/>
      <c r="FH2505" s="11"/>
      <c r="FI2505" s="11"/>
      <c r="FJ2505" s="11"/>
      <c r="FK2505" s="11"/>
      <c r="FL2505" s="11"/>
      <c r="FM2505" s="11"/>
      <c r="FN2505" s="11"/>
      <c r="FO2505" s="11"/>
      <c r="FP2505" s="11"/>
      <c r="FQ2505" s="11"/>
      <c r="FR2505" s="11"/>
      <c r="FS2505" s="11"/>
      <c r="FT2505" s="11"/>
      <c r="FU2505" s="11"/>
      <c r="FV2505" s="11"/>
      <c r="FW2505" s="11"/>
      <c r="FX2505" s="11"/>
      <c r="FY2505" s="11"/>
      <c r="FZ2505" s="11"/>
      <c r="GA2505" s="11"/>
      <c r="GB2505" s="11"/>
      <c r="GC2505" s="11"/>
      <c r="GD2505" s="11"/>
      <c r="GE2505" s="11"/>
      <c r="GF2505" s="11"/>
      <c r="GG2505" s="11"/>
      <c r="GH2505" s="11"/>
      <c r="GI2505" s="11"/>
      <c r="GJ2505" s="11"/>
      <c r="GK2505" s="11"/>
      <c r="GL2505" s="11"/>
      <c r="GM2505" s="11"/>
      <c r="GN2505" s="11"/>
      <c r="GO2505" s="11"/>
      <c r="GP2505" s="11"/>
      <c r="GQ2505" s="11"/>
      <c r="GR2505" s="11"/>
      <c r="GS2505" s="11"/>
      <c r="GT2505" s="11"/>
      <c r="GU2505" s="11"/>
      <c r="GV2505" s="11"/>
      <c r="GW2505" s="11"/>
      <c r="GX2505" s="11"/>
      <c r="GY2505" s="11"/>
      <c r="GZ2505" s="11"/>
      <c r="HA2505" s="11"/>
      <c r="HB2505" s="11"/>
      <c r="HC2505" s="11"/>
      <c r="HD2505" s="11"/>
      <c r="HE2505" s="11"/>
      <c r="HF2505" s="11"/>
      <c r="HG2505" s="11"/>
      <c r="HH2505" s="11"/>
      <c r="HI2505" s="11"/>
      <c r="HJ2505" s="11"/>
      <c r="HK2505" s="11"/>
      <c r="HL2505" s="11"/>
      <c r="HM2505" s="11"/>
      <c r="HN2505" s="11"/>
      <c r="HO2505" s="11"/>
      <c r="HP2505" s="11"/>
      <c r="HQ2505" s="11"/>
      <c r="HR2505" s="11"/>
      <c r="HS2505" s="11"/>
      <c r="HT2505" s="11"/>
      <c r="HU2505" s="11"/>
      <c r="HV2505" s="11"/>
      <c r="HW2505" s="11"/>
      <c r="HX2505" s="11"/>
      <c r="HY2505" s="11"/>
      <c r="HZ2505" s="11"/>
      <c r="IA2505" s="11"/>
      <c r="IB2505" s="11"/>
      <c r="IC2505" s="11"/>
      <c r="ID2505" s="11"/>
      <c r="IE2505" s="11"/>
      <c r="IF2505" s="11"/>
      <c r="IG2505" s="11"/>
      <c r="IH2505" s="11"/>
      <c r="II2505" s="11"/>
      <c r="IJ2505" s="11"/>
    </row>
    <row r="2506" spans="1:244" ht="12.75" customHeight="1">
      <c r="A2506" s="118">
        <v>2505</v>
      </c>
      <c r="B2506" s="128">
        <v>26</v>
      </c>
      <c r="C2506" s="156">
        <v>40118</v>
      </c>
      <c r="D2506" s="157" t="s">
        <v>54</v>
      </c>
      <c r="E2506" s="140">
        <v>2009</v>
      </c>
      <c r="F2506" s="158">
        <f t="shared" si="656"/>
        <v>549</v>
      </c>
      <c r="G2506" s="158">
        <f t="shared" si="657"/>
        <v>2</v>
      </c>
      <c r="H2506" s="222">
        <v>39569</v>
      </c>
      <c r="I2506" s="168">
        <v>529519</v>
      </c>
      <c r="J2506" s="191">
        <v>0</v>
      </c>
      <c r="K2506" s="191">
        <v>0.35</v>
      </c>
      <c r="L2506" s="191">
        <v>0.3</v>
      </c>
      <c r="M2506" s="193">
        <v>0</v>
      </c>
      <c r="N2506" s="529"/>
      <c r="O2506" s="191">
        <v>6.7000000000000004E-2</v>
      </c>
      <c r="P2506" s="127"/>
      <c r="Q2506" s="127"/>
      <c r="R2506" s="127"/>
      <c r="S2506" s="140"/>
      <c r="T2506" s="161">
        <f t="shared" si="658"/>
        <v>185331.65</v>
      </c>
      <c r="U2506" s="161">
        <f t="shared" si="659"/>
        <v>158855.69999999998</v>
      </c>
      <c r="V2506" s="161">
        <f t="shared" si="660"/>
        <v>35477.773000000001</v>
      </c>
      <c r="W2506" s="161">
        <f t="shared" si="655"/>
        <v>14191.109200000001</v>
      </c>
      <c r="X2506" s="11"/>
      <c r="Y2506" s="11"/>
      <c r="Z2506" s="11"/>
      <c r="AA2506" s="11"/>
      <c r="AB2506" s="11"/>
      <c r="AC2506" s="11"/>
      <c r="AD2506" s="11"/>
      <c r="AE2506" s="11"/>
      <c r="AF2506" s="11"/>
      <c r="AG2506" s="11"/>
      <c r="AH2506" s="11"/>
      <c r="AI2506" s="11"/>
      <c r="AJ2506" s="11"/>
      <c r="AK2506" s="11"/>
      <c r="AL2506" s="11"/>
      <c r="AM2506" s="11"/>
      <c r="AN2506" s="11"/>
      <c r="AO2506" s="11"/>
      <c r="AP2506" s="11"/>
      <c r="AQ2506" s="11"/>
      <c r="AR2506" s="11"/>
      <c r="AS2506" s="11"/>
      <c r="AT2506" s="11"/>
      <c r="AU2506" s="11"/>
      <c r="AV2506" s="11"/>
      <c r="AW2506" s="11"/>
      <c r="AX2506" s="11"/>
      <c r="AY2506" s="11"/>
      <c r="AZ2506" s="11"/>
      <c r="BA2506" s="11"/>
      <c r="BB2506" s="11"/>
      <c r="BC2506" s="11"/>
      <c r="BD2506" s="11"/>
      <c r="BE2506" s="11"/>
      <c r="BF2506" s="11"/>
      <c r="BG2506" s="11"/>
      <c r="BH2506" s="11"/>
      <c r="BI2506" s="11"/>
      <c r="BJ2506" s="11"/>
      <c r="BK2506" s="11"/>
      <c r="BL2506" s="11"/>
      <c r="BM2506" s="11"/>
      <c r="BN2506" s="11"/>
      <c r="BO2506" s="11"/>
      <c r="BP2506" s="11"/>
      <c r="BQ2506" s="11"/>
      <c r="BR2506" s="11"/>
      <c r="BS2506" s="11"/>
      <c r="BT2506" s="11"/>
      <c r="BU2506" s="11"/>
      <c r="BV2506" s="11"/>
      <c r="BW2506" s="11"/>
      <c r="BX2506" s="11"/>
      <c r="BY2506" s="11"/>
      <c r="BZ2506" s="11"/>
      <c r="CA2506" s="11"/>
      <c r="CB2506" s="11"/>
      <c r="CC2506" s="11"/>
      <c r="CD2506" s="11"/>
      <c r="CE2506" s="11"/>
      <c r="CF2506" s="11"/>
      <c r="CG2506" s="11"/>
      <c r="CH2506" s="11"/>
      <c r="CI2506" s="11"/>
      <c r="CJ2506" s="11"/>
      <c r="CK2506" s="11"/>
      <c r="CL2506" s="11"/>
      <c r="CM2506" s="11"/>
      <c r="CN2506" s="11"/>
      <c r="CO2506" s="11"/>
      <c r="CP2506" s="11"/>
      <c r="CQ2506" s="11"/>
      <c r="CR2506" s="11"/>
      <c r="CS2506" s="11"/>
      <c r="CT2506" s="11"/>
      <c r="CU2506" s="11"/>
      <c r="CV2506" s="11"/>
      <c r="CW2506" s="11"/>
      <c r="CX2506" s="11"/>
      <c r="CY2506" s="11"/>
      <c r="CZ2506" s="11"/>
      <c r="DA2506" s="11"/>
      <c r="DB2506" s="11"/>
      <c r="DC2506" s="11"/>
      <c r="DD2506" s="11"/>
      <c r="DE2506" s="11"/>
      <c r="DF2506" s="11"/>
      <c r="DG2506" s="11"/>
      <c r="DH2506" s="11"/>
      <c r="DI2506" s="11"/>
      <c r="DJ2506" s="11"/>
      <c r="DK2506" s="11"/>
      <c r="DL2506" s="11"/>
      <c r="DM2506" s="11"/>
      <c r="DN2506" s="11"/>
      <c r="DO2506" s="11"/>
      <c r="DP2506" s="11"/>
      <c r="DQ2506" s="11"/>
      <c r="DR2506" s="11"/>
      <c r="DS2506" s="11"/>
      <c r="DT2506" s="11"/>
      <c r="DU2506" s="11"/>
      <c r="DV2506" s="11"/>
      <c r="DW2506" s="11"/>
      <c r="DX2506" s="11"/>
      <c r="DY2506" s="11"/>
      <c r="DZ2506" s="11"/>
      <c r="EA2506" s="11"/>
      <c r="EB2506" s="11"/>
      <c r="EC2506" s="11"/>
      <c r="ED2506" s="11"/>
      <c r="EE2506" s="11"/>
      <c r="EF2506" s="11"/>
      <c r="EG2506" s="11"/>
      <c r="EH2506" s="11"/>
      <c r="EI2506" s="11"/>
      <c r="EJ2506" s="11"/>
      <c r="EK2506" s="11"/>
      <c r="EL2506" s="11"/>
      <c r="EM2506" s="11"/>
      <c r="EN2506" s="11"/>
      <c r="EO2506" s="11"/>
      <c r="EP2506" s="11"/>
      <c r="EQ2506" s="11"/>
      <c r="ER2506" s="11"/>
      <c r="ES2506" s="11"/>
      <c r="ET2506" s="11"/>
      <c r="EU2506" s="11"/>
      <c r="EV2506" s="11"/>
      <c r="EW2506" s="11"/>
      <c r="EX2506" s="11"/>
      <c r="EY2506" s="11"/>
      <c r="EZ2506" s="11"/>
      <c r="FA2506" s="11"/>
      <c r="FB2506" s="11"/>
      <c r="FC2506" s="11"/>
      <c r="FD2506" s="11"/>
      <c r="FE2506" s="11"/>
      <c r="FF2506" s="11"/>
      <c r="FG2506" s="11"/>
      <c r="FH2506" s="11"/>
      <c r="FI2506" s="11"/>
      <c r="FJ2506" s="11"/>
      <c r="FK2506" s="11"/>
      <c r="FL2506" s="11"/>
      <c r="FM2506" s="11"/>
      <c r="FN2506" s="11"/>
      <c r="FO2506" s="11"/>
      <c r="FP2506" s="11"/>
      <c r="FQ2506" s="11"/>
      <c r="FR2506" s="11"/>
      <c r="FS2506" s="11"/>
      <c r="FT2506" s="11"/>
      <c r="FU2506" s="11"/>
      <c r="FV2506" s="11"/>
      <c r="FW2506" s="11"/>
      <c r="FX2506" s="11"/>
      <c r="FY2506" s="11"/>
      <c r="FZ2506" s="11"/>
      <c r="GA2506" s="11"/>
      <c r="GB2506" s="11"/>
      <c r="GC2506" s="11"/>
      <c r="GD2506" s="11"/>
      <c r="GE2506" s="11"/>
      <c r="GF2506" s="11"/>
      <c r="GG2506" s="11"/>
      <c r="GH2506" s="11"/>
      <c r="GI2506" s="11"/>
      <c r="GJ2506" s="11"/>
      <c r="GK2506" s="11"/>
      <c r="GL2506" s="11"/>
      <c r="GM2506" s="11"/>
      <c r="GN2506" s="11"/>
      <c r="GO2506" s="11"/>
      <c r="GP2506" s="11"/>
      <c r="GQ2506" s="11"/>
      <c r="GR2506" s="11"/>
      <c r="GS2506" s="11"/>
      <c r="GT2506" s="11"/>
      <c r="GU2506" s="11"/>
      <c r="GV2506" s="11"/>
      <c r="GW2506" s="11"/>
      <c r="GX2506" s="11"/>
      <c r="GY2506" s="11"/>
      <c r="GZ2506" s="11"/>
      <c r="HA2506" s="11"/>
      <c r="HB2506" s="11"/>
      <c r="HC2506" s="11"/>
      <c r="HD2506" s="11"/>
      <c r="HE2506" s="11"/>
      <c r="HF2506" s="11"/>
      <c r="HG2506" s="11"/>
      <c r="HH2506" s="11"/>
      <c r="HI2506" s="11"/>
      <c r="HJ2506" s="11"/>
      <c r="HK2506" s="11"/>
      <c r="HL2506" s="11"/>
      <c r="HM2506" s="11"/>
      <c r="HN2506" s="11"/>
      <c r="HO2506" s="11"/>
      <c r="HP2506" s="11"/>
      <c r="HQ2506" s="11"/>
      <c r="HR2506" s="11"/>
      <c r="HS2506" s="11"/>
      <c r="HT2506" s="11"/>
      <c r="HU2506" s="11"/>
      <c r="HV2506" s="11"/>
      <c r="HW2506" s="11"/>
      <c r="HX2506" s="11"/>
      <c r="HY2506" s="11"/>
      <c r="HZ2506" s="11"/>
      <c r="IA2506" s="11"/>
      <c r="IB2506" s="11"/>
      <c r="IC2506" s="11"/>
      <c r="ID2506" s="11"/>
      <c r="IE2506" s="11"/>
      <c r="IF2506" s="11"/>
      <c r="IG2506" s="11"/>
      <c r="IH2506" s="11"/>
      <c r="II2506" s="11"/>
      <c r="IJ2506" s="11"/>
    </row>
    <row r="2507" spans="1:244" ht="12.75" customHeight="1">
      <c r="A2507" s="118">
        <v>2506</v>
      </c>
      <c r="B2507" s="128">
        <v>26</v>
      </c>
      <c r="C2507" s="156">
        <v>40148</v>
      </c>
      <c r="D2507" s="157" t="s">
        <v>55</v>
      </c>
      <c r="E2507" s="140">
        <v>2009</v>
      </c>
      <c r="F2507" s="158">
        <f t="shared" si="656"/>
        <v>579</v>
      </c>
      <c r="G2507" s="158">
        <f t="shared" si="657"/>
        <v>2</v>
      </c>
      <c r="H2507" s="222">
        <v>39569</v>
      </c>
      <c r="I2507" s="168">
        <v>457882.5</v>
      </c>
      <c r="J2507" s="191">
        <v>0</v>
      </c>
      <c r="K2507" s="191">
        <v>0.32</v>
      </c>
      <c r="L2507" s="191">
        <v>0.1</v>
      </c>
      <c r="M2507" s="193"/>
      <c r="N2507" s="529"/>
      <c r="O2507" s="191">
        <v>0.11600000000000001</v>
      </c>
      <c r="P2507" s="127"/>
      <c r="Q2507" s="127"/>
      <c r="R2507" s="127"/>
      <c r="S2507" s="140"/>
      <c r="T2507" s="161">
        <f t="shared" si="658"/>
        <v>146522.4</v>
      </c>
      <c r="U2507" s="161">
        <f t="shared" si="659"/>
        <v>45788.25</v>
      </c>
      <c r="V2507" s="161">
        <f t="shared" si="660"/>
        <v>53114.37</v>
      </c>
      <c r="W2507" s="161">
        <f t="shared" si="655"/>
        <v>21245.748000000003</v>
      </c>
      <c r="X2507" s="11"/>
      <c r="Y2507" s="11"/>
      <c r="Z2507" s="11"/>
      <c r="AA2507" s="11"/>
      <c r="AB2507" s="11"/>
      <c r="AC2507" s="11"/>
      <c r="AD2507" s="11"/>
      <c r="AE2507" s="11"/>
      <c r="AF2507" s="11"/>
      <c r="AG2507" s="11"/>
      <c r="AH2507" s="11"/>
      <c r="AI2507" s="11"/>
      <c r="AJ2507" s="11"/>
      <c r="AK2507" s="11"/>
      <c r="AL2507" s="11"/>
      <c r="AM2507" s="11"/>
      <c r="AN2507" s="11"/>
      <c r="AO2507" s="11"/>
      <c r="AP2507" s="11"/>
      <c r="AQ2507" s="11"/>
      <c r="AR2507" s="11"/>
      <c r="AS2507" s="11"/>
      <c r="AT2507" s="11"/>
      <c r="AU2507" s="11"/>
      <c r="AV2507" s="11"/>
      <c r="AW2507" s="11"/>
      <c r="AX2507" s="11"/>
      <c r="AY2507" s="11"/>
      <c r="AZ2507" s="11"/>
      <c r="BA2507" s="11"/>
      <c r="BB2507" s="11"/>
      <c r="BC2507" s="11"/>
      <c r="BD2507" s="11"/>
      <c r="BE2507" s="11"/>
      <c r="BF2507" s="11"/>
      <c r="BG2507" s="11"/>
      <c r="BH2507" s="11"/>
      <c r="BI2507" s="11"/>
      <c r="BJ2507" s="11"/>
      <c r="BK2507" s="11"/>
      <c r="BL2507" s="11"/>
      <c r="BM2507" s="11"/>
      <c r="BN2507" s="11"/>
      <c r="BO2507" s="11"/>
      <c r="BP2507" s="11"/>
      <c r="BQ2507" s="11"/>
      <c r="BR2507" s="11"/>
      <c r="BS2507" s="11"/>
      <c r="BT2507" s="11"/>
      <c r="BU2507" s="11"/>
      <c r="BV2507" s="11"/>
      <c r="BW2507" s="11"/>
      <c r="BX2507" s="11"/>
      <c r="BY2507" s="11"/>
      <c r="BZ2507" s="11"/>
      <c r="CA2507" s="11"/>
      <c r="CB2507" s="11"/>
      <c r="CC2507" s="11"/>
      <c r="CD2507" s="11"/>
      <c r="CE2507" s="11"/>
      <c r="CF2507" s="11"/>
      <c r="CG2507" s="11"/>
      <c r="CH2507" s="11"/>
      <c r="CI2507" s="11"/>
      <c r="CJ2507" s="11"/>
      <c r="CK2507" s="11"/>
      <c r="CL2507" s="11"/>
      <c r="CM2507" s="11"/>
      <c r="CN2507" s="11"/>
      <c r="CO2507" s="11"/>
      <c r="CP2507" s="11"/>
      <c r="CQ2507" s="11"/>
      <c r="CR2507" s="11"/>
      <c r="CS2507" s="11"/>
      <c r="CT2507" s="11"/>
      <c r="CU2507" s="11"/>
      <c r="CV2507" s="11"/>
      <c r="CW2507" s="11"/>
      <c r="CX2507" s="11"/>
      <c r="CY2507" s="11"/>
      <c r="CZ2507" s="11"/>
      <c r="DA2507" s="11"/>
      <c r="DB2507" s="11"/>
      <c r="DC2507" s="11"/>
      <c r="DD2507" s="11"/>
      <c r="DE2507" s="11"/>
      <c r="DF2507" s="11"/>
      <c r="DG2507" s="11"/>
      <c r="DH2507" s="11"/>
      <c r="DI2507" s="11"/>
      <c r="DJ2507" s="11"/>
      <c r="DK2507" s="11"/>
      <c r="DL2507" s="11"/>
      <c r="DM2507" s="11"/>
      <c r="DN2507" s="11"/>
      <c r="DO2507" s="11"/>
      <c r="DP2507" s="11"/>
      <c r="DQ2507" s="11"/>
      <c r="DR2507" s="11"/>
      <c r="DS2507" s="11"/>
      <c r="DT2507" s="11"/>
      <c r="DU2507" s="11"/>
      <c r="DV2507" s="11"/>
      <c r="DW2507" s="11"/>
      <c r="DX2507" s="11"/>
      <c r="DY2507" s="11"/>
      <c r="DZ2507" s="11"/>
      <c r="EA2507" s="11"/>
      <c r="EB2507" s="11"/>
      <c r="EC2507" s="11"/>
      <c r="ED2507" s="11"/>
      <c r="EE2507" s="11"/>
      <c r="EF2507" s="11"/>
      <c r="EG2507" s="11"/>
      <c r="EH2507" s="11"/>
      <c r="EI2507" s="11"/>
      <c r="EJ2507" s="11"/>
      <c r="EK2507" s="11"/>
      <c r="EL2507" s="11"/>
      <c r="EM2507" s="11"/>
      <c r="EN2507" s="11"/>
      <c r="EO2507" s="11"/>
      <c r="EP2507" s="11"/>
      <c r="EQ2507" s="11"/>
      <c r="ER2507" s="11"/>
      <c r="ES2507" s="11"/>
      <c r="ET2507" s="11"/>
      <c r="EU2507" s="11"/>
      <c r="EV2507" s="11"/>
      <c r="EW2507" s="11"/>
      <c r="EX2507" s="11"/>
      <c r="EY2507" s="11"/>
      <c r="EZ2507" s="11"/>
      <c r="FA2507" s="11"/>
      <c r="FB2507" s="11"/>
      <c r="FC2507" s="11"/>
      <c r="FD2507" s="11"/>
      <c r="FE2507" s="11"/>
      <c r="FF2507" s="11"/>
      <c r="FG2507" s="11"/>
      <c r="FH2507" s="11"/>
      <c r="FI2507" s="11"/>
      <c r="FJ2507" s="11"/>
      <c r="FK2507" s="11"/>
      <c r="FL2507" s="11"/>
      <c r="FM2507" s="11"/>
      <c r="FN2507" s="11"/>
      <c r="FO2507" s="11"/>
      <c r="FP2507" s="11"/>
      <c r="FQ2507" s="11"/>
      <c r="FR2507" s="11"/>
      <c r="FS2507" s="11"/>
      <c r="FT2507" s="11"/>
      <c r="FU2507" s="11"/>
      <c r="FV2507" s="11"/>
      <c r="FW2507" s="11"/>
      <c r="FX2507" s="11"/>
      <c r="FY2507" s="11"/>
      <c r="FZ2507" s="11"/>
      <c r="GA2507" s="11"/>
      <c r="GB2507" s="11"/>
      <c r="GC2507" s="11"/>
      <c r="GD2507" s="11"/>
      <c r="GE2507" s="11"/>
      <c r="GF2507" s="11"/>
      <c r="GG2507" s="11"/>
      <c r="GH2507" s="11"/>
      <c r="GI2507" s="11"/>
      <c r="GJ2507" s="11"/>
      <c r="GK2507" s="11"/>
      <c r="GL2507" s="11"/>
      <c r="GM2507" s="11"/>
      <c r="GN2507" s="11"/>
      <c r="GO2507" s="11"/>
      <c r="GP2507" s="11"/>
      <c r="GQ2507" s="11"/>
      <c r="GR2507" s="11"/>
      <c r="GS2507" s="11"/>
      <c r="GT2507" s="11"/>
      <c r="GU2507" s="11"/>
      <c r="GV2507" s="11"/>
      <c r="GW2507" s="11"/>
      <c r="GX2507" s="11"/>
      <c r="GY2507" s="11"/>
      <c r="GZ2507" s="11"/>
      <c r="HA2507" s="11"/>
      <c r="HB2507" s="11"/>
      <c r="HC2507" s="11"/>
      <c r="HD2507" s="11"/>
      <c r="HE2507" s="11"/>
      <c r="HF2507" s="11"/>
      <c r="HG2507" s="11"/>
      <c r="HH2507" s="11"/>
      <c r="HI2507" s="11"/>
      <c r="HJ2507" s="11"/>
      <c r="HK2507" s="11"/>
      <c r="HL2507" s="11"/>
      <c r="HM2507" s="11"/>
      <c r="HN2507" s="11"/>
      <c r="HO2507" s="11"/>
      <c r="HP2507" s="11"/>
      <c r="HQ2507" s="11"/>
      <c r="HR2507" s="11"/>
      <c r="HS2507" s="11"/>
      <c r="HT2507" s="11"/>
      <c r="HU2507" s="11"/>
      <c r="HV2507" s="11"/>
      <c r="HW2507" s="11"/>
      <c r="HX2507" s="11"/>
      <c r="HY2507" s="11"/>
      <c r="HZ2507" s="11"/>
      <c r="IA2507" s="11"/>
      <c r="IB2507" s="11"/>
      <c r="IC2507" s="11"/>
      <c r="ID2507" s="11"/>
      <c r="IE2507" s="11"/>
      <c r="IF2507" s="11"/>
      <c r="IG2507" s="11"/>
      <c r="IH2507" s="11"/>
      <c r="II2507" s="11"/>
      <c r="IJ2507" s="11"/>
    </row>
    <row r="2508" spans="1:244" ht="12.75" customHeight="1">
      <c r="A2508" s="128"/>
      <c r="B2508" s="128"/>
      <c r="C2508" s="181"/>
      <c r="E2508" s="8"/>
      <c r="F2508" s="158"/>
      <c r="G2508" s="172"/>
      <c r="H2508" s="128"/>
      <c r="I2508" s="160"/>
      <c r="J2508" s="172"/>
      <c r="K2508" s="172"/>
      <c r="L2508" s="172"/>
      <c r="O2508" s="172"/>
      <c r="P2508" s="170"/>
      <c r="Q2508" s="128"/>
      <c r="R2508" s="128"/>
      <c r="S2508" s="180"/>
      <c r="T2508" s="172"/>
      <c r="U2508" s="171"/>
      <c r="V2508" s="172"/>
      <c r="W2508" s="172"/>
    </row>
    <row r="2509" spans="1:244" ht="12.75" customHeight="1">
      <c r="A2509" s="128"/>
      <c r="B2509" s="128"/>
      <c r="C2509" s="181"/>
      <c r="E2509" s="8"/>
      <c r="F2509" s="158"/>
      <c r="G2509" s="170">
        <f>J2509*60</f>
        <v>71940</v>
      </c>
      <c r="H2509" s="128"/>
      <c r="I2509" s="355" t="s">
        <v>662</v>
      </c>
      <c r="J2509" s="170">
        <f>COUNT(J2:J2507)</f>
        <v>1199</v>
      </c>
      <c r="K2509" s="170">
        <f t="shared" ref="K2509:P2509" si="661">COUNT(K2:K2507)</f>
        <v>1280</v>
      </c>
      <c r="L2509" s="170">
        <f t="shared" si="661"/>
        <v>1432</v>
      </c>
      <c r="M2509" s="170">
        <f t="shared" si="661"/>
        <v>885</v>
      </c>
      <c r="N2509" s="170">
        <f>COUNTA(N2:N2507)</f>
        <v>227</v>
      </c>
      <c r="O2509" s="170">
        <f t="shared" si="661"/>
        <v>1424</v>
      </c>
      <c r="P2509" s="170">
        <f t="shared" si="661"/>
        <v>111</v>
      </c>
      <c r="Q2509" s="128"/>
      <c r="R2509" s="128"/>
      <c r="S2509" s="180"/>
      <c r="T2509" s="172"/>
      <c r="U2509" s="171"/>
      <c r="V2509" s="172"/>
      <c r="W2509" s="172"/>
    </row>
    <row r="2510" spans="1:244" ht="12.75" customHeight="1">
      <c r="A2510" s="128"/>
      <c r="B2510" s="128"/>
      <c r="C2510" s="181"/>
      <c r="E2510" s="8"/>
      <c r="F2510" s="158"/>
      <c r="G2510" s="172"/>
      <c r="H2510" s="128"/>
      <c r="I2510" s="355" t="s">
        <v>663</v>
      </c>
      <c r="J2510" s="170">
        <f>J2509-$J$2509</f>
        <v>0</v>
      </c>
      <c r="K2510" s="170">
        <f t="shared" ref="K2510" si="662">K2509-$J$2509</f>
        <v>81</v>
      </c>
      <c r="L2510" s="170">
        <f>N2509</f>
        <v>227</v>
      </c>
      <c r="O2510" s="170">
        <f>O2509-$J$2509</f>
        <v>225</v>
      </c>
      <c r="P2510" s="170"/>
      <c r="Q2510" s="128"/>
      <c r="R2510" s="128"/>
      <c r="S2510" s="180"/>
      <c r="T2510" s="172"/>
      <c r="U2510" s="171"/>
      <c r="V2510" s="172"/>
      <c r="W2510" s="172"/>
    </row>
    <row r="2511" spans="1:244" ht="12.75" customHeight="1">
      <c r="A2511" s="128"/>
      <c r="B2511" s="128"/>
      <c r="C2511" s="181"/>
      <c r="E2511" s="8"/>
      <c r="F2511" s="158"/>
      <c r="G2511" s="172"/>
      <c r="H2511" s="128"/>
      <c r="I2511" s="355" t="s">
        <v>664</v>
      </c>
      <c r="J2511" s="412">
        <f>J2510/J2509/0.01</f>
        <v>0</v>
      </c>
      <c r="K2511" s="412">
        <f t="shared" ref="K2511:O2511" si="663">K2510/K2509/0.01</f>
        <v>6.328125</v>
      </c>
      <c r="L2511" s="412">
        <f t="shared" si="663"/>
        <v>15.851955307262569</v>
      </c>
      <c r="O2511" s="412">
        <f t="shared" si="663"/>
        <v>15.80056179775281</v>
      </c>
      <c r="P2511" s="170"/>
      <c r="Q2511" s="128"/>
      <c r="R2511" s="128"/>
      <c r="S2511" s="180"/>
      <c r="T2511" s="172"/>
      <c r="U2511" s="171"/>
      <c r="V2511" s="172"/>
      <c r="W2511" s="172"/>
    </row>
    <row r="2512" spans="1:244" ht="12.75" customHeight="1">
      <c r="A2512" s="128"/>
      <c r="B2512" s="128"/>
      <c r="C2512" s="181"/>
      <c r="E2512" s="8"/>
      <c r="F2512" s="158"/>
      <c r="G2512" s="172"/>
      <c r="H2512" s="128"/>
      <c r="I2512" s="160"/>
      <c r="J2512" s="172"/>
      <c r="K2512" s="172"/>
      <c r="L2512" s="172"/>
      <c r="O2512" s="172"/>
      <c r="P2512" s="170"/>
      <c r="Q2512" s="128"/>
      <c r="R2512" s="128"/>
      <c r="S2512" s="180"/>
      <c r="T2512" s="172"/>
      <c r="U2512" s="171"/>
      <c r="V2512" s="172"/>
      <c r="W2512" s="172"/>
    </row>
    <row r="2513" spans="1:244" ht="12.75" customHeight="1">
      <c r="A2513" s="128"/>
      <c r="B2513" s="128"/>
      <c r="C2513" s="181"/>
      <c r="E2513" s="8"/>
      <c r="F2513" s="158"/>
      <c r="G2513" s="172"/>
      <c r="H2513" s="128"/>
      <c r="I2513" s="160"/>
      <c r="J2513" s="172"/>
      <c r="K2513" s="172"/>
      <c r="L2513" s="190" t="s">
        <v>665</v>
      </c>
      <c r="M2513" s="170">
        <f>COUNTIF(M2:M2507,0)</f>
        <v>735</v>
      </c>
      <c r="N2513" s="350"/>
      <c r="O2513" s="190"/>
      <c r="P2513" s="170"/>
      <c r="Q2513" s="128"/>
      <c r="R2513" s="128"/>
      <c r="S2513" s="180"/>
      <c r="T2513" s="172"/>
      <c r="U2513" s="171"/>
      <c r="V2513" s="172"/>
      <c r="W2513" s="172"/>
    </row>
    <row r="2514" spans="1:244" ht="12.75" customHeight="1">
      <c r="A2514" s="128"/>
      <c r="B2514" s="128"/>
      <c r="C2514" s="181"/>
      <c r="E2514" s="8"/>
      <c r="F2514" s="158"/>
      <c r="G2514" s="172"/>
      <c r="H2514" s="128"/>
      <c r="I2514" s="160"/>
      <c r="J2514" s="172"/>
      <c r="K2514" s="172"/>
      <c r="L2514" s="190" t="s">
        <v>666</v>
      </c>
      <c r="M2514" s="170">
        <f>COUNTIF(M2:M2507,1)</f>
        <v>77</v>
      </c>
      <c r="O2514" s="170"/>
      <c r="P2514" s="170"/>
      <c r="Q2514" s="128"/>
      <c r="R2514" s="128"/>
      <c r="S2514" s="180"/>
      <c r="T2514" s="172"/>
      <c r="U2514" s="171"/>
      <c r="V2514" s="172"/>
      <c r="W2514" s="172"/>
    </row>
    <row r="2515" spans="1:244" ht="12.75" customHeight="1">
      <c r="A2515" s="128"/>
      <c r="B2515" s="128"/>
      <c r="C2515" s="181"/>
      <c r="E2515" s="8"/>
      <c r="F2515" s="158"/>
      <c r="G2515" s="172"/>
      <c r="H2515" s="128"/>
      <c r="I2515" s="160"/>
      <c r="J2515" s="172"/>
      <c r="K2515" s="172"/>
      <c r="L2515" s="190" t="s">
        <v>667</v>
      </c>
      <c r="M2515" s="170">
        <f>COUNTIF(M2:M2507,2)</f>
        <v>73</v>
      </c>
      <c r="O2515" s="170"/>
      <c r="P2515" s="170"/>
      <c r="Q2515" s="128"/>
      <c r="R2515" s="128"/>
      <c r="S2515" s="180"/>
      <c r="T2515" s="172"/>
      <c r="U2515" s="171"/>
      <c r="V2515" s="172"/>
      <c r="W2515" s="172"/>
    </row>
    <row r="2516" spans="1:244" ht="12.75" customHeight="1">
      <c r="A2516" s="128"/>
      <c r="B2516" s="128"/>
      <c r="C2516" s="181"/>
      <c r="E2516" s="8"/>
      <c r="F2516" s="158"/>
      <c r="G2516" s="172"/>
      <c r="H2516" s="128"/>
      <c r="I2516" s="160"/>
      <c r="J2516" s="172"/>
      <c r="K2516" s="172"/>
      <c r="L2516" s="190" t="s">
        <v>668</v>
      </c>
      <c r="M2516" s="441">
        <f>(M2513+M2515)/M2509</f>
        <v>0.91299435028248588</v>
      </c>
      <c r="N2516" s="532"/>
      <c r="O2516" s="172"/>
      <c r="P2516" s="170"/>
      <c r="Q2516" s="128"/>
      <c r="R2516" s="128"/>
      <c r="S2516" s="180"/>
      <c r="T2516" s="172"/>
      <c r="U2516" s="171"/>
      <c r="V2516" s="172"/>
      <c r="W2516" s="172"/>
    </row>
    <row r="2517" spans="1:244" ht="12.75" customHeight="1">
      <c r="A2517" s="128"/>
      <c r="B2517" s="128"/>
      <c r="C2517" s="181"/>
      <c r="E2517" s="8"/>
      <c r="F2517" s="158"/>
      <c r="G2517" s="172"/>
      <c r="H2517" s="128"/>
      <c r="I2517" s="160"/>
      <c r="J2517" s="128"/>
      <c r="K2517" s="128"/>
      <c r="L2517" s="128"/>
      <c r="O2517" s="130" t="s">
        <v>804</v>
      </c>
      <c r="P2517" s="170"/>
      <c r="Q2517" s="128"/>
      <c r="R2517" s="128"/>
      <c r="S2517" s="180"/>
      <c r="T2517" s="128"/>
      <c r="U2517" s="171"/>
      <c r="V2517" s="128"/>
      <c r="W2517" s="128"/>
    </row>
    <row r="2518" spans="1:244" ht="12.75" customHeight="1">
      <c r="A2518" s="128"/>
      <c r="B2518" s="128"/>
      <c r="C2518" s="181"/>
      <c r="E2518" s="8"/>
      <c r="F2518" s="158"/>
      <c r="G2518" s="172"/>
      <c r="H2518" s="128"/>
      <c r="I2518" s="160"/>
      <c r="J2518" s="128"/>
      <c r="K2518" s="128"/>
      <c r="L2518" s="128"/>
      <c r="M2518" s="190" t="s">
        <v>666</v>
      </c>
      <c r="N2518" s="170">
        <f>COUNTIF(N2:N2507,1)</f>
        <v>54</v>
      </c>
      <c r="O2518" s="412">
        <f>N2518/$N$2526/0.01</f>
        <v>23.788546255506606</v>
      </c>
      <c r="P2518" s="170"/>
      <c r="Q2518" s="128"/>
      <c r="R2518" s="128"/>
      <c r="S2518" s="180"/>
      <c r="T2518" s="128"/>
      <c r="U2518" s="171"/>
      <c r="V2518" s="128"/>
      <c r="W2518" s="128"/>
    </row>
    <row r="2519" spans="1:244" ht="12.75" customHeight="1">
      <c r="A2519" s="128"/>
      <c r="B2519" s="128"/>
      <c r="C2519" s="181"/>
      <c r="E2519" s="8"/>
      <c r="F2519" s="172"/>
      <c r="G2519" s="172"/>
      <c r="H2519" s="128"/>
      <c r="I2519" s="160"/>
      <c r="J2519" s="128"/>
      <c r="K2519" s="128"/>
      <c r="L2519" s="128"/>
      <c r="M2519" s="190" t="s">
        <v>667</v>
      </c>
      <c r="N2519" s="170">
        <f>COUNTIF(N2:N2507,2)</f>
        <v>10</v>
      </c>
      <c r="O2519" s="412">
        <f t="shared" ref="O2519:O2525" si="664">N2519/$N$2526/0.01</f>
        <v>4.4052863436123353</v>
      </c>
      <c r="P2519" s="170"/>
      <c r="Q2519" s="128"/>
      <c r="R2519" s="128"/>
      <c r="S2519" s="180"/>
      <c r="T2519" s="128"/>
      <c r="U2519" s="171"/>
      <c r="V2519" s="128"/>
      <c r="W2519" s="128"/>
    </row>
    <row r="2520" spans="1:244" ht="12.75" customHeight="1">
      <c r="B2520" s="128"/>
      <c r="C2520" s="181"/>
      <c r="E2520" s="8"/>
      <c r="F2520" s="172"/>
      <c r="G2520" s="172"/>
      <c r="H2520" s="128"/>
      <c r="I2520" s="160"/>
      <c r="J2520" s="128"/>
      <c r="K2520" s="128"/>
      <c r="L2520" s="128"/>
      <c r="M2520" s="190" t="s">
        <v>797</v>
      </c>
      <c r="N2520" s="170">
        <f>COUNTIF(N2:N2507,3)</f>
        <v>9</v>
      </c>
      <c r="O2520" s="412">
        <f t="shared" si="664"/>
        <v>3.9647577092511015</v>
      </c>
      <c r="P2520" s="170"/>
      <c r="Q2520" s="128"/>
      <c r="R2520" s="128"/>
      <c r="S2520" s="180"/>
      <c r="T2520" s="128"/>
      <c r="U2520" s="171"/>
      <c r="V2520" s="128"/>
      <c r="W2520" s="128"/>
      <c r="X2520" s="128"/>
      <c r="Y2520" s="128"/>
      <c r="Z2520" s="128"/>
      <c r="AA2520" s="128"/>
      <c r="AB2520" s="128"/>
      <c r="AC2520" s="128"/>
      <c r="AD2520" s="128"/>
      <c r="AE2520" s="128"/>
      <c r="AF2520" s="128"/>
      <c r="AG2520" s="128"/>
      <c r="AH2520" s="128"/>
      <c r="AI2520" s="128"/>
      <c r="AJ2520" s="128"/>
      <c r="AK2520" s="128"/>
      <c r="AL2520" s="128"/>
      <c r="AM2520" s="128"/>
      <c r="AN2520" s="128"/>
      <c r="AO2520" s="128"/>
      <c r="AP2520" s="128"/>
      <c r="AQ2520" s="128"/>
      <c r="AR2520" s="128"/>
      <c r="AS2520" s="128"/>
      <c r="AT2520" s="128"/>
      <c r="AU2520" s="128"/>
      <c r="AV2520" s="128"/>
      <c r="AW2520" s="128"/>
      <c r="AX2520" s="128"/>
      <c r="AY2520" s="128"/>
      <c r="AZ2520" s="128"/>
      <c r="BA2520" s="128"/>
      <c r="BB2520" s="128"/>
      <c r="BC2520" s="128"/>
      <c r="BD2520" s="128"/>
      <c r="BE2520" s="128"/>
      <c r="BF2520" s="128"/>
      <c r="BG2520" s="128"/>
      <c r="BH2520" s="128"/>
      <c r="BI2520" s="128"/>
      <c r="BJ2520" s="128"/>
      <c r="BK2520" s="128"/>
      <c r="BL2520" s="128"/>
      <c r="BM2520" s="128"/>
      <c r="BN2520" s="128"/>
      <c r="BO2520" s="128"/>
      <c r="BP2520" s="128"/>
      <c r="BQ2520" s="128"/>
      <c r="BR2520" s="128"/>
      <c r="BS2520" s="128"/>
      <c r="BT2520" s="128"/>
      <c r="BU2520" s="128"/>
      <c r="BV2520" s="128"/>
      <c r="BW2520" s="128"/>
      <c r="BX2520" s="128"/>
      <c r="BY2520" s="128"/>
      <c r="BZ2520" s="128"/>
      <c r="CA2520" s="128"/>
      <c r="CB2520" s="128"/>
      <c r="CC2520" s="128"/>
      <c r="CD2520" s="128"/>
      <c r="CE2520" s="128"/>
      <c r="CF2520" s="128"/>
      <c r="CG2520" s="128"/>
      <c r="CH2520" s="128"/>
      <c r="CI2520" s="128"/>
      <c r="CJ2520" s="128"/>
      <c r="CK2520" s="128"/>
      <c r="CL2520" s="128"/>
      <c r="CM2520" s="128"/>
      <c r="CN2520" s="128"/>
      <c r="CO2520" s="128"/>
      <c r="CP2520" s="128"/>
      <c r="CQ2520" s="128"/>
      <c r="CR2520" s="128"/>
      <c r="CS2520" s="128"/>
      <c r="CT2520" s="128"/>
      <c r="CU2520" s="128"/>
      <c r="CV2520" s="128"/>
      <c r="CW2520" s="128"/>
      <c r="CX2520" s="128"/>
      <c r="CY2520" s="128"/>
      <c r="CZ2520" s="128"/>
      <c r="DA2520" s="128"/>
      <c r="DB2520" s="128"/>
      <c r="DC2520" s="128"/>
      <c r="DD2520" s="128"/>
      <c r="DE2520" s="128"/>
      <c r="DF2520" s="128"/>
      <c r="DG2520" s="128"/>
      <c r="DH2520" s="128"/>
      <c r="DI2520" s="128"/>
      <c r="DJ2520" s="128"/>
      <c r="DK2520" s="128"/>
      <c r="DL2520" s="128"/>
      <c r="DM2520" s="128"/>
      <c r="DN2520" s="128"/>
      <c r="DO2520" s="128"/>
      <c r="DP2520" s="128"/>
      <c r="DQ2520" s="128"/>
      <c r="DR2520" s="128"/>
      <c r="DS2520" s="128"/>
      <c r="DT2520" s="128"/>
      <c r="DU2520" s="128"/>
      <c r="DV2520" s="128"/>
      <c r="DW2520" s="128"/>
      <c r="DX2520" s="128"/>
      <c r="DY2520" s="128"/>
      <c r="DZ2520" s="128"/>
      <c r="EA2520" s="128"/>
      <c r="EB2520" s="128"/>
      <c r="EC2520" s="128"/>
      <c r="ED2520" s="128"/>
      <c r="EE2520" s="128"/>
      <c r="EF2520" s="128"/>
      <c r="EG2520" s="128"/>
      <c r="EH2520" s="128"/>
      <c r="EI2520" s="128"/>
      <c r="EJ2520" s="128"/>
      <c r="EK2520" s="128"/>
      <c r="EL2520" s="128"/>
      <c r="EM2520" s="128"/>
      <c r="EN2520" s="128"/>
      <c r="EO2520" s="128"/>
      <c r="EP2520" s="128"/>
      <c r="EQ2520" s="128"/>
      <c r="ER2520" s="128"/>
      <c r="ES2520" s="128"/>
      <c r="ET2520" s="128"/>
      <c r="EU2520" s="128"/>
      <c r="EV2520" s="128"/>
      <c r="EW2520" s="128"/>
      <c r="EX2520" s="128"/>
      <c r="EY2520" s="128"/>
      <c r="EZ2520" s="128"/>
      <c r="FA2520" s="128"/>
      <c r="FB2520" s="128"/>
      <c r="FC2520" s="128"/>
      <c r="FD2520" s="128"/>
      <c r="FE2520" s="128"/>
      <c r="FF2520" s="128"/>
      <c r="FG2520" s="128"/>
      <c r="FH2520" s="128"/>
      <c r="FI2520" s="128"/>
      <c r="FJ2520" s="128"/>
      <c r="FK2520" s="128"/>
      <c r="FL2520" s="128"/>
      <c r="FM2520" s="128"/>
      <c r="FN2520" s="128"/>
      <c r="FO2520" s="128"/>
      <c r="FP2520" s="128"/>
      <c r="FQ2520" s="128"/>
      <c r="FR2520" s="128"/>
      <c r="FS2520" s="128"/>
      <c r="FT2520" s="128"/>
      <c r="FU2520" s="128"/>
      <c r="FV2520" s="128"/>
      <c r="FW2520" s="128"/>
      <c r="FX2520" s="128"/>
      <c r="FY2520" s="128"/>
      <c r="FZ2520" s="128"/>
      <c r="GA2520" s="128"/>
      <c r="GB2520" s="128"/>
      <c r="GC2520" s="128"/>
      <c r="GD2520" s="128"/>
      <c r="GE2520" s="128"/>
      <c r="GF2520" s="128"/>
      <c r="GG2520" s="128"/>
      <c r="GH2520" s="128"/>
      <c r="GI2520" s="128"/>
      <c r="GJ2520" s="128"/>
      <c r="GK2520" s="128"/>
      <c r="GL2520" s="128"/>
      <c r="GM2520" s="128"/>
      <c r="GN2520" s="128"/>
      <c r="GO2520" s="128"/>
      <c r="GP2520" s="128"/>
      <c r="GQ2520" s="128"/>
      <c r="GR2520" s="128"/>
      <c r="GS2520" s="128"/>
      <c r="GT2520" s="128"/>
      <c r="GU2520" s="128"/>
      <c r="GV2520" s="128"/>
      <c r="GW2520" s="128"/>
      <c r="GX2520" s="128"/>
      <c r="GY2520" s="128"/>
      <c r="GZ2520" s="128"/>
      <c r="HA2520" s="128"/>
      <c r="HB2520" s="128"/>
      <c r="HC2520" s="128"/>
      <c r="HD2520" s="128"/>
      <c r="HE2520" s="128"/>
      <c r="HF2520" s="128"/>
      <c r="HG2520" s="128"/>
      <c r="HH2520" s="128"/>
      <c r="HI2520" s="128"/>
      <c r="HJ2520" s="128"/>
      <c r="HK2520" s="128"/>
      <c r="HL2520" s="128"/>
      <c r="HM2520" s="128"/>
      <c r="HN2520" s="128"/>
      <c r="HO2520" s="128"/>
      <c r="HP2520" s="128"/>
      <c r="HQ2520" s="128"/>
      <c r="HR2520" s="128"/>
      <c r="HS2520" s="128"/>
      <c r="HT2520" s="128"/>
      <c r="HU2520" s="128"/>
      <c r="HV2520" s="128"/>
      <c r="HW2520" s="128"/>
      <c r="HX2520" s="128"/>
      <c r="HY2520" s="128"/>
      <c r="HZ2520" s="128"/>
      <c r="IA2520" s="128"/>
      <c r="IB2520" s="128"/>
      <c r="IC2520" s="128"/>
      <c r="ID2520" s="128"/>
      <c r="IE2520" s="128"/>
      <c r="IF2520" s="128"/>
      <c r="IG2520" s="128"/>
      <c r="IH2520" s="128"/>
      <c r="II2520" s="128"/>
      <c r="IJ2520" s="128"/>
    </row>
    <row r="2521" spans="1:244" ht="12.75" customHeight="1">
      <c r="B2521" s="128"/>
      <c r="C2521" s="181"/>
      <c r="E2521" s="8"/>
      <c r="F2521" s="172"/>
      <c r="G2521" s="172"/>
      <c r="H2521" s="128"/>
      <c r="I2521" s="160"/>
      <c r="J2521" s="128"/>
      <c r="K2521" s="128"/>
      <c r="L2521" s="128"/>
      <c r="M2521" s="190" t="s">
        <v>798</v>
      </c>
      <c r="N2521" s="170">
        <f>COUNTIF(N2:N2507,4)</f>
        <v>0</v>
      </c>
      <c r="O2521" s="412">
        <f t="shared" si="664"/>
        <v>0</v>
      </c>
      <c r="P2521" s="170"/>
      <c r="Q2521" s="128"/>
      <c r="R2521" s="128"/>
      <c r="S2521" s="180"/>
      <c r="T2521" s="128"/>
      <c r="U2521" s="171"/>
      <c r="V2521" s="128"/>
      <c r="W2521" s="128"/>
      <c r="X2521" s="128"/>
      <c r="Y2521" s="128"/>
      <c r="Z2521" s="128"/>
      <c r="AA2521" s="128"/>
      <c r="AB2521" s="128"/>
      <c r="AC2521" s="128"/>
      <c r="AD2521" s="128"/>
      <c r="AE2521" s="128"/>
      <c r="AF2521" s="128"/>
      <c r="AG2521" s="128"/>
      <c r="AH2521" s="128"/>
      <c r="AI2521" s="128"/>
      <c r="AJ2521" s="128"/>
      <c r="AK2521" s="128"/>
      <c r="AL2521" s="128"/>
      <c r="AM2521" s="128"/>
      <c r="AN2521" s="128"/>
      <c r="AO2521" s="128"/>
      <c r="AP2521" s="128"/>
      <c r="AQ2521" s="128"/>
      <c r="AR2521" s="128"/>
      <c r="AS2521" s="128"/>
      <c r="AT2521" s="128"/>
      <c r="AU2521" s="128"/>
      <c r="AV2521" s="128"/>
      <c r="AW2521" s="128"/>
      <c r="AX2521" s="128"/>
      <c r="AY2521" s="128"/>
      <c r="AZ2521" s="128"/>
      <c r="BA2521" s="128"/>
      <c r="BB2521" s="128"/>
      <c r="BC2521" s="128"/>
      <c r="BD2521" s="128"/>
      <c r="BE2521" s="128"/>
      <c r="BF2521" s="128"/>
      <c r="BG2521" s="128"/>
      <c r="BH2521" s="128"/>
      <c r="BI2521" s="128"/>
      <c r="BJ2521" s="128"/>
      <c r="BK2521" s="128"/>
      <c r="BL2521" s="128"/>
      <c r="BM2521" s="128"/>
      <c r="BN2521" s="128"/>
      <c r="BO2521" s="128"/>
      <c r="BP2521" s="128"/>
      <c r="BQ2521" s="128"/>
      <c r="BR2521" s="128"/>
      <c r="BS2521" s="128"/>
      <c r="BT2521" s="128"/>
      <c r="BU2521" s="128"/>
      <c r="BV2521" s="128"/>
      <c r="BW2521" s="128"/>
      <c r="BX2521" s="128"/>
      <c r="BY2521" s="128"/>
      <c r="BZ2521" s="128"/>
      <c r="CA2521" s="128"/>
      <c r="CB2521" s="128"/>
      <c r="CC2521" s="128"/>
      <c r="CD2521" s="128"/>
      <c r="CE2521" s="128"/>
      <c r="CF2521" s="128"/>
      <c r="CG2521" s="128"/>
      <c r="CH2521" s="128"/>
      <c r="CI2521" s="128"/>
      <c r="CJ2521" s="128"/>
      <c r="CK2521" s="128"/>
      <c r="CL2521" s="128"/>
      <c r="CM2521" s="128"/>
      <c r="CN2521" s="128"/>
      <c r="CO2521" s="128"/>
      <c r="CP2521" s="128"/>
      <c r="CQ2521" s="128"/>
      <c r="CR2521" s="128"/>
      <c r="CS2521" s="128"/>
      <c r="CT2521" s="128"/>
      <c r="CU2521" s="128"/>
      <c r="CV2521" s="128"/>
      <c r="CW2521" s="128"/>
      <c r="CX2521" s="128"/>
      <c r="CY2521" s="128"/>
      <c r="CZ2521" s="128"/>
      <c r="DA2521" s="128"/>
      <c r="DB2521" s="128"/>
      <c r="DC2521" s="128"/>
      <c r="DD2521" s="128"/>
      <c r="DE2521" s="128"/>
      <c r="DF2521" s="128"/>
      <c r="DG2521" s="128"/>
      <c r="DH2521" s="128"/>
      <c r="DI2521" s="128"/>
      <c r="DJ2521" s="128"/>
      <c r="DK2521" s="128"/>
      <c r="DL2521" s="128"/>
      <c r="DM2521" s="128"/>
      <c r="DN2521" s="128"/>
      <c r="DO2521" s="128"/>
      <c r="DP2521" s="128"/>
      <c r="DQ2521" s="128"/>
      <c r="DR2521" s="128"/>
      <c r="DS2521" s="128"/>
      <c r="DT2521" s="128"/>
      <c r="DU2521" s="128"/>
      <c r="DV2521" s="128"/>
      <c r="DW2521" s="128"/>
      <c r="DX2521" s="128"/>
      <c r="DY2521" s="128"/>
      <c r="DZ2521" s="128"/>
      <c r="EA2521" s="128"/>
      <c r="EB2521" s="128"/>
      <c r="EC2521" s="128"/>
      <c r="ED2521" s="128"/>
      <c r="EE2521" s="128"/>
      <c r="EF2521" s="128"/>
      <c r="EG2521" s="128"/>
      <c r="EH2521" s="128"/>
      <c r="EI2521" s="128"/>
      <c r="EJ2521" s="128"/>
      <c r="EK2521" s="128"/>
      <c r="EL2521" s="128"/>
      <c r="EM2521" s="128"/>
      <c r="EN2521" s="128"/>
      <c r="EO2521" s="128"/>
      <c r="EP2521" s="128"/>
      <c r="EQ2521" s="128"/>
      <c r="ER2521" s="128"/>
      <c r="ES2521" s="128"/>
      <c r="ET2521" s="128"/>
      <c r="EU2521" s="128"/>
      <c r="EV2521" s="128"/>
      <c r="EW2521" s="128"/>
      <c r="EX2521" s="128"/>
      <c r="EY2521" s="128"/>
      <c r="EZ2521" s="128"/>
      <c r="FA2521" s="128"/>
      <c r="FB2521" s="128"/>
      <c r="FC2521" s="128"/>
      <c r="FD2521" s="128"/>
      <c r="FE2521" s="128"/>
      <c r="FF2521" s="128"/>
      <c r="FG2521" s="128"/>
      <c r="FH2521" s="128"/>
      <c r="FI2521" s="128"/>
      <c r="FJ2521" s="128"/>
      <c r="FK2521" s="128"/>
      <c r="FL2521" s="128"/>
      <c r="FM2521" s="128"/>
      <c r="FN2521" s="128"/>
      <c r="FO2521" s="128"/>
      <c r="FP2521" s="128"/>
      <c r="FQ2521" s="128"/>
      <c r="FR2521" s="128"/>
      <c r="FS2521" s="128"/>
      <c r="FT2521" s="128"/>
      <c r="FU2521" s="128"/>
      <c r="FV2521" s="128"/>
      <c r="FW2521" s="128"/>
      <c r="FX2521" s="128"/>
      <c r="FY2521" s="128"/>
      <c r="FZ2521" s="128"/>
      <c r="GA2521" s="128"/>
      <c r="GB2521" s="128"/>
      <c r="GC2521" s="128"/>
      <c r="GD2521" s="128"/>
      <c r="GE2521" s="128"/>
      <c r="GF2521" s="128"/>
      <c r="GG2521" s="128"/>
      <c r="GH2521" s="128"/>
      <c r="GI2521" s="128"/>
      <c r="GJ2521" s="128"/>
      <c r="GK2521" s="128"/>
      <c r="GL2521" s="128"/>
      <c r="GM2521" s="128"/>
      <c r="GN2521" s="128"/>
      <c r="GO2521" s="128"/>
      <c r="GP2521" s="128"/>
      <c r="GQ2521" s="128"/>
      <c r="GR2521" s="128"/>
      <c r="GS2521" s="128"/>
      <c r="GT2521" s="128"/>
      <c r="GU2521" s="128"/>
      <c r="GV2521" s="128"/>
      <c r="GW2521" s="128"/>
      <c r="GX2521" s="128"/>
      <c r="GY2521" s="128"/>
      <c r="GZ2521" s="128"/>
      <c r="HA2521" s="128"/>
      <c r="HB2521" s="128"/>
      <c r="HC2521" s="128"/>
      <c r="HD2521" s="128"/>
      <c r="HE2521" s="128"/>
      <c r="HF2521" s="128"/>
      <c r="HG2521" s="128"/>
      <c r="HH2521" s="128"/>
      <c r="HI2521" s="128"/>
      <c r="HJ2521" s="128"/>
      <c r="HK2521" s="128"/>
      <c r="HL2521" s="128"/>
      <c r="HM2521" s="128"/>
      <c r="HN2521" s="128"/>
      <c r="HO2521" s="128"/>
      <c r="HP2521" s="128"/>
      <c r="HQ2521" s="128"/>
      <c r="HR2521" s="128"/>
      <c r="HS2521" s="128"/>
      <c r="HT2521" s="128"/>
      <c r="HU2521" s="128"/>
      <c r="HV2521" s="128"/>
      <c r="HW2521" s="128"/>
      <c r="HX2521" s="128"/>
      <c r="HY2521" s="128"/>
      <c r="HZ2521" s="128"/>
      <c r="IA2521" s="128"/>
      <c r="IB2521" s="128"/>
      <c r="IC2521" s="128"/>
      <c r="ID2521" s="128"/>
      <c r="IE2521" s="128"/>
      <c r="IF2521" s="128"/>
      <c r="IG2521" s="128"/>
      <c r="IH2521" s="128"/>
      <c r="II2521" s="128"/>
      <c r="IJ2521" s="128"/>
    </row>
    <row r="2522" spans="1:244" ht="12.75" customHeight="1">
      <c r="B2522" s="128"/>
      <c r="C2522" s="181"/>
      <c r="E2522" s="8"/>
      <c r="F2522" s="172"/>
      <c r="G2522" s="172"/>
      <c r="H2522" s="128"/>
      <c r="I2522" s="160"/>
      <c r="J2522" s="128"/>
      <c r="K2522" s="128"/>
      <c r="L2522" s="128"/>
      <c r="M2522" s="439" t="s">
        <v>799</v>
      </c>
      <c r="N2522" s="170">
        <f>COUNTIF(N2:N2507,"h")</f>
        <v>67</v>
      </c>
      <c r="O2522" s="412">
        <f t="shared" si="664"/>
        <v>29.515418502202646</v>
      </c>
      <c r="P2522" s="170"/>
      <c r="Q2522" s="128"/>
      <c r="R2522" s="128"/>
      <c r="S2522" s="180"/>
      <c r="T2522" s="128"/>
      <c r="U2522" s="171"/>
      <c r="V2522" s="128"/>
      <c r="W2522" s="128"/>
      <c r="X2522" s="128"/>
      <c r="Y2522" s="128"/>
      <c r="Z2522" s="128"/>
      <c r="AA2522" s="128"/>
      <c r="AB2522" s="128"/>
      <c r="AC2522" s="128"/>
      <c r="AD2522" s="128"/>
      <c r="AE2522" s="128"/>
      <c r="AF2522" s="128"/>
      <c r="AG2522" s="128"/>
      <c r="AH2522" s="128"/>
      <c r="AI2522" s="128"/>
      <c r="AJ2522" s="128"/>
      <c r="AK2522" s="128"/>
      <c r="AL2522" s="128"/>
      <c r="AM2522" s="128"/>
      <c r="AN2522" s="128"/>
      <c r="AO2522" s="128"/>
      <c r="AP2522" s="128"/>
      <c r="AQ2522" s="128"/>
      <c r="AR2522" s="128"/>
      <c r="AS2522" s="128"/>
      <c r="AT2522" s="128"/>
      <c r="AU2522" s="128"/>
      <c r="AV2522" s="128"/>
      <c r="AW2522" s="128"/>
      <c r="AX2522" s="128"/>
      <c r="AY2522" s="128"/>
      <c r="AZ2522" s="128"/>
      <c r="BA2522" s="128"/>
      <c r="BB2522" s="128"/>
      <c r="BC2522" s="128"/>
      <c r="BD2522" s="128"/>
      <c r="BE2522" s="128"/>
      <c r="BF2522" s="128"/>
      <c r="BG2522" s="128"/>
      <c r="BH2522" s="128"/>
      <c r="BI2522" s="128"/>
      <c r="BJ2522" s="128"/>
      <c r="BK2522" s="128"/>
      <c r="BL2522" s="128"/>
      <c r="BM2522" s="128"/>
      <c r="BN2522" s="128"/>
      <c r="BO2522" s="128"/>
      <c r="BP2522" s="128"/>
      <c r="BQ2522" s="128"/>
      <c r="BR2522" s="128"/>
      <c r="BS2522" s="128"/>
      <c r="BT2522" s="128"/>
      <c r="BU2522" s="128"/>
      <c r="BV2522" s="128"/>
      <c r="BW2522" s="128"/>
      <c r="BX2522" s="128"/>
      <c r="BY2522" s="128"/>
      <c r="BZ2522" s="128"/>
      <c r="CA2522" s="128"/>
      <c r="CB2522" s="128"/>
      <c r="CC2522" s="128"/>
      <c r="CD2522" s="128"/>
      <c r="CE2522" s="128"/>
      <c r="CF2522" s="128"/>
      <c r="CG2522" s="128"/>
      <c r="CH2522" s="128"/>
      <c r="CI2522" s="128"/>
      <c r="CJ2522" s="128"/>
      <c r="CK2522" s="128"/>
      <c r="CL2522" s="128"/>
      <c r="CM2522" s="128"/>
      <c r="CN2522" s="128"/>
      <c r="CO2522" s="128"/>
      <c r="CP2522" s="128"/>
      <c r="CQ2522" s="128"/>
      <c r="CR2522" s="128"/>
      <c r="CS2522" s="128"/>
      <c r="CT2522" s="128"/>
      <c r="CU2522" s="128"/>
      <c r="CV2522" s="128"/>
      <c r="CW2522" s="128"/>
      <c r="CX2522" s="128"/>
      <c r="CY2522" s="128"/>
      <c r="CZ2522" s="128"/>
      <c r="DA2522" s="128"/>
      <c r="DB2522" s="128"/>
      <c r="DC2522" s="128"/>
      <c r="DD2522" s="128"/>
      <c r="DE2522" s="128"/>
      <c r="DF2522" s="128"/>
      <c r="DG2522" s="128"/>
      <c r="DH2522" s="128"/>
      <c r="DI2522" s="128"/>
      <c r="DJ2522" s="128"/>
      <c r="DK2522" s="128"/>
      <c r="DL2522" s="128"/>
      <c r="DM2522" s="128"/>
      <c r="DN2522" s="128"/>
      <c r="DO2522" s="128"/>
      <c r="DP2522" s="128"/>
      <c r="DQ2522" s="128"/>
      <c r="DR2522" s="128"/>
      <c r="DS2522" s="128"/>
      <c r="DT2522" s="128"/>
      <c r="DU2522" s="128"/>
      <c r="DV2522" s="128"/>
      <c r="DW2522" s="128"/>
      <c r="DX2522" s="128"/>
      <c r="DY2522" s="128"/>
      <c r="DZ2522" s="128"/>
      <c r="EA2522" s="128"/>
      <c r="EB2522" s="128"/>
      <c r="EC2522" s="128"/>
      <c r="ED2522" s="128"/>
      <c r="EE2522" s="128"/>
      <c r="EF2522" s="128"/>
      <c r="EG2522" s="128"/>
      <c r="EH2522" s="128"/>
      <c r="EI2522" s="128"/>
      <c r="EJ2522" s="128"/>
      <c r="EK2522" s="128"/>
      <c r="EL2522" s="128"/>
      <c r="EM2522" s="128"/>
      <c r="EN2522" s="128"/>
      <c r="EO2522" s="128"/>
      <c r="EP2522" s="128"/>
      <c r="EQ2522" s="128"/>
      <c r="ER2522" s="128"/>
      <c r="ES2522" s="128"/>
      <c r="ET2522" s="128"/>
      <c r="EU2522" s="128"/>
      <c r="EV2522" s="128"/>
      <c r="EW2522" s="128"/>
      <c r="EX2522" s="128"/>
      <c r="EY2522" s="128"/>
      <c r="EZ2522" s="128"/>
      <c r="FA2522" s="128"/>
      <c r="FB2522" s="128"/>
      <c r="FC2522" s="128"/>
      <c r="FD2522" s="128"/>
      <c r="FE2522" s="128"/>
      <c r="FF2522" s="128"/>
      <c r="FG2522" s="128"/>
      <c r="FH2522" s="128"/>
      <c r="FI2522" s="128"/>
      <c r="FJ2522" s="128"/>
      <c r="FK2522" s="128"/>
      <c r="FL2522" s="128"/>
      <c r="FM2522" s="128"/>
      <c r="FN2522" s="128"/>
      <c r="FO2522" s="128"/>
      <c r="FP2522" s="128"/>
      <c r="FQ2522" s="128"/>
      <c r="FR2522" s="128"/>
      <c r="FS2522" s="128"/>
      <c r="FT2522" s="128"/>
      <c r="FU2522" s="128"/>
      <c r="FV2522" s="128"/>
      <c r="FW2522" s="128"/>
      <c r="FX2522" s="128"/>
      <c r="FY2522" s="128"/>
      <c r="FZ2522" s="128"/>
      <c r="GA2522" s="128"/>
      <c r="GB2522" s="128"/>
      <c r="GC2522" s="128"/>
      <c r="GD2522" s="128"/>
      <c r="GE2522" s="128"/>
      <c r="GF2522" s="128"/>
      <c r="GG2522" s="128"/>
      <c r="GH2522" s="128"/>
      <c r="GI2522" s="128"/>
      <c r="GJ2522" s="128"/>
      <c r="GK2522" s="128"/>
      <c r="GL2522" s="128"/>
      <c r="GM2522" s="128"/>
      <c r="GN2522" s="128"/>
      <c r="GO2522" s="128"/>
      <c r="GP2522" s="128"/>
      <c r="GQ2522" s="128"/>
      <c r="GR2522" s="128"/>
      <c r="GS2522" s="128"/>
      <c r="GT2522" s="128"/>
      <c r="GU2522" s="128"/>
      <c r="GV2522" s="128"/>
      <c r="GW2522" s="128"/>
      <c r="GX2522" s="128"/>
      <c r="GY2522" s="128"/>
      <c r="GZ2522" s="128"/>
      <c r="HA2522" s="128"/>
      <c r="HB2522" s="128"/>
      <c r="HC2522" s="128"/>
      <c r="HD2522" s="128"/>
      <c r="HE2522" s="128"/>
      <c r="HF2522" s="128"/>
      <c r="HG2522" s="128"/>
      <c r="HH2522" s="128"/>
      <c r="HI2522" s="128"/>
      <c r="HJ2522" s="128"/>
      <c r="HK2522" s="128"/>
      <c r="HL2522" s="128"/>
      <c r="HM2522" s="128"/>
      <c r="HN2522" s="128"/>
      <c r="HO2522" s="128"/>
      <c r="HP2522" s="128"/>
      <c r="HQ2522" s="128"/>
      <c r="HR2522" s="128"/>
      <c r="HS2522" s="128"/>
      <c r="HT2522" s="128"/>
      <c r="HU2522" s="128"/>
      <c r="HV2522" s="128"/>
      <c r="HW2522" s="128"/>
      <c r="HX2522" s="128"/>
      <c r="HY2522" s="128"/>
      <c r="HZ2522" s="128"/>
      <c r="IA2522" s="128"/>
      <c r="IB2522" s="128"/>
      <c r="IC2522" s="128"/>
      <c r="ID2522" s="128"/>
      <c r="IE2522" s="128"/>
      <c r="IF2522" s="128"/>
      <c r="IG2522" s="128"/>
      <c r="IH2522" s="128"/>
      <c r="II2522" s="128"/>
      <c r="IJ2522" s="128"/>
    </row>
    <row r="2523" spans="1:244" ht="12.75" customHeight="1">
      <c r="B2523" s="128"/>
      <c r="C2523" s="181"/>
      <c r="E2523" s="8"/>
      <c r="F2523" s="172"/>
      <c r="G2523" s="172"/>
      <c r="H2523" s="128"/>
      <c r="I2523" s="160"/>
      <c r="J2523" s="128"/>
      <c r="K2523" s="128"/>
      <c r="L2523" s="128"/>
      <c r="M2523" s="439" t="s">
        <v>800</v>
      </c>
      <c r="N2523" s="170">
        <f>COUNTIF(N2:N2507,"o")</f>
        <v>6</v>
      </c>
      <c r="O2523" s="412">
        <f t="shared" si="664"/>
        <v>2.643171806167401</v>
      </c>
      <c r="P2523" s="170"/>
      <c r="Q2523" s="128"/>
      <c r="R2523" s="128"/>
      <c r="S2523" s="180"/>
      <c r="T2523" s="128"/>
      <c r="U2523" s="171"/>
      <c r="V2523" s="128"/>
      <c r="W2523" s="128"/>
      <c r="X2523" s="128"/>
      <c r="Y2523" s="128"/>
      <c r="Z2523" s="128"/>
      <c r="AA2523" s="128"/>
      <c r="AB2523" s="128"/>
      <c r="AC2523" s="128"/>
      <c r="AD2523" s="128"/>
      <c r="AE2523" s="128"/>
      <c r="AF2523" s="128"/>
      <c r="AG2523" s="128"/>
      <c r="AH2523" s="128"/>
      <c r="AI2523" s="128"/>
      <c r="AJ2523" s="128"/>
      <c r="AK2523" s="128"/>
      <c r="AL2523" s="128"/>
      <c r="AM2523" s="128"/>
      <c r="AN2523" s="128"/>
      <c r="AO2523" s="128"/>
      <c r="AP2523" s="128"/>
      <c r="AQ2523" s="128"/>
      <c r="AR2523" s="128"/>
      <c r="AS2523" s="128"/>
      <c r="AT2523" s="128"/>
      <c r="AU2523" s="128"/>
      <c r="AV2523" s="128"/>
      <c r="AW2523" s="128"/>
      <c r="AX2523" s="128"/>
      <c r="AY2523" s="128"/>
      <c r="AZ2523" s="128"/>
      <c r="BA2523" s="128"/>
      <c r="BB2523" s="128"/>
      <c r="BC2523" s="128"/>
      <c r="BD2523" s="128"/>
      <c r="BE2523" s="128"/>
      <c r="BF2523" s="128"/>
      <c r="BG2523" s="128"/>
      <c r="BH2523" s="128"/>
      <c r="BI2523" s="128"/>
      <c r="BJ2523" s="128"/>
      <c r="BK2523" s="128"/>
      <c r="BL2523" s="128"/>
      <c r="BM2523" s="128"/>
      <c r="BN2523" s="128"/>
      <c r="BO2523" s="128"/>
      <c r="BP2523" s="128"/>
      <c r="BQ2523" s="128"/>
      <c r="BR2523" s="128"/>
      <c r="BS2523" s="128"/>
      <c r="BT2523" s="128"/>
      <c r="BU2523" s="128"/>
      <c r="BV2523" s="128"/>
      <c r="BW2523" s="128"/>
      <c r="BX2523" s="128"/>
      <c r="BY2523" s="128"/>
      <c r="BZ2523" s="128"/>
      <c r="CA2523" s="128"/>
      <c r="CB2523" s="128"/>
      <c r="CC2523" s="128"/>
      <c r="CD2523" s="128"/>
      <c r="CE2523" s="128"/>
      <c r="CF2523" s="128"/>
      <c r="CG2523" s="128"/>
      <c r="CH2523" s="128"/>
      <c r="CI2523" s="128"/>
      <c r="CJ2523" s="128"/>
      <c r="CK2523" s="128"/>
      <c r="CL2523" s="128"/>
      <c r="CM2523" s="128"/>
      <c r="CN2523" s="128"/>
      <c r="CO2523" s="128"/>
      <c r="CP2523" s="128"/>
      <c r="CQ2523" s="128"/>
      <c r="CR2523" s="128"/>
      <c r="CS2523" s="128"/>
      <c r="CT2523" s="128"/>
      <c r="CU2523" s="128"/>
      <c r="CV2523" s="128"/>
      <c r="CW2523" s="128"/>
      <c r="CX2523" s="128"/>
      <c r="CY2523" s="128"/>
      <c r="CZ2523" s="128"/>
      <c r="DA2523" s="128"/>
      <c r="DB2523" s="128"/>
      <c r="DC2523" s="128"/>
      <c r="DD2523" s="128"/>
      <c r="DE2523" s="128"/>
      <c r="DF2523" s="128"/>
      <c r="DG2523" s="128"/>
      <c r="DH2523" s="128"/>
      <c r="DI2523" s="128"/>
      <c r="DJ2523" s="128"/>
      <c r="DK2523" s="128"/>
      <c r="DL2523" s="128"/>
      <c r="DM2523" s="128"/>
      <c r="DN2523" s="128"/>
      <c r="DO2523" s="128"/>
      <c r="DP2523" s="128"/>
      <c r="DQ2523" s="128"/>
      <c r="DR2523" s="128"/>
      <c r="DS2523" s="128"/>
      <c r="DT2523" s="128"/>
      <c r="DU2523" s="128"/>
      <c r="DV2523" s="128"/>
      <c r="DW2523" s="128"/>
      <c r="DX2523" s="128"/>
      <c r="DY2523" s="128"/>
      <c r="DZ2523" s="128"/>
      <c r="EA2523" s="128"/>
      <c r="EB2523" s="128"/>
      <c r="EC2523" s="128"/>
      <c r="ED2523" s="128"/>
      <c r="EE2523" s="128"/>
      <c r="EF2523" s="128"/>
      <c r="EG2523" s="128"/>
      <c r="EH2523" s="128"/>
      <c r="EI2523" s="128"/>
      <c r="EJ2523" s="128"/>
      <c r="EK2523" s="128"/>
      <c r="EL2523" s="128"/>
      <c r="EM2523" s="128"/>
      <c r="EN2523" s="128"/>
      <c r="EO2523" s="128"/>
      <c r="EP2523" s="128"/>
      <c r="EQ2523" s="128"/>
      <c r="ER2523" s="128"/>
      <c r="ES2523" s="128"/>
      <c r="ET2523" s="128"/>
      <c r="EU2523" s="128"/>
      <c r="EV2523" s="128"/>
      <c r="EW2523" s="128"/>
      <c r="EX2523" s="128"/>
      <c r="EY2523" s="128"/>
      <c r="EZ2523" s="128"/>
      <c r="FA2523" s="128"/>
      <c r="FB2523" s="128"/>
      <c r="FC2523" s="128"/>
      <c r="FD2523" s="128"/>
      <c r="FE2523" s="128"/>
      <c r="FF2523" s="128"/>
      <c r="FG2523" s="128"/>
      <c r="FH2523" s="128"/>
      <c r="FI2523" s="128"/>
      <c r="FJ2523" s="128"/>
      <c r="FK2523" s="128"/>
      <c r="FL2523" s="128"/>
      <c r="FM2523" s="128"/>
      <c r="FN2523" s="128"/>
      <c r="FO2523" s="128"/>
      <c r="FP2523" s="128"/>
      <c r="FQ2523" s="128"/>
      <c r="FR2523" s="128"/>
      <c r="FS2523" s="128"/>
      <c r="FT2523" s="128"/>
      <c r="FU2523" s="128"/>
      <c r="FV2523" s="128"/>
      <c r="FW2523" s="128"/>
      <c r="FX2523" s="128"/>
      <c r="FY2523" s="128"/>
      <c r="FZ2523" s="128"/>
      <c r="GA2523" s="128"/>
      <c r="GB2523" s="128"/>
      <c r="GC2523" s="128"/>
      <c r="GD2523" s="128"/>
      <c r="GE2523" s="128"/>
      <c r="GF2523" s="128"/>
      <c r="GG2523" s="128"/>
      <c r="GH2523" s="128"/>
      <c r="GI2523" s="128"/>
      <c r="GJ2523" s="128"/>
      <c r="GK2523" s="128"/>
      <c r="GL2523" s="128"/>
      <c r="GM2523" s="128"/>
      <c r="GN2523" s="128"/>
      <c r="GO2523" s="128"/>
      <c r="GP2523" s="128"/>
      <c r="GQ2523" s="128"/>
      <c r="GR2523" s="128"/>
      <c r="GS2523" s="128"/>
      <c r="GT2523" s="128"/>
      <c r="GU2523" s="128"/>
      <c r="GV2523" s="128"/>
      <c r="GW2523" s="128"/>
      <c r="GX2523" s="128"/>
      <c r="GY2523" s="128"/>
      <c r="GZ2523" s="128"/>
      <c r="HA2523" s="128"/>
      <c r="HB2523" s="128"/>
      <c r="HC2523" s="128"/>
      <c r="HD2523" s="128"/>
      <c r="HE2523" s="128"/>
      <c r="HF2523" s="128"/>
      <c r="HG2523" s="128"/>
      <c r="HH2523" s="128"/>
      <c r="HI2523" s="128"/>
      <c r="HJ2523" s="128"/>
      <c r="HK2523" s="128"/>
      <c r="HL2523" s="128"/>
      <c r="HM2523" s="128"/>
      <c r="HN2523" s="128"/>
      <c r="HO2523" s="128"/>
      <c r="HP2523" s="128"/>
      <c r="HQ2523" s="128"/>
      <c r="HR2523" s="128"/>
      <c r="HS2523" s="128"/>
      <c r="HT2523" s="128"/>
      <c r="HU2523" s="128"/>
      <c r="HV2523" s="128"/>
      <c r="HW2523" s="128"/>
      <c r="HX2523" s="128"/>
      <c r="HY2523" s="128"/>
      <c r="HZ2523" s="128"/>
      <c r="IA2523" s="128"/>
      <c r="IB2523" s="128"/>
      <c r="IC2523" s="128"/>
      <c r="ID2523" s="128"/>
      <c r="IE2523" s="128"/>
      <c r="IF2523" s="128"/>
      <c r="IG2523" s="128"/>
      <c r="IH2523" s="128"/>
      <c r="II2523" s="128"/>
      <c r="IJ2523" s="128"/>
    </row>
    <row r="2524" spans="1:244" ht="12.75" customHeight="1">
      <c r="B2524" s="128"/>
      <c r="C2524" s="181"/>
      <c r="E2524" s="8"/>
      <c r="F2524" s="172"/>
      <c r="G2524" s="172"/>
      <c r="H2524" s="128"/>
      <c r="I2524" s="160"/>
      <c r="J2524" s="128"/>
      <c r="K2524" s="128"/>
      <c r="L2524" s="128"/>
      <c r="M2524" s="439" t="s">
        <v>802</v>
      </c>
      <c r="N2524" s="170">
        <f>COUNTIF(N2:N2507,"s")</f>
        <v>57</v>
      </c>
      <c r="O2524" s="412">
        <f t="shared" si="664"/>
        <v>25.110132158590307</v>
      </c>
      <c r="P2524" s="170"/>
      <c r="Q2524" s="128"/>
      <c r="R2524" s="128"/>
      <c r="S2524" s="180"/>
      <c r="T2524" s="128"/>
      <c r="U2524" s="171"/>
      <c r="V2524" s="128"/>
      <c r="W2524" s="128"/>
      <c r="X2524" s="128"/>
      <c r="Y2524" s="128"/>
      <c r="Z2524" s="128"/>
      <c r="AA2524" s="128"/>
      <c r="AB2524" s="128"/>
      <c r="AC2524" s="128"/>
      <c r="AD2524" s="128"/>
      <c r="AE2524" s="128"/>
      <c r="AF2524" s="128"/>
      <c r="AG2524" s="128"/>
      <c r="AH2524" s="128"/>
      <c r="AI2524" s="128"/>
      <c r="AJ2524" s="128"/>
      <c r="AK2524" s="128"/>
      <c r="AL2524" s="128"/>
      <c r="AM2524" s="128"/>
      <c r="AN2524" s="128"/>
      <c r="AO2524" s="128"/>
      <c r="AP2524" s="128"/>
      <c r="AQ2524" s="128"/>
      <c r="AR2524" s="128"/>
      <c r="AS2524" s="128"/>
      <c r="AT2524" s="128"/>
      <c r="AU2524" s="128"/>
      <c r="AV2524" s="128"/>
      <c r="AW2524" s="128"/>
      <c r="AX2524" s="128"/>
      <c r="AY2524" s="128"/>
      <c r="AZ2524" s="128"/>
      <c r="BA2524" s="128"/>
      <c r="BB2524" s="128"/>
      <c r="BC2524" s="128"/>
      <c r="BD2524" s="128"/>
      <c r="BE2524" s="128"/>
      <c r="BF2524" s="128"/>
      <c r="BG2524" s="128"/>
      <c r="BH2524" s="128"/>
      <c r="BI2524" s="128"/>
      <c r="BJ2524" s="128"/>
      <c r="BK2524" s="128"/>
      <c r="BL2524" s="128"/>
      <c r="BM2524" s="128"/>
      <c r="BN2524" s="128"/>
      <c r="BO2524" s="128"/>
      <c r="BP2524" s="128"/>
      <c r="BQ2524" s="128"/>
      <c r="BR2524" s="128"/>
      <c r="BS2524" s="128"/>
      <c r="BT2524" s="128"/>
      <c r="BU2524" s="128"/>
      <c r="BV2524" s="128"/>
      <c r="BW2524" s="128"/>
      <c r="BX2524" s="128"/>
      <c r="BY2524" s="128"/>
      <c r="BZ2524" s="128"/>
      <c r="CA2524" s="128"/>
      <c r="CB2524" s="128"/>
      <c r="CC2524" s="128"/>
      <c r="CD2524" s="128"/>
      <c r="CE2524" s="128"/>
      <c r="CF2524" s="128"/>
      <c r="CG2524" s="128"/>
      <c r="CH2524" s="128"/>
      <c r="CI2524" s="128"/>
      <c r="CJ2524" s="128"/>
      <c r="CK2524" s="128"/>
      <c r="CL2524" s="128"/>
      <c r="CM2524" s="128"/>
      <c r="CN2524" s="128"/>
      <c r="CO2524" s="128"/>
      <c r="CP2524" s="128"/>
      <c r="CQ2524" s="128"/>
      <c r="CR2524" s="128"/>
      <c r="CS2524" s="128"/>
      <c r="CT2524" s="128"/>
      <c r="CU2524" s="128"/>
      <c r="CV2524" s="128"/>
      <c r="CW2524" s="128"/>
      <c r="CX2524" s="128"/>
      <c r="CY2524" s="128"/>
      <c r="CZ2524" s="128"/>
      <c r="DA2524" s="128"/>
      <c r="DB2524" s="128"/>
      <c r="DC2524" s="128"/>
      <c r="DD2524" s="128"/>
      <c r="DE2524" s="128"/>
      <c r="DF2524" s="128"/>
      <c r="DG2524" s="128"/>
      <c r="DH2524" s="128"/>
      <c r="DI2524" s="128"/>
      <c r="DJ2524" s="128"/>
      <c r="DK2524" s="128"/>
      <c r="DL2524" s="128"/>
      <c r="DM2524" s="128"/>
      <c r="DN2524" s="128"/>
      <c r="DO2524" s="128"/>
      <c r="DP2524" s="128"/>
      <c r="DQ2524" s="128"/>
      <c r="DR2524" s="128"/>
      <c r="DS2524" s="128"/>
      <c r="DT2524" s="128"/>
      <c r="DU2524" s="128"/>
      <c r="DV2524" s="128"/>
      <c r="DW2524" s="128"/>
      <c r="DX2524" s="128"/>
      <c r="DY2524" s="128"/>
      <c r="DZ2524" s="128"/>
      <c r="EA2524" s="128"/>
      <c r="EB2524" s="128"/>
      <c r="EC2524" s="128"/>
      <c r="ED2524" s="128"/>
      <c r="EE2524" s="128"/>
      <c r="EF2524" s="128"/>
      <c r="EG2524" s="128"/>
      <c r="EH2524" s="128"/>
      <c r="EI2524" s="128"/>
      <c r="EJ2524" s="128"/>
      <c r="EK2524" s="128"/>
      <c r="EL2524" s="128"/>
      <c r="EM2524" s="128"/>
      <c r="EN2524" s="128"/>
      <c r="EO2524" s="128"/>
      <c r="EP2524" s="128"/>
      <c r="EQ2524" s="128"/>
      <c r="ER2524" s="128"/>
      <c r="ES2524" s="128"/>
      <c r="ET2524" s="128"/>
      <c r="EU2524" s="128"/>
      <c r="EV2524" s="128"/>
      <c r="EW2524" s="128"/>
      <c r="EX2524" s="128"/>
      <c r="EY2524" s="128"/>
      <c r="EZ2524" s="128"/>
      <c r="FA2524" s="128"/>
      <c r="FB2524" s="128"/>
      <c r="FC2524" s="128"/>
      <c r="FD2524" s="128"/>
      <c r="FE2524" s="128"/>
      <c r="FF2524" s="128"/>
      <c r="FG2524" s="128"/>
      <c r="FH2524" s="128"/>
      <c r="FI2524" s="128"/>
      <c r="FJ2524" s="128"/>
      <c r="FK2524" s="128"/>
      <c r="FL2524" s="128"/>
      <c r="FM2524" s="128"/>
      <c r="FN2524" s="128"/>
      <c r="FO2524" s="128"/>
      <c r="FP2524" s="128"/>
      <c r="FQ2524" s="128"/>
      <c r="FR2524" s="128"/>
      <c r="FS2524" s="128"/>
      <c r="FT2524" s="128"/>
      <c r="FU2524" s="128"/>
      <c r="FV2524" s="128"/>
      <c r="FW2524" s="128"/>
      <c r="FX2524" s="128"/>
      <c r="FY2524" s="128"/>
      <c r="FZ2524" s="128"/>
      <c r="GA2524" s="128"/>
      <c r="GB2524" s="128"/>
      <c r="GC2524" s="128"/>
      <c r="GD2524" s="128"/>
      <c r="GE2524" s="128"/>
      <c r="GF2524" s="128"/>
      <c r="GG2524" s="128"/>
      <c r="GH2524" s="128"/>
      <c r="GI2524" s="128"/>
      <c r="GJ2524" s="128"/>
      <c r="GK2524" s="128"/>
      <c r="GL2524" s="128"/>
      <c r="GM2524" s="128"/>
      <c r="GN2524" s="128"/>
      <c r="GO2524" s="128"/>
      <c r="GP2524" s="128"/>
      <c r="GQ2524" s="128"/>
      <c r="GR2524" s="128"/>
      <c r="GS2524" s="128"/>
      <c r="GT2524" s="128"/>
      <c r="GU2524" s="128"/>
      <c r="GV2524" s="128"/>
      <c r="GW2524" s="128"/>
      <c r="GX2524" s="128"/>
      <c r="GY2524" s="128"/>
      <c r="GZ2524" s="128"/>
      <c r="HA2524" s="128"/>
      <c r="HB2524" s="128"/>
      <c r="HC2524" s="128"/>
      <c r="HD2524" s="128"/>
      <c r="HE2524" s="128"/>
      <c r="HF2524" s="128"/>
      <c r="HG2524" s="128"/>
      <c r="HH2524" s="128"/>
      <c r="HI2524" s="128"/>
      <c r="HJ2524" s="128"/>
      <c r="HK2524" s="128"/>
      <c r="HL2524" s="128"/>
      <c r="HM2524" s="128"/>
      <c r="HN2524" s="128"/>
      <c r="HO2524" s="128"/>
      <c r="HP2524" s="128"/>
      <c r="HQ2524" s="128"/>
      <c r="HR2524" s="128"/>
      <c r="HS2524" s="128"/>
      <c r="HT2524" s="128"/>
      <c r="HU2524" s="128"/>
      <c r="HV2524" s="128"/>
      <c r="HW2524" s="128"/>
      <c r="HX2524" s="128"/>
      <c r="HY2524" s="128"/>
      <c r="HZ2524" s="128"/>
      <c r="IA2524" s="128"/>
      <c r="IB2524" s="128"/>
      <c r="IC2524" s="128"/>
      <c r="ID2524" s="128"/>
      <c r="IE2524" s="128"/>
      <c r="IF2524" s="128"/>
      <c r="IG2524" s="128"/>
      <c r="IH2524" s="128"/>
      <c r="II2524" s="128"/>
      <c r="IJ2524" s="128"/>
    </row>
    <row r="2525" spans="1:244" ht="12.75" customHeight="1">
      <c r="B2525" s="128"/>
      <c r="C2525" s="181"/>
      <c r="E2525" s="8"/>
      <c r="F2525" s="172"/>
      <c r="G2525" s="172"/>
      <c r="H2525" s="128"/>
      <c r="I2525" s="160"/>
      <c r="J2525" s="128"/>
      <c r="K2525" s="128"/>
      <c r="L2525" s="128"/>
      <c r="M2525" s="439" t="s">
        <v>801</v>
      </c>
      <c r="N2525" s="534">
        <f>COUNTIF(N2:N2507,"t")</f>
        <v>24</v>
      </c>
      <c r="O2525" s="376">
        <f t="shared" si="664"/>
        <v>10.572687224669604</v>
      </c>
      <c r="P2525" s="170"/>
      <c r="Q2525" s="128"/>
      <c r="R2525" s="128"/>
      <c r="S2525" s="180"/>
      <c r="T2525" s="128"/>
      <c r="U2525" s="171"/>
      <c r="V2525" s="128"/>
      <c r="W2525" s="128"/>
      <c r="X2525" s="128"/>
      <c r="Y2525" s="128"/>
      <c r="Z2525" s="128"/>
      <c r="AA2525" s="128"/>
      <c r="AB2525" s="128"/>
      <c r="AC2525" s="128"/>
      <c r="AD2525" s="128"/>
      <c r="AE2525" s="128"/>
      <c r="AF2525" s="128"/>
      <c r="AG2525" s="128"/>
      <c r="AH2525" s="128"/>
      <c r="AI2525" s="128"/>
      <c r="AJ2525" s="128"/>
      <c r="AK2525" s="128"/>
      <c r="AL2525" s="128"/>
      <c r="AM2525" s="128"/>
      <c r="AN2525" s="128"/>
      <c r="AO2525" s="128"/>
      <c r="AP2525" s="128"/>
      <c r="AQ2525" s="128"/>
      <c r="AR2525" s="128"/>
      <c r="AS2525" s="128"/>
      <c r="AT2525" s="128"/>
      <c r="AU2525" s="128"/>
      <c r="AV2525" s="128"/>
      <c r="AW2525" s="128"/>
      <c r="AX2525" s="128"/>
      <c r="AY2525" s="128"/>
      <c r="AZ2525" s="128"/>
      <c r="BA2525" s="128"/>
      <c r="BB2525" s="128"/>
      <c r="BC2525" s="128"/>
      <c r="BD2525" s="128"/>
      <c r="BE2525" s="128"/>
      <c r="BF2525" s="128"/>
      <c r="BG2525" s="128"/>
      <c r="BH2525" s="128"/>
      <c r="BI2525" s="128"/>
      <c r="BJ2525" s="128"/>
      <c r="BK2525" s="128"/>
      <c r="BL2525" s="128"/>
      <c r="BM2525" s="128"/>
      <c r="BN2525" s="128"/>
      <c r="BO2525" s="128"/>
      <c r="BP2525" s="128"/>
      <c r="BQ2525" s="128"/>
      <c r="BR2525" s="128"/>
      <c r="BS2525" s="128"/>
      <c r="BT2525" s="128"/>
      <c r="BU2525" s="128"/>
      <c r="BV2525" s="128"/>
      <c r="BW2525" s="128"/>
      <c r="BX2525" s="128"/>
      <c r="BY2525" s="128"/>
      <c r="BZ2525" s="128"/>
      <c r="CA2525" s="128"/>
      <c r="CB2525" s="128"/>
      <c r="CC2525" s="128"/>
      <c r="CD2525" s="128"/>
      <c r="CE2525" s="128"/>
      <c r="CF2525" s="128"/>
      <c r="CG2525" s="128"/>
      <c r="CH2525" s="128"/>
      <c r="CI2525" s="128"/>
      <c r="CJ2525" s="128"/>
      <c r="CK2525" s="128"/>
      <c r="CL2525" s="128"/>
      <c r="CM2525" s="128"/>
      <c r="CN2525" s="128"/>
      <c r="CO2525" s="128"/>
      <c r="CP2525" s="128"/>
      <c r="CQ2525" s="128"/>
      <c r="CR2525" s="128"/>
      <c r="CS2525" s="128"/>
      <c r="CT2525" s="128"/>
      <c r="CU2525" s="128"/>
      <c r="CV2525" s="128"/>
      <c r="CW2525" s="128"/>
      <c r="CX2525" s="128"/>
      <c r="CY2525" s="128"/>
      <c r="CZ2525" s="128"/>
      <c r="DA2525" s="128"/>
      <c r="DB2525" s="128"/>
      <c r="DC2525" s="128"/>
      <c r="DD2525" s="128"/>
      <c r="DE2525" s="128"/>
      <c r="DF2525" s="128"/>
      <c r="DG2525" s="128"/>
      <c r="DH2525" s="128"/>
      <c r="DI2525" s="128"/>
      <c r="DJ2525" s="128"/>
      <c r="DK2525" s="128"/>
      <c r="DL2525" s="128"/>
      <c r="DM2525" s="128"/>
      <c r="DN2525" s="128"/>
      <c r="DO2525" s="128"/>
      <c r="DP2525" s="128"/>
      <c r="DQ2525" s="128"/>
      <c r="DR2525" s="128"/>
      <c r="DS2525" s="128"/>
      <c r="DT2525" s="128"/>
      <c r="DU2525" s="128"/>
      <c r="DV2525" s="128"/>
      <c r="DW2525" s="128"/>
      <c r="DX2525" s="128"/>
      <c r="DY2525" s="128"/>
      <c r="DZ2525" s="128"/>
      <c r="EA2525" s="128"/>
      <c r="EB2525" s="128"/>
      <c r="EC2525" s="128"/>
      <c r="ED2525" s="128"/>
      <c r="EE2525" s="128"/>
      <c r="EF2525" s="128"/>
      <c r="EG2525" s="128"/>
      <c r="EH2525" s="128"/>
      <c r="EI2525" s="128"/>
      <c r="EJ2525" s="128"/>
      <c r="EK2525" s="128"/>
      <c r="EL2525" s="128"/>
      <c r="EM2525" s="128"/>
      <c r="EN2525" s="128"/>
      <c r="EO2525" s="128"/>
      <c r="EP2525" s="128"/>
      <c r="EQ2525" s="128"/>
      <c r="ER2525" s="128"/>
      <c r="ES2525" s="128"/>
      <c r="ET2525" s="128"/>
      <c r="EU2525" s="128"/>
      <c r="EV2525" s="128"/>
      <c r="EW2525" s="128"/>
      <c r="EX2525" s="128"/>
      <c r="EY2525" s="128"/>
      <c r="EZ2525" s="128"/>
      <c r="FA2525" s="128"/>
      <c r="FB2525" s="128"/>
      <c r="FC2525" s="128"/>
      <c r="FD2525" s="128"/>
      <c r="FE2525" s="128"/>
      <c r="FF2525" s="128"/>
      <c r="FG2525" s="128"/>
      <c r="FH2525" s="128"/>
      <c r="FI2525" s="128"/>
      <c r="FJ2525" s="128"/>
      <c r="FK2525" s="128"/>
      <c r="FL2525" s="128"/>
      <c r="FM2525" s="128"/>
      <c r="FN2525" s="128"/>
      <c r="FO2525" s="128"/>
      <c r="FP2525" s="128"/>
      <c r="FQ2525" s="128"/>
      <c r="FR2525" s="128"/>
      <c r="FS2525" s="128"/>
      <c r="FT2525" s="128"/>
      <c r="FU2525" s="128"/>
      <c r="FV2525" s="128"/>
      <c r="FW2525" s="128"/>
      <c r="FX2525" s="128"/>
      <c r="FY2525" s="128"/>
      <c r="FZ2525" s="128"/>
      <c r="GA2525" s="128"/>
      <c r="GB2525" s="128"/>
      <c r="GC2525" s="128"/>
      <c r="GD2525" s="128"/>
      <c r="GE2525" s="128"/>
      <c r="GF2525" s="128"/>
      <c r="GG2525" s="128"/>
      <c r="GH2525" s="128"/>
      <c r="GI2525" s="128"/>
      <c r="GJ2525" s="128"/>
      <c r="GK2525" s="128"/>
      <c r="GL2525" s="128"/>
      <c r="GM2525" s="128"/>
      <c r="GN2525" s="128"/>
      <c r="GO2525" s="128"/>
      <c r="GP2525" s="128"/>
      <c r="GQ2525" s="128"/>
      <c r="GR2525" s="128"/>
      <c r="GS2525" s="128"/>
      <c r="GT2525" s="128"/>
      <c r="GU2525" s="128"/>
      <c r="GV2525" s="128"/>
      <c r="GW2525" s="128"/>
      <c r="GX2525" s="128"/>
      <c r="GY2525" s="128"/>
      <c r="GZ2525" s="128"/>
      <c r="HA2525" s="128"/>
      <c r="HB2525" s="128"/>
      <c r="HC2525" s="128"/>
      <c r="HD2525" s="128"/>
      <c r="HE2525" s="128"/>
      <c r="HF2525" s="128"/>
      <c r="HG2525" s="128"/>
      <c r="HH2525" s="128"/>
      <c r="HI2525" s="128"/>
      <c r="HJ2525" s="128"/>
      <c r="HK2525" s="128"/>
      <c r="HL2525" s="128"/>
      <c r="HM2525" s="128"/>
      <c r="HN2525" s="128"/>
      <c r="HO2525" s="128"/>
      <c r="HP2525" s="128"/>
      <c r="HQ2525" s="128"/>
      <c r="HR2525" s="128"/>
      <c r="HS2525" s="128"/>
      <c r="HT2525" s="128"/>
      <c r="HU2525" s="128"/>
      <c r="HV2525" s="128"/>
      <c r="HW2525" s="128"/>
      <c r="HX2525" s="128"/>
      <c r="HY2525" s="128"/>
      <c r="HZ2525" s="128"/>
      <c r="IA2525" s="128"/>
      <c r="IB2525" s="128"/>
      <c r="IC2525" s="128"/>
      <c r="ID2525" s="128"/>
      <c r="IE2525" s="128"/>
      <c r="IF2525" s="128"/>
      <c r="IG2525" s="128"/>
      <c r="IH2525" s="128"/>
      <c r="II2525" s="128"/>
      <c r="IJ2525" s="128"/>
    </row>
    <row r="2526" spans="1:244" ht="12.75" customHeight="1">
      <c r="B2526" s="128"/>
      <c r="C2526" s="181"/>
      <c r="E2526" s="8"/>
      <c r="F2526" s="172"/>
      <c r="G2526" s="172"/>
      <c r="H2526" s="128"/>
      <c r="I2526" s="160"/>
      <c r="J2526" s="128"/>
      <c r="K2526" s="128"/>
      <c r="L2526" s="128"/>
      <c r="M2526" s="439" t="s">
        <v>803</v>
      </c>
      <c r="N2526" s="533">
        <f>SUM(N2516:N2525)</f>
        <v>227</v>
      </c>
      <c r="O2526" s="533">
        <f>SUM(O2516:O2525)</f>
        <v>100</v>
      </c>
      <c r="P2526" s="170"/>
      <c r="Q2526" s="128"/>
      <c r="R2526" s="128"/>
      <c r="S2526" s="180"/>
      <c r="T2526" s="128"/>
      <c r="U2526" s="171"/>
      <c r="V2526" s="128"/>
      <c r="W2526" s="128"/>
      <c r="X2526" s="128"/>
      <c r="Y2526" s="128"/>
      <c r="Z2526" s="128"/>
      <c r="AA2526" s="128"/>
      <c r="AB2526" s="128"/>
      <c r="AC2526" s="128"/>
      <c r="AD2526" s="128"/>
      <c r="AE2526" s="128"/>
      <c r="AF2526" s="128"/>
      <c r="AG2526" s="128"/>
      <c r="AH2526" s="128"/>
      <c r="AI2526" s="128"/>
      <c r="AJ2526" s="128"/>
      <c r="AK2526" s="128"/>
      <c r="AL2526" s="128"/>
      <c r="AM2526" s="128"/>
      <c r="AN2526" s="128"/>
      <c r="AO2526" s="128"/>
      <c r="AP2526" s="128"/>
      <c r="AQ2526" s="128"/>
      <c r="AR2526" s="128"/>
      <c r="AS2526" s="128"/>
      <c r="AT2526" s="128"/>
      <c r="AU2526" s="128"/>
      <c r="AV2526" s="128"/>
      <c r="AW2526" s="128"/>
      <c r="AX2526" s="128"/>
      <c r="AY2526" s="128"/>
      <c r="AZ2526" s="128"/>
      <c r="BA2526" s="128"/>
      <c r="BB2526" s="128"/>
      <c r="BC2526" s="128"/>
      <c r="BD2526" s="128"/>
      <c r="BE2526" s="128"/>
      <c r="BF2526" s="128"/>
      <c r="BG2526" s="128"/>
      <c r="BH2526" s="128"/>
      <c r="BI2526" s="128"/>
      <c r="BJ2526" s="128"/>
      <c r="BK2526" s="128"/>
      <c r="BL2526" s="128"/>
      <c r="BM2526" s="128"/>
      <c r="BN2526" s="128"/>
      <c r="BO2526" s="128"/>
      <c r="BP2526" s="128"/>
      <c r="BQ2526" s="128"/>
      <c r="BR2526" s="128"/>
      <c r="BS2526" s="128"/>
      <c r="BT2526" s="128"/>
      <c r="BU2526" s="128"/>
      <c r="BV2526" s="128"/>
      <c r="BW2526" s="128"/>
      <c r="BX2526" s="128"/>
      <c r="BY2526" s="128"/>
      <c r="BZ2526" s="128"/>
      <c r="CA2526" s="128"/>
      <c r="CB2526" s="128"/>
      <c r="CC2526" s="128"/>
      <c r="CD2526" s="128"/>
      <c r="CE2526" s="128"/>
      <c r="CF2526" s="128"/>
      <c r="CG2526" s="128"/>
      <c r="CH2526" s="128"/>
      <c r="CI2526" s="128"/>
      <c r="CJ2526" s="128"/>
      <c r="CK2526" s="128"/>
      <c r="CL2526" s="128"/>
      <c r="CM2526" s="128"/>
      <c r="CN2526" s="128"/>
      <c r="CO2526" s="128"/>
      <c r="CP2526" s="128"/>
      <c r="CQ2526" s="128"/>
      <c r="CR2526" s="128"/>
      <c r="CS2526" s="128"/>
      <c r="CT2526" s="128"/>
      <c r="CU2526" s="128"/>
      <c r="CV2526" s="128"/>
      <c r="CW2526" s="128"/>
      <c r="CX2526" s="128"/>
      <c r="CY2526" s="128"/>
      <c r="CZ2526" s="128"/>
      <c r="DA2526" s="128"/>
      <c r="DB2526" s="128"/>
      <c r="DC2526" s="128"/>
      <c r="DD2526" s="128"/>
      <c r="DE2526" s="128"/>
      <c r="DF2526" s="128"/>
      <c r="DG2526" s="128"/>
      <c r="DH2526" s="128"/>
      <c r="DI2526" s="128"/>
      <c r="DJ2526" s="128"/>
      <c r="DK2526" s="128"/>
      <c r="DL2526" s="128"/>
      <c r="DM2526" s="128"/>
      <c r="DN2526" s="128"/>
      <c r="DO2526" s="128"/>
      <c r="DP2526" s="128"/>
      <c r="DQ2526" s="128"/>
      <c r="DR2526" s="128"/>
      <c r="DS2526" s="128"/>
      <c r="DT2526" s="128"/>
      <c r="DU2526" s="128"/>
      <c r="DV2526" s="128"/>
      <c r="DW2526" s="128"/>
      <c r="DX2526" s="128"/>
      <c r="DY2526" s="128"/>
      <c r="DZ2526" s="128"/>
      <c r="EA2526" s="128"/>
      <c r="EB2526" s="128"/>
      <c r="EC2526" s="128"/>
      <c r="ED2526" s="128"/>
      <c r="EE2526" s="128"/>
      <c r="EF2526" s="128"/>
      <c r="EG2526" s="128"/>
      <c r="EH2526" s="128"/>
      <c r="EI2526" s="128"/>
      <c r="EJ2526" s="128"/>
      <c r="EK2526" s="128"/>
      <c r="EL2526" s="128"/>
      <c r="EM2526" s="128"/>
      <c r="EN2526" s="128"/>
      <c r="EO2526" s="128"/>
      <c r="EP2526" s="128"/>
      <c r="EQ2526" s="128"/>
      <c r="ER2526" s="128"/>
      <c r="ES2526" s="128"/>
      <c r="ET2526" s="128"/>
      <c r="EU2526" s="128"/>
      <c r="EV2526" s="128"/>
      <c r="EW2526" s="128"/>
      <c r="EX2526" s="128"/>
      <c r="EY2526" s="128"/>
      <c r="EZ2526" s="128"/>
      <c r="FA2526" s="128"/>
      <c r="FB2526" s="128"/>
      <c r="FC2526" s="128"/>
      <c r="FD2526" s="128"/>
      <c r="FE2526" s="128"/>
      <c r="FF2526" s="128"/>
      <c r="FG2526" s="128"/>
      <c r="FH2526" s="128"/>
      <c r="FI2526" s="128"/>
      <c r="FJ2526" s="128"/>
      <c r="FK2526" s="128"/>
      <c r="FL2526" s="128"/>
      <c r="FM2526" s="128"/>
      <c r="FN2526" s="128"/>
      <c r="FO2526" s="128"/>
      <c r="FP2526" s="128"/>
      <c r="FQ2526" s="128"/>
      <c r="FR2526" s="128"/>
      <c r="FS2526" s="128"/>
      <c r="FT2526" s="128"/>
      <c r="FU2526" s="128"/>
      <c r="FV2526" s="128"/>
      <c r="FW2526" s="128"/>
      <c r="FX2526" s="128"/>
      <c r="FY2526" s="128"/>
      <c r="FZ2526" s="128"/>
      <c r="GA2526" s="128"/>
      <c r="GB2526" s="128"/>
      <c r="GC2526" s="128"/>
      <c r="GD2526" s="128"/>
      <c r="GE2526" s="128"/>
      <c r="GF2526" s="128"/>
      <c r="GG2526" s="128"/>
      <c r="GH2526" s="128"/>
      <c r="GI2526" s="128"/>
      <c r="GJ2526" s="128"/>
      <c r="GK2526" s="128"/>
      <c r="GL2526" s="128"/>
      <c r="GM2526" s="128"/>
      <c r="GN2526" s="128"/>
      <c r="GO2526" s="128"/>
      <c r="GP2526" s="128"/>
      <c r="GQ2526" s="128"/>
      <c r="GR2526" s="128"/>
      <c r="GS2526" s="128"/>
      <c r="GT2526" s="128"/>
      <c r="GU2526" s="128"/>
      <c r="GV2526" s="128"/>
      <c r="GW2526" s="128"/>
      <c r="GX2526" s="128"/>
      <c r="GY2526" s="128"/>
      <c r="GZ2526" s="128"/>
      <c r="HA2526" s="128"/>
      <c r="HB2526" s="128"/>
      <c r="HC2526" s="128"/>
      <c r="HD2526" s="128"/>
      <c r="HE2526" s="128"/>
      <c r="HF2526" s="128"/>
      <c r="HG2526" s="128"/>
      <c r="HH2526" s="128"/>
      <c r="HI2526" s="128"/>
      <c r="HJ2526" s="128"/>
      <c r="HK2526" s="128"/>
      <c r="HL2526" s="128"/>
      <c r="HM2526" s="128"/>
      <c r="HN2526" s="128"/>
      <c r="HO2526" s="128"/>
      <c r="HP2526" s="128"/>
      <c r="HQ2526" s="128"/>
      <c r="HR2526" s="128"/>
      <c r="HS2526" s="128"/>
      <c r="HT2526" s="128"/>
      <c r="HU2526" s="128"/>
      <c r="HV2526" s="128"/>
      <c r="HW2526" s="128"/>
      <c r="HX2526" s="128"/>
      <c r="HY2526" s="128"/>
      <c r="HZ2526" s="128"/>
      <c r="IA2526" s="128"/>
      <c r="IB2526" s="128"/>
      <c r="IC2526" s="128"/>
      <c r="ID2526" s="128"/>
      <c r="IE2526" s="128"/>
      <c r="IF2526" s="128"/>
      <c r="IG2526" s="128"/>
      <c r="IH2526" s="128"/>
      <c r="II2526" s="128"/>
      <c r="IJ2526" s="128"/>
    </row>
    <row r="2527" spans="1:244" ht="12.75" customHeight="1">
      <c r="B2527" s="128"/>
      <c r="C2527" s="181"/>
      <c r="E2527" s="8"/>
      <c r="F2527" s="172"/>
      <c r="G2527" s="172"/>
      <c r="H2527" s="128"/>
      <c r="I2527" s="160"/>
      <c r="J2527" s="128"/>
      <c r="K2527" s="128"/>
      <c r="L2527" s="128"/>
      <c r="O2527" s="128"/>
      <c r="P2527" s="170"/>
      <c r="Q2527" s="128"/>
      <c r="R2527" s="128"/>
      <c r="S2527" s="180"/>
      <c r="T2527" s="128"/>
      <c r="U2527" s="171"/>
      <c r="V2527" s="128"/>
      <c r="W2527" s="128"/>
      <c r="X2527" s="128"/>
      <c r="Y2527" s="128"/>
      <c r="Z2527" s="128"/>
      <c r="AA2527" s="128"/>
      <c r="AB2527" s="128"/>
      <c r="AC2527" s="128"/>
      <c r="AD2527" s="128"/>
      <c r="AE2527" s="128"/>
      <c r="AF2527" s="128"/>
      <c r="AG2527" s="128"/>
      <c r="AH2527" s="128"/>
      <c r="AI2527" s="128"/>
      <c r="AJ2527" s="128"/>
      <c r="AK2527" s="128"/>
      <c r="AL2527" s="128"/>
      <c r="AM2527" s="128"/>
      <c r="AN2527" s="128"/>
      <c r="AO2527" s="128"/>
      <c r="AP2527" s="128"/>
      <c r="AQ2527" s="128"/>
      <c r="AR2527" s="128"/>
      <c r="AS2527" s="128"/>
      <c r="AT2527" s="128"/>
      <c r="AU2527" s="128"/>
      <c r="AV2527" s="128"/>
      <c r="AW2527" s="128"/>
      <c r="AX2527" s="128"/>
      <c r="AY2527" s="128"/>
      <c r="AZ2527" s="128"/>
      <c r="BA2527" s="128"/>
      <c r="BB2527" s="128"/>
      <c r="BC2527" s="128"/>
      <c r="BD2527" s="128"/>
      <c r="BE2527" s="128"/>
      <c r="BF2527" s="128"/>
      <c r="BG2527" s="128"/>
      <c r="BH2527" s="128"/>
      <c r="BI2527" s="128"/>
      <c r="BJ2527" s="128"/>
      <c r="BK2527" s="128"/>
      <c r="BL2527" s="128"/>
      <c r="BM2527" s="128"/>
      <c r="BN2527" s="128"/>
      <c r="BO2527" s="128"/>
      <c r="BP2527" s="128"/>
      <c r="BQ2527" s="128"/>
      <c r="BR2527" s="128"/>
      <c r="BS2527" s="128"/>
      <c r="BT2527" s="128"/>
      <c r="BU2527" s="128"/>
      <c r="BV2527" s="128"/>
      <c r="BW2527" s="128"/>
      <c r="BX2527" s="128"/>
      <c r="BY2527" s="128"/>
      <c r="BZ2527" s="128"/>
      <c r="CA2527" s="128"/>
      <c r="CB2527" s="128"/>
      <c r="CC2527" s="128"/>
      <c r="CD2527" s="128"/>
      <c r="CE2527" s="128"/>
      <c r="CF2527" s="128"/>
      <c r="CG2527" s="128"/>
      <c r="CH2527" s="128"/>
      <c r="CI2527" s="128"/>
      <c r="CJ2527" s="128"/>
      <c r="CK2527" s="128"/>
      <c r="CL2527" s="128"/>
      <c r="CM2527" s="128"/>
      <c r="CN2527" s="128"/>
      <c r="CO2527" s="128"/>
      <c r="CP2527" s="128"/>
      <c r="CQ2527" s="128"/>
      <c r="CR2527" s="128"/>
      <c r="CS2527" s="128"/>
      <c r="CT2527" s="128"/>
      <c r="CU2527" s="128"/>
      <c r="CV2527" s="128"/>
      <c r="CW2527" s="128"/>
      <c r="CX2527" s="128"/>
      <c r="CY2527" s="128"/>
      <c r="CZ2527" s="128"/>
      <c r="DA2527" s="128"/>
      <c r="DB2527" s="128"/>
      <c r="DC2527" s="128"/>
      <c r="DD2527" s="128"/>
      <c r="DE2527" s="128"/>
      <c r="DF2527" s="128"/>
      <c r="DG2527" s="128"/>
      <c r="DH2527" s="128"/>
      <c r="DI2527" s="128"/>
      <c r="DJ2527" s="128"/>
      <c r="DK2527" s="128"/>
      <c r="DL2527" s="128"/>
      <c r="DM2527" s="128"/>
      <c r="DN2527" s="128"/>
      <c r="DO2527" s="128"/>
      <c r="DP2527" s="128"/>
      <c r="DQ2527" s="128"/>
      <c r="DR2527" s="128"/>
      <c r="DS2527" s="128"/>
      <c r="DT2527" s="128"/>
      <c r="DU2527" s="128"/>
      <c r="DV2527" s="128"/>
      <c r="DW2527" s="128"/>
      <c r="DX2527" s="128"/>
      <c r="DY2527" s="128"/>
      <c r="DZ2527" s="128"/>
      <c r="EA2527" s="128"/>
      <c r="EB2527" s="128"/>
      <c r="EC2527" s="128"/>
      <c r="ED2527" s="128"/>
      <c r="EE2527" s="128"/>
      <c r="EF2527" s="128"/>
      <c r="EG2527" s="128"/>
      <c r="EH2527" s="128"/>
      <c r="EI2527" s="128"/>
      <c r="EJ2527" s="128"/>
      <c r="EK2527" s="128"/>
      <c r="EL2527" s="128"/>
      <c r="EM2527" s="128"/>
      <c r="EN2527" s="128"/>
      <c r="EO2527" s="128"/>
      <c r="EP2527" s="128"/>
      <c r="EQ2527" s="128"/>
      <c r="ER2527" s="128"/>
      <c r="ES2527" s="128"/>
      <c r="ET2527" s="128"/>
      <c r="EU2527" s="128"/>
      <c r="EV2527" s="128"/>
      <c r="EW2527" s="128"/>
      <c r="EX2527" s="128"/>
      <c r="EY2527" s="128"/>
      <c r="EZ2527" s="128"/>
      <c r="FA2527" s="128"/>
      <c r="FB2527" s="128"/>
      <c r="FC2527" s="128"/>
      <c r="FD2527" s="128"/>
      <c r="FE2527" s="128"/>
      <c r="FF2527" s="128"/>
      <c r="FG2527" s="128"/>
      <c r="FH2527" s="128"/>
      <c r="FI2527" s="128"/>
      <c r="FJ2527" s="128"/>
      <c r="FK2527" s="128"/>
      <c r="FL2527" s="128"/>
      <c r="FM2527" s="128"/>
      <c r="FN2527" s="128"/>
      <c r="FO2527" s="128"/>
      <c r="FP2527" s="128"/>
      <c r="FQ2527" s="128"/>
      <c r="FR2527" s="128"/>
      <c r="FS2527" s="128"/>
      <c r="FT2527" s="128"/>
      <c r="FU2527" s="128"/>
      <c r="FV2527" s="128"/>
      <c r="FW2527" s="128"/>
      <c r="FX2527" s="128"/>
      <c r="FY2527" s="128"/>
      <c r="FZ2527" s="128"/>
      <c r="GA2527" s="128"/>
      <c r="GB2527" s="128"/>
      <c r="GC2527" s="128"/>
      <c r="GD2527" s="128"/>
      <c r="GE2527" s="128"/>
      <c r="GF2527" s="128"/>
      <c r="GG2527" s="128"/>
      <c r="GH2527" s="128"/>
      <c r="GI2527" s="128"/>
      <c r="GJ2527" s="128"/>
      <c r="GK2527" s="128"/>
      <c r="GL2527" s="128"/>
      <c r="GM2527" s="128"/>
      <c r="GN2527" s="128"/>
      <c r="GO2527" s="128"/>
      <c r="GP2527" s="128"/>
      <c r="GQ2527" s="128"/>
      <c r="GR2527" s="128"/>
      <c r="GS2527" s="128"/>
      <c r="GT2527" s="128"/>
      <c r="GU2527" s="128"/>
      <c r="GV2527" s="128"/>
      <c r="GW2527" s="128"/>
      <c r="GX2527" s="128"/>
      <c r="GY2527" s="128"/>
      <c r="GZ2527" s="128"/>
      <c r="HA2527" s="128"/>
      <c r="HB2527" s="128"/>
      <c r="HC2527" s="128"/>
      <c r="HD2527" s="128"/>
      <c r="HE2527" s="128"/>
      <c r="HF2527" s="128"/>
      <c r="HG2527" s="128"/>
      <c r="HH2527" s="128"/>
      <c r="HI2527" s="128"/>
      <c r="HJ2527" s="128"/>
      <c r="HK2527" s="128"/>
      <c r="HL2527" s="128"/>
      <c r="HM2527" s="128"/>
      <c r="HN2527" s="128"/>
      <c r="HO2527" s="128"/>
      <c r="HP2527" s="128"/>
      <c r="HQ2527" s="128"/>
      <c r="HR2527" s="128"/>
      <c r="HS2527" s="128"/>
      <c r="HT2527" s="128"/>
      <c r="HU2527" s="128"/>
      <c r="HV2527" s="128"/>
      <c r="HW2527" s="128"/>
      <c r="HX2527" s="128"/>
      <c r="HY2527" s="128"/>
      <c r="HZ2527" s="128"/>
      <c r="IA2527" s="128"/>
      <c r="IB2527" s="128"/>
      <c r="IC2527" s="128"/>
      <c r="ID2527" s="128"/>
      <c r="IE2527" s="128"/>
      <c r="IF2527" s="128"/>
      <c r="IG2527" s="128"/>
      <c r="IH2527" s="128"/>
      <c r="II2527" s="128"/>
      <c r="IJ2527" s="128"/>
    </row>
    <row r="2528" spans="1:244" ht="12.75" customHeight="1">
      <c r="B2528" s="128"/>
      <c r="C2528" s="181"/>
      <c r="D2528" s="223"/>
      <c r="E2528" s="8"/>
      <c r="F2528" s="172"/>
      <c r="G2528" s="172"/>
      <c r="H2528" s="128"/>
      <c r="I2528" s="160"/>
      <c r="J2528" s="128"/>
      <c r="K2528" s="128"/>
      <c r="L2528" s="128"/>
      <c r="O2528" s="128"/>
      <c r="P2528" s="170"/>
      <c r="Q2528" s="128"/>
      <c r="R2528" s="128"/>
      <c r="S2528" s="180"/>
      <c r="T2528" s="128"/>
      <c r="U2528" s="171"/>
      <c r="V2528" s="128"/>
      <c r="W2528" s="128"/>
      <c r="X2528" s="128"/>
      <c r="Y2528" s="128"/>
      <c r="Z2528" s="128"/>
      <c r="AA2528" s="128"/>
      <c r="AB2528" s="128"/>
      <c r="AC2528" s="128"/>
      <c r="AD2528" s="128"/>
      <c r="AE2528" s="128"/>
      <c r="AF2528" s="128"/>
      <c r="AG2528" s="128"/>
      <c r="AH2528" s="128"/>
      <c r="AI2528" s="128"/>
      <c r="AJ2528" s="128"/>
      <c r="AK2528" s="128"/>
      <c r="AL2528" s="128"/>
      <c r="AM2528" s="128"/>
      <c r="AN2528" s="128"/>
      <c r="AO2528" s="128"/>
      <c r="AP2528" s="128"/>
      <c r="AQ2528" s="128"/>
      <c r="AR2528" s="128"/>
      <c r="AS2528" s="128"/>
      <c r="AT2528" s="128"/>
      <c r="AU2528" s="128"/>
      <c r="AV2528" s="128"/>
      <c r="AW2528" s="128"/>
      <c r="AX2528" s="128"/>
      <c r="AY2528" s="128"/>
      <c r="AZ2528" s="128"/>
      <c r="BA2528" s="128"/>
      <c r="BB2528" s="128"/>
      <c r="BC2528" s="128"/>
      <c r="BD2528" s="128"/>
      <c r="BE2528" s="128"/>
      <c r="BF2528" s="128"/>
      <c r="BG2528" s="128"/>
      <c r="BH2528" s="128"/>
      <c r="BI2528" s="128"/>
      <c r="BJ2528" s="128"/>
      <c r="BK2528" s="128"/>
      <c r="BL2528" s="128"/>
      <c r="BM2528" s="128"/>
      <c r="BN2528" s="128"/>
      <c r="BO2528" s="128"/>
      <c r="BP2528" s="128"/>
      <c r="BQ2528" s="128"/>
      <c r="BR2528" s="128"/>
      <c r="BS2528" s="128"/>
      <c r="BT2528" s="128"/>
      <c r="BU2528" s="128"/>
      <c r="BV2528" s="128"/>
      <c r="BW2528" s="128"/>
      <c r="BX2528" s="128"/>
      <c r="BY2528" s="128"/>
      <c r="BZ2528" s="128"/>
      <c r="CA2528" s="128"/>
      <c r="CB2528" s="128"/>
      <c r="CC2528" s="128"/>
      <c r="CD2528" s="128"/>
      <c r="CE2528" s="128"/>
      <c r="CF2528" s="128"/>
      <c r="CG2528" s="128"/>
      <c r="CH2528" s="128"/>
      <c r="CI2528" s="128"/>
      <c r="CJ2528" s="128"/>
      <c r="CK2528" s="128"/>
      <c r="CL2528" s="128"/>
      <c r="CM2528" s="128"/>
      <c r="CN2528" s="128"/>
      <c r="CO2528" s="128"/>
      <c r="CP2528" s="128"/>
      <c r="CQ2528" s="128"/>
      <c r="CR2528" s="128"/>
      <c r="CS2528" s="128"/>
      <c r="CT2528" s="128"/>
      <c r="CU2528" s="128"/>
      <c r="CV2528" s="128"/>
      <c r="CW2528" s="128"/>
      <c r="CX2528" s="128"/>
      <c r="CY2528" s="128"/>
      <c r="CZ2528" s="128"/>
      <c r="DA2528" s="128"/>
      <c r="DB2528" s="128"/>
      <c r="DC2528" s="128"/>
      <c r="DD2528" s="128"/>
      <c r="DE2528" s="128"/>
      <c r="DF2528" s="128"/>
      <c r="DG2528" s="128"/>
      <c r="DH2528" s="128"/>
      <c r="DI2528" s="128"/>
      <c r="DJ2528" s="128"/>
      <c r="DK2528" s="128"/>
      <c r="DL2528" s="128"/>
      <c r="DM2528" s="128"/>
      <c r="DN2528" s="128"/>
      <c r="DO2528" s="128"/>
      <c r="DP2528" s="128"/>
      <c r="DQ2528" s="128"/>
      <c r="DR2528" s="128"/>
      <c r="DS2528" s="128"/>
      <c r="DT2528" s="128"/>
      <c r="DU2528" s="128"/>
      <c r="DV2528" s="128"/>
      <c r="DW2528" s="128"/>
      <c r="DX2528" s="128"/>
      <c r="DY2528" s="128"/>
      <c r="DZ2528" s="128"/>
      <c r="EA2528" s="128"/>
      <c r="EB2528" s="128"/>
      <c r="EC2528" s="128"/>
      <c r="ED2528" s="128"/>
      <c r="EE2528" s="128"/>
      <c r="EF2528" s="128"/>
      <c r="EG2528" s="128"/>
      <c r="EH2528" s="128"/>
      <c r="EI2528" s="128"/>
      <c r="EJ2528" s="128"/>
      <c r="EK2528" s="128"/>
      <c r="EL2528" s="128"/>
      <c r="EM2528" s="128"/>
      <c r="EN2528" s="128"/>
      <c r="EO2528" s="128"/>
      <c r="EP2528" s="128"/>
      <c r="EQ2528" s="128"/>
      <c r="ER2528" s="128"/>
      <c r="ES2528" s="128"/>
      <c r="ET2528" s="128"/>
      <c r="EU2528" s="128"/>
      <c r="EV2528" s="128"/>
      <c r="EW2528" s="128"/>
      <c r="EX2528" s="128"/>
      <c r="EY2528" s="128"/>
      <c r="EZ2528" s="128"/>
      <c r="FA2528" s="128"/>
      <c r="FB2528" s="128"/>
      <c r="FC2528" s="128"/>
      <c r="FD2528" s="128"/>
      <c r="FE2528" s="128"/>
      <c r="FF2528" s="128"/>
      <c r="FG2528" s="128"/>
      <c r="FH2528" s="128"/>
      <c r="FI2528" s="128"/>
      <c r="FJ2528" s="128"/>
      <c r="FK2528" s="128"/>
      <c r="FL2528" s="128"/>
      <c r="FM2528" s="128"/>
      <c r="FN2528" s="128"/>
      <c r="FO2528" s="128"/>
      <c r="FP2528" s="128"/>
      <c r="FQ2528" s="128"/>
      <c r="FR2528" s="128"/>
      <c r="FS2528" s="128"/>
      <c r="FT2528" s="128"/>
      <c r="FU2528" s="128"/>
      <c r="FV2528" s="128"/>
      <c r="FW2528" s="128"/>
      <c r="FX2528" s="128"/>
      <c r="FY2528" s="128"/>
      <c r="FZ2528" s="128"/>
      <c r="GA2528" s="128"/>
      <c r="GB2528" s="128"/>
      <c r="GC2528" s="128"/>
      <c r="GD2528" s="128"/>
      <c r="GE2528" s="128"/>
      <c r="GF2528" s="128"/>
      <c r="GG2528" s="128"/>
      <c r="GH2528" s="128"/>
      <c r="GI2528" s="128"/>
      <c r="GJ2528" s="128"/>
      <c r="GK2528" s="128"/>
      <c r="GL2528" s="128"/>
      <c r="GM2528" s="128"/>
      <c r="GN2528" s="128"/>
      <c r="GO2528" s="128"/>
      <c r="GP2528" s="128"/>
      <c r="GQ2528" s="128"/>
      <c r="GR2528" s="128"/>
      <c r="GS2528" s="128"/>
      <c r="GT2528" s="128"/>
      <c r="GU2528" s="128"/>
      <c r="GV2528" s="128"/>
      <c r="GW2528" s="128"/>
      <c r="GX2528" s="128"/>
      <c r="GY2528" s="128"/>
      <c r="GZ2528" s="128"/>
      <c r="HA2528" s="128"/>
      <c r="HB2528" s="128"/>
      <c r="HC2528" s="128"/>
      <c r="HD2528" s="128"/>
      <c r="HE2528" s="128"/>
      <c r="HF2528" s="128"/>
      <c r="HG2528" s="128"/>
      <c r="HH2528" s="128"/>
      <c r="HI2528" s="128"/>
      <c r="HJ2528" s="128"/>
      <c r="HK2528" s="128"/>
      <c r="HL2528" s="128"/>
      <c r="HM2528" s="128"/>
      <c r="HN2528" s="128"/>
      <c r="HO2528" s="128"/>
      <c r="HP2528" s="128"/>
      <c r="HQ2528" s="128"/>
      <c r="HR2528" s="128"/>
      <c r="HS2528" s="128"/>
      <c r="HT2528" s="128"/>
      <c r="HU2528" s="128"/>
      <c r="HV2528" s="128"/>
      <c r="HW2528" s="128"/>
      <c r="HX2528" s="128"/>
      <c r="HY2528" s="128"/>
      <c r="HZ2528" s="128"/>
      <c r="IA2528" s="128"/>
      <c r="IB2528" s="128"/>
      <c r="IC2528" s="128"/>
      <c r="ID2528" s="128"/>
      <c r="IE2528" s="128"/>
      <c r="IF2528" s="128"/>
      <c r="IG2528" s="128"/>
      <c r="IH2528" s="128"/>
      <c r="II2528" s="128"/>
      <c r="IJ2528" s="128"/>
    </row>
    <row r="2529" spans="2:244" ht="12.75" customHeight="1">
      <c r="B2529" s="128"/>
      <c r="C2529" s="181"/>
      <c r="D2529" s="223"/>
      <c r="E2529" s="8"/>
      <c r="F2529" s="172"/>
      <c r="G2529" s="172"/>
      <c r="H2529" s="128"/>
      <c r="I2529" s="160"/>
      <c r="J2529" s="128"/>
      <c r="K2529" s="128"/>
      <c r="L2529" s="128"/>
      <c r="O2529" s="128"/>
      <c r="P2529" s="170"/>
      <c r="Q2529" s="128"/>
      <c r="R2529" s="128"/>
      <c r="S2529" s="180"/>
      <c r="T2529" s="128"/>
      <c r="U2529" s="171"/>
      <c r="V2529" s="128"/>
      <c r="W2529" s="128"/>
      <c r="X2529" s="128"/>
      <c r="Y2529" s="128"/>
      <c r="Z2529" s="128"/>
      <c r="AA2529" s="128"/>
      <c r="AB2529" s="128"/>
      <c r="AC2529" s="128"/>
      <c r="AD2529" s="128"/>
      <c r="AE2529" s="128"/>
      <c r="AF2529" s="128"/>
      <c r="AG2529" s="128"/>
      <c r="AH2529" s="128"/>
      <c r="AI2529" s="128"/>
      <c r="AJ2529" s="128"/>
      <c r="AK2529" s="128"/>
      <c r="AL2529" s="128"/>
      <c r="AM2529" s="128"/>
      <c r="AN2529" s="128"/>
      <c r="AO2529" s="128"/>
      <c r="AP2529" s="128"/>
      <c r="AQ2529" s="128"/>
      <c r="AR2529" s="128"/>
      <c r="AS2529" s="128"/>
      <c r="AT2529" s="128"/>
      <c r="AU2529" s="128"/>
      <c r="AV2529" s="128"/>
      <c r="AW2529" s="128"/>
      <c r="AX2529" s="128"/>
      <c r="AY2529" s="128"/>
      <c r="AZ2529" s="128"/>
      <c r="BA2529" s="128"/>
      <c r="BB2529" s="128"/>
      <c r="BC2529" s="128"/>
      <c r="BD2529" s="128"/>
      <c r="BE2529" s="128"/>
      <c r="BF2529" s="128"/>
      <c r="BG2529" s="128"/>
      <c r="BH2529" s="128"/>
      <c r="BI2529" s="128"/>
      <c r="BJ2529" s="128"/>
      <c r="BK2529" s="128"/>
      <c r="BL2529" s="128"/>
      <c r="BM2529" s="128"/>
      <c r="BN2529" s="128"/>
      <c r="BO2529" s="128"/>
      <c r="BP2529" s="128"/>
      <c r="BQ2529" s="128"/>
      <c r="BR2529" s="128"/>
      <c r="BS2529" s="128"/>
      <c r="BT2529" s="128"/>
      <c r="BU2529" s="128"/>
      <c r="BV2529" s="128"/>
      <c r="BW2529" s="128"/>
      <c r="BX2529" s="128"/>
      <c r="BY2529" s="128"/>
      <c r="BZ2529" s="128"/>
      <c r="CA2529" s="128"/>
      <c r="CB2529" s="128"/>
      <c r="CC2529" s="128"/>
      <c r="CD2529" s="128"/>
      <c r="CE2529" s="128"/>
      <c r="CF2529" s="128"/>
      <c r="CG2529" s="128"/>
      <c r="CH2529" s="128"/>
      <c r="CI2529" s="128"/>
      <c r="CJ2529" s="128"/>
      <c r="CK2529" s="128"/>
      <c r="CL2529" s="128"/>
      <c r="CM2529" s="128"/>
      <c r="CN2529" s="128"/>
      <c r="CO2529" s="128"/>
      <c r="CP2529" s="128"/>
      <c r="CQ2529" s="128"/>
      <c r="CR2529" s="128"/>
      <c r="CS2529" s="128"/>
      <c r="CT2529" s="128"/>
      <c r="CU2529" s="128"/>
      <c r="CV2529" s="128"/>
      <c r="CW2529" s="128"/>
      <c r="CX2529" s="128"/>
      <c r="CY2529" s="128"/>
      <c r="CZ2529" s="128"/>
      <c r="DA2529" s="128"/>
      <c r="DB2529" s="128"/>
      <c r="DC2529" s="128"/>
      <c r="DD2529" s="128"/>
      <c r="DE2529" s="128"/>
      <c r="DF2529" s="128"/>
      <c r="DG2529" s="128"/>
      <c r="DH2529" s="128"/>
      <c r="DI2529" s="128"/>
      <c r="DJ2529" s="128"/>
      <c r="DK2529" s="128"/>
      <c r="DL2529" s="128"/>
      <c r="DM2529" s="128"/>
      <c r="DN2529" s="128"/>
      <c r="DO2529" s="128"/>
      <c r="DP2529" s="128"/>
      <c r="DQ2529" s="128"/>
      <c r="DR2529" s="128"/>
      <c r="DS2529" s="128"/>
      <c r="DT2529" s="128"/>
      <c r="DU2529" s="128"/>
      <c r="DV2529" s="128"/>
      <c r="DW2529" s="128"/>
      <c r="DX2529" s="128"/>
      <c r="DY2529" s="128"/>
      <c r="DZ2529" s="128"/>
      <c r="EA2529" s="128"/>
      <c r="EB2529" s="128"/>
      <c r="EC2529" s="128"/>
      <c r="ED2529" s="128"/>
      <c r="EE2529" s="128"/>
      <c r="EF2529" s="128"/>
      <c r="EG2529" s="128"/>
      <c r="EH2529" s="128"/>
      <c r="EI2529" s="128"/>
      <c r="EJ2529" s="128"/>
      <c r="EK2529" s="128"/>
      <c r="EL2529" s="128"/>
      <c r="EM2529" s="128"/>
      <c r="EN2529" s="128"/>
      <c r="EO2529" s="128"/>
      <c r="EP2529" s="128"/>
      <c r="EQ2529" s="128"/>
      <c r="ER2529" s="128"/>
      <c r="ES2529" s="128"/>
      <c r="ET2529" s="128"/>
      <c r="EU2529" s="128"/>
      <c r="EV2529" s="128"/>
      <c r="EW2529" s="128"/>
      <c r="EX2529" s="128"/>
      <c r="EY2529" s="128"/>
      <c r="EZ2529" s="128"/>
      <c r="FA2529" s="128"/>
      <c r="FB2529" s="128"/>
      <c r="FC2529" s="128"/>
      <c r="FD2529" s="128"/>
      <c r="FE2529" s="128"/>
      <c r="FF2529" s="128"/>
      <c r="FG2529" s="128"/>
      <c r="FH2529" s="128"/>
      <c r="FI2529" s="128"/>
      <c r="FJ2529" s="128"/>
      <c r="FK2529" s="128"/>
      <c r="FL2529" s="128"/>
      <c r="FM2529" s="128"/>
      <c r="FN2529" s="128"/>
      <c r="FO2529" s="128"/>
      <c r="FP2529" s="128"/>
      <c r="FQ2529" s="128"/>
      <c r="FR2529" s="128"/>
      <c r="FS2529" s="128"/>
      <c r="FT2529" s="128"/>
      <c r="FU2529" s="128"/>
      <c r="FV2529" s="128"/>
      <c r="FW2529" s="128"/>
      <c r="FX2529" s="128"/>
      <c r="FY2529" s="128"/>
      <c r="FZ2529" s="128"/>
      <c r="GA2529" s="128"/>
      <c r="GB2529" s="128"/>
      <c r="GC2529" s="128"/>
      <c r="GD2529" s="128"/>
      <c r="GE2529" s="128"/>
      <c r="GF2529" s="128"/>
      <c r="GG2529" s="128"/>
      <c r="GH2529" s="128"/>
      <c r="GI2529" s="128"/>
      <c r="GJ2529" s="128"/>
      <c r="GK2529" s="128"/>
      <c r="GL2529" s="128"/>
      <c r="GM2529" s="128"/>
      <c r="GN2529" s="128"/>
      <c r="GO2529" s="128"/>
      <c r="GP2529" s="128"/>
      <c r="GQ2529" s="128"/>
      <c r="GR2529" s="128"/>
      <c r="GS2529" s="128"/>
      <c r="GT2529" s="128"/>
      <c r="GU2529" s="128"/>
      <c r="GV2529" s="128"/>
      <c r="GW2529" s="128"/>
      <c r="GX2529" s="128"/>
      <c r="GY2529" s="128"/>
      <c r="GZ2529" s="128"/>
      <c r="HA2529" s="128"/>
      <c r="HB2529" s="128"/>
      <c r="HC2529" s="128"/>
      <c r="HD2529" s="128"/>
      <c r="HE2529" s="128"/>
      <c r="HF2529" s="128"/>
      <c r="HG2529" s="128"/>
      <c r="HH2529" s="128"/>
      <c r="HI2529" s="128"/>
      <c r="HJ2529" s="128"/>
      <c r="HK2529" s="128"/>
      <c r="HL2529" s="128"/>
      <c r="HM2529" s="128"/>
      <c r="HN2529" s="128"/>
      <c r="HO2529" s="128"/>
      <c r="HP2529" s="128"/>
      <c r="HQ2529" s="128"/>
      <c r="HR2529" s="128"/>
      <c r="HS2529" s="128"/>
      <c r="HT2529" s="128"/>
      <c r="HU2529" s="128"/>
      <c r="HV2529" s="128"/>
      <c r="HW2529" s="128"/>
      <c r="HX2529" s="128"/>
      <c r="HY2529" s="128"/>
      <c r="HZ2529" s="128"/>
      <c r="IA2529" s="128"/>
      <c r="IB2529" s="128"/>
      <c r="IC2529" s="128"/>
      <c r="ID2529" s="128"/>
      <c r="IE2529" s="128"/>
      <c r="IF2529" s="128"/>
      <c r="IG2529" s="128"/>
      <c r="IH2529" s="128"/>
      <c r="II2529" s="128"/>
      <c r="IJ2529" s="128"/>
    </row>
    <row r="2530" spans="2:244" ht="12.75" customHeight="1">
      <c r="B2530" s="128"/>
      <c r="C2530" s="224"/>
      <c r="D2530" s="225"/>
      <c r="E2530" s="8"/>
      <c r="F2530" s="128"/>
      <c r="G2530" s="128"/>
      <c r="H2530" s="128"/>
      <c r="I2530" s="160"/>
      <c r="J2530" s="173"/>
      <c r="K2530" s="173"/>
      <c r="L2530" s="173"/>
      <c r="O2530" s="173"/>
      <c r="P2530" s="170"/>
      <c r="Q2530" s="128"/>
      <c r="R2530" s="128"/>
      <c r="S2530" s="180"/>
      <c r="T2530" s="173"/>
      <c r="U2530" s="171"/>
      <c r="V2530" s="173"/>
      <c r="W2530" s="173"/>
      <c r="X2530" s="128"/>
      <c r="Y2530" s="128"/>
      <c r="Z2530" s="128"/>
      <c r="AA2530" s="128"/>
      <c r="AB2530" s="128"/>
      <c r="AC2530" s="128"/>
      <c r="AD2530" s="128"/>
      <c r="AE2530" s="128"/>
      <c r="AF2530" s="128"/>
      <c r="AG2530" s="128"/>
      <c r="AH2530" s="128"/>
      <c r="AI2530" s="128"/>
      <c r="AJ2530" s="128"/>
      <c r="AK2530" s="128"/>
      <c r="AL2530" s="128"/>
      <c r="AM2530" s="128"/>
      <c r="AN2530" s="128"/>
      <c r="AO2530" s="128"/>
      <c r="AP2530" s="128"/>
      <c r="AQ2530" s="128"/>
      <c r="AR2530" s="128"/>
      <c r="AS2530" s="128"/>
      <c r="AT2530" s="128"/>
      <c r="AU2530" s="128"/>
      <c r="AV2530" s="128"/>
      <c r="AW2530" s="128"/>
      <c r="AX2530" s="128"/>
      <c r="AY2530" s="128"/>
      <c r="AZ2530" s="128"/>
      <c r="BA2530" s="128"/>
      <c r="BB2530" s="128"/>
      <c r="BC2530" s="128"/>
      <c r="BD2530" s="128"/>
      <c r="BE2530" s="128"/>
      <c r="BF2530" s="128"/>
      <c r="BG2530" s="128"/>
      <c r="BH2530" s="128"/>
      <c r="BI2530" s="128"/>
      <c r="BJ2530" s="128"/>
      <c r="BK2530" s="128"/>
      <c r="BL2530" s="128"/>
      <c r="BM2530" s="128"/>
      <c r="BN2530" s="128"/>
      <c r="BO2530" s="128"/>
      <c r="BP2530" s="128"/>
      <c r="BQ2530" s="128"/>
      <c r="BR2530" s="128"/>
      <c r="BS2530" s="128"/>
      <c r="BT2530" s="128"/>
      <c r="BU2530" s="128"/>
      <c r="BV2530" s="128"/>
      <c r="BW2530" s="128"/>
      <c r="BX2530" s="128"/>
      <c r="BY2530" s="128"/>
      <c r="BZ2530" s="128"/>
      <c r="CA2530" s="128"/>
      <c r="CB2530" s="128"/>
      <c r="CC2530" s="128"/>
      <c r="CD2530" s="128"/>
      <c r="CE2530" s="128"/>
      <c r="CF2530" s="128"/>
      <c r="CG2530" s="128"/>
      <c r="CH2530" s="128"/>
      <c r="CI2530" s="128"/>
      <c r="CJ2530" s="128"/>
      <c r="CK2530" s="128"/>
      <c r="CL2530" s="128"/>
      <c r="CM2530" s="128"/>
      <c r="CN2530" s="128"/>
      <c r="CO2530" s="128"/>
      <c r="CP2530" s="128"/>
      <c r="CQ2530" s="128"/>
      <c r="CR2530" s="128"/>
      <c r="CS2530" s="128"/>
      <c r="CT2530" s="128"/>
      <c r="CU2530" s="128"/>
      <c r="CV2530" s="128"/>
      <c r="CW2530" s="128"/>
      <c r="CX2530" s="128"/>
      <c r="CY2530" s="128"/>
      <c r="CZ2530" s="128"/>
      <c r="DA2530" s="128"/>
      <c r="DB2530" s="128"/>
      <c r="DC2530" s="128"/>
      <c r="DD2530" s="128"/>
      <c r="DE2530" s="128"/>
      <c r="DF2530" s="128"/>
      <c r="DG2530" s="128"/>
      <c r="DH2530" s="128"/>
      <c r="DI2530" s="128"/>
      <c r="DJ2530" s="128"/>
      <c r="DK2530" s="128"/>
      <c r="DL2530" s="128"/>
      <c r="DM2530" s="128"/>
      <c r="DN2530" s="128"/>
      <c r="DO2530" s="128"/>
      <c r="DP2530" s="128"/>
      <c r="DQ2530" s="128"/>
      <c r="DR2530" s="128"/>
      <c r="DS2530" s="128"/>
      <c r="DT2530" s="128"/>
      <c r="DU2530" s="128"/>
      <c r="DV2530" s="128"/>
      <c r="DW2530" s="128"/>
      <c r="DX2530" s="128"/>
      <c r="DY2530" s="128"/>
      <c r="DZ2530" s="128"/>
      <c r="EA2530" s="128"/>
      <c r="EB2530" s="128"/>
      <c r="EC2530" s="128"/>
      <c r="ED2530" s="128"/>
      <c r="EE2530" s="128"/>
      <c r="EF2530" s="128"/>
      <c r="EG2530" s="128"/>
      <c r="EH2530" s="128"/>
      <c r="EI2530" s="128"/>
      <c r="EJ2530" s="128"/>
      <c r="EK2530" s="128"/>
      <c r="EL2530" s="128"/>
      <c r="EM2530" s="128"/>
      <c r="EN2530" s="128"/>
      <c r="EO2530" s="128"/>
      <c r="EP2530" s="128"/>
      <c r="EQ2530" s="128"/>
      <c r="ER2530" s="128"/>
      <c r="ES2530" s="128"/>
      <c r="ET2530" s="128"/>
      <c r="EU2530" s="128"/>
      <c r="EV2530" s="128"/>
      <c r="EW2530" s="128"/>
      <c r="EX2530" s="128"/>
      <c r="EY2530" s="128"/>
      <c r="EZ2530" s="128"/>
      <c r="FA2530" s="128"/>
      <c r="FB2530" s="128"/>
      <c r="FC2530" s="128"/>
      <c r="FD2530" s="128"/>
      <c r="FE2530" s="128"/>
      <c r="FF2530" s="128"/>
      <c r="FG2530" s="128"/>
      <c r="FH2530" s="128"/>
      <c r="FI2530" s="128"/>
      <c r="FJ2530" s="128"/>
      <c r="FK2530" s="128"/>
      <c r="FL2530" s="128"/>
      <c r="FM2530" s="128"/>
      <c r="FN2530" s="128"/>
      <c r="FO2530" s="128"/>
      <c r="FP2530" s="128"/>
      <c r="FQ2530" s="128"/>
      <c r="FR2530" s="128"/>
      <c r="FS2530" s="128"/>
      <c r="FT2530" s="128"/>
      <c r="FU2530" s="128"/>
      <c r="FV2530" s="128"/>
      <c r="FW2530" s="128"/>
      <c r="FX2530" s="128"/>
      <c r="FY2530" s="128"/>
      <c r="FZ2530" s="128"/>
      <c r="GA2530" s="128"/>
      <c r="GB2530" s="128"/>
      <c r="GC2530" s="128"/>
      <c r="GD2530" s="128"/>
      <c r="GE2530" s="128"/>
      <c r="GF2530" s="128"/>
      <c r="GG2530" s="128"/>
      <c r="GH2530" s="128"/>
      <c r="GI2530" s="128"/>
      <c r="GJ2530" s="128"/>
      <c r="GK2530" s="128"/>
      <c r="GL2530" s="128"/>
      <c r="GM2530" s="128"/>
      <c r="GN2530" s="128"/>
      <c r="GO2530" s="128"/>
      <c r="GP2530" s="128"/>
      <c r="GQ2530" s="128"/>
      <c r="GR2530" s="128"/>
      <c r="GS2530" s="128"/>
      <c r="GT2530" s="128"/>
      <c r="GU2530" s="128"/>
      <c r="GV2530" s="128"/>
      <c r="GW2530" s="128"/>
      <c r="GX2530" s="128"/>
      <c r="GY2530" s="128"/>
      <c r="GZ2530" s="128"/>
      <c r="HA2530" s="128"/>
      <c r="HB2530" s="128"/>
      <c r="HC2530" s="128"/>
      <c r="HD2530" s="128"/>
      <c r="HE2530" s="128"/>
      <c r="HF2530" s="128"/>
      <c r="HG2530" s="128"/>
      <c r="HH2530" s="128"/>
      <c r="HI2530" s="128"/>
      <c r="HJ2530" s="128"/>
      <c r="HK2530" s="128"/>
      <c r="HL2530" s="128"/>
      <c r="HM2530" s="128"/>
      <c r="HN2530" s="128"/>
      <c r="HO2530" s="128"/>
      <c r="HP2530" s="128"/>
      <c r="HQ2530" s="128"/>
      <c r="HR2530" s="128"/>
      <c r="HS2530" s="128"/>
      <c r="HT2530" s="128"/>
      <c r="HU2530" s="128"/>
      <c r="HV2530" s="128"/>
      <c r="HW2530" s="128"/>
      <c r="HX2530" s="128"/>
      <c r="HY2530" s="128"/>
      <c r="HZ2530" s="128"/>
      <c r="IA2530" s="128"/>
      <c r="IB2530" s="128"/>
      <c r="IC2530" s="128"/>
      <c r="ID2530" s="128"/>
      <c r="IE2530" s="128"/>
      <c r="IF2530" s="128"/>
      <c r="IG2530" s="128"/>
      <c r="IH2530" s="128"/>
      <c r="II2530" s="128"/>
      <c r="IJ2530" s="128"/>
    </row>
    <row r="2531" spans="2:244" ht="12.75" customHeight="1">
      <c r="B2531" s="128"/>
      <c r="C2531" s="224"/>
      <c r="D2531" s="225"/>
      <c r="E2531" s="8"/>
      <c r="F2531" s="128"/>
      <c r="G2531" s="128"/>
      <c r="H2531" s="128"/>
      <c r="I2531" s="160"/>
      <c r="J2531" s="173"/>
      <c r="K2531" s="173"/>
      <c r="L2531" s="173"/>
      <c r="O2531" s="173"/>
      <c r="P2531" s="170"/>
      <c r="Q2531" s="128"/>
      <c r="R2531" s="128"/>
      <c r="S2531" s="180"/>
      <c r="T2531" s="173"/>
      <c r="U2531" s="171"/>
      <c r="V2531" s="173"/>
      <c r="W2531" s="173"/>
      <c r="X2531" s="128"/>
      <c r="Y2531" s="128"/>
      <c r="Z2531" s="128"/>
      <c r="AA2531" s="128"/>
      <c r="AB2531" s="128"/>
      <c r="AC2531" s="128"/>
      <c r="AD2531" s="128"/>
      <c r="AE2531" s="128"/>
      <c r="AF2531" s="128"/>
      <c r="AG2531" s="128"/>
      <c r="AH2531" s="128"/>
      <c r="AI2531" s="128"/>
      <c r="AJ2531" s="128"/>
      <c r="AK2531" s="128"/>
      <c r="AL2531" s="128"/>
      <c r="AM2531" s="128"/>
      <c r="AN2531" s="128"/>
      <c r="AO2531" s="128"/>
      <c r="AP2531" s="128"/>
      <c r="AQ2531" s="128"/>
      <c r="AR2531" s="128"/>
      <c r="AS2531" s="128"/>
      <c r="AT2531" s="128"/>
      <c r="AU2531" s="128"/>
      <c r="AV2531" s="128"/>
      <c r="AW2531" s="128"/>
      <c r="AX2531" s="128"/>
      <c r="AY2531" s="128"/>
      <c r="AZ2531" s="128"/>
      <c r="BA2531" s="128"/>
      <c r="BB2531" s="128"/>
      <c r="BC2531" s="128"/>
      <c r="BD2531" s="128"/>
      <c r="BE2531" s="128"/>
      <c r="BF2531" s="128"/>
      <c r="BG2531" s="128"/>
      <c r="BH2531" s="128"/>
      <c r="BI2531" s="128"/>
      <c r="BJ2531" s="128"/>
      <c r="BK2531" s="128"/>
      <c r="BL2531" s="128"/>
      <c r="BM2531" s="128"/>
      <c r="BN2531" s="128"/>
      <c r="BO2531" s="128"/>
      <c r="BP2531" s="128"/>
      <c r="BQ2531" s="128"/>
      <c r="BR2531" s="128"/>
      <c r="BS2531" s="128"/>
      <c r="BT2531" s="128"/>
      <c r="BU2531" s="128"/>
      <c r="BV2531" s="128"/>
      <c r="BW2531" s="128"/>
      <c r="BX2531" s="128"/>
      <c r="BY2531" s="128"/>
      <c r="BZ2531" s="128"/>
      <c r="CA2531" s="128"/>
      <c r="CB2531" s="128"/>
      <c r="CC2531" s="128"/>
      <c r="CD2531" s="128"/>
      <c r="CE2531" s="128"/>
      <c r="CF2531" s="128"/>
      <c r="CG2531" s="128"/>
      <c r="CH2531" s="128"/>
      <c r="CI2531" s="128"/>
      <c r="CJ2531" s="128"/>
      <c r="CK2531" s="128"/>
      <c r="CL2531" s="128"/>
      <c r="CM2531" s="128"/>
      <c r="CN2531" s="128"/>
      <c r="CO2531" s="128"/>
      <c r="CP2531" s="128"/>
      <c r="CQ2531" s="128"/>
      <c r="CR2531" s="128"/>
      <c r="CS2531" s="128"/>
      <c r="CT2531" s="128"/>
      <c r="CU2531" s="128"/>
      <c r="CV2531" s="128"/>
      <c r="CW2531" s="128"/>
      <c r="CX2531" s="128"/>
      <c r="CY2531" s="128"/>
      <c r="CZ2531" s="128"/>
      <c r="DA2531" s="128"/>
      <c r="DB2531" s="128"/>
      <c r="DC2531" s="128"/>
      <c r="DD2531" s="128"/>
      <c r="DE2531" s="128"/>
      <c r="DF2531" s="128"/>
      <c r="DG2531" s="128"/>
      <c r="DH2531" s="128"/>
      <c r="DI2531" s="128"/>
      <c r="DJ2531" s="128"/>
      <c r="DK2531" s="128"/>
      <c r="DL2531" s="128"/>
      <c r="DM2531" s="128"/>
      <c r="DN2531" s="128"/>
      <c r="DO2531" s="128"/>
      <c r="DP2531" s="128"/>
      <c r="DQ2531" s="128"/>
      <c r="DR2531" s="128"/>
      <c r="DS2531" s="128"/>
      <c r="DT2531" s="128"/>
      <c r="DU2531" s="128"/>
      <c r="DV2531" s="128"/>
      <c r="DW2531" s="128"/>
      <c r="DX2531" s="128"/>
      <c r="DY2531" s="128"/>
      <c r="DZ2531" s="128"/>
      <c r="EA2531" s="128"/>
      <c r="EB2531" s="128"/>
      <c r="EC2531" s="128"/>
      <c r="ED2531" s="128"/>
      <c r="EE2531" s="128"/>
      <c r="EF2531" s="128"/>
      <c r="EG2531" s="128"/>
      <c r="EH2531" s="128"/>
      <c r="EI2531" s="128"/>
      <c r="EJ2531" s="128"/>
      <c r="EK2531" s="128"/>
      <c r="EL2531" s="128"/>
      <c r="EM2531" s="128"/>
      <c r="EN2531" s="128"/>
      <c r="EO2531" s="128"/>
      <c r="EP2531" s="128"/>
      <c r="EQ2531" s="128"/>
      <c r="ER2531" s="128"/>
      <c r="ES2531" s="128"/>
      <c r="ET2531" s="128"/>
      <c r="EU2531" s="128"/>
      <c r="EV2531" s="128"/>
      <c r="EW2531" s="128"/>
      <c r="EX2531" s="128"/>
      <c r="EY2531" s="128"/>
      <c r="EZ2531" s="128"/>
      <c r="FA2531" s="128"/>
      <c r="FB2531" s="128"/>
      <c r="FC2531" s="128"/>
      <c r="FD2531" s="128"/>
      <c r="FE2531" s="128"/>
      <c r="FF2531" s="128"/>
      <c r="FG2531" s="128"/>
      <c r="FH2531" s="128"/>
      <c r="FI2531" s="128"/>
      <c r="FJ2531" s="128"/>
      <c r="FK2531" s="128"/>
      <c r="FL2531" s="128"/>
      <c r="FM2531" s="128"/>
      <c r="FN2531" s="128"/>
      <c r="FO2531" s="128"/>
      <c r="FP2531" s="128"/>
      <c r="FQ2531" s="128"/>
      <c r="FR2531" s="128"/>
      <c r="FS2531" s="128"/>
      <c r="FT2531" s="128"/>
      <c r="FU2531" s="128"/>
      <c r="FV2531" s="128"/>
      <c r="FW2531" s="128"/>
      <c r="FX2531" s="128"/>
      <c r="FY2531" s="128"/>
      <c r="FZ2531" s="128"/>
      <c r="GA2531" s="128"/>
      <c r="GB2531" s="128"/>
      <c r="GC2531" s="128"/>
      <c r="GD2531" s="128"/>
      <c r="GE2531" s="128"/>
      <c r="GF2531" s="128"/>
      <c r="GG2531" s="128"/>
      <c r="GH2531" s="128"/>
      <c r="GI2531" s="128"/>
      <c r="GJ2531" s="128"/>
      <c r="GK2531" s="128"/>
      <c r="GL2531" s="128"/>
      <c r="GM2531" s="128"/>
      <c r="GN2531" s="128"/>
      <c r="GO2531" s="128"/>
      <c r="GP2531" s="128"/>
      <c r="GQ2531" s="128"/>
      <c r="GR2531" s="128"/>
      <c r="GS2531" s="128"/>
      <c r="GT2531" s="128"/>
      <c r="GU2531" s="128"/>
      <c r="GV2531" s="128"/>
      <c r="GW2531" s="128"/>
      <c r="GX2531" s="128"/>
      <c r="GY2531" s="128"/>
      <c r="GZ2531" s="128"/>
      <c r="HA2531" s="128"/>
      <c r="HB2531" s="128"/>
      <c r="HC2531" s="128"/>
      <c r="HD2531" s="128"/>
      <c r="HE2531" s="128"/>
      <c r="HF2531" s="128"/>
      <c r="HG2531" s="128"/>
      <c r="HH2531" s="128"/>
      <c r="HI2531" s="128"/>
      <c r="HJ2531" s="128"/>
      <c r="HK2531" s="128"/>
      <c r="HL2531" s="128"/>
      <c r="HM2531" s="128"/>
      <c r="HN2531" s="128"/>
      <c r="HO2531" s="128"/>
      <c r="HP2531" s="128"/>
      <c r="HQ2531" s="128"/>
      <c r="HR2531" s="128"/>
      <c r="HS2531" s="128"/>
      <c r="HT2531" s="128"/>
      <c r="HU2531" s="128"/>
      <c r="HV2531" s="128"/>
      <c r="HW2531" s="128"/>
      <c r="HX2531" s="128"/>
      <c r="HY2531" s="128"/>
      <c r="HZ2531" s="128"/>
      <c r="IA2531" s="128"/>
      <c r="IB2531" s="128"/>
      <c r="IC2531" s="128"/>
      <c r="ID2531" s="128"/>
      <c r="IE2531" s="128"/>
      <c r="IF2531" s="128"/>
      <c r="IG2531" s="128"/>
      <c r="IH2531" s="128"/>
      <c r="II2531" s="128"/>
      <c r="IJ2531" s="128"/>
    </row>
    <row r="2532" spans="2:244" ht="12.75" customHeight="1">
      <c r="B2532" s="128"/>
      <c r="C2532" s="224"/>
      <c r="D2532" s="225"/>
      <c r="E2532" s="8"/>
      <c r="F2532" s="128"/>
      <c r="G2532" s="128"/>
      <c r="H2532" s="128"/>
      <c r="I2532" s="160"/>
      <c r="J2532" s="173"/>
      <c r="K2532" s="173"/>
      <c r="L2532" s="173"/>
      <c r="O2532" s="173"/>
      <c r="P2532" s="170"/>
      <c r="Q2532" s="128"/>
      <c r="R2532" s="128"/>
      <c r="S2532" s="180"/>
      <c r="T2532" s="173"/>
      <c r="U2532" s="171"/>
      <c r="V2532" s="173"/>
      <c r="W2532" s="173"/>
      <c r="X2532" s="128"/>
      <c r="Y2532" s="128"/>
      <c r="Z2532" s="128"/>
      <c r="AA2532" s="128"/>
      <c r="AB2532" s="128"/>
      <c r="AC2532" s="128"/>
      <c r="AD2532" s="128"/>
      <c r="AE2532" s="128"/>
      <c r="AF2532" s="128"/>
      <c r="AG2532" s="128"/>
      <c r="AH2532" s="128"/>
      <c r="AI2532" s="128"/>
      <c r="AJ2532" s="128"/>
      <c r="AK2532" s="128"/>
      <c r="AL2532" s="128"/>
      <c r="AM2532" s="128"/>
      <c r="AN2532" s="128"/>
      <c r="AO2532" s="128"/>
      <c r="AP2532" s="128"/>
      <c r="AQ2532" s="128"/>
      <c r="AR2532" s="128"/>
      <c r="AS2532" s="128"/>
      <c r="AT2532" s="128"/>
      <c r="AU2532" s="128"/>
      <c r="AV2532" s="128"/>
      <c r="AW2532" s="128"/>
      <c r="AX2532" s="128"/>
      <c r="AY2532" s="128"/>
      <c r="AZ2532" s="128"/>
      <c r="BA2532" s="128"/>
      <c r="BB2532" s="128"/>
      <c r="BC2532" s="128"/>
      <c r="BD2532" s="128"/>
      <c r="BE2532" s="128"/>
      <c r="BF2532" s="128"/>
      <c r="BG2532" s="128"/>
      <c r="BH2532" s="128"/>
      <c r="BI2532" s="128"/>
      <c r="BJ2532" s="128"/>
      <c r="BK2532" s="128"/>
      <c r="BL2532" s="128"/>
      <c r="BM2532" s="128"/>
      <c r="BN2532" s="128"/>
      <c r="BO2532" s="128"/>
      <c r="BP2532" s="128"/>
      <c r="BQ2532" s="128"/>
      <c r="BR2532" s="128"/>
      <c r="BS2532" s="128"/>
      <c r="BT2532" s="128"/>
      <c r="BU2532" s="128"/>
      <c r="BV2532" s="128"/>
      <c r="BW2532" s="128"/>
      <c r="BX2532" s="128"/>
      <c r="BY2532" s="128"/>
      <c r="BZ2532" s="128"/>
      <c r="CA2532" s="128"/>
      <c r="CB2532" s="128"/>
      <c r="CC2532" s="128"/>
      <c r="CD2532" s="128"/>
      <c r="CE2532" s="128"/>
      <c r="CF2532" s="128"/>
      <c r="CG2532" s="128"/>
      <c r="CH2532" s="128"/>
      <c r="CI2532" s="128"/>
      <c r="CJ2532" s="128"/>
      <c r="CK2532" s="128"/>
      <c r="CL2532" s="128"/>
      <c r="CM2532" s="128"/>
      <c r="CN2532" s="128"/>
      <c r="CO2532" s="128"/>
      <c r="CP2532" s="128"/>
      <c r="CQ2532" s="128"/>
      <c r="CR2532" s="128"/>
      <c r="CS2532" s="128"/>
      <c r="CT2532" s="128"/>
      <c r="CU2532" s="128"/>
      <c r="CV2532" s="128"/>
      <c r="CW2532" s="128"/>
      <c r="CX2532" s="128"/>
      <c r="CY2532" s="128"/>
      <c r="CZ2532" s="128"/>
      <c r="DA2532" s="128"/>
      <c r="DB2532" s="128"/>
      <c r="DC2532" s="128"/>
      <c r="DD2532" s="128"/>
      <c r="DE2532" s="128"/>
      <c r="DF2532" s="128"/>
      <c r="DG2532" s="128"/>
      <c r="DH2532" s="128"/>
      <c r="DI2532" s="128"/>
      <c r="DJ2532" s="128"/>
      <c r="DK2532" s="128"/>
      <c r="DL2532" s="128"/>
      <c r="DM2532" s="128"/>
      <c r="DN2532" s="128"/>
      <c r="DO2532" s="128"/>
      <c r="DP2532" s="128"/>
      <c r="DQ2532" s="128"/>
      <c r="DR2532" s="128"/>
      <c r="DS2532" s="128"/>
      <c r="DT2532" s="128"/>
      <c r="DU2532" s="128"/>
      <c r="DV2532" s="128"/>
      <c r="DW2532" s="128"/>
      <c r="DX2532" s="128"/>
      <c r="DY2532" s="128"/>
      <c r="DZ2532" s="128"/>
      <c r="EA2532" s="128"/>
      <c r="EB2532" s="128"/>
      <c r="EC2532" s="128"/>
      <c r="ED2532" s="128"/>
      <c r="EE2532" s="128"/>
      <c r="EF2532" s="128"/>
      <c r="EG2532" s="128"/>
      <c r="EH2532" s="128"/>
      <c r="EI2532" s="128"/>
      <c r="EJ2532" s="128"/>
      <c r="EK2532" s="128"/>
      <c r="EL2532" s="128"/>
      <c r="EM2532" s="128"/>
      <c r="EN2532" s="128"/>
      <c r="EO2532" s="128"/>
      <c r="EP2532" s="128"/>
      <c r="EQ2532" s="128"/>
      <c r="ER2532" s="128"/>
      <c r="ES2532" s="128"/>
      <c r="ET2532" s="128"/>
      <c r="EU2532" s="128"/>
      <c r="EV2532" s="128"/>
      <c r="EW2532" s="128"/>
      <c r="EX2532" s="128"/>
      <c r="EY2532" s="128"/>
      <c r="EZ2532" s="128"/>
      <c r="FA2532" s="128"/>
      <c r="FB2532" s="128"/>
      <c r="FC2532" s="128"/>
      <c r="FD2532" s="128"/>
      <c r="FE2532" s="128"/>
      <c r="FF2532" s="128"/>
      <c r="FG2532" s="128"/>
      <c r="FH2532" s="128"/>
      <c r="FI2532" s="128"/>
      <c r="FJ2532" s="128"/>
      <c r="FK2532" s="128"/>
      <c r="FL2532" s="128"/>
      <c r="FM2532" s="128"/>
      <c r="FN2532" s="128"/>
      <c r="FO2532" s="128"/>
      <c r="FP2532" s="128"/>
      <c r="FQ2532" s="128"/>
      <c r="FR2532" s="128"/>
      <c r="FS2532" s="128"/>
      <c r="FT2532" s="128"/>
      <c r="FU2532" s="128"/>
      <c r="FV2532" s="128"/>
      <c r="FW2532" s="128"/>
      <c r="FX2532" s="128"/>
      <c r="FY2532" s="128"/>
      <c r="FZ2532" s="128"/>
      <c r="GA2532" s="128"/>
      <c r="GB2532" s="128"/>
      <c r="GC2532" s="128"/>
      <c r="GD2532" s="128"/>
      <c r="GE2532" s="128"/>
      <c r="GF2532" s="128"/>
      <c r="GG2532" s="128"/>
      <c r="GH2532" s="128"/>
      <c r="GI2532" s="128"/>
      <c r="GJ2532" s="128"/>
      <c r="GK2532" s="128"/>
      <c r="GL2532" s="128"/>
      <c r="GM2532" s="128"/>
      <c r="GN2532" s="128"/>
      <c r="GO2532" s="128"/>
      <c r="GP2532" s="128"/>
      <c r="GQ2532" s="128"/>
      <c r="GR2532" s="128"/>
      <c r="GS2532" s="128"/>
      <c r="GT2532" s="128"/>
      <c r="GU2532" s="128"/>
      <c r="GV2532" s="128"/>
      <c r="GW2532" s="128"/>
      <c r="GX2532" s="128"/>
      <c r="GY2532" s="128"/>
      <c r="GZ2532" s="128"/>
      <c r="HA2532" s="128"/>
      <c r="HB2532" s="128"/>
      <c r="HC2532" s="128"/>
      <c r="HD2532" s="128"/>
      <c r="HE2532" s="128"/>
      <c r="HF2532" s="128"/>
      <c r="HG2532" s="128"/>
      <c r="HH2532" s="128"/>
      <c r="HI2532" s="128"/>
      <c r="HJ2532" s="128"/>
      <c r="HK2532" s="128"/>
      <c r="HL2532" s="128"/>
      <c r="HM2532" s="128"/>
      <c r="HN2532" s="128"/>
      <c r="HO2532" s="128"/>
      <c r="HP2532" s="128"/>
      <c r="HQ2532" s="128"/>
      <c r="HR2532" s="128"/>
      <c r="HS2532" s="128"/>
      <c r="HT2532" s="128"/>
      <c r="HU2532" s="128"/>
      <c r="HV2532" s="128"/>
      <c r="HW2532" s="128"/>
      <c r="HX2532" s="128"/>
      <c r="HY2532" s="128"/>
      <c r="HZ2532" s="128"/>
      <c r="IA2532" s="128"/>
      <c r="IB2532" s="128"/>
      <c r="IC2532" s="128"/>
      <c r="ID2532" s="128"/>
      <c r="IE2532" s="128"/>
      <c r="IF2532" s="128"/>
      <c r="IG2532" s="128"/>
      <c r="IH2532" s="128"/>
      <c r="II2532" s="128"/>
      <c r="IJ2532" s="128"/>
    </row>
    <row r="2533" spans="2:244" ht="12.75" customHeight="1">
      <c r="B2533" s="128"/>
      <c r="C2533" s="224"/>
      <c r="D2533" s="225"/>
      <c r="E2533" s="8"/>
      <c r="F2533" s="128"/>
      <c r="G2533" s="128"/>
      <c r="H2533" s="128"/>
      <c r="I2533" s="160"/>
      <c r="J2533" s="173"/>
      <c r="K2533" s="173"/>
      <c r="L2533" s="173"/>
      <c r="O2533" s="173"/>
      <c r="P2533" s="170"/>
      <c r="Q2533" s="128"/>
      <c r="R2533" s="128"/>
      <c r="S2533" s="180"/>
      <c r="T2533" s="173"/>
      <c r="U2533" s="171"/>
      <c r="V2533" s="173"/>
      <c r="W2533" s="173"/>
      <c r="X2533" s="128"/>
      <c r="Y2533" s="128"/>
      <c r="Z2533" s="128"/>
      <c r="AA2533" s="128"/>
      <c r="AB2533" s="128"/>
      <c r="AC2533" s="128"/>
      <c r="AD2533" s="128"/>
      <c r="AE2533" s="128"/>
      <c r="AF2533" s="128"/>
      <c r="AG2533" s="128"/>
      <c r="AH2533" s="128"/>
      <c r="AI2533" s="128"/>
      <c r="AJ2533" s="128"/>
      <c r="AK2533" s="128"/>
      <c r="AL2533" s="128"/>
      <c r="AM2533" s="128"/>
      <c r="AN2533" s="128"/>
      <c r="AO2533" s="128"/>
      <c r="AP2533" s="128"/>
      <c r="AQ2533" s="128"/>
      <c r="AR2533" s="128"/>
      <c r="AS2533" s="128"/>
      <c r="AT2533" s="128"/>
      <c r="AU2533" s="128"/>
      <c r="AV2533" s="128"/>
      <c r="AW2533" s="128"/>
      <c r="AX2533" s="128"/>
      <c r="AY2533" s="128"/>
      <c r="AZ2533" s="128"/>
      <c r="BA2533" s="128"/>
      <c r="BB2533" s="128"/>
      <c r="BC2533" s="128"/>
      <c r="BD2533" s="128"/>
      <c r="BE2533" s="128"/>
      <c r="BF2533" s="128"/>
      <c r="BG2533" s="128"/>
      <c r="BH2533" s="128"/>
      <c r="BI2533" s="128"/>
      <c r="BJ2533" s="128"/>
      <c r="BK2533" s="128"/>
      <c r="BL2533" s="128"/>
      <c r="BM2533" s="128"/>
      <c r="BN2533" s="128"/>
      <c r="BO2533" s="128"/>
      <c r="BP2533" s="128"/>
      <c r="BQ2533" s="128"/>
      <c r="BR2533" s="128"/>
      <c r="BS2533" s="128"/>
      <c r="BT2533" s="128"/>
      <c r="BU2533" s="128"/>
      <c r="BV2533" s="128"/>
      <c r="BW2533" s="128"/>
      <c r="BX2533" s="128"/>
      <c r="BY2533" s="128"/>
      <c r="BZ2533" s="128"/>
      <c r="CA2533" s="128"/>
      <c r="CB2533" s="128"/>
      <c r="CC2533" s="128"/>
      <c r="CD2533" s="128"/>
      <c r="CE2533" s="128"/>
      <c r="CF2533" s="128"/>
      <c r="CG2533" s="128"/>
      <c r="CH2533" s="128"/>
      <c r="CI2533" s="128"/>
      <c r="CJ2533" s="128"/>
      <c r="CK2533" s="128"/>
      <c r="CL2533" s="128"/>
      <c r="CM2533" s="128"/>
      <c r="CN2533" s="128"/>
      <c r="CO2533" s="128"/>
      <c r="CP2533" s="128"/>
      <c r="CQ2533" s="128"/>
      <c r="CR2533" s="128"/>
      <c r="CS2533" s="128"/>
      <c r="CT2533" s="128"/>
      <c r="CU2533" s="128"/>
      <c r="CV2533" s="128"/>
      <c r="CW2533" s="128"/>
      <c r="CX2533" s="128"/>
      <c r="CY2533" s="128"/>
      <c r="CZ2533" s="128"/>
      <c r="DA2533" s="128"/>
      <c r="DB2533" s="128"/>
      <c r="DC2533" s="128"/>
      <c r="DD2533" s="128"/>
      <c r="DE2533" s="128"/>
      <c r="DF2533" s="128"/>
      <c r="DG2533" s="128"/>
      <c r="DH2533" s="128"/>
      <c r="DI2533" s="128"/>
      <c r="DJ2533" s="128"/>
      <c r="DK2533" s="128"/>
      <c r="DL2533" s="128"/>
      <c r="DM2533" s="128"/>
      <c r="DN2533" s="128"/>
      <c r="DO2533" s="128"/>
      <c r="DP2533" s="128"/>
      <c r="DQ2533" s="128"/>
      <c r="DR2533" s="128"/>
      <c r="DS2533" s="128"/>
      <c r="DT2533" s="128"/>
      <c r="DU2533" s="128"/>
      <c r="DV2533" s="128"/>
      <c r="DW2533" s="128"/>
      <c r="DX2533" s="128"/>
      <c r="DY2533" s="128"/>
      <c r="DZ2533" s="128"/>
      <c r="EA2533" s="128"/>
      <c r="EB2533" s="128"/>
      <c r="EC2533" s="128"/>
      <c r="ED2533" s="128"/>
      <c r="EE2533" s="128"/>
      <c r="EF2533" s="128"/>
      <c r="EG2533" s="128"/>
      <c r="EH2533" s="128"/>
      <c r="EI2533" s="128"/>
      <c r="EJ2533" s="128"/>
      <c r="EK2533" s="128"/>
      <c r="EL2533" s="128"/>
      <c r="EM2533" s="128"/>
      <c r="EN2533" s="128"/>
      <c r="EO2533" s="128"/>
      <c r="EP2533" s="128"/>
      <c r="EQ2533" s="128"/>
      <c r="ER2533" s="128"/>
      <c r="ES2533" s="128"/>
      <c r="ET2533" s="128"/>
      <c r="EU2533" s="128"/>
      <c r="EV2533" s="128"/>
      <c r="EW2533" s="128"/>
      <c r="EX2533" s="128"/>
      <c r="EY2533" s="128"/>
      <c r="EZ2533" s="128"/>
      <c r="FA2533" s="128"/>
      <c r="FB2533" s="128"/>
      <c r="FC2533" s="128"/>
      <c r="FD2533" s="128"/>
      <c r="FE2533" s="128"/>
      <c r="FF2533" s="128"/>
      <c r="FG2533" s="128"/>
      <c r="FH2533" s="128"/>
      <c r="FI2533" s="128"/>
      <c r="FJ2533" s="128"/>
      <c r="FK2533" s="128"/>
      <c r="FL2533" s="128"/>
      <c r="FM2533" s="128"/>
      <c r="FN2533" s="128"/>
      <c r="FO2533" s="128"/>
      <c r="FP2533" s="128"/>
      <c r="FQ2533" s="128"/>
      <c r="FR2533" s="128"/>
      <c r="FS2533" s="128"/>
      <c r="FT2533" s="128"/>
      <c r="FU2533" s="128"/>
      <c r="FV2533" s="128"/>
      <c r="FW2533" s="128"/>
      <c r="FX2533" s="128"/>
      <c r="FY2533" s="128"/>
      <c r="FZ2533" s="128"/>
      <c r="GA2533" s="128"/>
      <c r="GB2533" s="128"/>
      <c r="GC2533" s="128"/>
      <c r="GD2533" s="128"/>
      <c r="GE2533" s="128"/>
      <c r="GF2533" s="128"/>
      <c r="GG2533" s="128"/>
      <c r="GH2533" s="128"/>
      <c r="GI2533" s="128"/>
      <c r="GJ2533" s="128"/>
      <c r="GK2533" s="128"/>
      <c r="GL2533" s="128"/>
      <c r="GM2533" s="128"/>
      <c r="GN2533" s="128"/>
      <c r="GO2533" s="128"/>
      <c r="GP2533" s="128"/>
      <c r="GQ2533" s="128"/>
      <c r="GR2533" s="128"/>
      <c r="GS2533" s="128"/>
      <c r="GT2533" s="128"/>
      <c r="GU2533" s="128"/>
      <c r="GV2533" s="128"/>
      <c r="GW2533" s="128"/>
      <c r="GX2533" s="128"/>
      <c r="GY2533" s="128"/>
      <c r="GZ2533" s="128"/>
      <c r="HA2533" s="128"/>
      <c r="HB2533" s="128"/>
      <c r="HC2533" s="128"/>
      <c r="HD2533" s="128"/>
      <c r="HE2533" s="128"/>
      <c r="HF2533" s="128"/>
      <c r="HG2533" s="128"/>
      <c r="HH2533" s="128"/>
      <c r="HI2533" s="128"/>
      <c r="HJ2533" s="128"/>
      <c r="HK2533" s="128"/>
      <c r="HL2533" s="128"/>
      <c r="HM2533" s="128"/>
      <c r="HN2533" s="128"/>
      <c r="HO2533" s="128"/>
      <c r="HP2533" s="128"/>
      <c r="HQ2533" s="128"/>
      <c r="HR2533" s="128"/>
      <c r="HS2533" s="128"/>
      <c r="HT2533" s="128"/>
      <c r="HU2533" s="128"/>
      <c r="HV2533" s="128"/>
      <c r="HW2533" s="128"/>
      <c r="HX2533" s="128"/>
      <c r="HY2533" s="128"/>
      <c r="HZ2533" s="128"/>
      <c r="IA2533" s="128"/>
      <c r="IB2533" s="128"/>
      <c r="IC2533" s="128"/>
      <c r="ID2533" s="128"/>
      <c r="IE2533" s="128"/>
      <c r="IF2533" s="128"/>
      <c r="IG2533" s="128"/>
      <c r="IH2533" s="128"/>
      <c r="II2533" s="128"/>
      <c r="IJ2533" s="128"/>
    </row>
    <row r="2534" spans="2:244" ht="12.75" customHeight="1">
      <c r="B2534" s="128"/>
      <c r="C2534" s="224"/>
      <c r="D2534" s="225"/>
      <c r="E2534" s="8"/>
      <c r="F2534" s="128"/>
      <c r="G2534" s="128"/>
      <c r="H2534" s="128"/>
      <c r="I2534" s="160"/>
      <c r="J2534" s="173"/>
      <c r="K2534" s="173"/>
      <c r="L2534" s="173"/>
      <c r="O2534" s="173"/>
      <c r="P2534" s="170"/>
      <c r="Q2534" s="128"/>
      <c r="R2534" s="128"/>
      <c r="S2534" s="180"/>
      <c r="T2534" s="173"/>
      <c r="U2534" s="171"/>
      <c r="V2534" s="173"/>
      <c r="W2534" s="173"/>
      <c r="X2534" s="128"/>
      <c r="Y2534" s="128"/>
      <c r="Z2534" s="128"/>
      <c r="AA2534" s="128"/>
      <c r="AB2534" s="128"/>
      <c r="AC2534" s="128"/>
      <c r="AD2534" s="128"/>
      <c r="AE2534" s="128"/>
      <c r="AF2534" s="128"/>
      <c r="AG2534" s="128"/>
      <c r="AH2534" s="128"/>
      <c r="AI2534" s="128"/>
      <c r="AJ2534" s="128"/>
      <c r="AK2534" s="128"/>
      <c r="AL2534" s="128"/>
      <c r="AM2534" s="128"/>
      <c r="AN2534" s="128"/>
      <c r="AO2534" s="128"/>
      <c r="AP2534" s="128"/>
      <c r="AQ2534" s="128"/>
      <c r="AR2534" s="128"/>
      <c r="AS2534" s="128"/>
      <c r="AT2534" s="128"/>
      <c r="AU2534" s="128"/>
      <c r="AV2534" s="128"/>
      <c r="AW2534" s="128"/>
      <c r="AX2534" s="128"/>
      <c r="AY2534" s="128"/>
      <c r="AZ2534" s="128"/>
      <c r="BA2534" s="128"/>
      <c r="BB2534" s="128"/>
      <c r="BC2534" s="128"/>
      <c r="BD2534" s="128"/>
      <c r="BE2534" s="128"/>
      <c r="BF2534" s="128"/>
      <c r="BG2534" s="128"/>
      <c r="BH2534" s="128"/>
      <c r="BI2534" s="128"/>
      <c r="BJ2534" s="128"/>
      <c r="BK2534" s="128"/>
      <c r="BL2534" s="128"/>
      <c r="BM2534" s="128"/>
      <c r="BN2534" s="128"/>
      <c r="BO2534" s="128"/>
      <c r="BP2534" s="128"/>
      <c r="BQ2534" s="128"/>
      <c r="BR2534" s="128"/>
      <c r="BS2534" s="128"/>
      <c r="BT2534" s="128"/>
      <c r="BU2534" s="128"/>
      <c r="BV2534" s="128"/>
      <c r="BW2534" s="128"/>
      <c r="BX2534" s="128"/>
      <c r="BY2534" s="128"/>
      <c r="BZ2534" s="128"/>
      <c r="CA2534" s="128"/>
      <c r="CB2534" s="128"/>
      <c r="CC2534" s="128"/>
      <c r="CD2534" s="128"/>
      <c r="CE2534" s="128"/>
      <c r="CF2534" s="128"/>
      <c r="CG2534" s="128"/>
      <c r="CH2534" s="128"/>
      <c r="CI2534" s="128"/>
      <c r="CJ2534" s="128"/>
      <c r="CK2534" s="128"/>
      <c r="CL2534" s="128"/>
      <c r="CM2534" s="128"/>
      <c r="CN2534" s="128"/>
      <c r="CO2534" s="128"/>
      <c r="CP2534" s="128"/>
      <c r="CQ2534" s="128"/>
      <c r="CR2534" s="128"/>
      <c r="CS2534" s="128"/>
      <c r="CT2534" s="128"/>
      <c r="CU2534" s="128"/>
      <c r="CV2534" s="128"/>
      <c r="CW2534" s="128"/>
      <c r="CX2534" s="128"/>
      <c r="CY2534" s="128"/>
      <c r="CZ2534" s="128"/>
      <c r="DA2534" s="128"/>
      <c r="DB2534" s="128"/>
      <c r="DC2534" s="128"/>
      <c r="DD2534" s="128"/>
      <c r="DE2534" s="128"/>
      <c r="DF2534" s="128"/>
      <c r="DG2534" s="128"/>
      <c r="DH2534" s="128"/>
      <c r="DI2534" s="128"/>
      <c r="DJ2534" s="128"/>
      <c r="DK2534" s="128"/>
      <c r="DL2534" s="128"/>
      <c r="DM2534" s="128"/>
      <c r="DN2534" s="128"/>
      <c r="DO2534" s="128"/>
      <c r="DP2534" s="128"/>
      <c r="DQ2534" s="128"/>
      <c r="DR2534" s="128"/>
      <c r="DS2534" s="128"/>
      <c r="DT2534" s="128"/>
      <c r="DU2534" s="128"/>
      <c r="DV2534" s="128"/>
      <c r="DW2534" s="128"/>
      <c r="DX2534" s="128"/>
      <c r="DY2534" s="128"/>
      <c r="DZ2534" s="128"/>
      <c r="EA2534" s="128"/>
      <c r="EB2534" s="128"/>
      <c r="EC2534" s="128"/>
      <c r="ED2534" s="128"/>
      <c r="EE2534" s="128"/>
      <c r="EF2534" s="128"/>
      <c r="EG2534" s="128"/>
      <c r="EH2534" s="128"/>
      <c r="EI2534" s="128"/>
      <c r="EJ2534" s="128"/>
      <c r="EK2534" s="128"/>
      <c r="EL2534" s="128"/>
      <c r="EM2534" s="128"/>
      <c r="EN2534" s="128"/>
      <c r="EO2534" s="128"/>
      <c r="EP2534" s="128"/>
      <c r="EQ2534" s="128"/>
      <c r="ER2534" s="128"/>
      <c r="ES2534" s="128"/>
      <c r="ET2534" s="128"/>
      <c r="EU2534" s="128"/>
      <c r="EV2534" s="128"/>
      <c r="EW2534" s="128"/>
      <c r="EX2534" s="128"/>
      <c r="EY2534" s="128"/>
      <c r="EZ2534" s="128"/>
      <c r="FA2534" s="128"/>
      <c r="FB2534" s="128"/>
      <c r="FC2534" s="128"/>
      <c r="FD2534" s="128"/>
      <c r="FE2534" s="128"/>
      <c r="FF2534" s="128"/>
      <c r="FG2534" s="128"/>
      <c r="FH2534" s="128"/>
      <c r="FI2534" s="128"/>
      <c r="FJ2534" s="128"/>
      <c r="FK2534" s="128"/>
      <c r="FL2534" s="128"/>
      <c r="FM2534" s="128"/>
      <c r="FN2534" s="128"/>
      <c r="FO2534" s="128"/>
      <c r="FP2534" s="128"/>
      <c r="FQ2534" s="128"/>
      <c r="FR2534" s="128"/>
      <c r="FS2534" s="128"/>
      <c r="FT2534" s="128"/>
      <c r="FU2534" s="128"/>
      <c r="FV2534" s="128"/>
      <c r="FW2534" s="128"/>
      <c r="FX2534" s="128"/>
      <c r="FY2534" s="128"/>
      <c r="FZ2534" s="128"/>
      <c r="GA2534" s="128"/>
      <c r="GB2534" s="128"/>
      <c r="GC2534" s="128"/>
      <c r="GD2534" s="128"/>
      <c r="GE2534" s="128"/>
      <c r="GF2534" s="128"/>
      <c r="GG2534" s="128"/>
      <c r="GH2534" s="128"/>
      <c r="GI2534" s="128"/>
      <c r="GJ2534" s="128"/>
      <c r="GK2534" s="128"/>
      <c r="GL2534" s="128"/>
      <c r="GM2534" s="128"/>
      <c r="GN2534" s="128"/>
      <c r="GO2534" s="128"/>
      <c r="GP2534" s="128"/>
      <c r="GQ2534" s="128"/>
      <c r="GR2534" s="128"/>
      <c r="GS2534" s="128"/>
      <c r="GT2534" s="128"/>
      <c r="GU2534" s="128"/>
      <c r="GV2534" s="128"/>
      <c r="GW2534" s="128"/>
      <c r="GX2534" s="128"/>
      <c r="GY2534" s="128"/>
      <c r="GZ2534" s="128"/>
      <c r="HA2534" s="128"/>
      <c r="HB2534" s="128"/>
      <c r="HC2534" s="128"/>
      <c r="HD2534" s="128"/>
      <c r="HE2534" s="128"/>
      <c r="HF2534" s="128"/>
      <c r="HG2534" s="128"/>
      <c r="HH2534" s="128"/>
      <c r="HI2534" s="128"/>
      <c r="HJ2534" s="128"/>
      <c r="HK2534" s="128"/>
      <c r="HL2534" s="128"/>
      <c r="HM2534" s="128"/>
      <c r="HN2534" s="128"/>
      <c r="HO2534" s="128"/>
      <c r="HP2534" s="128"/>
      <c r="HQ2534" s="128"/>
      <c r="HR2534" s="128"/>
      <c r="HS2534" s="128"/>
      <c r="HT2534" s="128"/>
      <c r="HU2534" s="128"/>
      <c r="HV2534" s="128"/>
      <c r="HW2534" s="128"/>
      <c r="HX2534" s="128"/>
      <c r="HY2534" s="128"/>
      <c r="HZ2534" s="128"/>
      <c r="IA2534" s="128"/>
      <c r="IB2534" s="128"/>
      <c r="IC2534" s="128"/>
      <c r="ID2534" s="128"/>
      <c r="IE2534" s="128"/>
      <c r="IF2534" s="128"/>
      <c r="IG2534" s="128"/>
      <c r="IH2534" s="128"/>
      <c r="II2534" s="128"/>
      <c r="IJ2534" s="128"/>
    </row>
    <row r="2535" spans="2:244" ht="12.75" customHeight="1">
      <c r="B2535" s="128"/>
      <c r="C2535" s="224"/>
      <c r="D2535" s="225"/>
      <c r="E2535" s="8"/>
      <c r="F2535" s="128"/>
      <c r="G2535" s="128"/>
      <c r="H2535" s="128"/>
      <c r="I2535" s="160"/>
      <c r="J2535" s="173"/>
      <c r="K2535" s="173"/>
      <c r="L2535" s="173"/>
      <c r="O2535" s="173"/>
      <c r="P2535" s="170"/>
      <c r="Q2535" s="128"/>
      <c r="R2535" s="128"/>
      <c r="S2535" s="180"/>
      <c r="T2535" s="173"/>
      <c r="U2535" s="171"/>
      <c r="V2535" s="173"/>
      <c r="W2535" s="173"/>
      <c r="X2535" s="128"/>
      <c r="Y2535" s="128"/>
      <c r="Z2535" s="128"/>
      <c r="AA2535" s="128"/>
      <c r="AB2535" s="128"/>
      <c r="AC2535" s="128"/>
      <c r="AD2535" s="128"/>
      <c r="AE2535" s="128"/>
      <c r="AF2535" s="128"/>
      <c r="AG2535" s="128"/>
      <c r="AH2535" s="128"/>
      <c r="AI2535" s="128"/>
      <c r="AJ2535" s="128"/>
      <c r="AK2535" s="128"/>
      <c r="AL2535" s="128"/>
      <c r="AM2535" s="128"/>
      <c r="AN2535" s="128"/>
      <c r="AO2535" s="128"/>
      <c r="AP2535" s="128"/>
      <c r="AQ2535" s="128"/>
      <c r="AR2535" s="128"/>
      <c r="AS2535" s="128"/>
      <c r="AT2535" s="128"/>
      <c r="AU2535" s="128"/>
      <c r="AV2535" s="128"/>
      <c r="AW2535" s="128"/>
      <c r="AX2535" s="128"/>
      <c r="AY2535" s="128"/>
      <c r="AZ2535" s="128"/>
      <c r="BA2535" s="128"/>
      <c r="BB2535" s="128"/>
      <c r="BC2535" s="128"/>
      <c r="BD2535" s="128"/>
      <c r="BE2535" s="128"/>
      <c r="BF2535" s="128"/>
      <c r="BG2535" s="128"/>
      <c r="BH2535" s="128"/>
      <c r="BI2535" s="128"/>
      <c r="BJ2535" s="128"/>
      <c r="BK2535" s="128"/>
      <c r="BL2535" s="128"/>
      <c r="BM2535" s="128"/>
      <c r="BN2535" s="128"/>
      <c r="BO2535" s="128"/>
      <c r="BP2535" s="128"/>
      <c r="BQ2535" s="128"/>
      <c r="BR2535" s="128"/>
      <c r="BS2535" s="128"/>
      <c r="BT2535" s="128"/>
      <c r="BU2535" s="128"/>
      <c r="BV2535" s="128"/>
      <c r="BW2535" s="128"/>
      <c r="BX2535" s="128"/>
      <c r="BY2535" s="128"/>
      <c r="BZ2535" s="128"/>
      <c r="CA2535" s="128"/>
      <c r="CB2535" s="128"/>
      <c r="CC2535" s="128"/>
      <c r="CD2535" s="128"/>
      <c r="CE2535" s="128"/>
      <c r="CF2535" s="128"/>
      <c r="CG2535" s="128"/>
      <c r="CH2535" s="128"/>
      <c r="CI2535" s="128"/>
      <c r="CJ2535" s="128"/>
      <c r="CK2535" s="128"/>
      <c r="CL2535" s="128"/>
      <c r="CM2535" s="128"/>
      <c r="CN2535" s="128"/>
      <c r="CO2535" s="128"/>
      <c r="CP2535" s="128"/>
      <c r="CQ2535" s="128"/>
      <c r="CR2535" s="128"/>
      <c r="CS2535" s="128"/>
      <c r="CT2535" s="128"/>
      <c r="CU2535" s="128"/>
      <c r="CV2535" s="128"/>
      <c r="CW2535" s="128"/>
      <c r="CX2535" s="128"/>
      <c r="CY2535" s="128"/>
      <c r="CZ2535" s="128"/>
      <c r="DA2535" s="128"/>
      <c r="DB2535" s="128"/>
      <c r="DC2535" s="128"/>
      <c r="DD2535" s="128"/>
      <c r="DE2535" s="128"/>
      <c r="DF2535" s="128"/>
      <c r="DG2535" s="128"/>
      <c r="DH2535" s="128"/>
      <c r="DI2535" s="128"/>
      <c r="DJ2535" s="128"/>
      <c r="DK2535" s="128"/>
      <c r="DL2535" s="128"/>
      <c r="DM2535" s="128"/>
      <c r="DN2535" s="128"/>
      <c r="DO2535" s="128"/>
      <c r="DP2535" s="128"/>
      <c r="DQ2535" s="128"/>
      <c r="DR2535" s="128"/>
      <c r="DS2535" s="128"/>
      <c r="DT2535" s="128"/>
      <c r="DU2535" s="128"/>
      <c r="DV2535" s="128"/>
      <c r="DW2535" s="128"/>
      <c r="DX2535" s="128"/>
      <c r="DY2535" s="128"/>
      <c r="DZ2535" s="128"/>
      <c r="EA2535" s="128"/>
      <c r="EB2535" s="128"/>
      <c r="EC2535" s="128"/>
      <c r="ED2535" s="128"/>
      <c r="EE2535" s="128"/>
      <c r="EF2535" s="128"/>
      <c r="EG2535" s="128"/>
      <c r="EH2535" s="128"/>
      <c r="EI2535" s="128"/>
      <c r="EJ2535" s="128"/>
      <c r="EK2535" s="128"/>
      <c r="EL2535" s="128"/>
      <c r="EM2535" s="128"/>
      <c r="EN2535" s="128"/>
      <c r="EO2535" s="128"/>
      <c r="EP2535" s="128"/>
      <c r="EQ2535" s="128"/>
      <c r="ER2535" s="128"/>
      <c r="ES2535" s="128"/>
      <c r="ET2535" s="128"/>
      <c r="EU2535" s="128"/>
      <c r="EV2535" s="128"/>
      <c r="EW2535" s="128"/>
      <c r="EX2535" s="128"/>
      <c r="EY2535" s="128"/>
      <c r="EZ2535" s="128"/>
      <c r="FA2535" s="128"/>
      <c r="FB2535" s="128"/>
      <c r="FC2535" s="128"/>
      <c r="FD2535" s="128"/>
      <c r="FE2535" s="128"/>
      <c r="FF2535" s="128"/>
      <c r="FG2535" s="128"/>
      <c r="FH2535" s="128"/>
      <c r="FI2535" s="128"/>
      <c r="FJ2535" s="128"/>
      <c r="FK2535" s="128"/>
      <c r="FL2535" s="128"/>
      <c r="FM2535" s="128"/>
      <c r="FN2535" s="128"/>
      <c r="FO2535" s="128"/>
      <c r="FP2535" s="128"/>
      <c r="FQ2535" s="128"/>
      <c r="FR2535" s="128"/>
      <c r="FS2535" s="128"/>
      <c r="FT2535" s="128"/>
      <c r="FU2535" s="128"/>
      <c r="FV2535" s="128"/>
      <c r="FW2535" s="128"/>
      <c r="FX2535" s="128"/>
      <c r="FY2535" s="128"/>
      <c r="FZ2535" s="128"/>
      <c r="GA2535" s="128"/>
      <c r="GB2535" s="128"/>
      <c r="GC2535" s="128"/>
      <c r="GD2535" s="128"/>
      <c r="GE2535" s="128"/>
      <c r="GF2535" s="128"/>
      <c r="GG2535" s="128"/>
      <c r="GH2535" s="128"/>
      <c r="GI2535" s="128"/>
      <c r="GJ2535" s="128"/>
      <c r="GK2535" s="128"/>
      <c r="GL2535" s="128"/>
      <c r="GM2535" s="128"/>
      <c r="GN2535" s="128"/>
      <c r="GO2535" s="128"/>
      <c r="GP2535" s="128"/>
      <c r="GQ2535" s="128"/>
      <c r="GR2535" s="128"/>
      <c r="GS2535" s="128"/>
      <c r="GT2535" s="128"/>
      <c r="GU2535" s="128"/>
      <c r="GV2535" s="128"/>
      <c r="GW2535" s="128"/>
      <c r="GX2535" s="128"/>
      <c r="GY2535" s="128"/>
      <c r="GZ2535" s="128"/>
      <c r="HA2535" s="128"/>
      <c r="HB2535" s="128"/>
      <c r="HC2535" s="128"/>
      <c r="HD2535" s="128"/>
      <c r="HE2535" s="128"/>
      <c r="HF2535" s="128"/>
      <c r="HG2535" s="128"/>
      <c r="HH2535" s="128"/>
      <c r="HI2535" s="128"/>
      <c r="HJ2535" s="128"/>
      <c r="HK2535" s="128"/>
      <c r="HL2535" s="128"/>
      <c r="HM2535" s="128"/>
      <c r="HN2535" s="128"/>
      <c r="HO2535" s="128"/>
      <c r="HP2535" s="128"/>
      <c r="HQ2535" s="128"/>
      <c r="HR2535" s="128"/>
      <c r="HS2535" s="128"/>
      <c r="HT2535" s="128"/>
      <c r="HU2535" s="128"/>
      <c r="HV2535" s="128"/>
      <c r="HW2535" s="128"/>
      <c r="HX2535" s="128"/>
      <c r="HY2535" s="128"/>
      <c r="HZ2535" s="128"/>
      <c r="IA2535" s="128"/>
      <c r="IB2535" s="128"/>
      <c r="IC2535" s="128"/>
      <c r="ID2535" s="128"/>
      <c r="IE2535" s="128"/>
      <c r="IF2535" s="128"/>
      <c r="IG2535" s="128"/>
      <c r="IH2535" s="128"/>
      <c r="II2535" s="128"/>
      <c r="IJ2535" s="128"/>
    </row>
    <row r="2536" spans="2:244" ht="12.75" customHeight="1">
      <c r="B2536" s="128"/>
      <c r="C2536" s="224"/>
      <c r="D2536" s="225"/>
      <c r="E2536" s="8"/>
      <c r="F2536" s="128"/>
      <c r="G2536" s="128"/>
      <c r="H2536" s="128"/>
      <c r="I2536" s="160"/>
      <c r="J2536" s="173"/>
      <c r="K2536" s="173"/>
      <c r="L2536" s="173"/>
      <c r="O2536" s="173"/>
      <c r="P2536" s="170"/>
      <c r="Q2536" s="128"/>
      <c r="R2536" s="128"/>
      <c r="S2536" s="180"/>
      <c r="T2536" s="173"/>
      <c r="U2536" s="171"/>
      <c r="V2536" s="173"/>
      <c r="W2536" s="173"/>
      <c r="X2536" s="128"/>
      <c r="Y2536" s="128"/>
      <c r="Z2536" s="128"/>
      <c r="AA2536" s="128"/>
      <c r="AB2536" s="128"/>
      <c r="AC2536" s="128"/>
      <c r="AD2536" s="128"/>
      <c r="AE2536" s="128"/>
      <c r="AF2536" s="128"/>
      <c r="AG2536" s="128"/>
      <c r="AH2536" s="128"/>
      <c r="AI2536" s="128"/>
      <c r="AJ2536" s="128"/>
      <c r="AK2536" s="128"/>
      <c r="AL2536" s="128"/>
      <c r="AM2536" s="128"/>
      <c r="AN2536" s="128"/>
      <c r="AO2536" s="128"/>
      <c r="AP2536" s="128"/>
      <c r="AQ2536" s="128"/>
      <c r="AR2536" s="128"/>
      <c r="AS2536" s="128"/>
      <c r="AT2536" s="128"/>
      <c r="AU2536" s="128"/>
      <c r="AV2536" s="128"/>
      <c r="AW2536" s="128"/>
      <c r="AX2536" s="128"/>
      <c r="AY2536" s="128"/>
      <c r="AZ2536" s="128"/>
      <c r="BA2536" s="128"/>
      <c r="BB2536" s="128"/>
      <c r="BC2536" s="128"/>
      <c r="BD2536" s="128"/>
      <c r="BE2536" s="128"/>
      <c r="BF2536" s="128"/>
      <c r="BG2536" s="128"/>
      <c r="BH2536" s="128"/>
      <c r="BI2536" s="128"/>
      <c r="BJ2536" s="128"/>
      <c r="BK2536" s="128"/>
      <c r="BL2536" s="128"/>
      <c r="BM2536" s="128"/>
      <c r="BN2536" s="128"/>
      <c r="BO2536" s="128"/>
      <c r="BP2536" s="128"/>
      <c r="BQ2536" s="128"/>
      <c r="BR2536" s="128"/>
      <c r="BS2536" s="128"/>
      <c r="BT2536" s="128"/>
      <c r="BU2536" s="128"/>
      <c r="BV2536" s="128"/>
      <c r="BW2536" s="128"/>
      <c r="BX2536" s="128"/>
      <c r="BY2536" s="128"/>
      <c r="BZ2536" s="128"/>
      <c r="CA2536" s="128"/>
      <c r="CB2536" s="128"/>
      <c r="CC2536" s="128"/>
      <c r="CD2536" s="128"/>
      <c r="CE2536" s="128"/>
      <c r="CF2536" s="128"/>
      <c r="CG2536" s="128"/>
      <c r="CH2536" s="128"/>
      <c r="CI2536" s="128"/>
      <c r="CJ2536" s="128"/>
      <c r="CK2536" s="128"/>
      <c r="CL2536" s="128"/>
      <c r="CM2536" s="128"/>
      <c r="CN2536" s="128"/>
      <c r="CO2536" s="128"/>
      <c r="CP2536" s="128"/>
      <c r="CQ2536" s="128"/>
      <c r="CR2536" s="128"/>
      <c r="CS2536" s="128"/>
      <c r="CT2536" s="128"/>
      <c r="CU2536" s="128"/>
      <c r="CV2536" s="128"/>
      <c r="CW2536" s="128"/>
      <c r="CX2536" s="128"/>
      <c r="CY2536" s="128"/>
      <c r="CZ2536" s="128"/>
      <c r="DA2536" s="128"/>
      <c r="DB2536" s="128"/>
      <c r="DC2536" s="128"/>
      <c r="DD2536" s="128"/>
      <c r="DE2536" s="128"/>
      <c r="DF2536" s="128"/>
      <c r="DG2536" s="128"/>
      <c r="DH2536" s="128"/>
      <c r="DI2536" s="128"/>
      <c r="DJ2536" s="128"/>
      <c r="DK2536" s="128"/>
      <c r="DL2536" s="128"/>
      <c r="DM2536" s="128"/>
      <c r="DN2536" s="128"/>
      <c r="DO2536" s="128"/>
      <c r="DP2536" s="128"/>
      <c r="DQ2536" s="128"/>
      <c r="DR2536" s="128"/>
      <c r="DS2536" s="128"/>
      <c r="DT2536" s="128"/>
      <c r="DU2536" s="128"/>
      <c r="DV2536" s="128"/>
      <c r="DW2536" s="128"/>
      <c r="DX2536" s="128"/>
      <c r="DY2536" s="128"/>
      <c r="DZ2536" s="128"/>
      <c r="EA2536" s="128"/>
      <c r="EB2536" s="128"/>
      <c r="EC2536" s="128"/>
      <c r="ED2536" s="128"/>
      <c r="EE2536" s="128"/>
      <c r="EF2536" s="128"/>
      <c r="EG2536" s="128"/>
      <c r="EH2536" s="128"/>
      <c r="EI2536" s="128"/>
      <c r="EJ2536" s="128"/>
      <c r="EK2536" s="128"/>
      <c r="EL2536" s="128"/>
      <c r="EM2536" s="128"/>
      <c r="EN2536" s="128"/>
      <c r="EO2536" s="128"/>
      <c r="EP2536" s="128"/>
      <c r="EQ2536" s="128"/>
      <c r="ER2536" s="128"/>
      <c r="ES2536" s="128"/>
      <c r="ET2536" s="128"/>
      <c r="EU2536" s="128"/>
      <c r="EV2536" s="128"/>
      <c r="EW2536" s="128"/>
      <c r="EX2536" s="128"/>
      <c r="EY2536" s="128"/>
      <c r="EZ2536" s="128"/>
      <c r="FA2536" s="128"/>
      <c r="FB2536" s="128"/>
      <c r="FC2536" s="128"/>
      <c r="FD2536" s="128"/>
      <c r="FE2536" s="128"/>
      <c r="FF2536" s="128"/>
      <c r="FG2536" s="128"/>
      <c r="FH2536" s="128"/>
      <c r="FI2536" s="128"/>
      <c r="FJ2536" s="128"/>
      <c r="FK2536" s="128"/>
      <c r="FL2536" s="128"/>
      <c r="FM2536" s="128"/>
      <c r="FN2536" s="128"/>
      <c r="FO2536" s="128"/>
      <c r="FP2536" s="128"/>
      <c r="FQ2536" s="128"/>
      <c r="FR2536" s="128"/>
      <c r="FS2536" s="128"/>
      <c r="FT2536" s="128"/>
      <c r="FU2536" s="128"/>
      <c r="FV2536" s="128"/>
      <c r="FW2536" s="128"/>
      <c r="FX2536" s="128"/>
      <c r="FY2536" s="128"/>
      <c r="FZ2536" s="128"/>
      <c r="GA2536" s="128"/>
      <c r="GB2536" s="128"/>
      <c r="GC2536" s="128"/>
      <c r="GD2536" s="128"/>
      <c r="GE2536" s="128"/>
      <c r="GF2536" s="128"/>
      <c r="GG2536" s="128"/>
      <c r="GH2536" s="128"/>
      <c r="GI2536" s="128"/>
      <c r="GJ2536" s="128"/>
      <c r="GK2536" s="128"/>
      <c r="GL2536" s="128"/>
      <c r="GM2536" s="128"/>
      <c r="GN2536" s="128"/>
      <c r="GO2536" s="128"/>
      <c r="GP2536" s="128"/>
      <c r="GQ2536" s="128"/>
      <c r="GR2536" s="128"/>
      <c r="GS2536" s="128"/>
      <c r="GT2536" s="128"/>
      <c r="GU2536" s="128"/>
      <c r="GV2536" s="128"/>
      <c r="GW2536" s="128"/>
      <c r="GX2536" s="128"/>
      <c r="GY2536" s="128"/>
      <c r="GZ2536" s="128"/>
      <c r="HA2536" s="128"/>
      <c r="HB2536" s="128"/>
      <c r="HC2536" s="128"/>
      <c r="HD2536" s="128"/>
      <c r="HE2536" s="128"/>
      <c r="HF2536" s="128"/>
      <c r="HG2536" s="128"/>
      <c r="HH2536" s="128"/>
      <c r="HI2536" s="128"/>
      <c r="HJ2536" s="128"/>
      <c r="HK2536" s="128"/>
      <c r="HL2536" s="128"/>
      <c r="HM2536" s="128"/>
      <c r="HN2536" s="128"/>
      <c r="HO2536" s="128"/>
      <c r="HP2536" s="128"/>
      <c r="HQ2536" s="128"/>
      <c r="HR2536" s="128"/>
      <c r="HS2536" s="128"/>
      <c r="HT2536" s="128"/>
      <c r="HU2536" s="128"/>
      <c r="HV2536" s="128"/>
      <c r="HW2536" s="128"/>
      <c r="HX2536" s="128"/>
      <c r="HY2536" s="128"/>
      <c r="HZ2536" s="128"/>
      <c r="IA2536" s="128"/>
      <c r="IB2536" s="128"/>
      <c r="IC2536" s="128"/>
      <c r="ID2536" s="128"/>
      <c r="IE2536" s="128"/>
      <c r="IF2536" s="128"/>
      <c r="IG2536" s="128"/>
      <c r="IH2536" s="128"/>
      <c r="II2536" s="128"/>
      <c r="IJ2536" s="128"/>
    </row>
    <row r="2537" spans="2:244" ht="12.75" customHeight="1">
      <c r="B2537" s="128"/>
      <c r="C2537" s="224"/>
      <c r="D2537" s="225"/>
      <c r="E2537" s="8"/>
      <c r="F2537" s="128"/>
      <c r="G2537" s="128"/>
      <c r="H2537" s="128"/>
      <c r="I2537" s="160"/>
      <c r="J2537" s="173"/>
      <c r="K2537" s="173"/>
      <c r="L2537" s="173"/>
      <c r="O2537" s="173"/>
      <c r="P2537" s="170"/>
      <c r="Q2537" s="128"/>
      <c r="R2537" s="128"/>
      <c r="S2537" s="180"/>
      <c r="T2537" s="173"/>
      <c r="U2537" s="171"/>
      <c r="V2537" s="173"/>
      <c r="W2537" s="173"/>
      <c r="X2537" s="128"/>
      <c r="Y2537" s="128"/>
      <c r="Z2537" s="128"/>
      <c r="AA2537" s="128"/>
      <c r="AB2537" s="128"/>
      <c r="AC2537" s="128"/>
      <c r="AD2537" s="128"/>
      <c r="AE2537" s="128"/>
      <c r="AF2537" s="128"/>
      <c r="AG2537" s="128"/>
      <c r="AH2537" s="128"/>
      <c r="AI2537" s="128"/>
      <c r="AJ2537" s="128"/>
      <c r="AK2537" s="128"/>
      <c r="AL2537" s="128"/>
      <c r="AM2537" s="128"/>
      <c r="AN2537" s="128"/>
      <c r="AO2537" s="128"/>
      <c r="AP2537" s="128"/>
      <c r="AQ2537" s="128"/>
      <c r="AR2537" s="128"/>
      <c r="AS2537" s="128"/>
      <c r="AT2537" s="128"/>
      <c r="AU2537" s="128"/>
      <c r="AV2537" s="128"/>
      <c r="AW2537" s="128"/>
      <c r="AX2537" s="128"/>
      <c r="AY2537" s="128"/>
      <c r="AZ2537" s="128"/>
      <c r="BA2537" s="128"/>
      <c r="BB2537" s="128"/>
      <c r="BC2537" s="128"/>
      <c r="BD2537" s="128"/>
      <c r="BE2537" s="128"/>
      <c r="BF2537" s="128"/>
      <c r="BG2537" s="128"/>
      <c r="BH2537" s="128"/>
      <c r="BI2537" s="128"/>
      <c r="BJ2537" s="128"/>
      <c r="BK2537" s="128"/>
      <c r="BL2537" s="128"/>
      <c r="BM2537" s="128"/>
      <c r="BN2537" s="128"/>
      <c r="BO2537" s="128"/>
      <c r="BP2537" s="128"/>
      <c r="BQ2537" s="128"/>
      <c r="BR2537" s="128"/>
      <c r="BS2537" s="128"/>
      <c r="BT2537" s="128"/>
      <c r="BU2537" s="128"/>
      <c r="BV2537" s="128"/>
      <c r="BW2537" s="128"/>
      <c r="BX2537" s="128"/>
      <c r="BY2537" s="128"/>
      <c r="BZ2537" s="128"/>
      <c r="CA2537" s="128"/>
      <c r="CB2537" s="128"/>
      <c r="CC2537" s="128"/>
      <c r="CD2537" s="128"/>
      <c r="CE2537" s="128"/>
      <c r="CF2537" s="128"/>
      <c r="CG2537" s="128"/>
      <c r="CH2537" s="128"/>
      <c r="CI2537" s="128"/>
      <c r="CJ2537" s="128"/>
      <c r="CK2537" s="128"/>
      <c r="CL2537" s="128"/>
      <c r="CM2537" s="128"/>
      <c r="CN2537" s="128"/>
      <c r="CO2537" s="128"/>
      <c r="CP2537" s="128"/>
      <c r="CQ2537" s="128"/>
      <c r="CR2537" s="128"/>
      <c r="CS2537" s="128"/>
      <c r="CT2537" s="128"/>
      <c r="CU2537" s="128"/>
      <c r="CV2537" s="128"/>
      <c r="CW2537" s="128"/>
      <c r="CX2537" s="128"/>
      <c r="CY2537" s="128"/>
      <c r="CZ2537" s="128"/>
      <c r="DA2537" s="128"/>
      <c r="DB2537" s="128"/>
      <c r="DC2537" s="128"/>
      <c r="DD2537" s="128"/>
      <c r="DE2537" s="128"/>
      <c r="DF2537" s="128"/>
      <c r="DG2537" s="128"/>
      <c r="DH2537" s="128"/>
      <c r="DI2537" s="128"/>
      <c r="DJ2537" s="128"/>
      <c r="DK2537" s="128"/>
      <c r="DL2537" s="128"/>
      <c r="DM2537" s="128"/>
      <c r="DN2537" s="128"/>
      <c r="DO2537" s="128"/>
      <c r="DP2537" s="128"/>
      <c r="DQ2537" s="128"/>
      <c r="DR2537" s="128"/>
      <c r="DS2537" s="128"/>
      <c r="DT2537" s="128"/>
      <c r="DU2537" s="128"/>
      <c r="DV2537" s="128"/>
      <c r="DW2537" s="128"/>
      <c r="DX2537" s="128"/>
      <c r="DY2537" s="128"/>
      <c r="DZ2537" s="128"/>
      <c r="EA2537" s="128"/>
      <c r="EB2537" s="128"/>
      <c r="EC2537" s="128"/>
      <c r="ED2537" s="128"/>
      <c r="EE2537" s="128"/>
      <c r="EF2537" s="128"/>
      <c r="EG2537" s="128"/>
      <c r="EH2537" s="128"/>
      <c r="EI2537" s="128"/>
      <c r="EJ2537" s="128"/>
      <c r="EK2537" s="128"/>
      <c r="EL2537" s="128"/>
      <c r="EM2537" s="128"/>
      <c r="EN2537" s="128"/>
      <c r="EO2537" s="128"/>
      <c r="EP2537" s="128"/>
      <c r="EQ2537" s="128"/>
      <c r="ER2537" s="128"/>
      <c r="ES2537" s="128"/>
      <c r="ET2537" s="128"/>
      <c r="EU2537" s="128"/>
      <c r="EV2537" s="128"/>
      <c r="EW2537" s="128"/>
      <c r="EX2537" s="128"/>
      <c r="EY2537" s="128"/>
      <c r="EZ2537" s="128"/>
      <c r="FA2537" s="128"/>
      <c r="FB2537" s="128"/>
      <c r="FC2537" s="128"/>
      <c r="FD2537" s="128"/>
      <c r="FE2537" s="128"/>
      <c r="FF2537" s="128"/>
      <c r="FG2537" s="128"/>
      <c r="FH2537" s="128"/>
      <c r="FI2537" s="128"/>
      <c r="FJ2537" s="128"/>
      <c r="FK2537" s="128"/>
      <c r="FL2537" s="128"/>
      <c r="FM2537" s="128"/>
      <c r="FN2537" s="128"/>
      <c r="FO2537" s="128"/>
      <c r="FP2537" s="128"/>
      <c r="FQ2537" s="128"/>
      <c r="FR2537" s="128"/>
      <c r="FS2537" s="128"/>
      <c r="FT2537" s="128"/>
      <c r="FU2537" s="128"/>
      <c r="FV2537" s="128"/>
      <c r="FW2537" s="128"/>
      <c r="FX2537" s="128"/>
      <c r="FY2537" s="128"/>
      <c r="FZ2537" s="128"/>
      <c r="GA2537" s="128"/>
      <c r="GB2537" s="128"/>
      <c r="GC2537" s="128"/>
      <c r="GD2537" s="128"/>
      <c r="GE2537" s="128"/>
      <c r="GF2537" s="128"/>
      <c r="GG2537" s="128"/>
      <c r="GH2537" s="128"/>
      <c r="GI2537" s="128"/>
      <c r="GJ2537" s="128"/>
      <c r="GK2537" s="128"/>
      <c r="GL2537" s="128"/>
      <c r="GM2537" s="128"/>
      <c r="GN2537" s="128"/>
      <c r="GO2537" s="128"/>
      <c r="GP2537" s="128"/>
      <c r="GQ2537" s="128"/>
      <c r="GR2537" s="128"/>
      <c r="GS2537" s="128"/>
      <c r="GT2537" s="128"/>
      <c r="GU2537" s="128"/>
      <c r="GV2537" s="128"/>
      <c r="GW2537" s="128"/>
      <c r="GX2537" s="128"/>
      <c r="GY2537" s="128"/>
      <c r="GZ2537" s="128"/>
      <c r="HA2537" s="128"/>
      <c r="HB2537" s="128"/>
      <c r="HC2537" s="128"/>
      <c r="HD2537" s="128"/>
      <c r="HE2537" s="128"/>
      <c r="HF2537" s="128"/>
      <c r="HG2537" s="128"/>
      <c r="HH2537" s="128"/>
      <c r="HI2537" s="128"/>
      <c r="HJ2537" s="128"/>
      <c r="HK2537" s="128"/>
      <c r="HL2537" s="128"/>
      <c r="HM2537" s="128"/>
      <c r="HN2537" s="128"/>
      <c r="HO2537" s="128"/>
      <c r="HP2537" s="128"/>
      <c r="HQ2537" s="128"/>
      <c r="HR2537" s="128"/>
      <c r="HS2537" s="128"/>
      <c r="HT2537" s="128"/>
      <c r="HU2537" s="128"/>
      <c r="HV2537" s="128"/>
      <c r="HW2537" s="128"/>
      <c r="HX2537" s="128"/>
      <c r="HY2537" s="128"/>
      <c r="HZ2537" s="128"/>
      <c r="IA2537" s="128"/>
      <c r="IB2537" s="128"/>
      <c r="IC2537" s="128"/>
      <c r="ID2537" s="128"/>
      <c r="IE2537" s="128"/>
      <c r="IF2537" s="128"/>
      <c r="IG2537" s="128"/>
      <c r="IH2537" s="128"/>
      <c r="II2537" s="128"/>
      <c r="IJ2537" s="128"/>
    </row>
    <row r="2538" spans="2:244" ht="12.75" customHeight="1">
      <c r="B2538" s="128"/>
      <c r="C2538" s="224"/>
      <c r="D2538" s="225"/>
      <c r="E2538" s="8"/>
      <c r="F2538" s="128"/>
      <c r="G2538" s="128"/>
      <c r="H2538" s="128"/>
      <c r="I2538" s="160"/>
      <c r="J2538" s="173"/>
      <c r="K2538" s="173"/>
      <c r="L2538" s="173"/>
      <c r="O2538" s="173"/>
      <c r="P2538" s="170"/>
      <c r="Q2538" s="128"/>
      <c r="R2538" s="128"/>
      <c r="S2538" s="180"/>
      <c r="T2538" s="173"/>
      <c r="U2538" s="171"/>
      <c r="V2538" s="173"/>
      <c r="W2538" s="173"/>
      <c r="X2538" s="128"/>
      <c r="Y2538" s="128"/>
      <c r="Z2538" s="128"/>
      <c r="AA2538" s="128"/>
      <c r="AB2538" s="128"/>
      <c r="AC2538" s="128"/>
      <c r="AD2538" s="128"/>
      <c r="AE2538" s="128"/>
      <c r="AF2538" s="128"/>
      <c r="AG2538" s="128"/>
      <c r="AH2538" s="128"/>
      <c r="AI2538" s="128"/>
      <c r="AJ2538" s="128"/>
      <c r="AK2538" s="128"/>
      <c r="AL2538" s="128"/>
      <c r="AM2538" s="128"/>
      <c r="AN2538" s="128"/>
      <c r="AO2538" s="128"/>
      <c r="AP2538" s="128"/>
      <c r="AQ2538" s="128"/>
      <c r="AR2538" s="128"/>
      <c r="AS2538" s="128"/>
      <c r="AT2538" s="128"/>
      <c r="AU2538" s="128"/>
      <c r="AV2538" s="128"/>
      <c r="AW2538" s="128"/>
      <c r="AX2538" s="128"/>
      <c r="AY2538" s="128"/>
      <c r="AZ2538" s="128"/>
      <c r="BA2538" s="128"/>
      <c r="BB2538" s="128"/>
      <c r="BC2538" s="128"/>
      <c r="BD2538" s="128"/>
      <c r="BE2538" s="128"/>
      <c r="BF2538" s="128"/>
      <c r="BG2538" s="128"/>
      <c r="BH2538" s="128"/>
      <c r="BI2538" s="128"/>
      <c r="BJ2538" s="128"/>
      <c r="BK2538" s="128"/>
      <c r="BL2538" s="128"/>
      <c r="BM2538" s="128"/>
      <c r="BN2538" s="128"/>
      <c r="BO2538" s="128"/>
      <c r="BP2538" s="128"/>
      <c r="BQ2538" s="128"/>
      <c r="BR2538" s="128"/>
      <c r="BS2538" s="128"/>
      <c r="BT2538" s="128"/>
      <c r="BU2538" s="128"/>
      <c r="BV2538" s="128"/>
      <c r="BW2538" s="128"/>
      <c r="BX2538" s="128"/>
      <c r="BY2538" s="128"/>
      <c r="BZ2538" s="128"/>
      <c r="CA2538" s="128"/>
      <c r="CB2538" s="128"/>
      <c r="CC2538" s="128"/>
      <c r="CD2538" s="128"/>
      <c r="CE2538" s="128"/>
      <c r="CF2538" s="128"/>
      <c r="CG2538" s="128"/>
      <c r="CH2538" s="128"/>
      <c r="CI2538" s="128"/>
      <c r="CJ2538" s="128"/>
      <c r="CK2538" s="128"/>
      <c r="CL2538" s="128"/>
      <c r="CM2538" s="128"/>
      <c r="CN2538" s="128"/>
      <c r="CO2538" s="128"/>
      <c r="CP2538" s="128"/>
      <c r="CQ2538" s="128"/>
      <c r="CR2538" s="128"/>
      <c r="CS2538" s="128"/>
      <c r="CT2538" s="128"/>
      <c r="CU2538" s="128"/>
      <c r="CV2538" s="128"/>
      <c r="CW2538" s="128"/>
      <c r="CX2538" s="128"/>
      <c r="CY2538" s="128"/>
      <c r="CZ2538" s="128"/>
      <c r="DA2538" s="128"/>
      <c r="DB2538" s="128"/>
      <c r="DC2538" s="128"/>
      <c r="DD2538" s="128"/>
      <c r="DE2538" s="128"/>
      <c r="DF2538" s="128"/>
      <c r="DG2538" s="128"/>
      <c r="DH2538" s="128"/>
      <c r="DI2538" s="128"/>
      <c r="DJ2538" s="128"/>
      <c r="DK2538" s="128"/>
      <c r="DL2538" s="128"/>
      <c r="DM2538" s="128"/>
      <c r="DN2538" s="128"/>
      <c r="DO2538" s="128"/>
      <c r="DP2538" s="128"/>
      <c r="DQ2538" s="128"/>
      <c r="DR2538" s="128"/>
      <c r="DS2538" s="128"/>
      <c r="DT2538" s="128"/>
      <c r="DU2538" s="128"/>
      <c r="DV2538" s="128"/>
      <c r="DW2538" s="128"/>
      <c r="DX2538" s="128"/>
      <c r="DY2538" s="128"/>
      <c r="DZ2538" s="128"/>
      <c r="EA2538" s="128"/>
      <c r="EB2538" s="128"/>
      <c r="EC2538" s="128"/>
      <c r="ED2538" s="128"/>
      <c r="EE2538" s="128"/>
      <c r="EF2538" s="128"/>
      <c r="EG2538" s="128"/>
      <c r="EH2538" s="128"/>
      <c r="EI2538" s="128"/>
      <c r="EJ2538" s="128"/>
      <c r="EK2538" s="128"/>
      <c r="EL2538" s="128"/>
      <c r="EM2538" s="128"/>
      <c r="EN2538" s="128"/>
      <c r="EO2538" s="128"/>
      <c r="EP2538" s="128"/>
      <c r="EQ2538" s="128"/>
      <c r="ER2538" s="128"/>
      <c r="ES2538" s="128"/>
      <c r="ET2538" s="128"/>
      <c r="EU2538" s="128"/>
      <c r="EV2538" s="128"/>
      <c r="EW2538" s="128"/>
      <c r="EX2538" s="128"/>
      <c r="EY2538" s="128"/>
      <c r="EZ2538" s="128"/>
      <c r="FA2538" s="128"/>
      <c r="FB2538" s="128"/>
      <c r="FC2538" s="128"/>
      <c r="FD2538" s="128"/>
      <c r="FE2538" s="128"/>
      <c r="FF2538" s="128"/>
      <c r="FG2538" s="128"/>
      <c r="FH2538" s="128"/>
      <c r="FI2538" s="128"/>
      <c r="FJ2538" s="128"/>
      <c r="FK2538" s="128"/>
      <c r="FL2538" s="128"/>
      <c r="FM2538" s="128"/>
      <c r="FN2538" s="128"/>
      <c r="FO2538" s="128"/>
      <c r="FP2538" s="128"/>
      <c r="FQ2538" s="128"/>
      <c r="FR2538" s="128"/>
      <c r="FS2538" s="128"/>
      <c r="FT2538" s="128"/>
      <c r="FU2538" s="128"/>
      <c r="FV2538" s="128"/>
      <c r="FW2538" s="128"/>
      <c r="FX2538" s="128"/>
      <c r="FY2538" s="128"/>
      <c r="FZ2538" s="128"/>
      <c r="GA2538" s="128"/>
      <c r="GB2538" s="128"/>
      <c r="GC2538" s="128"/>
      <c r="GD2538" s="128"/>
      <c r="GE2538" s="128"/>
      <c r="GF2538" s="128"/>
      <c r="GG2538" s="128"/>
      <c r="GH2538" s="128"/>
      <c r="GI2538" s="128"/>
      <c r="GJ2538" s="128"/>
      <c r="GK2538" s="128"/>
      <c r="GL2538" s="128"/>
      <c r="GM2538" s="128"/>
      <c r="GN2538" s="128"/>
      <c r="GO2538" s="128"/>
      <c r="GP2538" s="128"/>
      <c r="GQ2538" s="128"/>
      <c r="GR2538" s="128"/>
      <c r="GS2538" s="128"/>
      <c r="GT2538" s="128"/>
      <c r="GU2538" s="128"/>
      <c r="GV2538" s="128"/>
      <c r="GW2538" s="128"/>
      <c r="GX2538" s="128"/>
      <c r="GY2538" s="128"/>
      <c r="GZ2538" s="128"/>
      <c r="HA2538" s="128"/>
      <c r="HB2538" s="128"/>
      <c r="HC2538" s="128"/>
      <c r="HD2538" s="128"/>
      <c r="HE2538" s="128"/>
      <c r="HF2538" s="128"/>
      <c r="HG2538" s="128"/>
      <c r="HH2538" s="128"/>
      <c r="HI2538" s="128"/>
      <c r="HJ2538" s="128"/>
      <c r="HK2538" s="128"/>
      <c r="HL2538" s="128"/>
      <c r="HM2538" s="128"/>
      <c r="HN2538" s="128"/>
      <c r="HO2538" s="128"/>
      <c r="HP2538" s="128"/>
      <c r="HQ2538" s="128"/>
      <c r="HR2538" s="128"/>
      <c r="HS2538" s="128"/>
      <c r="HT2538" s="128"/>
      <c r="HU2538" s="128"/>
      <c r="HV2538" s="128"/>
      <c r="HW2538" s="128"/>
      <c r="HX2538" s="128"/>
      <c r="HY2538" s="128"/>
      <c r="HZ2538" s="128"/>
      <c r="IA2538" s="128"/>
      <c r="IB2538" s="128"/>
      <c r="IC2538" s="128"/>
      <c r="ID2538" s="128"/>
      <c r="IE2538" s="128"/>
      <c r="IF2538" s="128"/>
      <c r="IG2538" s="128"/>
      <c r="IH2538" s="128"/>
      <c r="II2538" s="128"/>
      <c r="IJ2538" s="128"/>
    </row>
    <row r="2539" spans="2:244" ht="12.75" customHeight="1">
      <c r="B2539" s="128"/>
      <c r="C2539" s="224"/>
      <c r="D2539" s="225"/>
      <c r="E2539" s="8"/>
      <c r="F2539" s="128"/>
      <c r="G2539" s="128"/>
      <c r="H2539" s="128"/>
      <c r="I2539" s="160"/>
      <c r="J2539" s="173"/>
      <c r="K2539" s="173"/>
      <c r="L2539" s="173"/>
      <c r="O2539" s="173"/>
      <c r="P2539" s="170"/>
      <c r="Q2539" s="128"/>
      <c r="R2539" s="128"/>
      <c r="S2539" s="180"/>
      <c r="T2539" s="173"/>
      <c r="U2539" s="171"/>
      <c r="V2539" s="173"/>
      <c r="W2539" s="173"/>
      <c r="X2539" s="128"/>
      <c r="Y2539" s="128"/>
      <c r="Z2539" s="128"/>
      <c r="AA2539" s="128"/>
      <c r="AB2539" s="128"/>
      <c r="AC2539" s="128"/>
      <c r="AD2539" s="128"/>
      <c r="AE2539" s="128"/>
      <c r="AF2539" s="128"/>
      <c r="AG2539" s="128"/>
      <c r="AH2539" s="128"/>
      <c r="AI2539" s="128"/>
      <c r="AJ2539" s="128"/>
      <c r="AK2539" s="128"/>
      <c r="AL2539" s="128"/>
      <c r="AM2539" s="128"/>
      <c r="AN2539" s="128"/>
      <c r="AO2539" s="128"/>
      <c r="AP2539" s="128"/>
      <c r="AQ2539" s="128"/>
      <c r="AR2539" s="128"/>
      <c r="AS2539" s="128"/>
      <c r="AT2539" s="128"/>
      <c r="AU2539" s="128"/>
      <c r="AV2539" s="128"/>
      <c r="AW2539" s="128"/>
      <c r="AX2539" s="128"/>
      <c r="AY2539" s="128"/>
      <c r="AZ2539" s="128"/>
      <c r="BA2539" s="128"/>
      <c r="BB2539" s="128"/>
      <c r="BC2539" s="128"/>
      <c r="BD2539" s="128"/>
      <c r="BE2539" s="128"/>
      <c r="BF2539" s="128"/>
      <c r="BG2539" s="128"/>
      <c r="BH2539" s="128"/>
      <c r="BI2539" s="128"/>
      <c r="BJ2539" s="128"/>
      <c r="BK2539" s="128"/>
      <c r="BL2539" s="128"/>
      <c r="BM2539" s="128"/>
      <c r="BN2539" s="128"/>
      <c r="BO2539" s="128"/>
      <c r="BP2539" s="128"/>
      <c r="BQ2539" s="128"/>
      <c r="BR2539" s="128"/>
      <c r="BS2539" s="128"/>
      <c r="BT2539" s="128"/>
      <c r="BU2539" s="128"/>
      <c r="BV2539" s="128"/>
      <c r="BW2539" s="128"/>
      <c r="BX2539" s="128"/>
      <c r="BY2539" s="128"/>
      <c r="BZ2539" s="128"/>
      <c r="CA2539" s="128"/>
      <c r="CB2539" s="128"/>
      <c r="CC2539" s="128"/>
      <c r="CD2539" s="128"/>
      <c r="CE2539" s="128"/>
      <c r="CF2539" s="128"/>
      <c r="CG2539" s="128"/>
      <c r="CH2539" s="128"/>
      <c r="CI2539" s="128"/>
      <c r="CJ2539" s="128"/>
      <c r="CK2539" s="128"/>
      <c r="CL2539" s="128"/>
      <c r="CM2539" s="128"/>
      <c r="CN2539" s="128"/>
      <c r="CO2539" s="128"/>
      <c r="CP2539" s="128"/>
      <c r="CQ2539" s="128"/>
      <c r="CR2539" s="128"/>
      <c r="CS2539" s="128"/>
      <c r="CT2539" s="128"/>
      <c r="CU2539" s="128"/>
      <c r="CV2539" s="128"/>
      <c r="CW2539" s="128"/>
      <c r="CX2539" s="128"/>
      <c r="CY2539" s="128"/>
      <c r="CZ2539" s="128"/>
      <c r="DA2539" s="128"/>
      <c r="DB2539" s="128"/>
      <c r="DC2539" s="128"/>
      <c r="DD2539" s="128"/>
      <c r="DE2539" s="128"/>
      <c r="DF2539" s="128"/>
      <c r="DG2539" s="128"/>
      <c r="DH2539" s="128"/>
      <c r="DI2539" s="128"/>
      <c r="DJ2539" s="128"/>
      <c r="DK2539" s="128"/>
      <c r="DL2539" s="128"/>
      <c r="DM2539" s="128"/>
      <c r="DN2539" s="128"/>
      <c r="DO2539" s="128"/>
      <c r="DP2539" s="128"/>
      <c r="DQ2539" s="128"/>
      <c r="DR2539" s="128"/>
      <c r="DS2539" s="128"/>
      <c r="DT2539" s="128"/>
      <c r="DU2539" s="128"/>
      <c r="DV2539" s="128"/>
      <c r="DW2539" s="128"/>
      <c r="DX2539" s="128"/>
      <c r="DY2539" s="128"/>
      <c r="DZ2539" s="128"/>
      <c r="EA2539" s="128"/>
      <c r="EB2539" s="128"/>
      <c r="EC2539" s="128"/>
      <c r="ED2539" s="128"/>
      <c r="EE2539" s="128"/>
      <c r="EF2539" s="128"/>
      <c r="EG2539" s="128"/>
      <c r="EH2539" s="128"/>
      <c r="EI2539" s="128"/>
      <c r="EJ2539" s="128"/>
      <c r="EK2539" s="128"/>
      <c r="EL2539" s="128"/>
      <c r="EM2539" s="128"/>
      <c r="EN2539" s="128"/>
      <c r="EO2539" s="128"/>
      <c r="EP2539" s="128"/>
      <c r="EQ2539" s="128"/>
      <c r="ER2539" s="128"/>
      <c r="ES2539" s="128"/>
      <c r="ET2539" s="128"/>
      <c r="EU2539" s="128"/>
      <c r="EV2539" s="128"/>
      <c r="EW2539" s="128"/>
      <c r="EX2539" s="128"/>
      <c r="EY2539" s="128"/>
      <c r="EZ2539" s="128"/>
      <c r="FA2539" s="128"/>
      <c r="FB2539" s="128"/>
      <c r="FC2539" s="128"/>
      <c r="FD2539" s="128"/>
      <c r="FE2539" s="128"/>
      <c r="FF2539" s="128"/>
      <c r="FG2539" s="128"/>
      <c r="FH2539" s="128"/>
      <c r="FI2539" s="128"/>
      <c r="FJ2539" s="128"/>
      <c r="FK2539" s="128"/>
      <c r="FL2539" s="128"/>
      <c r="FM2539" s="128"/>
      <c r="FN2539" s="128"/>
      <c r="FO2539" s="128"/>
      <c r="FP2539" s="128"/>
      <c r="FQ2539" s="128"/>
      <c r="FR2539" s="128"/>
      <c r="FS2539" s="128"/>
      <c r="FT2539" s="128"/>
      <c r="FU2539" s="128"/>
      <c r="FV2539" s="128"/>
      <c r="FW2539" s="128"/>
      <c r="FX2539" s="128"/>
      <c r="FY2539" s="128"/>
      <c r="FZ2539" s="128"/>
      <c r="GA2539" s="128"/>
      <c r="GB2539" s="128"/>
      <c r="GC2539" s="128"/>
      <c r="GD2539" s="128"/>
      <c r="GE2539" s="128"/>
      <c r="GF2539" s="128"/>
      <c r="GG2539" s="128"/>
      <c r="GH2539" s="128"/>
      <c r="GI2539" s="128"/>
      <c r="GJ2539" s="128"/>
      <c r="GK2539" s="128"/>
      <c r="GL2539" s="128"/>
      <c r="GM2539" s="128"/>
      <c r="GN2539" s="128"/>
      <c r="GO2539" s="128"/>
      <c r="GP2539" s="128"/>
      <c r="GQ2539" s="128"/>
      <c r="GR2539" s="128"/>
      <c r="GS2539" s="128"/>
      <c r="GT2539" s="128"/>
      <c r="GU2539" s="128"/>
      <c r="GV2539" s="128"/>
      <c r="GW2539" s="128"/>
      <c r="GX2539" s="128"/>
      <c r="GY2539" s="128"/>
      <c r="GZ2539" s="128"/>
      <c r="HA2539" s="128"/>
      <c r="HB2539" s="128"/>
      <c r="HC2539" s="128"/>
      <c r="HD2539" s="128"/>
      <c r="HE2539" s="128"/>
      <c r="HF2539" s="128"/>
      <c r="HG2539" s="128"/>
      <c r="HH2539" s="128"/>
      <c r="HI2539" s="128"/>
      <c r="HJ2539" s="128"/>
      <c r="HK2539" s="128"/>
      <c r="HL2539" s="128"/>
      <c r="HM2539" s="128"/>
      <c r="HN2539" s="128"/>
      <c r="HO2539" s="128"/>
      <c r="HP2539" s="128"/>
      <c r="HQ2539" s="128"/>
      <c r="HR2539" s="128"/>
      <c r="HS2539" s="128"/>
      <c r="HT2539" s="128"/>
      <c r="HU2539" s="128"/>
      <c r="HV2539" s="128"/>
      <c r="HW2539" s="128"/>
      <c r="HX2539" s="128"/>
      <c r="HY2539" s="128"/>
      <c r="HZ2539" s="128"/>
      <c r="IA2539" s="128"/>
      <c r="IB2539" s="128"/>
      <c r="IC2539" s="128"/>
      <c r="ID2539" s="128"/>
      <c r="IE2539" s="128"/>
      <c r="IF2539" s="128"/>
      <c r="IG2539" s="128"/>
      <c r="IH2539" s="128"/>
      <c r="II2539" s="128"/>
      <c r="IJ2539" s="128"/>
    </row>
    <row r="2540" spans="2:244" ht="12.75" customHeight="1">
      <c r="B2540" s="128"/>
      <c r="C2540" s="224"/>
      <c r="D2540" s="225"/>
      <c r="E2540" s="8"/>
      <c r="F2540" s="128"/>
      <c r="G2540" s="128"/>
      <c r="H2540" s="128"/>
      <c r="I2540" s="160"/>
      <c r="J2540" s="173"/>
      <c r="K2540" s="173"/>
      <c r="L2540" s="173"/>
      <c r="O2540" s="173"/>
      <c r="P2540" s="170"/>
      <c r="Q2540" s="128"/>
      <c r="R2540" s="128"/>
      <c r="S2540" s="180"/>
      <c r="T2540" s="173"/>
      <c r="U2540" s="171"/>
      <c r="V2540" s="173"/>
      <c r="W2540" s="173"/>
      <c r="X2540" s="128"/>
      <c r="Y2540" s="128"/>
      <c r="Z2540" s="128"/>
      <c r="AA2540" s="128"/>
      <c r="AB2540" s="128"/>
      <c r="AC2540" s="128"/>
      <c r="AD2540" s="128"/>
      <c r="AE2540" s="128"/>
      <c r="AF2540" s="128"/>
      <c r="AG2540" s="128"/>
      <c r="AH2540" s="128"/>
      <c r="AI2540" s="128"/>
      <c r="AJ2540" s="128"/>
      <c r="AK2540" s="128"/>
      <c r="AL2540" s="128"/>
      <c r="AM2540" s="128"/>
      <c r="AN2540" s="128"/>
      <c r="AO2540" s="128"/>
      <c r="AP2540" s="128"/>
      <c r="AQ2540" s="128"/>
      <c r="AR2540" s="128"/>
      <c r="AS2540" s="128"/>
      <c r="AT2540" s="128"/>
      <c r="AU2540" s="128"/>
      <c r="AV2540" s="128"/>
      <c r="AW2540" s="128"/>
      <c r="AX2540" s="128"/>
      <c r="AY2540" s="128"/>
      <c r="AZ2540" s="128"/>
      <c r="BA2540" s="128"/>
      <c r="BB2540" s="128"/>
      <c r="BC2540" s="128"/>
      <c r="BD2540" s="128"/>
      <c r="BE2540" s="128"/>
      <c r="BF2540" s="128"/>
      <c r="BG2540" s="128"/>
      <c r="BH2540" s="128"/>
      <c r="BI2540" s="128"/>
      <c r="BJ2540" s="128"/>
      <c r="BK2540" s="128"/>
      <c r="BL2540" s="128"/>
      <c r="BM2540" s="128"/>
      <c r="BN2540" s="128"/>
      <c r="BO2540" s="128"/>
      <c r="BP2540" s="128"/>
      <c r="BQ2540" s="128"/>
      <c r="BR2540" s="128"/>
      <c r="BS2540" s="128"/>
      <c r="BT2540" s="128"/>
      <c r="BU2540" s="128"/>
      <c r="BV2540" s="128"/>
      <c r="BW2540" s="128"/>
      <c r="BX2540" s="128"/>
      <c r="BY2540" s="128"/>
      <c r="BZ2540" s="128"/>
      <c r="CA2540" s="128"/>
      <c r="CB2540" s="128"/>
      <c r="CC2540" s="128"/>
      <c r="CD2540" s="128"/>
      <c r="CE2540" s="128"/>
      <c r="CF2540" s="128"/>
      <c r="CG2540" s="128"/>
      <c r="CH2540" s="128"/>
      <c r="CI2540" s="128"/>
      <c r="CJ2540" s="128"/>
      <c r="CK2540" s="128"/>
      <c r="CL2540" s="128"/>
      <c r="CM2540" s="128"/>
      <c r="CN2540" s="128"/>
      <c r="CO2540" s="128"/>
      <c r="CP2540" s="128"/>
      <c r="CQ2540" s="128"/>
      <c r="CR2540" s="128"/>
      <c r="CS2540" s="128"/>
      <c r="CT2540" s="128"/>
      <c r="CU2540" s="128"/>
      <c r="CV2540" s="128"/>
      <c r="CW2540" s="128"/>
      <c r="CX2540" s="128"/>
      <c r="CY2540" s="128"/>
      <c r="CZ2540" s="128"/>
      <c r="DA2540" s="128"/>
      <c r="DB2540" s="128"/>
      <c r="DC2540" s="128"/>
      <c r="DD2540" s="128"/>
      <c r="DE2540" s="128"/>
      <c r="DF2540" s="128"/>
      <c r="DG2540" s="128"/>
      <c r="DH2540" s="128"/>
      <c r="DI2540" s="128"/>
      <c r="DJ2540" s="128"/>
      <c r="DK2540" s="128"/>
      <c r="DL2540" s="128"/>
      <c r="DM2540" s="128"/>
      <c r="DN2540" s="128"/>
      <c r="DO2540" s="128"/>
      <c r="DP2540" s="128"/>
      <c r="DQ2540" s="128"/>
      <c r="DR2540" s="128"/>
      <c r="DS2540" s="128"/>
      <c r="DT2540" s="128"/>
      <c r="DU2540" s="128"/>
      <c r="DV2540" s="128"/>
      <c r="DW2540" s="128"/>
      <c r="DX2540" s="128"/>
      <c r="DY2540" s="128"/>
      <c r="DZ2540" s="128"/>
      <c r="EA2540" s="128"/>
      <c r="EB2540" s="128"/>
      <c r="EC2540" s="128"/>
      <c r="ED2540" s="128"/>
      <c r="EE2540" s="128"/>
      <c r="EF2540" s="128"/>
      <c r="EG2540" s="128"/>
      <c r="EH2540" s="128"/>
      <c r="EI2540" s="128"/>
      <c r="EJ2540" s="128"/>
      <c r="EK2540" s="128"/>
      <c r="EL2540" s="128"/>
      <c r="EM2540" s="128"/>
      <c r="EN2540" s="128"/>
      <c r="EO2540" s="128"/>
      <c r="EP2540" s="128"/>
      <c r="EQ2540" s="128"/>
      <c r="ER2540" s="128"/>
      <c r="ES2540" s="128"/>
      <c r="ET2540" s="128"/>
      <c r="EU2540" s="128"/>
      <c r="EV2540" s="128"/>
      <c r="EW2540" s="128"/>
      <c r="EX2540" s="128"/>
      <c r="EY2540" s="128"/>
      <c r="EZ2540" s="128"/>
      <c r="FA2540" s="128"/>
      <c r="FB2540" s="128"/>
      <c r="FC2540" s="128"/>
      <c r="FD2540" s="128"/>
      <c r="FE2540" s="128"/>
      <c r="FF2540" s="128"/>
      <c r="FG2540" s="128"/>
      <c r="FH2540" s="128"/>
      <c r="FI2540" s="128"/>
      <c r="FJ2540" s="128"/>
      <c r="FK2540" s="128"/>
      <c r="FL2540" s="128"/>
      <c r="FM2540" s="128"/>
      <c r="FN2540" s="128"/>
      <c r="FO2540" s="128"/>
      <c r="FP2540" s="128"/>
      <c r="FQ2540" s="128"/>
      <c r="FR2540" s="128"/>
      <c r="FS2540" s="128"/>
      <c r="FT2540" s="128"/>
      <c r="FU2540" s="128"/>
      <c r="FV2540" s="128"/>
      <c r="FW2540" s="128"/>
      <c r="FX2540" s="128"/>
      <c r="FY2540" s="128"/>
      <c r="FZ2540" s="128"/>
      <c r="GA2540" s="128"/>
      <c r="GB2540" s="128"/>
      <c r="GC2540" s="128"/>
      <c r="GD2540" s="128"/>
      <c r="GE2540" s="128"/>
      <c r="GF2540" s="128"/>
      <c r="GG2540" s="128"/>
      <c r="GH2540" s="128"/>
      <c r="GI2540" s="128"/>
      <c r="GJ2540" s="128"/>
      <c r="GK2540" s="128"/>
      <c r="GL2540" s="128"/>
      <c r="GM2540" s="128"/>
      <c r="GN2540" s="128"/>
      <c r="GO2540" s="128"/>
      <c r="GP2540" s="128"/>
      <c r="GQ2540" s="128"/>
      <c r="GR2540" s="128"/>
      <c r="GS2540" s="128"/>
      <c r="GT2540" s="128"/>
      <c r="GU2540" s="128"/>
      <c r="GV2540" s="128"/>
      <c r="GW2540" s="128"/>
      <c r="GX2540" s="128"/>
      <c r="GY2540" s="128"/>
      <c r="GZ2540" s="128"/>
      <c r="HA2540" s="128"/>
      <c r="HB2540" s="128"/>
      <c r="HC2540" s="128"/>
      <c r="HD2540" s="128"/>
      <c r="HE2540" s="128"/>
      <c r="HF2540" s="128"/>
      <c r="HG2540" s="128"/>
      <c r="HH2540" s="128"/>
      <c r="HI2540" s="128"/>
      <c r="HJ2540" s="128"/>
      <c r="HK2540" s="128"/>
      <c r="HL2540" s="128"/>
      <c r="HM2540" s="128"/>
      <c r="HN2540" s="128"/>
      <c r="HO2540" s="128"/>
      <c r="HP2540" s="128"/>
      <c r="HQ2540" s="128"/>
      <c r="HR2540" s="128"/>
      <c r="HS2540" s="128"/>
      <c r="HT2540" s="128"/>
      <c r="HU2540" s="128"/>
      <c r="HV2540" s="128"/>
      <c r="HW2540" s="128"/>
      <c r="HX2540" s="128"/>
      <c r="HY2540" s="128"/>
      <c r="HZ2540" s="128"/>
      <c r="IA2540" s="128"/>
      <c r="IB2540" s="128"/>
      <c r="IC2540" s="128"/>
      <c r="ID2540" s="128"/>
      <c r="IE2540" s="128"/>
      <c r="IF2540" s="128"/>
      <c r="IG2540" s="128"/>
      <c r="IH2540" s="128"/>
      <c r="II2540" s="128"/>
      <c r="IJ2540" s="128"/>
    </row>
    <row r="2541" spans="2:244" ht="12.75" customHeight="1">
      <c r="B2541" s="128"/>
      <c r="C2541" s="224"/>
      <c r="D2541" s="225"/>
      <c r="E2541" s="8"/>
      <c r="F2541" s="128"/>
      <c r="G2541" s="128"/>
      <c r="H2541" s="128"/>
      <c r="I2541" s="160"/>
      <c r="J2541" s="173"/>
      <c r="K2541" s="173"/>
      <c r="L2541" s="173"/>
      <c r="O2541" s="173"/>
      <c r="P2541" s="170"/>
      <c r="Q2541" s="128"/>
      <c r="R2541" s="128"/>
      <c r="S2541" s="180"/>
      <c r="T2541" s="173"/>
      <c r="U2541" s="171"/>
      <c r="V2541" s="173"/>
      <c r="W2541" s="173"/>
      <c r="X2541" s="128"/>
      <c r="Y2541" s="128"/>
      <c r="Z2541" s="128"/>
      <c r="AA2541" s="128"/>
      <c r="AB2541" s="128"/>
      <c r="AC2541" s="128"/>
      <c r="AD2541" s="128"/>
      <c r="AE2541" s="128"/>
      <c r="AF2541" s="128"/>
      <c r="AG2541" s="128"/>
      <c r="AH2541" s="128"/>
      <c r="AI2541" s="128"/>
      <c r="AJ2541" s="128"/>
      <c r="AK2541" s="128"/>
      <c r="AL2541" s="128"/>
      <c r="AM2541" s="128"/>
      <c r="AN2541" s="128"/>
      <c r="AO2541" s="128"/>
      <c r="AP2541" s="128"/>
      <c r="AQ2541" s="128"/>
      <c r="AR2541" s="128"/>
      <c r="AS2541" s="128"/>
      <c r="AT2541" s="128"/>
      <c r="AU2541" s="128"/>
      <c r="AV2541" s="128"/>
      <c r="AW2541" s="128"/>
      <c r="AX2541" s="128"/>
      <c r="AY2541" s="128"/>
      <c r="AZ2541" s="128"/>
      <c r="BA2541" s="128"/>
      <c r="BB2541" s="128"/>
      <c r="BC2541" s="128"/>
      <c r="BD2541" s="128"/>
      <c r="BE2541" s="128"/>
      <c r="BF2541" s="128"/>
      <c r="BG2541" s="128"/>
      <c r="BH2541" s="128"/>
      <c r="BI2541" s="128"/>
      <c r="BJ2541" s="128"/>
      <c r="BK2541" s="128"/>
      <c r="BL2541" s="128"/>
      <c r="BM2541" s="128"/>
      <c r="BN2541" s="128"/>
      <c r="BO2541" s="128"/>
      <c r="BP2541" s="128"/>
      <c r="BQ2541" s="128"/>
      <c r="BR2541" s="128"/>
      <c r="BS2541" s="128"/>
      <c r="BT2541" s="128"/>
      <c r="BU2541" s="128"/>
      <c r="BV2541" s="128"/>
      <c r="BW2541" s="128"/>
      <c r="BX2541" s="128"/>
      <c r="BY2541" s="128"/>
      <c r="BZ2541" s="128"/>
      <c r="CA2541" s="128"/>
      <c r="CB2541" s="128"/>
      <c r="CC2541" s="128"/>
      <c r="CD2541" s="128"/>
      <c r="CE2541" s="128"/>
      <c r="CF2541" s="128"/>
      <c r="CG2541" s="128"/>
      <c r="CH2541" s="128"/>
      <c r="CI2541" s="128"/>
      <c r="CJ2541" s="128"/>
      <c r="CK2541" s="128"/>
      <c r="CL2541" s="128"/>
      <c r="CM2541" s="128"/>
      <c r="CN2541" s="128"/>
      <c r="CO2541" s="128"/>
      <c r="CP2541" s="128"/>
      <c r="CQ2541" s="128"/>
      <c r="CR2541" s="128"/>
      <c r="CS2541" s="128"/>
      <c r="CT2541" s="128"/>
      <c r="CU2541" s="128"/>
      <c r="CV2541" s="128"/>
      <c r="CW2541" s="128"/>
      <c r="CX2541" s="128"/>
      <c r="CY2541" s="128"/>
      <c r="CZ2541" s="128"/>
      <c r="DA2541" s="128"/>
      <c r="DB2541" s="128"/>
      <c r="DC2541" s="128"/>
      <c r="DD2541" s="128"/>
      <c r="DE2541" s="128"/>
      <c r="DF2541" s="128"/>
      <c r="DG2541" s="128"/>
      <c r="DH2541" s="128"/>
      <c r="DI2541" s="128"/>
      <c r="DJ2541" s="128"/>
      <c r="DK2541" s="128"/>
      <c r="DL2541" s="128"/>
      <c r="DM2541" s="128"/>
      <c r="DN2541" s="128"/>
      <c r="DO2541" s="128"/>
      <c r="DP2541" s="128"/>
      <c r="DQ2541" s="128"/>
      <c r="DR2541" s="128"/>
      <c r="DS2541" s="128"/>
      <c r="DT2541" s="128"/>
      <c r="DU2541" s="128"/>
      <c r="DV2541" s="128"/>
      <c r="DW2541" s="128"/>
      <c r="DX2541" s="128"/>
      <c r="DY2541" s="128"/>
      <c r="DZ2541" s="128"/>
      <c r="EA2541" s="128"/>
      <c r="EB2541" s="128"/>
      <c r="EC2541" s="128"/>
      <c r="ED2541" s="128"/>
      <c r="EE2541" s="128"/>
      <c r="EF2541" s="128"/>
      <c r="EG2541" s="128"/>
      <c r="EH2541" s="128"/>
      <c r="EI2541" s="128"/>
      <c r="EJ2541" s="128"/>
      <c r="EK2541" s="128"/>
      <c r="EL2541" s="128"/>
      <c r="EM2541" s="128"/>
      <c r="EN2541" s="128"/>
      <c r="EO2541" s="128"/>
      <c r="EP2541" s="128"/>
      <c r="EQ2541" s="128"/>
      <c r="ER2541" s="128"/>
      <c r="ES2541" s="128"/>
      <c r="ET2541" s="128"/>
      <c r="EU2541" s="128"/>
      <c r="EV2541" s="128"/>
      <c r="EW2541" s="128"/>
      <c r="EX2541" s="128"/>
      <c r="EY2541" s="128"/>
      <c r="EZ2541" s="128"/>
      <c r="FA2541" s="128"/>
      <c r="FB2541" s="128"/>
      <c r="FC2541" s="128"/>
      <c r="FD2541" s="128"/>
      <c r="FE2541" s="128"/>
      <c r="FF2541" s="128"/>
      <c r="FG2541" s="128"/>
      <c r="FH2541" s="128"/>
      <c r="FI2541" s="128"/>
      <c r="FJ2541" s="128"/>
      <c r="FK2541" s="128"/>
      <c r="FL2541" s="128"/>
      <c r="FM2541" s="128"/>
      <c r="FN2541" s="128"/>
      <c r="FO2541" s="128"/>
      <c r="FP2541" s="128"/>
      <c r="FQ2541" s="128"/>
      <c r="FR2541" s="128"/>
      <c r="FS2541" s="128"/>
      <c r="FT2541" s="128"/>
      <c r="FU2541" s="128"/>
      <c r="FV2541" s="128"/>
      <c r="FW2541" s="128"/>
      <c r="FX2541" s="128"/>
      <c r="FY2541" s="128"/>
      <c r="FZ2541" s="128"/>
      <c r="GA2541" s="128"/>
      <c r="GB2541" s="128"/>
      <c r="GC2541" s="128"/>
      <c r="GD2541" s="128"/>
      <c r="GE2541" s="128"/>
      <c r="GF2541" s="128"/>
      <c r="GG2541" s="128"/>
      <c r="GH2541" s="128"/>
      <c r="GI2541" s="128"/>
      <c r="GJ2541" s="128"/>
      <c r="GK2541" s="128"/>
      <c r="GL2541" s="128"/>
      <c r="GM2541" s="128"/>
      <c r="GN2541" s="128"/>
      <c r="GO2541" s="128"/>
      <c r="GP2541" s="128"/>
      <c r="GQ2541" s="128"/>
      <c r="GR2541" s="128"/>
      <c r="GS2541" s="128"/>
      <c r="GT2541" s="128"/>
      <c r="GU2541" s="128"/>
      <c r="GV2541" s="128"/>
      <c r="GW2541" s="128"/>
      <c r="GX2541" s="128"/>
      <c r="GY2541" s="128"/>
      <c r="GZ2541" s="128"/>
      <c r="HA2541" s="128"/>
      <c r="HB2541" s="128"/>
      <c r="HC2541" s="128"/>
      <c r="HD2541" s="128"/>
      <c r="HE2541" s="128"/>
      <c r="HF2541" s="128"/>
      <c r="HG2541" s="128"/>
      <c r="HH2541" s="128"/>
      <c r="HI2541" s="128"/>
      <c r="HJ2541" s="128"/>
      <c r="HK2541" s="128"/>
      <c r="HL2541" s="128"/>
      <c r="HM2541" s="128"/>
      <c r="HN2541" s="128"/>
      <c r="HO2541" s="128"/>
      <c r="HP2541" s="128"/>
      <c r="HQ2541" s="128"/>
      <c r="HR2541" s="128"/>
      <c r="HS2541" s="128"/>
      <c r="HT2541" s="128"/>
      <c r="HU2541" s="128"/>
      <c r="HV2541" s="128"/>
      <c r="HW2541" s="128"/>
      <c r="HX2541" s="128"/>
      <c r="HY2541" s="128"/>
      <c r="HZ2541" s="128"/>
      <c r="IA2541" s="128"/>
      <c r="IB2541" s="128"/>
      <c r="IC2541" s="128"/>
      <c r="ID2541" s="128"/>
      <c r="IE2541" s="128"/>
      <c r="IF2541" s="128"/>
      <c r="IG2541" s="128"/>
      <c r="IH2541" s="128"/>
      <c r="II2541" s="128"/>
      <c r="IJ2541" s="128"/>
    </row>
    <row r="2542" spans="2:244" ht="12.75" customHeight="1">
      <c r="B2542" s="128"/>
      <c r="C2542" s="224"/>
      <c r="D2542" s="225"/>
      <c r="E2542" s="8"/>
      <c r="F2542" s="128"/>
      <c r="G2542" s="128"/>
      <c r="H2542" s="128"/>
      <c r="I2542" s="160"/>
      <c r="J2542" s="173"/>
      <c r="K2542" s="173"/>
      <c r="L2542" s="173"/>
      <c r="O2542" s="173"/>
      <c r="P2542" s="170"/>
      <c r="Q2542" s="128"/>
      <c r="R2542" s="128"/>
      <c r="S2542" s="180"/>
      <c r="T2542" s="173"/>
      <c r="U2542" s="171"/>
      <c r="V2542" s="173"/>
      <c r="W2542" s="173"/>
      <c r="X2542" s="128"/>
      <c r="Y2542" s="128"/>
      <c r="Z2542" s="128"/>
      <c r="AA2542" s="128"/>
      <c r="AB2542" s="128"/>
      <c r="AC2542" s="128"/>
      <c r="AD2542" s="128"/>
      <c r="AE2542" s="128"/>
      <c r="AF2542" s="128"/>
      <c r="AG2542" s="128"/>
      <c r="AH2542" s="128"/>
      <c r="AI2542" s="128"/>
      <c r="AJ2542" s="128"/>
      <c r="AK2542" s="128"/>
      <c r="AL2542" s="128"/>
      <c r="AM2542" s="128"/>
      <c r="AN2542" s="128"/>
      <c r="AO2542" s="128"/>
      <c r="AP2542" s="128"/>
      <c r="AQ2542" s="128"/>
      <c r="AR2542" s="128"/>
      <c r="AS2542" s="128"/>
      <c r="AT2542" s="128"/>
      <c r="AU2542" s="128"/>
      <c r="AV2542" s="128"/>
      <c r="AW2542" s="128"/>
      <c r="AX2542" s="128"/>
      <c r="AY2542" s="128"/>
      <c r="AZ2542" s="128"/>
      <c r="BA2542" s="128"/>
      <c r="BB2542" s="128"/>
      <c r="BC2542" s="128"/>
      <c r="BD2542" s="128"/>
      <c r="BE2542" s="128"/>
      <c r="BF2542" s="128"/>
      <c r="BG2542" s="128"/>
      <c r="BH2542" s="128"/>
      <c r="BI2542" s="128"/>
      <c r="BJ2542" s="128"/>
      <c r="BK2542" s="128"/>
      <c r="BL2542" s="128"/>
      <c r="BM2542" s="128"/>
      <c r="BN2542" s="128"/>
      <c r="BO2542" s="128"/>
      <c r="BP2542" s="128"/>
      <c r="BQ2542" s="128"/>
      <c r="BR2542" s="128"/>
      <c r="BS2542" s="128"/>
      <c r="BT2542" s="128"/>
      <c r="BU2542" s="128"/>
      <c r="BV2542" s="128"/>
      <c r="BW2542" s="128"/>
      <c r="BX2542" s="128"/>
      <c r="BY2542" s="128"/>
      <c r="BZ2542" s="128"/>
      <c r="CA2542" s="128"/>
      <c r="CB2542" s="128"/>
      <c r="CC2542" s="128"/>
      <c r="CD2542" s="128"/>
      <c r="CE2542" s="128"/>
      <c r="CF2542" s="128"/>
      <c r="CG2542" s="128"/>
      <c r="CH2542" s="128"/>
      <c r="CI2542" s="128"/>
      <c r="CJ2542" s="128"/>
      <c r="CK2542" s="128"/>
      <c r="CL2542" s="128"/>
      <c r="CM2542" s="128"/>
      <c r="CN2542" s="128"/>
      <c r="CO2542" s="128"/>
      <c r="CP2542" s="128"/>
      <c r="CQ2542" s="128"/>
      <c r="CR2542" s="128"/>
      <c r="CS2542" s="128"/>
      <c r="CT2542" s="128"/>
      <c r="CU2542" s="128"/>
      <c r="CV2542" s="128"/>
      <c r="CW2542" s="128"/>
      <c r="CX2542" s="128"/>
      <c r="CY2542" s="128"/>
      <c r="CZ2542" s="128"/>
      <c r="DA2542" s="128"/>
      <c r="DB2542" s="128"/>
      <c r="DC2542" s="128"/>
      <c r="DD2542" s="128"/>
      <c r="DE2542" s="128"/>
      <c r="DF2542" s="128"/>
      <c r="DG2542" s="128"/>
      <c r="DH2542" s="128"/>
      <c r="DI2542" s="128"/>
      <c r="DJ2542" s="128"/>
      <c r="DK2542" s="128"/>
      <c r="DL2542" s="128"/>
      <c r="DM2542" s="128"/>
      <c r="DN2542" s="128"/>
      <c r="DO2542" s="128"/>
      <c r="DP2542" s="128"/>
      <c r="DQ2542" s="128"/>
      <c r="DR2542" s="128"/>
      <c r="DS2542" s="128"/>
      <c r="DT2542" s="128"/>
      <c r="DU2542" s="128"/>
      <c r="DV2542" s="128"/>
      <c r="DW2542" s="128"/>
      <c r="DX2542" s="128"/>
      <c r="DY2542" s="128"/>
      <c r="DZ2542" s="128"/>
      <c r="EA2542" s="128"/>
      <c r="EB2542" s="128"/>
      <c r="EC2542" s="128"/>
      <c r="ED2542" s="128"/>
      <c r="EE2542" s="128"/>
      <c r="EF2542" s="128"/>
      <c r="EG2542" s="128"/>
      <c r="EH2542" s="128"/>
      <c r="EI2542" s="128"/>
      <c r="EJ2542" s="128"/>
      <c r="EK2542" s="128"/>
      <c r="EL2542" s="128"/>
      <c r="EM2542" s="128"/>
      <c r="EN2542" s="128"/>
      <c r="EO2542" s="128"/>
      <c r="EP2542" s="128"/>
      <c r="EQ2542" s="128"/>
      <c r="ER2542" s="128"/>
      <c r="ES2542" s="128"/>
      <c r="ET2542" s="128"/>
      <c r="EU2542" s="128"/>
      <c r="EV2542" s="128"/>
      <c r="EW2542" s="128"/>
      <c r="EX2542" s="128"/>
      <c r="EY2542" s="128"/>
      <c r="EZ2542" s="128"/>
      <c r="FA2542" s="128"/>
      <c r="FB2542" s="128"/>
      <c r="FC2542" s="128"/>
      <c r="FD2542" s="128"/>
      <c r="FE2542" s="128"/>
      <c r="FF2542" s="128"/>
      <c r="FG2542" s="128"/>
      <c r="FH2542" s="128"/>
      <c r="FI2542" s="128"/>
      <c r="FJ2542" s="128"/>
      <c r="FK2542" s="128"/>
      <c r="FL2542" s="128"/>
      <c r="FM2542" s="128"/>
      <c r="FN2542" s="128"/>
      <c r="FO2542" s="128"/>
      <c r="FP2542" s="128"/>
      <c r="FQ2542" s="128"/>
      <c r="FR2542" s="128"/>
      <c r="FS2542" s="128"/>
      <c r="FT2542" s="128"/>
      <c r="FU2542" s="128"/>
      <c r="FV2542" s="128"/>
      <c r="FW2542" s="128"/>
      <c r="FX2542" s="128"/>
      <c r="FY2542" s="128"/>
      <c r="FZ2542" s="128"/>
      <c r="GA2542" s="128"/>
      <c r="GB2542" s="128"/>
      <c r="GC2542" s="128"/>
      <c r="GD2542" s="128"/>
      <c r="GE2542" s="128"/>
      <c r="GF2542" s="128"/>
      <c r="GG2542" s="128"/>
      <c r="GH2542" s="128"/>
      <c r="GI2542" s="128"/>
      <c r="GJ2542" s="128"/>
      <c r="GK2542" s="128"/>
      <c r="GL2542" s="128"/>
      <c r="GM2542" s="128"/>
      <c r="GN2542" s="128"/>
      <c r="GO2542" s="128"/>
      <c r="GP2542" s="128"/>
      <c r="GQ2542" s="128"/>
      <c r="GR2542" s="128"/>
      <c r="GS2542" s="128"/>
      <c r="GT2542" s="128"/>
      <c r="GU2542" s="128"/>
      <c r="GV2542" s="128"/>
      <c r="GW2542" s="128"/>
      <c r="GX2542" s="128"/>
      <c r="GY2542" s="128"/>
      <c r="GZ2542" s="128"/>
      <c r="HA2542" s="128"/>
      <c r="HB2542" s="128"/>
      <c r="HC2542" s="128"/>
      <c r="HD2542" s="128"/>
      <c r="HE2542" s="128"/>
      <c r="HF2542" s="128"/>
      <c r="HG2542" s="128"/>
      <c r="HH2542" s="128"/>
      <c r="HI2542" s="128"/>
      <c r="HJ2542" s="128"/>
      <c r="HK2542" s="128"/>
      <c r="HL2542" s="128"/>
      <c r="HM2542" s="128"/>
      <c r="HN2542" s="128"/>
      <c r="HO2542" s="128"/>
      <c r="HP2542" s="128"/>
      <c r="HQ2542" s="128"/>
      <c r="HR2542" s="128"/>
      <c r="HS2542" s="128"/>
      <c r="HT2542" s="128"/>
      <c r="HU2542" s="128"/>
      <c r="HV2542" s="128"/>
      <c r="HW2542" s="128"/>
      <c r="HX2542" s="128"/>
      <c r="HY2542" s="128"/>
      <c r="HZ2542" s="128"/>
      <c r="IA2542" s="128"/>
      <c r="IB2542" s="128"/>
      <c r="IC2542" s="128"/>
      <c r="ID2542" s="128"/>
      <c r="IE2542" s="128"/>
      <c r="IF2542" s="128"/>
      <c r="IG2542" s="128"/>
      <c r="IH2542" s="128"/>
      <c r="II2542" s="128"/>
      <c r="IJ2542" s="128"/>
    </row>
    <row r="2543" spans="2:244" ht="12.75" customHeight="1">
      <c r="B2543" s="128"/>
      <c r="C2543" s="224"/>
      <c r="D2543" s="225"/>
      <c r="E2543" s="8"/>
      <c r="F2543" s="128"/>
      <c r="G2543" s="128"/>
      <c r="H2543" s="128"/>
      <c r="I2543" s="160"/>
      <c r="J2543" s="173"/>
      <c r="K2543" s="173"/>
      <c r="L2543" s="173"/>
      <c r="O2543" s="173"/>
      <c r="P2543" s="170"/>
      <c r="Q2543" s="128"/>
      <c r="R2543" s="128"/>
      <c r="S2543" s="180"/>
      <c r="T2543" s="173"/>
      <c r="U2543" s="171"/>
      <c r="V2543" s="173"/>
      <c r="W2543" s="173"/>
      <c r="X2543" s="128"/>
      <c r="Y2543" s="128"/>
      <c r="Z2543" s="128"/>
      <c r="AA2543" s="128"/>
      <c r="AB2543" s="128"/>
      <c r="AC2543" s="128"/>
      <c r="AD2543" s="128"/>
      <c r="AE2543" s="128"/>
      <c r="AF2543" s="128"/>
      <c r="AG2543" s="128"/>
      <c r="AH2543" s="128"/>
      <c r="AI2543" s="128"/>
      <c r="AJ2543" s="128"/>
      <c r="AK2543" s="128"/>
      <c r="AL2543" s="128"/>
      <c r="AM2543" s="128"/>
      <c r="AN2543" s="128"/>
      <c r="AO2543" s="128"/>
      <c r="AP2543" s="128"/>
      <c r="AQ2543" s="128"/>
      <c r="AR2543" s="128"/>
      <c r="AS2543" s="128"/>
      <c r="AT2543" s="128"/>
      <c r="AU2543" s="128"/>
      <c r="AV2543" s="128"/>
      <c r="AW2543" s="128"/>
      <c r="AX2543" s="128"/>
      <c r="AY2543" s="128"/>
      <c r="AZ2543" s="128"/>
      <c r="BA2543" s="128"/>
      <c r="BB2543" s="128"/>
      <c r="BC2543" s="128"/>
      <c r="BD2543" s="128"/>
      <c r="BE2543" s="128"/>
      <c r="BF2543" s="128"/>
      <c r="BG2543" s="128"/>
      <c r="BH2543" s="128"/>
      <c r="BI2543" s="128"/>
      <c r="BJ2543" s="128"/>
      <c r="BK2543" s="128"/>
      <c r="BL2543" s="128"/>
      <c r="BM2543" s="128"/>
      <c r="BN2543" s="128"/>
      <c r="BO2543" s="128"/>
      <c r="BP2543" s="128"/>
      <c r="BQ2543" s="128"/>
      <c r="BR2543" s="128"/>
      <c r="BS2543" s="128"/>
      <c r="BT2543" s="128"/>
      <c r="BU2543" s="128"/>
      <c r="BV2543" s="128"/>
      <c r="BW2543" s="128"/>
      <c r="BX2543" s="128"/>
      <c r="BY2543" s="128"/>
      <c r="BZ2543" s="128"/>
      <c r="CA2543" s="128"/>
      <c r="CB2543" s="128"/>
      <c r="CC2543" s="128"/>
      <c r="CD2543" s="128"/>
      <c r="CE2543" s="128"/>
      <c r="CF2543" s="128"/>
      <c r="CG2543" s="128"/>
      <c r="CH2543" s="128"/>
      <c r="CI2543" s="128"/>
      <c r="CJ2543" s="128"/>
      <c r="CK2543" s="128"/>
      <c r="CL2543" s="128"/>
      <c r="CM2543" s="128"/>
      <c r="CN2543" s="128"/>
      <c r="CO2543" s="128"/>
      <c r="CP2543" s="128"/>
      <c r="CQ2543" s="128"/>
      <c r="CR2543" s="128"/>
      <c r="CS2543" s="128"/>
      <c r="CT2543" s="128"/>
      <c r="CU2543" s="128"/>
      <c r="CV2543" s="128"/>
      <c r="CW2543" s="128"/>
      <c r="CX2543" s="128"/>
      <c r="CY2543" s="128"/>
      <c r="CZ2543" s="128"/>
      <c r="DA2543" s="128"/>
      <c r="DB2543" s="128"/>
      <c r="DC2543" s="128"/>
      <c r="DD2543" s="128"/>
      <c r="DE2543" s="128"/>
      <c r="DF2543" s="128"/>
      <c r="DG2543" s="128"/>
      <c r="DH2543" s="128"/>
      <c r="DI2543" s="128"/>
      <c r="DJ2543" s="128"/>
      <c r="DK2543" s="128"/>
      <c r="DL2543" s="128"/>
      <c r="DM2543" s="128"/>
      <c r="DN2543" s="128"/>
      <c r="DO2543" s="128"/>
      <c r="DP2543" s="128"/>
      <c r="DQ2543" s="128"/>
      <c r="DR2543" s="128"/>
      <c r="DS2543" s="128"/>
      <c r="DT2543" s="128"/>
      <c r="DU2543" s="128"/>
      <c r="DV2543" s="128"/>
      <c r="DW2543" s="128"/>
      <c r="DX2543" s="128"/>
      <c r="DY2543" s="128"/>
      <c r="DZ2543" s="128"/>
      <c r="EA2543" s="128"/>
      <c r="EB2543" s="128"/>
      <c r="EC2543" s="128"/>
      <c r="ED2543" s="128"/>
      <c r="EE2543" s="128"/>
      <c r="EF2543" s="128"/>
      <c r="EG2543" s="128"/>
      <c r="EH2543" s="128"/>
      <c r="EI2543" s="128"/>
      <c r="EJ2543" s="128"/>
      <c r="EK2543" s="128"/>
      <c r="EL2543" s="128"/>
      <c r="EM2543" s="128"/>
      <c r="EN2543" s="128"/>
      <c r="EO2543" s="128"/>
      <c r="EP2543" s="128"/>
      <c r="EQ2543" s="128"/>
      <c r="ER2543" s="128"/>
      <c r="ES2543" s="128"/>
      <c r="ET2543" s="128"/>
      <c r="EU2543" s="128"/>
      <c r="EV2543" s="128"/>
      <c r="EW2543" s="128"/>
      <c r="EX2543" s="128"/>
      <c r="EY2543" s="128"/>
      <c r="EZ2543" s="128"/>
      <c r="FA2543" s="128"/>
      <c r="FB2543" s="128"/>
      <c r="FC2543" s="128"/>
      <c r="FD2543" s="128"/>
      <c r="FE2543" s="128"/>
      <c r="FF2543" s="128"/>
      <c r="FG2543" s="128"/>
      <c r="FH2543" s="128"/>
      <c r="FI2543" s="128"/>
      <c r="FJ2543" s="128"/>
      <c r="FK2543" s="128"/>
      <c r="FL2543" s="128"/>
      <c r="FM2543" s="128"/>
      <c r="FN2543" s="128"/>
      <c r="FO2543" s="128"/>
      <c r="FP2543" s="128"/>
      <c r="FQ2543" s="128"/>
      <c r="FR2543" s="128"/>
      <c r="FS2543" s="128"/>
      <c r="FT2543" s="128"/>
      <c r="FU2543" s="128"/>
      <c r="FV2543" s="128"/>
      <c r="FW2543" s="128"/>
      <c r="FX2543" s="128"/>
      <c r="FY2543" s="128"/>
      <c r="FZ2543" s="128"/>
      <c r="GA2543" s="128"/>
      <c r="GB2543" s="128"/>
      <c r="GC2543" s="128"/>
      <c r="GD2543" s="128"/>
      <c r="GE2543" s="128"/>
      <c r="GF2543" s="128"/>
      <c r="GG2543" s="128"/>
      <c r="GH2543" s="128"/>
      <c r="GI2543" s="128"/>
      <c r="GJ2543" s="128"/>
      <c r="GK2543" s="128"/>
      <c r="GL2543" s="128"/>
      <c r="GM2543" s="128"/>
      <c r="GN2543" s="128"/>
      <c r="GO2543" s="128"/>
      <c r="GP2543" s="128"/>
      <c r="GQ2543" s="128"/>
      <c r="GR2543" s="128"/>
      <c r="GS2543" s="128"/>
      <c r="GT2543" s="128"/>
      <c r="GU2543" s="128"/>
      <c r="GV2543" s="128"/>
      <c r="GW2543" s="128"/>
      <c r="GX2543" s="128"/>
      <c r="GY2543" s="128"/>
      <c r="GZ2543" s="128"/>
      <c r="HA2543" s="128"/>
      <c r="HB2543" s="128"/>
      <c r="HC2543" s="128"/>
      <c r="HD2543" s="128"/>
      <c r="HE2543" s="128"/>
      <c r="HF2543" s="128"/>
      <c r="HG2543" s="128"/>
      <c r="HH2543" s="128"/>
      <c r="HI2543" s="128"/>
      <c r="HJ2543" s="128"/>
      <c r="HK2543" s="128"/>
      <c r="HL2543" s="128"/>
      <c r="HM2543" s="128"/>
      <c r="HN2543" s="128"/>
      <c r="HO2543" s="128"/>
      <c r="HP2543" s="128"/>
      <c r="HQ2543" s="128"/>
      <c r="HR2543" s="128"/>
      <c r="HS2543" s="128"/>
      <c r="HT2543" s="128"/>
      <c r="HU2543" s="128"/>
      <c r="HV2543" s="128"/>
      <c r="HW2543" s="128"/>
      <c r="HX2543" s="128"/>
      <c r="HY2543" s="128"/>
      <c r="HZ2543" s="128"/>
      <c r="IA2543" s="128"/>
      <c r="IB2543" s="128"/>
      <c r="IC2543" s="128"/>
      <c r="ID2543" s="128"/>
      <c r="IE2543" s="128"/>
      <c r="IF2543" s="128"/>
      <c r="IG2543" s="128"/>
      <c r="IH2543" s="128"/>
      <c r="II2543" s="128"/>
      <c r="IJ2543" s="128"/>
    </row>
    <row r="2544" spans="2:244" ht="12.75" customHeight="1">
      <c r="B2544" s="128"/>
      <c r="C2544" s="224"/>
      <c r="D2544" s="225"/>
      <c r="E2544" s="8"/>
      <c r="F2544" s="128"/>
      <c r="G2544" s="128"/>
      <c r="H2544" s="128"/>
      <c r="I2544" s="160"/>
      <c r="J2544" s="173"/>
      <c r="K2544" s="173"/>
      <c r="L2544" s="173"/>
      <c r="O2544" s="173"/>
      <c r="P2544" s="170"/>
      <c r="Q2544" s="128"/>
      <c r="R2544" s="128"/>
      <c r="S2544" s="180"/>
      <c r="T2544" s="173"/>
      <c r="U2544" s="171"/>
      <c r="V2544" s="173"/>
      <c r="W2544" s="173"/>
      <c r="X2544" s="128"/>
      <c r="Y2544" s="128"/>
      <c r="Z2544" s="128"/>
      <c r="AA2544" s="128"/>
      <c r="AB2544" s="128"/>
      <c r="AC2544" s="128"/>
      <c r="AD2544" s="128"/>
      <c r="AE2544" s="128"/>
      <c r="AF2544" s="128"/>
      <c r="AG2544" s="128"/>
      <c r="AH2544" s="128"/>
      <c r="AI2544" s="128"/>
      <c r="AJ2544" s="128"/>
      <c r="AK2544" s="128"/>
      <c r="AL2544" s="128"/>
      <c r="AM2544" s="128"/>
      <c r="AN2544" s="128"/>
      <c r="AO2544" s="128"/>
      <c r="AP2544" s="128"/>
      <c r="AQ2544" s="128"/>
      <c r="AR2544" s="128"/>
      <c r="AS2544" s="128"/>
      <c r="AT2544" s="128"/>
      <c r="AU2544" s="128"/>
      <c r="AV2544" s="128"/>
      <c r="AW2544" s="128"/>
      <c r="AX2544" s="128"/>
      <c r="AY2544" s="128"/>
      <c r="AZ2544" s="128"/>
      <c r="BA2544" s="128"/>
      <c r="BB2544" s="128"/>
      <c r="BC2544" s="128"/>
      <c r="BD2544" s="128"/>
      <c r="BE2544" s="128"/>
      <c r="BF2544" s="128"/>
      <c r="BG2544" s="128"/>
      <c r="BH2544" s="128"/>
      <c r="BI2544" s="128"/>
      <c r="BJ2544" s="128"/>
      <c r="BK2544" s="128"/>
      <c r="BL2544" s="128"/>
      <c r="BM2544" s="128"/>
      <c r="BN2544" s="128"/>
      <c r="BO2544" s="128"/>
      <c r="BP2544" s="128"/>
      <c r="BQ2544" s="128"/>
      <c r="BR2544" s="128"/>
      <c r="BS2544" s="128"/>
      <c r="BT2544" s="128"/>
      <c r="BU2544" s="128"/>
      <c r="BV2544" s="128"/>
      <c r="BW2544" s="128"/>
      <c r="BX2544" s="128"/>
      <c r="BY2544" s="128"/>
      <c r="BZ2544" s="128"/>
      <c r="CA2544" s="128"/>
      <c r="CB2544" s="128"/>
      <c r="CC2544" s="128"/>
      <c r="CD2544" s="128"/>
      <c r="CE2544" s="128"/>
      <c r="CF2544" s="128"/>
      <c r="CG2544" s="128"/>
      <c r="CH2544" s="128"/>
      <c r="CI2544" s="128"/>
      <c r="CJ2544" s="128"/>
      <c r="CK2544" s="128"/>
      <c r="CL2544" s="128"/>
      <c r="CM2544" s="128"/>
      <c r="CN2544" s="128"/>
      <c r="CO2544" s="128"/>
      <c r="CP2544" s="128"/>
      <c r="CQ2544" s="128"/>
      <c r="CR2544" s="128"/>
      <c r="CS2544" s="128"/>
      <c r="CT2544" s="128"/>
      <c r="CU2544" s="128"/>
      <c r="CV2544" s="128"/>
      <c r="CW2544" s="128"/>
      <c r="CX2544" s="128"/>
      <c r="CY2544" s="128"/>
      <c r="CZ2544" s="128"/>
      <c r="DA2544" s="128"/>
      <c r="DB2544" s="128"/>
      <c r="DC2544" s="128"/>
      <c r="DD2544" s="128"/>
      <c r="DE2544" s="128"/>
      <c r="DF2544" s="128"/>
      <c r="DG2544" s="128"/>
      <c r="DH2544" s="128"/>
      <c r="DI2544" s="128"/>
      <c r="DJ2544" s="128"/>
      <c r="DK2544" s="128"/>
      <c r="DL2544" s="128"/>
      <c r="DM2544" s="128"/>
      <c r="DN2544" s="128"/>
      <c r="DO2544" s="128"/>
      <c r="DP2544" s="128"/>
      <c r="DQ2544" s="128"/>
      <c r="DR2544" s="128"/>
      <c r="DS2544" s="128"/>
      <c r="DT2544" s="128"/>
      <c r="DU2544" s="128"/>
      <c r="DV2544" s="128"/>
      <c r="DW2544" s="128"/>
      <c r="DX2544" s="128"/>
      <c r="DY2544" s="128"/>
      <c r="DZ2544" s="128"/>
      <c r="EA2544" s="128"/>
      <c r="EB2544" s="128"/>
      <c r="EC2544" s="128"/>
      <c r="ED2544" s="128"/>
      <c r="EE2544" s="128"/>
      <c r="EF2544" s="128"/>
      <c r="EG2544" s="128"/>
      <c r="EH2544" s="128"/>
      <c r="EI2544" s="128"/>
      <c r="EJ2544" s="128"/>
      <c r="EK2544" s="128"/>
      <c r="EL2544" s="128"/>
      <c r="EM2544" s="128"/>
      <c r="EN2544" s="128"/>
      <c r="EO2544" s="128"/>
      <c r="EP2544" s="128"/>
      <c r="EQ2544" s="128"/>
      <c r="ER2544" s="128"/>
      <c r="ES2544" s="128"/>
      <c r="ET2544" s="128"/>
      <c r="EU2544" s="128"/>
      <c r="EV2544" s="128"/>
      <c r="EW2544" s="128"/>
      <c r="EX2544" s="128"/>
      <c r="EY2544" s="128"/>
      <c r="EZ2544" s="128"/>
      <c r="FA2544" s="128"/>
      <c r="FB2544" s="128"/>
      <c r="FC2544" s="128"/>
      <c r="FD2544" s="128"/>
      <c r="FE2544" s="128"/>
      <c r="FF2544" s="128"/>
      <c r="FG2544" s="128"/>
      <c r="FH2544" s="128"/>
      <c r="FI2544" s="128"/>
      <c r="FJ2544" s="128"/>
      <c r="FK2544" s="128"/>
      <c r="FL2544" s="128"/>
      <c r="FM2544" s="128"/>
      <c r="FN2544" s="128"/>
      <c r="FO2544" s="128"/>
      <c r="FP2544" s="128"/>
      <c r="FQ2544" s="128"/>
      <c r="FR2544" s="128"/>
      <c r="FS2544" s="128"/>
      <c r="FT2544" s="128"/>
      <c r="FU2544" s="128"/>
      <c r="FV2544" s="128"/>
      <c r="FW2544" s="128"/>
      <c r="FX2544" s="128"/>
      <c r="FY2544" s="128"/>
      <c r="FZ2544" s="128"/>
      <c r="GA2544" s="128"/>
      <c r="GB2544" s="128"/>
      <c r="GC2544" s="128"/>
      <c r="GD2544" s="128"/>
      <c r="GE2544" s="128"/>
      <c r="GF2544" s="128"/>
      <c r="GG2544" s="128"/>
      <c r="GH2544" s="128"/>
      <c r="GI2544" s="128"/>
      <c r="GJ2544" s="128"/>
      <c r="GK2544" s="128"/>
      <c r="GL2544" s="128"/>
      <c r="GM2544" s="128"/>
      <c r="GN2544" s="128"/>
      <c r="GO2544" s="128"/>
      <c r="GP2544" s="128"/>
      <c r="GQ2544" s="128"/>
      <c r="GR2544" s="128"/>
      <c r="GS2544" s="128"/>
      <c r="GT2544" s="128"/>
      <c r="GU2544" s="128"/>
      <c r="GV2544" s="128"/>
      <c r="GW2544" s="128"/>
      <c r="GX2544" s="128"/>
      <c r="GY2544" s="128"/>
      <c r="GZ2544" s="128"/>
      <c r="HA2544" s="128"/>
      <c r="HB2544" s="128"/>
      <c r="HC2544" s="128"/>
      <c r="HD2544" s="128"/>
      <c r="HE2544" s="128"/>
      <c r="HF2544" s="128"/>
      <c r="HG2544" s="128"/>
      <c r="HH2544" s="128"/>
      <c r="HI2544" s="128"/>
      <c r="HJ2544" s="128"/>
      <c r="HK2544" s="128"/>
      <c r="HL2544" s="128"/>
      <c r="HM2544" s="128"/>
      <c r="HN2544" s="128"/>
      <c r="HO2544" s="128"/>
      <c r="HP2544" s="128"/>
      <c r="HQ2544" s="128"/>
      <c r="HR2544" s="128"/>
      <c r="HS2544" s="128"/>
      <c r="HT2544" s="128"/>
      <c r="HU2544" s="128"/>
      <c r="HV2544" s="128"/>
      <c r="HW2544" s="128"/>
      <c r="HX2544" s="128"/>
      <c r="HY2544" s="128"/>
      <c r="HZ2544" s="128"/>
      <c r="IA2544" s="128"/>
      <c r="IB2544" s="128"/>
      <c r="IC2544" s="128"/>
      <c r="ID2544" s="128"/>
      <c r="IE2544" s="128"/>
      <c r="IF2544" s="128"/>
      <c r="IG2544" s="128"/>
      <c r="IH2544" s="128"/>
      <c r="II2544" s="128"/>
      <c r="IJ2544" s="128"/>
    </row>
    <row r="2545" spans="2:244" ht="12.75" customHeight="1">
      <c r="B2545" s="128"/>
      <c r="C2545" s="224"/>
      <c r="D2545" s="225"/>
      <c r="E2545" s="8"/>
      <c r="F2545" s="128"/>
      <c r="G2545" s="128"/>
      <c r="H2545" s="128"/>
      <c r="I2545" s="160"/>
      <c r="J2545" s="173"/>
      <c r="K2545" s="173"/>
      <c r="L2545" s="173"/>
      <c r="O2545" s="173"/>
      <c r="P2545" s="170"/>
      <c r="Q2545" s="128"/>
      <c r="R2545" s="128"/>
      <c r="S2545" s="180"/>
      <c r="T2545" s="173"/>
      <c r="U2545" s="171"/>
      <c r="V2545" s="173"/>
      <c r="W2545" s="173"/>
      <c r="X2545" s="128"/>
      <c r="Y2545" s="128"/>
      <c r="Z2545" s="128"/>
      <c r="AA2545" s="128"/>
      <c r="AB2545" s="128"/>
      <c r="AC2545" s="128"/>
      <c r="AD2545" s="128"/>
      <c r="AE2545" s="128"/>
      <c r="AF2545" s="128"/>
      <c r="AG2545" s="128"/>
      <c r="AH2545" s="128"/>
      <c r="AI2545" s="128"/>
      <c r="AJ2545" s="128"/>
      <c r="AK2545" s="128"/>
      <c r="AL2545" s="128"/>
      <c r="AM2545" s="128"/>
      <c r="AN2545" s="128"/>
      <c r="AO2545" s="128"/>
      <c r="AP2545" s="128"/>
      <c r="AQ2545" s="128"/>
      <c r="AR2545" s="128"/>
      <c r="AS2545" s="128"/>
      <c r="AT2545" s="128"/>
      <c r="AU2545" s="128"/>
      <c r="AV2545" s="128"/>
      <c r="AW2545" s="128"/>
      <c r="AX2545" s="128"/>
      <c r="AY2545" s="128"/>
      <c r="AZ2545" s="128"/>
      <c r="BA2545" s="128"/>
      <c r="BB2545" s="128"/>
      <c r="BC2545" s="128"/>
      <c r="BD2545" s="128"/>
      <c r="BE2545" s="128"/>
      <c r="BF2545" s="128"/>
      <c r="BG2545" s="128"/>
      <c r="BH2545" s="128"/>
      <c r="BI2545" s="128"/>
      <c r="BJ2545" s="128"/>
      <c r="BK2545" s="128"/>
      <c r="BL2545" s="128"/>
      <c r="BM2545" s="128"/>
      <c r="BN2545" s="128"/>
      <c r="BO2545" s="128"/>
      <c r="BP2545" s="128"/>
      <c r="BQ2545" s="128"/>
      <c r="BR2545" s="128"/>
      <c r="BS2545" s="128"/>
      <c r="BT2545" s="128"/>
      <c r="BU2545" s="128"/>
      <c r="BV2545" s="128"/>
      <c r="BW2545" s="128"/>
      <c r="BX2545" s="128"/>
      <c r="BY2545" s="128"/>
      <c r="BZ2545" s="128"/>
      <c r="CA2545" s="128"/>
      <c r="CB2545" s="128"/>
      <c r="CC2545" s="128"/>
      <c r="CD2545" s="128"/>
      <c r="CE2545" s="128"/>
      <c r="CF2545" s="128"/>
      <c r="CG2545" s="128"/>
      <c r="CH2545" s="128"/>
      <c r="CI2545" s="128"/>
      <c r="CJ2545" s="128"/>
      <c r="CK2545" s="128"/>
      <c r="CL2545" s="128"/>
      <c r="CM2545" s="128"/>
      <c r="CN2545" s="128"/>
      <c r="CO2545" s="128"/>
      <c r="CP2545" s="128"/>
      <c r="CQ2545" s="128"/>
      <c r="CR2545" s="128"/>
      <c r="CS2545" s="128"/>
      <c r="CT2545" s="128"/>
      <c r="CU2545" s="128"/>
      <c r="CV2545" s="128"/>
      <c r="CW2545" s="128"/>
      <c r="CX2545" s="128"/>
      <c r="CY2545" s="128"/>
      <c r="CZ2545" s="128"/>
      <c r="DA2545" s="128"/>
      <c r="DB2545" s="128"/>
      <c r="DC2545" s="128"/>
      <c r="DD2545" s="128"/>
      <c r="DE2545" s="128"/>
      <c r="DF2545" s="128"/>
      <c r="DG2545" s="128"/>
      <c r="DH2545" s="128"/>
      <c r="DI2545" s="128"/>
      <c r="DJ2545" s="128"/>
      <c r="DK2545" s="128"/>
      <c r="DL2545" s="128"/>
      <c r="DM2545" s="128"/>
      <c r="DN2545" s="128"/>
      <c r="DO2545" s="128"/>
      <c r="DP2545" s="128"/>
      <c r="DQ2545" s="128"/>
      <c r="DR2545" s="128"/>
      <c r="DS2545" s="128"/>
      <c r="DT2545" s="128"/>
      <c r="DU2545" s="128"/>
      <c r="DV2545" s="128"/>
      <c r="DW2545" s="128"/>
      <c r="DX2545" s="128"/>
      <c r="DY2545" s="128"/>
      <c r="DZ2545" s="128"/>
      <c r="EA2545" s="128"/>
      <c r="EB2545" s="128"/>
      <c r="EC2545" s="128"/>
      <c r="ED2545" s="128"/>
      <c r="EE2545" s="128"/>
      <c r="EF2545" s="128"/>
      <c r="EG2545" s="128"/>
      <c r="EH2545" s="128"/>
      <c r="EI2545" s="128"/>
      <c r="EJ2545" s="128"/>
      <c r="EK2545" s="128"/>
      <c r="EL2545" s="128"/>
      <c r="EM2545" s="128"/>
      <c r="EN2545" s="128"/>
      <c r="EO2545" s="128"/>
      <c r="EP2545" s="128"/>
      <c r="EQ2545" s="128"/>
      <c r="ER2545" s="128"/>
      <c r="ES2545" s="128"/>
      <c r="ET2545" s="128"/>
      <c r="EU2545" s="128"/>
      <c r="EV2545" s="128"/>
      <c r="EW2545" s="128"/>
      <c r="EX2545" s="128"/>
      <c r="EY2545" s="128"/>
      <c r="EZ2545" s="128"/>
      <c r="FA2545" s="128"/>
      <c r="FB2545" s="128"/>
      <c r="FC2545" s="128"/>
      <c r="FD2545" s="128"/>
      <c r="FE2545" s="128"/>
      <c r="FF2545" s="128"/>
      <c r="FG2545" s="128"/>
      <c r="FH2545" s="128"/>
      <c r="FI2545" s="128"/>
      <c r="FJ2545" s="128"/>
      <c r="FK2545" s="128"/>
      <c r="FL2545" s="128"/>
      <c r="FM2545" s="128"/>
      <c r="FN2545" s="128"/>
      <c r="FO2545" s="128"/>
      <c r="FP2545" s="128"/>
      <c r="FQ2545" s="128"/>
      <c r="FR2545" s="128"/>
      <c r="FS2545" s="128"/>
      <c r="FT2545" s="128"/>
      <c r="FU2545" s="128"/>
      <c r="FV2545" s="128"/>
      <c r="FW2545" s="128"/>
      <c r="FX2545" s="128"/>
      <c r="FY2545" s="128"/>
      <c r="FZ2545" s="128"/>
      <c r="GA2545" s="128"/>
      <c r="GB2545" s="128"/>
      <c r="GC2545" s="128"/>
      <c r="GD2545" s="128"/>
      <c r="GE2545" s="128"/>
      <c r="GF2545" s="128"/>
      <c r="GG2545" s="128"/>
      <c r="GH2545" s="128"/>
      <c r="GI2545" s="128"/>
      <c r="GJ2545" s="128"/>
      <c r="GK2545" s="128"/>
      <c r="GL2545" s="128"/>
      <c r="GM2545" s="128"/>
      <c r="GN2545" s="128"/>
      <c r="GO2545" s="128"/>
      <c r="GP2545" s="128"/>
      <c r="GQ2545" s="128"/>
      <c r="GR2545" s="128"/>
      <c r="GS2545" s="128"/>
      <c r="GT2545" s="128"/>
      <c r="GU2545" s="128"/>
      <c r="GV2545" s="128"/>
      <c r="GW2545" s="128"/>
      <c r="GX2545" s="128"/>
      <c r="GY2545" s="128"/>
      <c r="GZ2545" s="128"/>
      <c r="HA2545" s="128"/>
      <c r="HB2545" s="128"/>
      <c r="HC2545" s="128"/>
      <c r="HD2545" s="128"/>
      <c r="HE2545" s="128"/>
      <c r="HF2545" s="128"/>
      <c r="HG2545" s="128"/>
      <c r="HH2545" s="128"/>
      <c r="HI2545" s="128"/>
      <c r="HJ2545" s="128"/>
      <c r="HK2545" s="128"/>
      <c r="HL2545" s="128"/>
      <c r="HM2545" s="128"/>
      <c r="HN2545" s="128"/>
      <c r="HO2545" s="128"/>
      <c r="HP2545" s="128"/>
      <c r="HQ2545" s="128"/>
      <c r="HR2545" s="128"/>
      <c r="HS2545" s="128"/>
      <c r="HT2545" s="128"/>
      <c r="HU2545" s="128"/>
      <c r="HV2545" s="128"/>
      <c r="HW2545" s="128"/>
      <c r="HX2545" s="128"/>
      <c r="HY2545" s="128"/>
      <c r="HZ2545" s="128"/>
      <c r="IA2545" s="128"/>
      <c r="IB2545" s="128"/>
      <c r="IC2545" s="128"/>
      <c r="ID2545" s="128"/>
      <c r="IE2545" s="128"/>
      <c r="IF2545" s="128"/>
      <c r="IG2545" s="128"/>
      <c r="IH2545" s="128"/>
      <c r="II2545" s="128"/>
      <c r="IJ2545" s="128"/>
    </row>
    <row r="2546" spans="2:244" ht="12.75" customHeight="1">
      <c r="B2546" s="128"/>
      <c r="C2546" s="224"/>
      <c r="D2546" s="225"/>
      <c r="E2546" s="8"/>
      <c r="F2546" s="128"/>
      <c r="G2546" s="128"/>
      <c r="H2546" s="128"/>
      <c r="I2546" s="160"/>
      <c r="J2546" s="173"/>
      <c r="K2546" s="173"/>
      <c r="L2546" s="173"/>
      <c r="O2546" s="173"/>
      <c r="P2546" s="170"/>
      <c r="Q2546" s="128"/>
      <c r="R2546" s="128"/>
      <c r="S2546" s="180"/>
      <c r="T2546" s="173"/>
      <c r="U2546" s="171"/>
      <c r="V2546" s="173"/>
      <c r="W2546" s="173"/>
      <c r="X2546" s="128"/>
      <c r="Y2546" s="128"/>
      <c r="Z2546" s="128"/>
      <c r="AA2546" s="128"/>
      <c r="AB2546" s="128"/>
      <c r="AC2546" s="128"/>
      <c r="AD2546" s="128"/>
      <c r="AE2546" s="128"/>
      <c r="AF2546" s="128"/>
      <c r="AG2546" s="128"/>
      <c r="AH2546" s="128"/>
      <c r="AI2546" s="128"/>
      <c r="AJ2546" s="128"/>
      <c r="AK2546" s="128"/>
      <c r="AL2546" s="128"/>
      <c r="AM2546" s="128"/>
      <c r="AN2546" s="128"/>
      <c r="AO2546" s="128"/>
      <c r="AP2546" s="128"/>
      <c r="AQ2546" s="128"/>
      <c r="AR2546" s="128"/>
      <c r="AS2546" s="128"/>
      <c r="AT2546" s="128"/>
      <c r="AU2546" s="128"/>
      <c r="AV2546" s="128"/>
      <c r="AW2546" s="128"/>
      <c r="AX2546" s="128"/>
      <c r="AY2546" s="128"/>
      <c r="AZ2546" s="128"/>
      <c r="BA2546" s="128"/>
      <c r="BB2546" s="128"/>
      <c r="BC2546" s="128"/>
      <c r="BD2546" s="128"/>
      <c r="BE2546" s="128"/>
      <c r="BF2546" s="128"/>
      <c r="BG2546" s="128"/>
      <c r="BH2546" s="128"/>
      <c r="BI2546" s="128"/>
      <c r="BJ2546" s="128"/>
      <c r="BK2546" s="128"/>
      <c r="BL2546" s="128"/>
      <c r="BM2546" s="128"/>
      <c r="BN2546" s="128"/>
      <c r="BO2546" s="128"/>
      <c r="BP2546" s="128"/>
      <c r="BQ2546" s="128"/>
      <c r="BR2546" s="128"/>
      <c r="BS2546" s="128"/>
      <c r="BT2546" s="128"/>
      <c r="BU2546" s="128"/>
      <c r="BV2546" s="128"/>
      <c r="BW2546" s="128"/>
      <c r="BX2546" s="128"/>
      <c r="BY2546" s="128"/>
      <c r="BZ2546" s="128"/>
      <c r="CA2546" s="128"/>
      <c r="CB2546" s="128"/>
      <c r="CC2546" s="128"/>
      <c r="CD2546" s="128"/>
      <c r="CE2546" s="128"/>
      <c r="CF2546" s="128"/>
      <c r="CG2546" s="128"/>
      <c r="CH2546" s="128"/>
      <c r="CI2546" s="128"/>
      <c r="CJ2546" s="128"/>
      <c r="CK2546" s="128"/>
      <c r="CL2546" s="128"/>
      <c r="CM2546" s="128"/>
      <c r="CN2546" s="128"/>
      <c r="CO2546" s="128"/>
      <c r="CP2546" s="128"/>
      <c r="CQ2546" s="128"/>
      <c r="CR2546" s="128"/>
      <c r="CS2546" s="128"/>
      <c r="CT2546" s="128"/>
      <c r="CU2546" s="128"/>
      <c r="CV2546" s="128"/>
      <c r="CW2546" s="128"/>
      <c r="CX2546" s="128"/>
      <c r="CY2546" s="128"/>
      <c r="CZ2546" s="128"/>
      <c r="DA2546" s="128"/>
      <c r="DB2546" s="128"/>
      <c r="DC2546" s="128"/>
      <c r="DD2546" s="128"/>
      <c r="DE2546" s="128"/>
      <c r="DF2546" s="128"/>
      <c r="DG2546" s="128"/>
      <c r="DH2546" s="128"/>
      <c r="DI2546" s="128"/>
      <c r="DJ2546" s="128"/>
      <c r="DK2546" s="128"/>
      <c r="DL2546" s="128"/>
      <c r="DM2546" s="128"/>
      <c r="DN2546" s="128"/>
      <c r="DO2546" s="128"/>
      <c r="DP2546" s="128"/>
      <c r="DQ2546" s="128"/>
      <c r="DR2546" s="128"/>
      <c r="DS2546" s="128"/>
      <c r="DT2546" s="128"/>
      <c r="DU2546" s="128"/>
      <c r="DV2546" s="128"/>
      <c r="DW2546" s="128"/>
      <c r="DX2546" s="128"/>
      <c r="DY2546" s="128"/>
      <c r="DZ2546" s="128"/>
      <c r="EA2546" s="128"/>
      <c r="EB2546" s="128"/>
      <c r="EC2546" s="128"/>
      <c r="ED2546" s="128"/>
      <c r="EE2546" s="128"/>
      <c r="EF2546" s="128"/>
      <c r="EG2546" s="128"/>
      <c r="EH2546" s="128"/>
      <c r="EI2546" s="128"/>
      <c r="EJ2546" s="128"/>
      <c r="EK2546" s="128"/>
      <c r="EL2546" s="128"/>
      <c r="EM2546" s="128"/>
      <c r="EN2546" s="128"/>
      <c r="EO2546" s="128"/>
      <c r="EP2546" s="128"/>
      <c r="EQ2546" s="128"/>
      <c r="ER2546" s="128"/>
      <c r="ES2546" s="128"/>
      <c r="ET2546" s="128"/>
      <c r="EU2546" s="128"/>
      <c r="EV2546" s="128"/>
      <c r="EW2546" s="128"/>
      <c r="EX2546" s="128"/>
      <c r="EY2546" s="128"/>
      <c r="EZ2546" s="128"/>
      <c r="FA2546" s="128"/>
      <c r="FB2546" s="128"/>
      <c r="FC2546" s="128"/>
      <c r="FD2546" s="128"/>
      <c r="FE2546" s="128"/>
      <c r="FF2546" s="128"/>
      <c r="FG2546" s="128"/>
      <c r="FH2546" s="128"/>
      <c r="FI2546" s="128"/>
      <c r="FJ2546" s="128"/>
      <c r="FK2546" s="128"/>
      <c r="FL2546" s="128"/>
      <c r="FM2546" s="128"/>
      <c r="FN2546" s="128"/>
      <c r="FO2546" s="128"/>
      <c r="FP2546" s="128"/>
      <c r="FQ2546" s="128"/>
      <c r="FR2546" s="128"/>
      <c r="FS2546" s="128"/>
      <c r="FT2546" s="128"/>
      <c r="FU2546" s="128"/>
      <c r="FV2546" s="128"/>
      <c r="FW2546" s="128"/>
      <c r="FX2546" s="128"/>
      <c r="FY2546" s="128"/>
      <c r="FZ2546" s="128"/>
      <c r="GA2546" s="128"/>
      <c r="GB2546" s="128"/>
      <c r="GC2546" s="128"/>
      <c r="GD2546" s="128"/>
      <c r="GE2546" s="128"/>
      <c r="GF2546" s="128"/>
      <c r="GG2546" s="128"/>
      <c r="GH2546" s="128"/>
      <c r="GI2546" s="128"/>
      <c r="GJ2546" s="128"/>
      <c r="GK2546" s="128"/>
      <c r="GL2546" s="128"/>
      <c r="GM2546" s="128"/>
      <c r="GN2546" s="128"/>
      <c r="GO2546" s="128"/>
      <c r="GP2546" s="128"/>
      <c r="GQ2546" s="128"/>
      <c r="GR2546" s="128"/>
      <c r="GS2546" s="128"/>
      <c r="GT2546" s="128"/>
      <c r="GU2546" s="128"/>
      <c r="GV2546" s="128"/>
      <c r="GW2546" s="128"/>
      <c r="GX2546" s="128"/>
      <c r="GY2546" s="128"/>
      <c r="GZ2546" s="128"/>
      <c r="HA2546" s="128"/>
      <c r="HB2546" s="128"/>
      <c r="HC2546" s="128"/>
      <c r="HD2546" s="128"/>
      <c r="HE2546" s="128"/>
      <c r="HF2546" s="128"/>
      <c r="HG2546" s="128"/>
      <c r="HH2546" s="128"/>
      <c r="HI2546" s="128"/>
      <c r="HJ2546" s="128"/>
      <c r="HK2546" s="128"/>
      <c r="HL2546" s="128"/>
      <c r="HM2546" s="128"/>
      <c r="HN2546" s="128"/>
      <c r="HO2546" s="128"/>
      <c r="HP2546" s="128"/>
      <c r="HQ2546" s="128"/>
      <c r="HR2546" s="128"/>
      <c r="HS2546" s="128"/>
      <c r="HT2546" s="128"/>
      <c r="HU2546" s="128"/>
      <c r="HV2546" s="128"/>
      <c r="HW2546" s="128"/>
      <c r="HX2546" s="128"/>
      <c r="HY2546" s="128"/>
      <c r="HZ2546" s="128"/>
      <c r="IA2546" s="128"/>
      <c r="IB2546" s="128"/>
      <c r="IC2546" s="128"/>
      <c r="ID2546" s="128"/>
      <c r="IE2546" s="128"/>
      <c r="IF2546" s="128"/>
      <c r="IG2546" s="128"/>
      <c r="IH2546" s="128"/>
      <c r="II2546" s="128"/>
      <c r="IJ2546" s="128"/>
    </row>
    <row r="2547" spans="2:244" ht="12.75" customHeight="1">
      <c r="B2547" s="128"/>
      <c r="C2547" s="224"/>
      <c r="D2547" s="225"/>
      <c r="E2547" s="8"/>
      <c r="F2547" s="128"/>
      <c r="G2547" s="128"/>
      <c r="H2547" s="128"/>
      <c r="I2547" s="160"/>
      <c r="J2547" s="173"/>
      <c r="K2547" s="173"/>
      <c r="L2547" s="173"/>
      <c r="O2547" s="173"/>
      <c r="P2547" s="170"/>
      <c r="Q2547" s="128"/>
      <c r="R2547" s="128"/>
      <c r="S2547" s="180"/>
      <c r="T2547" s="173"/>
      <c r="U2547" s="171"/>
      <c r="V2547" s="173"/>
      <c r="W2547" s="173"/>
      <c r="X2547" s="128"/>
      <c r="Y2547" s="128"/>
      <c r="Z2547" s="128"/>
      <c r="AA2547" s="128"/>
      <c r="AB2547" s="128"/>
      <c r="AC2547" s="128"/>
      <c r="AD2547" s="128"/>
      <c r="AE2547" s="128"/>
      <c r="AF2547" s="128"/>
      <c r="AG2547" s="128"/>
      <c r="AH2547" s="128"/>
      <c r="AI2547" s="128"/>
      <c r="AJ2547" s="128"/>
      <c r="AK2547" s="128"/>
      <c r="AL2547" s="128"/>
      <c r="AM2547" s="128"/>
      <c r="AN2547" s="128"/>
      <c r="AO2547" s="128"/>
      <c r="AP2547" s="128"/>
      <c r="AQ2547" s="128"/>
      <c r="AR2547" s="128"/>
      <c r="AS2547" s="128"/>
      <c r="AT2547" s="128"/>
      <c r="AU2547" s="128"/>
      <c r="AV2547" s="128"/>
      <c r="AW2547" s="128"/>
      <c r="AX2547" s="128"/>
      <c r="AY2547" s="128"/>
      <c r="AZ2547" s="128"/>
      <c r="BA2547" s="128"/>
      <c r="BB2547" s="128"/>
      <c r="BC2547" s="128"/>
      <c r="BD2547" s="128"/>
      <c r="BE2547" s="128"/>
      <c r="BF2547" s="128"/>
      <c r="BG2547" s="128"/>
      <c r="BH2547" s="128"/>
      <c r="BI2547" s="128"/>
      <c r="BJ2547" s="128"/>
      <c r="BK2547" s="128"/>
      <c r="BL2547" s="128"/>
      <c r="BM2547" s="128"/>
      <c r="BN2547" s="128"/>
      <c r="BO2547" s="128"/>
      <c r="BP2547" s="128"/>
      <c r="BQ2547" s="128"/>
      <c r="BR2547" s="128"/>
      <c r="BS2547" s="128"/>
      <c r="BT2547" s="128"/>
      <c r="BU2547" s="128"/>
      <c r="BV2547" s="128"/>
      <c r="BW2547" s="128"/>
      <c r="BX2547" s="128"/>
      <c r="BY2547" s="128"/>
      <c r="BZ2547" s="128"/>
      <c r="CA2547" s="128"/>
      <c r="CB2547" s="128"/>
      <c r="CC2547" s="128"/>
      <c r="CD2547" s="128"/>
      <c r="CE2547" s="128"/>
      <c r="CF2547" s="128"/>
      <c r="CG2547" s="128"/>
      <c r="CH2547" s="128"/>
      <c r="CI2547" s="128"/>
      <c r="CJ2547" s="128"/>
      <c r="CK2547" s="128"/>
      <c r="CL2547" s="128"/>
      <c r="CM2547" s="128"/>
      <c r="CN2547" s="128"/>
      <c r="CO2547" s="128"/>
      <c r="CP2547" s="128"/>
      <c r="CQ2547" s="128"/>
      <c r="CR2547" s="128"/>
      <c r="CS2547" s="128"/>
      <c r="CT2547" s="128"/>
      <c r="CU2547" s="128"/>
      <c r="CV2547" s="128"/>
      <c r="CW2547" s="128"/>
      <c r="CX2547" s="128"/>
      <c r="CY2547" s="128"/>
      <c r="CZ2547" s="128"/>
      <c r="DA2547" s="128"/>
      <c r="DB2547" s="128"/>
      <c r="DC2547" s="128"/>
      <c r="DD2547" s="128"/>
      <c r="DE2547" s="128"/>
      <c r="DF2547" s="128"/>
      <c r="DG2547" s="128"/>
      <c r="DH2547" s="128"/>
      <c r="DI2547" s="128"/>
      <c r="DJ2547" s="128"/>
      <c r="DK2547" s="128"/>
      <c r="DL2547" s="128"/>
      <c r="DM2547" s="128"/>
      <c r="DN2547" s="128"/>
      <c r="DO2547" s="128"/>
      <c r="DP2547" s="128"/>
      <c r="DQ2547" s="128"/>
      <c r="DR2547" s="128"/>
      <c r="DS2547" s="128"/>
      <c r="DT2547" s="128"/>
      <c r="DU2547" s="128"/>
      <c r="DV2547" s="128"/>
      <c r="DW2547" s="128"/>
      <c r="DX2547" s="128"/>
      <c r="DY2547" s="128"/>
      <c r="DZ2547" s="128"/>
      <c r="EA2547" s="128"/>
      <c r="EB2547" s="128"/>
      <c r="EC2547" s="128"/>
      <c r="ED2547" s="128"/>
      <c r="EE2547" s="128"/>
      <c r="EF2547" s="128"/>
      <c r="EG2547" s="128"/>
      <c r="EH2547" s="128"/>
      <c r="EI2547" s="128"/>
      <c r="EJ2547" s="128"/>
      <c r="EK2547" s="128"/>
      <c r="EL2547" s="128"/>
      <c r="EM2547" s="128"/>
      <c r="EN2547" s="128"/>
      <c r="EO2547" s="128"/>
      <c r="EP2547" s="128"/>
      <c r="EQ2547" s="128"/>
      <c r="ER2547" s="128"/>
      <c r="ES2547" s="128"/>
      <c r="ET2547" s="128"/>
      <c r="EU2547" s="128"/>
      <c r="EV2547" s="128"/>
      <c r="EW2547" s="128"/>
      <c r="EX2547" s="128"/>
      <c r="EY2547" s="128"/>
      <c r="EZ2547" s="128"/>
      <c r="FA2547" s="128"/>
      <c r="FB2547" s="128"/>
      <c r="FC2547" s="128"/>
      <c r="FD2547" s="128"/>
      <c r="FE2547" s="128"/>
      <c r="FF2547" s="128"/>
      <c r="FG2547" s="128"/>
      <c r="FH2547" s="128"/>
      <c r="FI2547" s="128"/>
      <c r="FJ2547" s="128"/>
      <c r="FK2547" s="128"/>
      <c r="FL2547" s="128"/>
      <c r="FM2547" s="128"/>
      <c r="FN2547" s="128"/>
      <c r="FO2547" s="128"/>
      <c r="FP2547" s="128"/>
      <c r="FQ2547" s="128"/>
      <c r="FR2547" s="128"/>
      <c r="FS2547" s="128"/>
      <c r="FT2547" s="128"/>
      <c r="FU2547" s="128"/>
      <c r="FV2547" s="128"/>
      <c r="FW2547" s="128"/>
      <c r="FX2547" s="128"/>
      <c r="FY2547" s="128"/>
      <c r="FZ2547" s="128"/>
      <c r="GA2547" s="128"/>
      <c r="GB2547" s="128"/>
      <c r="GC2547" s="128"/>
      <c r="GD2547" s="128"/>
      <c r="GE2547" s="128"/>
      <c r="GF2547" s="128"/>
      <c r="GG2547" s="128"/>
      <c r="GH2547" s="128"/>
      <c r="GI2547" s="128"/>
      <c r="GJ2547" s="128"/>
      <c r="GK2547" s="128"/>
      <c r="GL2547" s="128"/>
      <c r="GM2547" s="128"/>
      <c r="GN2547" s="128"/>
      <c r="GO2547" s="128"/>
      <c r="GP2547" s="128"/>
      <c r="GQ2547" s="128"/>
      <c r="GR2547" s="128"/>
      <c r="GS2547" s="128"/>
      <c r="GT2547" s="128"/>
      <c r="GU2547" s="128"/>
      <c r="GV2547" s="128"/>
      <c r="GW2547" s="128"/>
      <c r="GX2547" s="128"/>
      <c r="GY2547" s="128"/>
      <c r="GZ2547" s="128"/>
      <c r="HA2547" s="128"/>
      <c r="HB2547" s="128"/>
      <c r="HC2547" s="128"/>
      <c r="HD2547" s="128"/>
      <c r="HE2547" s="128"/>
      <c r="HF2547" s="128"/>
      <c r="HG2547" s="128"/>
      <c r="HH2547" s="128"/>
      <c r="HI2547" s="128"/>
      <c r="HJ2547" s="128"/>
      <c r="HK2547" s="128"/>
      <c r="HL2547" s="128"/>
      <c r="HM2547" s="128"/>
      <c r="HN2547" s="128"/>
      <c r="HO2547" s="128"/>
      <c r="HP2547" s="128"/>
      <c r="HQ2547" s="128"/>
      <c r="HR2547" s="128"/>
      <c r="HS2547" s="128"/>
      <c r="HT2547" s="128"/>
      <c r="HU2547" s="128"/>
      <c r="HV2547" s="128"/>
      <c r="HW2547" s="128"/>
      <c r="HX2547" s="128"/>
      <c r="HY2547" s="128"/>
      <c r="HZ2547" s="128"/>
      <c r="IA2547" s="128"/>
      <c r="IB2547" s="128"/>
      <c r="IC2547" s="128"/>
      <c r="ID2547" s="128"/>
      <c r="IE2547" s="128"/>
      <c r="IF2547" s="128"/>
      <c r="IG2547" s="128"/>
      <c r="IH2547" s="128"/>
      <c r="II2547" s="128"/>
      <c r="IJ2547" s="128"/>
    </row>
    <row r="2548" spans="2:244" ht="12.75" customHeight="1">
      <c r="B2548" s="128"/>
      <c r="C2548" s="224"/>
      <c r="D2548" s="225"/>
      <c r="E2548" s="8"/>
      <c r="F2548" s="128"/>
      <c r="G2548" s="128"/>
      <c r="H2548" s="128"/>
      <c r="I2548" s="160"/>
      <c r="J2548" s="173"/>
      <c r="K2548" s="173"/>
      <c r="L2548" s="173"/>
      <c r="O2548" s="173"/>
      <c r="P2548" s="170"/>
      <c r="Q2548" s="128"/>
      <c r="R2548" s="128"/>
      <c r="S2548" s="180"/>
      <c r="T2548" s="173"/>
      <c r="U2548" s="171"/>
      <c r="V2548" s="173"/>
      <c r="W2548" s="173"/>
      <c r="X2548" s="128"/>
      <c r="Y2548" s="128"/>
      <c r="Z2548" s="128"/>
      <c r="AA2548" s="128"/>
      <c r="AB2548" s="128"/>
      <c r="AC2548" s="128"/>
      <c r="AD2548" s="128"/>
      <c r="AE2548" s="128"/>
      <c r="AF2548" s="128"/>
      <c r="AG2548" s="128"/>
      <c r="AH2548" s="128"/>
      <c r="AI2548" s="128"/>
      <c r="AJ2548" s="128"/>
      <c r="AK2548" s="128"/>
      <c r="AL2548" s="128"/>
      <c r="AM2548" s="128"/>
      <c r="AN2548" s="128"/>
      <c r="AO2548" s="128"/>
      <c r="AP2548" s="128"/>
      <c r="AQ2548" s="128"/>
      <c r="AR2548" s="128"/>
      <c r="AS2548" s="128"/>
      <c r="AT2548" s="128"/>
      <c r="AU2548" s="128"/>
      <c r="AV2548" s="128"/>
      <c r="AW2548" s="128"/>
      <c r="AX2548" s="128"/>
      <c r="AY2548" s="128"/>
      <c r="AZ2548" s="128"/>
      <c r="BA2548" s="128"/>
      <c r="BB2548" s="128"/>
      <c r="BC2548" s="128"/>
      <c r="BD2548" s="128"/>
      <c r="BE2548" s="128"/>
      <c r="BF2548" s="128"/>
      <c r="BG2548" s="128"/>
      <c r="BH2548" s="128"/>
      <c r="BI2548" s="128"/>
      <c r="BJ2548" s="128"/>
      <c r="BK2548" s="128"/>
      <c r="BL2548" s="128"/>
      <c r="BM2548" s="128"/>
      <c r="BN2548" s="128"/>
      <c r="BO2548" s="128"/>
      <c r="BP2548" s="128"/>
      <c r="BQ2548" s="128"/>
      <c r="BR2548" s="128"/>
      <c r="BS2548" s="128"/>
      <c r="BT2548" s="128"/>
      <c r="BU2548" s="128"/>
      <c r="BV2548" s="128"/>
      <c r="BW2548" s="128"/>
      <c r="BX2548" s="128"/>
      <c r="BY2548" s="128"/>
      <c r="BZ2548" s="128"/>
      <c r="CA2548" s="128"/>
      <c r="CB2548" s="128"/>
      <c r="CC2548" s="128"/>
      <c r="CD2548" s="128"/>
      <c r="CE2548" s="128"/>
      <c r="CF2548" s="128"/>
      <c r="CG2548" s="128"/>
      <c r="CH2548" s="128"/>
      <c r="CI2548" s="128"/>
      <c r="CJ2548" s="128"/>
      <c r="CK2548" s="128"/>
      <c r="CL2548" s="128"/>
      <c r="CM2548" s="128"/>
      <c r="CN2548" s="128"/>
      <c r="CO2548" s="128"/>
      <c r="CP2548" s="128"/>
      <c r="CQ2548" s="128"/>
      <c r="CR2548" s="128"/>
      <c r="CS2548" s="128"/>
      <c r="CT2548" s="128"/>
      <c r="CU2548" s="128"/>
      <c r="CV2548" s="128"/>
      <c r="CW2548" s="128"/>
      <c r="CX2548" s="128"/>
      <c r="CY2548" s="128"/>
      <c r="CZ2548" s="128"/>
      <c r="DA2548" s="128"/>
      <c r="DB2548" s="128"/>
      <c r="DC2548" s="128"/>
      <c r="DD2548" s="128"/>
      <c r="DE2548" s="128"/>
      <c r="DF2548" s="128"/>
      <c r="DG2548" s="128"/>
      <c r="DH2548" s="128"/>
      <c r="DI2548" s="128"/>
      <c r="DJ2548" s="128"/>
      <c r="DK2548" s="128"/>
      <c r="DL2548" s="128"/>
      <c r="DM2548" s="128"/>
      <c r="DN2548" s="128"/>
      <c r="DO2548" s="128"/>
      <c r="DP2548" s="128"/>
      <c r="DQ2548" s="128"/>
      <c r="DR2548" s="128"/>
      <c r="DS2548" s="128"/>
      <c r="DT2548" s="128"/>
      <c r="DU2548" s="128"/>
      <c r="DV2548" s="128"/>
      <c r="DW2548" s="128"/>
      <c r="DX2548" s="128"/>
      <c r="DY2548" s="128"/>
      <c r="DZ2548" s="128"/>
      <c r="EA2548" s="128"/>
      <c r="EB2548" s="128"/>
      <c r="EC2548" s="128"/>
      <c r="ED2548" s="128"/>
      <c r="EE2548" s="128"/>
      <c r="EF2548" s="128"/>
      <c r="EG2548" s="128"/>
      <c r="EH2548" s="128"/>
      <c r="EI2548" s="128"/>
      <c r="EJ2548" s="128"/>
      <c r="EK2548" s="128"/>
      <c r="EL2548" s="128"/>
      <c r="EM2548" s="128"/>
      <c r="EN2548" s="128"/>
      <c r="EO2548" s="128"/>
      <c r="EP2548" s="128"/>
      <c r="EQ2548" s="128"/>
      <c r="ER2548" s="128"/>
      <c r="ES2548" s="128"/>
      <c r="ET2548" s="128"/>
      <c r="EU2548" s="128"/>
      <c r="EV2548" s="128"/>
      <c r="EW2548" s="128"/>
      <c r="EX2548" s="128"/>
      <c r="EY2548" s="128"/>
      <c r="EZ2548" s="128"/>
      <c r="FA2548" s="128"/>
      <c r="FB2548" s="128"/>
      <c r="FC2548" s="128"/>
      <c r="FD2548" s="128"/>
      <c r="FE2548" s="128"/>
      <c r="FF2548" s="128"/>
      <c r="FG2548" s="128"/>
      <c r="FH2548" s="128"/>
      <c r="FI2548" s="128"/>
      <c r="FJ2548" s="128"/>
      <c r="FK2548" s="128"/>
      <c r="FL2548" s="128"/>
      <c r="FM2548" s="128"/>
      <c r="FN2548" s="128"/>
      <c r="FO2548" s="128"/>
      <c r="FP2548" s="128"/>
      <c r="FQ2548" s="128"/>
      <c r="FR2548" s="128"/>
      <c r="FS2548" s="128"/>
      <c r="FT2548" s="128"/>
      <c r="FU2548" s="128"/>
      <c r="FV2548" s="128"/>
      <c r="FW2548" s="128"/>
      <c r="FX2548" s="128"/>
      <c r="FY2548" s="128"/>
      <c r="FZ2548" s="128"/>
      <c r="GA2548" s="128"/>
      <c r="GB2548" s="128"/>
      <c r="GC2548" s="128"/>
      <c r="GD2548" s="128"/>
      <c r="GE2548" s="128"/>
      <c r="GF2548" s="128"/>
      <c r="GG2548" s="128"/>
      <c r="GH2548" s="128"/>
      <c r="GI2548" s="128"/>
      <c r="GJ2548" s="128"/>
      <c r="GK2548" s="128"/>
      <c r="GL2548" s="128"/>
      <c r="GM2548" s="128"/>
      <c r="GN2548" s="128"/>
      <c r="GO2548" s="128"/>
      <c r="GP2548" s="128"/>
      <c r="GQ2548" s="128"/>
      <c r="GR2548" s="128"/>
      <c r="GS2548" s="128"/>
      <c r="GT2548" s="128"/>
      <c r="GU2548" s="128"/>
      <c r="GV2548" s="128"/>
      <c r="GW2548" s="128"/>
      <c r="GX2548" s="128"/>
      <c r="GY2548" s="128"/>
      <c r="GZ2548" s="128"/>
      <c r="HA2548" s="128"/>
      <c r="HB2548" s="128"/>
      <c r="HC2548" s="128"/>
      <c r="HD2548" s="128"/>
      <c r="HE2548" s="128"/>
      <c r="HF2548" s="128"/>
      <c r="HG2548" s="128"/>
      <c r="HH2548" s="128"/>
      <c r="HI2548" s="128"/>
      <c r="HJ2548" s="128"/>
      <c r="HK2548" s="128"/>
      <c r="HL2548" s="128"/>
      <c r="HM2548" s="128"/>
      <c r="HN2548" s="128"/>
      <c r="HO2548" s="128"/>
      <c r="HP2548" s="128"/>
      <c r="HQ2548" s="128"/>
      <c r="HR2548" s="128"/>
      <c r="HS2548" s="128"/>
      <c r="HT2548" s="128"/>
      <c r="HU2548" s="128"/>
      <c r="HV2548" s="128"/>
      <c r="HW2548" s="128"/>
      <c r="HX2548" s="128"/>
      <c r="HY2548" s="128"/>
      <c r="HZ2548" s="128"/>
      <c r="IA2548" s="128"/>
      <c r="IB2548" s="128"/>
      <c r="IC2548" s="128"/>
      <c r="ID2548" s="128"/>
      <c r="IE2548" s="128"/>
      <c r="IF2548" s="128"/>
      <c r="IG2548" s="128"/>
      <c r="IH2548" s="128"/>
      <c r="II2548" s="128"/>
      <c r="IJ2548" s="128"/>
    </row>
    <row r="2549" spans="2:244" ht="12.75" customHeight="1">
      <c r="B2549" s="128"/>
      <c r="C2549" s="224"/>
      <c r="D2549" s="225"/>
      <c r="E2549" s="8"/>
      <c r="F2549" s="128"/>
      <c r="G2549" s="128"/>
      <c r="H2549" s="128"/>
      <c r="I2549" s="160"/>
      <c r="J2549" s="173"/>
      <c r="K2549" s="173"/>
      <c r="L2549" s="173"/>
      <c r="O2549" s="173"/>
      <c r="P2549" s="170"/>
      <c r="Q2549" s="128"/>
      <c r="R2549" s="128"/>
      <c r="S2549" s="180"/>
      <c r="T2549" s="173"/>
      <c r="U2549" s="171"/>
      <c r="V2549" s="173"/>
      <c r="W2549" s="173"/>
      <c r="X2549" s="128"/>
      <c r="Y2549" s="128"/>
      <c r="Z2549" s="128"/>
      <c r="AA2549" s="128"/>
      <c r="AB2549" s="128"/>
      <c r="AC2549" s="128"/>
      <c r="AD2549" s="128"/>
      <c r="AE2549" s="128"/>
      <c r="AF2549" s="128"/>
      <c r="AG2549" s="128"/>
      <c r="AH2549" s="128"/>
      <c r="AI2549" s="128"/>
      <c r="AJ2549" s="128"/>
      <c r="AK2549" s="128"/>
      <c r="AL2549" s="128"/>
      <c r="AM2549" s="128"/>
      <c r="AN2549" s="128"/>
      <c r="AO2549" s="128"/>
      <c r="AP2549" s="128"/>
      <c r="AQ2549" s="128"/>
      <c r="AR2549" s="128"/>
      <c r="AS2549" s="128"/>
      <c r="AT2549" s="128"/>
      <c r="AU2549" s="128"/>
      <c r="AV2549" s="128"/>
      <c r="AW2549" s="128"/>
      <c r="AX2549" s="128"/>
      <c r="AY2549" s="128"/>
      <c r="AZ2549" s="128"/>
      <c r="BA2549" s="128"/>
      <c r="BB2549" s="128"/>
      <c r="BC2549" s="128"/>
      <c r="BD2549" s="128"/>
      <c r="BE2549" s="128"/>
      <c r="BF2549" s="128"/>
      <c r="BG2549" s="128"/>
      <c r="BH2549" s="128"/>
      <c r="BI2549" s="128"/>
      <c r="BJ2549" s="128"/>
      <c r="BK2549" s="128"/>
      <c r="BL2549" s="128"/>
      <c r="BM2549" s="128"/>
      <c r="BN2549" s="128"/>
      <c r="BO2549" s="128"/>
      <c r="BP2549" s="128"/>
      <c r="BQ2549" s="128"/>
      <c r="BR2549" s="128"/>
      <c r="BS2549" s="128"/>
      <c r="BT2549" s="128"/>
      <c r="BU2549" s="128"/>
      <c r="BV2549" s="128"/>
      <c r="BW2549" s="128"/>
      <c r="BX2549" s="128"/>
      <c r="BY2549" s="128"/>
      <c r="BZ2549" s="128"/>
      <c r="CA2549" s="128"/>
      <c r="CB2549" s="128"/>
      <c r="CC2549" s="128"/>
      <c r="CD2549" s="128"/>
      <c r="CE2549" s="128"/>
      <c r="CF2549" s="128"/>
      <c r="CG2549" s="128"/>
      <c r="CH2549" s="128"/>
      <c r="CI2549" s="128"/>
      <c r="CJ2549" s="128"/>
      <c r="CK2549" s="128"/>
      <c r="CL2549" s="128"/>
      <c r="CM2549" s="128"/>
      <c r="CN2549" s="128"/>
      <c r="CO2549" s="128"/>
      <c r="CP2549" s="128"/>
      <c r="CQ2549" s="128"/>
      <c r="CR2549" s="128"/>
      <c r="CS2549" s="128"/>
      <c r="CT2549" s="128"/>
      <c r="CU2549" s="128"/>
      <c r="CV2549" s="128"/>
      <c r="CW2549" s="128"/>
      <c r="CX2549" s="128"/>
      <c r="CY2549" s="128"/>
      <c r="CZ2549" s="128"/>
      <c r="DA2549" s="128"/>
      <c r="DB2549" s="128"/>
      <c r="DC2549" s="128"/>
      <c r="DD2549" s="128"/>
      <c r="DE2549" s="128"/>
      <c r="DF2549" s="128"/>
      <c r="DG2549" s="128"/>
      <c r="DH2549" s="128"/>
      <c r="DI2549" s="128"/>
      <c r="DJ2549" s="128"/>
      <c r="DK2549" s="128"/>
      <c r="DL2549" s="128"/>
      <c r="DM2549" s="128"/>
      <c r="DN2549" s="128"/>
      <c r="DO2549" s="128"/>
      <c r="DP2549" s="128"/>
      <c r="DQ2549" s="128"/>
      <c r="DR2549" s="128"/>
      <c r="DS2549" s="128"/>
      <c r="DT2549" s="128"/>
      <c r="DU2549" s="128"/>
      <c r="DV2549" s="128"/>
      <c r="DW2549" s="128"/>
      <c r="DX2549" s="128"/>
      <c r="DY2549" s="128"/>
      <c r="DZ2549" s="128"/>
      <c r="EA2549" s="128"/>
      <c r="EB2549" s="128"/>
      <c r="EC2549" s="128"/>
      <c r="ED2549" s="128"/>
      <c r="EE2549" s="128"/>
      <c r="EF2549" s="128"/>
      <c r="EG2549" s="128"/>
      <c r="EH2549" s="128"/>
      <c r="EI2549" s="128"/>
      <c r="EJ2549" s="128"/>
      <c r="EK2549" s="128"/>
      <c r="EL2549" s="128"/>
      <c r="EM2549" s="128"/>
      <c r="EN2549" s="128"/>
      <c r="EO2549" s="128"/>
      <c r="EP2549" s="128"/>
      <c r="EQ2549" s="128"/>
      <c r="ER2549" s="128"/>
      <c r="ES2549" s="128"/>
      <c r="ET2549" s="128"/>
      <c r="EU2549" s="128"/>
      <c r="EV2549" s="128"/>
      <c r="EW2549" s="128"/>
      <c r="EX2549" s="128"/>
      <c r="EY2549" s="128"/>
      <c r="EZ2549" s="128"/>
      <c r="FA2549" s="128"/>
      <c r="FB2549" s="128"/>
      <c r="FC2549" s="128"/>
      <c r="FD2549" s="128"/>
      <c r="FE2549" s="128"/>
      <c r="FF2549" s="128"/>
      <c r="FG2549" s="128"/>
      <c r="FH2549" s="128"/>
      <c r="FI2549" s="128"/>
      <c r="FJ2549" s="128"/>
      <c r="FK2549" s="128"/>
      <c r="FL2549" s="128"/>
      <c r="FM2549" s="128"/>
      <c r="FN2549" s="128"/>
      <c r="FO2549" s="128"/>
      <c r="FP2549" s="128"/>
      <c r="FQ2549" s="128"/>
      <c r="FR2549" s="128"/>
      <c r="FS2549" s="128"/>
      <c r="FT2549" s="128"/>
      <c r="FU2549" s="128"/>
      <c r="FV2549" s="128"/>
      <c r="FW2549" s="128"/>
      <c r="FX2549" s="128"/>
      <c r="FY2549" s="128"/>
      <c r="FZ2549" s="128"/>
      <c r="GA2549" s="128"/>
      <c r="GB2549" s="128"/>
      <c r="GC2549" s="128"/>
      <c r="GD2549" s="128"/>
      <c r="GE2549" s="128"/>
      <c r="GF2549" s="128"/>
      <c r="GG2549" s="128"/>
      <c r="GH2549" s="128"/>
      <c r="GI2549" s="128"/>
      <c r="GJ2549" s="128"/>
      <c r="GK2549" s="128"/>
      <c r="GL2549" s="128"/>
      <c r="GM2549" s="128"/>
      <c r="GN2549" s="128"/>
      <c r="GO2549" s="128"/>
      <c r="GP2549" s="128"/>
      <c r="GQ2549" s="128"/>
      <c r="GR2549" s="128"/>
      <c r="GS2549" s="128"/>
      <c r="GT2549" s="128"/>
      <c r="GU2549" s="128"/>
      <c r="GV2549" s="128"/>
      <c r="GW2549" s="128"/>
      <c r="GX2549" s="128"/>
      <c r="GY2549" s="128"/>
      <c r="GZ2549" s="128"/>
      <c r="HA2549" s="128"/>
      <c r="HB2549" s="128"/>
      <c r="HC2549" s="128"/>
      <c r="HD2549" s="128"/>
      <c r="HE2549" s="128"/>
      <c r="HF2549" s="128"/>
      <c r="HG2549" s="128"/>
      <c r="HH2549" s="128"/>
      <c r="HI2549" s="128"/>
      <c r="HJ2549" s="128"/>
      <c r="HK2549" s="128"/>
      <c r="HL2549" s="128"/>
      <c r="HM2549" s="128"/>
      <c r="HN2549" s="128"/>
      <c r="HO2549" s="128"/>
      <c r="HP2549" s="128"/>
      <c r="HQ2549" s="128"/>
      <c r="HR2549" s="128"/>
      <c r="HS2549" s="128"/>
      <c r="HT2549" s="128"/>
      <c r="HU2549" s="128"/>
      <c r="HV2549" s="128"/>
      <c r="HW2549" s="128"/>
      <c r="HX2549" s="128"/>
      <c r="HY2549" s="128"/>
      <c r="HZ2549" s="128"/>
      <c r="IA2549" s="128"/>
      <c r="IB2549" s="128"/>
      <c r="IC2549" s="128"/>
      <c r="ID2549" s="128"/>
      <c r="IE2549" s="128"/>
      <c r="IF2549" s="128"/>
      <c r="IG2549" s="128"/>
      <c r="IH2549" s="128"/>
      <c r="II2549" s="128"/>
      <c r="IJ2549" s="128"/>
    </row>
    <row r="2550" spans="2:244" ht="12.75" customHeight="1">
      <c r="B2550" s="128"/>
      <c r="C2550" s="224"/>
      <c r="D2550" s="225"/>
      <c r="E2550" s="8"/>
      <c r="F2550" s="128"/>
      <c r="G2550" s="128"/>
      <c r="H2550" s="128"/>
      <c r="I2550" s="160"/>
      <c r="J2550" s="173"/>
      <c r="K2550" s="173"/>
      <c r="L2550" s="173"/>
      <c r="O2550" s="173"/>
      <c r="P2550" s="170"/>
      <c r="Q2550" s="128"/>
      <c r="R2550" s="128"/>
      <c r="S2550" s="180"/>
      <c r="T2550" s="173"/>
      <c r="U2550" s="171"/>
      <c r="V2550" s="173"/>
      <c r="W2550" s="173"/>
      <c r="X2550" s="128"/>
      <c r="Y2550" s="128"/>
      <c r="Z2550" s="128"/>
      <c r="AA2550" s="128"/>
      <c r="AB2550" s="128"/>
      <c r="AC2550" s="128"/>
      <c r="AD2550" s="128"/>
      <c r="AE2550" s="128"/>
      <c r="AF2550" s="128"/>
      <c r="AG2550" s="128"/>
      <c r="AH2550" s="128"/>
      <c r="AI2550" s="128"/>
      <c r="AJ2550" s="128"/>
      <c r="AK2550" s="128"/>
      <c r="AL2550" s="128"/>
      <c r="AM2550" s="128"/>
      <c r="AN2550" s="128"/>
      <c r="AO2550" s="128"/>
      <c r="AP2550" s="128"/>
      <c r="AQ2550" s="128"/>
      <c r="AR2550" s="128"/>
      <c r="AS2550" s="128"/>
      <c r="AT2550" s="128"/>
      <c r="AU2550" s="128"/>
      <c r="AV2550" s="128"/>
      <c r="AW2550" s="128"/>
      <c r="AX2550" s="128"/>
      <c r="AY2550" s="128"/>
      <c r="AZ2550" s="128"/>
      <c r="BA2550" s="128"/>
      <c r="BB2550" s="128"/>
      <c r="BC2550" s="128"/>
      <c r="BD2550" s="128"/>
      <c r="BE2550" s="128"/>
      <c r="BF2550" s="128"/>
      <c r="BG2550" s="128"/>
      <c r="BH2550" s="128"/>
      <c r="BI2550" s="128"/>
      <c r="BJ2550" s="128"/>
      <c r="BK2550" s="128"/>
      <c r="BL2550" s="128"/>
      <c r="BM2550" s="128"/>
      <c r="BN2550" s="128"/>
      <c r="BO2550" s="128"/>
      <c r="BP2550" s="128"/>
      <c r="BQ2550" s="128"/>
      <c r="BR2550" s="128"/>
      <c r="BS2550" s="128"/>
      <c r="BT2550" s="128"/>
      <c r="BU2550" s="128"/>
      <c r="BV2550" s="128"/>
      <c r="BW2550" s="128"/>
      <c r="BX2550" s="128"/>
      <c r="BY2550" s="128"/>
      <c r="BZ2550" s="128"/>
      <c r="CA2550" s="128"/>
      <c r="CB2550" s="128"/>
      <c r="CC2550" s="128"/>
      <c r="CD2550" s="128"/>
      <c r="CE2550" s="128"/>
      <c r="CF2550" s="128"/>
      <c r="CG2550" s="128"/>
      <c r="CH2550" s="128"/>
      <c r="CI2550" s="128"/>
      <c r="CJ2550" s="128"/>
      <c r="CK2550" s="128"/>
      <c r="CL2550" s="128"/>
      <c r="CM2550" s="128"/>
      <c r="CN2550" s="128"/>
      <c r="CO2550" s="128"/>
      <c r="CP2550" s="128"/>
      <c r="CQ2550" s="128"/>
      <c r="CR2550" s="128"/>
      <c r="CS2550" s="128"/>
      <c r="CT2550" s="128"/>
      <c r="CU2550" s="128"/>
      <c r="CV2550" s="128"/>
      <c r="CW2550" s="128"/>
      <c r="CX2550" s="128"/>
      <c r="CY2550" s="128"/>
      <c r="CZ2550" s="128"/>
      <c r="DA2550" s="128"/>
      <c r="DB2550" s="128"/>
      <c r="DC2550" s="128"/>
      <c r="DD2550" s="128"/>
      <c r="DE2550" s="128"/>
      <c r="DF2550" s="128"/>
      <c r="DG2550" s="128"/>
      <c r="DH2550" s="128"/>
      <c r="DI2550" s="128"/>
      <c r="DJ2550" s="128"/>
      <c r="DK2550" s="128"/>
      <c r="DL2550" s="128"/>
      <c r="DM2550" s="128"/>
      <c r="DN2550" s="128"/>
      <c r="DO2550" s="128"/>
      <c r="DP2550" s="128"/>
      <c r="DQ2550" s="128"/>
      <c r="DR2550" s="128"/>
      <c r="DS2550" s="128"/>
      <c r="DT2550" s="128"/>
      <c r="DU2550" s="128"/>
      <c r="DV2550" s="128"/>
      <c r="DW2550" s="128"/>
      <c r="DX2550" s="128"/>
      <c r="DY2550" s="128"/>
      <c r="DZ2550" s="128"/>
      <c r="EA2550" s="128"/>
      <c r="EB2550" s="128"/>
      <c r="EC2550" s="128"/>
      <c r="ED2550" s="128"/>
      <c r="EE2550" s="128"/>
      <c r="EF2550" s="128"/>
      <c r="EG2550" s="128"/>
      <c r="EH2550" s="128"/>
      <c r="EI2550" s="128"/>
      <c r="EJ2550" s="128"/>
      <c r="EK2550" s="128"/>
      <c r="EL2550" s="128"/>
      <c r="EM2550" s="128"/>
      <c r="EN2550" s="128"/>
      <c r="EO2550" s="128"/>
      <c r="EP2550" s="128"/>
      <c r="EQ2550" s="128"/>
      <c r="ER2550" s="128"/>
      <c r="ES2550" s="128"/>
      <c r="ET2550" s="128"/>
      <c r="EU2550" s="128"/>
      <c r="EV2550" s="128"/>
      <c r="EW2550" s="128"/>
      <c r="EX2550" s="128"/>
      <c r="EY2550" s="128"/>
      <c r="EZ2550" s="128"/>
      <c r="FA2550" s="128"/>
      <c r="FB2550" s="128"/>
      <c r="FC2550" s="128"/>
      <c r="FD2550" s="128"/>
      <c r="FE2550" s="128"/>
      <c r="FF2550" s="128"/>
      <c r="FG2550" s="128"/>
      <c r="FH2550" s="128"/>
      <c r="FI2550" s="128"/>
      <c r="FJ2550" s="128"/>
      <c r="FK2550" s="128"/>
      <c r="FL2550" s="128"/>
      <c r="FM2550" s="128"/>
      <c r="FN2550" s="128"/>
      <c r="FO2550" s="128"/>
      <c r="FP2550" s="128"/>
      <c r="FQ2550" s="128"/>
      <c r="FR2550" s="128"/>
      <c r="FS2550" s="128"/>
      <c r="FT2550" s="128"/>
      <c r="FU2550" s="128"/>
      <c r="FV2550" s="128"/>
      <c r="FW2550" s="128"/>
      <c r="FX2550" s="128"/>
      <c r="FY2550" s="128"/>
      <c r="FZ2550" s="128"/>
      <c r="GA2550" s="128"/>
      <c r="GB2550" s="128"/>
      <c r="GC2550" s="128"/>
      <c r="GD2550" s="128"/>
      <c r="GE2550" s="128"/>
      <c r="GF2550" s="128"/>
      <c r="GG2550" s="128"/>
      <c r="GH2550" s="128"/>
      <c r="GI2550" s="128"/>
      <c r="GJ2550" s="128"/>
      <c r="GK2550" s="128"/>
      <c r="GL2550" s="128"/>
      <c r="GM2550" s="128"/>
      <c r="GN2550" s="128"/>
      <c r="GO2550" s="128"/>
      <c r="GP2550" s="128"/>
      <c r="GQ2550" s="128"/>
      <c r="GR2550" s="128"/>
      <c r="GS2550" s="128"/>
      <c r="GT2550" s="128"/>
      <c r="GU2550" s="128"/>
      <c r="GV2550" s="128"/>
      <c r="GW2550" s="128"/>
      <c r="GX2550" s="128"/>
      <c r="GY2550" s="128"/>
      <c r="GZ2550" s="128"/>
      <c r="HA2550" s="128"/>
      <c r="HB2550" s="128"/>
      <c r="HC2550" s="128"/>
      <c r="HD2550" s="128"/>
      <c r="HE2550" s="128"/>
      <c r="HF2550" s="128"/>
      <c r="HG2550" s="128"/>
      <c r="HH2550" s="128"/>
      <c r="HI2550" s="128"/>
      <c r="HJ2550" s="128"/>
      <c r="HK2550" s="128"/>
      <c r="HL2550" s="128"/>
      <c r="HM2550" s="128"/>
      <c r="HN2550" s="128"/>
      <c r="HO2550" s="128"/>
      <c r="HP2550" s="128"/>
      <c r="HQ2550" s="128"/>
      <c r="HR2550" s="128"/>
      <c r="HS2550" s="128"/>
      <c r="HT2550" s="128"/>
      <c r="HU2550" s="128"/>
      <c r="HV2550" s="128"/>
      <c r="HW2550" s="128"/>
      <c r="HX2550" s="128"/>
      <c r="HY2550" s="128"/>
      <c r="HZ2550" s="128"/>
      <c r="IA2550" s="128"/>
      <c r="IB2550" s="128"/>
      <c r="IC2550" s="128"/>
      <c r="ID2550" s="128"/>
      <c r="IE2550" s="128"/>
      <c r="IF2550" s="128"/>
      <c r="IG2550" s="128"/>
      <c r="IH2550" s="128"/>
      <c r="II2550" s="128"/>
      <c r="IJ2550" s="128"/>
    </row>
    <row r="2551" spans="2:244" ht="12.75" customHeight="1">
      <c r="B2551" s="128"/>
      <c r="C2551" s="224"/>
      <c r="D2551" s="225"/>
      <c r="E2551" s="8"/>
      <c r="F2551" s="128"/>
      <c r="G2551" s="128"/>
      <c r="H2551" s="128"/>
      <c r="I2551" s="160"/>
      <c r="J2551" s="173"/>
      <c r="K2551" s="173"/>
      <c r="L2551" s="173"/>
      <c r="O2551" s="173"/>
      <c r="P2551" s="170"/>
      <c r="Q2551" s="128"/>
      <c r="R2551" s="128"/>
      <c r="S2551" s="180"/>
      <c r="T2551" s="173"/>
      <c r="U2551" s="171"/>
      <c r="V2551" s="173"/>
      <c r="W2551" s="173"/>
      <c r="X2551" s="128"/>
      <c r="Y2551" s="128"/>
      <c r="Z2551" s="128"/>
      <c r="AA2551" s="128"/>
      <c r="AB2551" s="128"/>
      <c r="AC2551" s="128"/>
      <c r="AD2551" s="128"/>
      <c r="AE2551" s="128"/>
      <c r="AF2551" s="128"/>
      <c r="AG2551" s="128"/>
      <c r="AH2551" s="128"/>
      <c r="AI2551" s="128"/>
      <c r="AJ2551" s="128"/>
      <c r="AK2551" s="128"/>
      <c r="AL2551" s="128"/>
      <c r="AM2551" s="128"/>
      <c r="AN2551" s="128"/>
      <c r="AO2551" s="128"/>
      <c r="AP2551" s="128"/>
      <c r="AQ2551" s="128"/>
      <c r="AR2551" s="128"/>
      <c r="AS2551" s="128"/>
      <c r="AT2551" s="128"/>
      <c r="AU2551" s="128"/>
      <c r="AV2551" s="128"/>
      <c r="AW2551" s="128"/>
      <c r="AX2551" s="128"/>
      <c r="AY2551" s="128"/>
      <c r="AZ2551" s="128"/>
      <c r="BA2551" s="128"/>
      <c r="BB2551" s="128"/>
      <c r="BC2551" s="128"/>
      <c r="BD2551" s="128"/>
      <c r="BE2551" s="128"/>
      <c r="BF2551" s="128"/>
      <c r="BG2551" s="128"/>
      <c r="BH2551" s="128"/>
      <c r="BI2551" s="128"/>
      <c r="BJ2551" s="128"/>
      <c r="BK2551" s="128"/>
      <c r="BL2551" s="128"/>
      <c r="BM2551" s="128"/>
      <c r="BN2551" s="128"/>
      <c r="BO2551" s="128"/>
      <c r="BP2551" s="128"/>
      <c r="BQ2551" s="128"/>
      <c r="BR2551" s="128"/>
      <c r="BS2551" s="128"/>
      <c r="BT2551" s="128"/>
      <c r="BU2551" s="128"/>
      <c r="BV2551" s="128"/>
      <c r="BW2551" s="128"/>
      <c r="BX2551" s="128"/>
      <c r="BY2551" s="128"/>
      <c r="BZ2551" s="128"/>
      <c r="CA2551" s="128"/>
      <c r="CB2551" s="128"/>
      <c r="CC2551" s="128"/>
      <c r="CD2551" s="128"/>
      <c r="CE2551" s="128"/>
      <c r="CF2551" s="128"/>
      <c r="CG2551" s="128"/>
      <c r="CH2551" s="128"/>
      <c r="CI2551" s="128"/>
      <c r="CJ2551" s="128"/>
      <c r="CK2551" s="128"/>
      <c r="CL2551" s="128"/>
      <c r="CM2551" s="128"/>
      <c r="CN2551" s="128"/>
      <c r="CO2551" s="128"/>
      <c r="CP2551" s="128"/>
      <c r="CQ2551" s="128"/>
      <c r="CR2551" s="128"/>
      <c r="CS2551" s="128"/>
      <c r="CT2551" s="128"/>
      <c r="CU2551" s="128"/>
      <c r="CV2551" s="128"/>
      <c r="CW2551" s="128"/>
      <c r="CX2551" s="128"/>
      <c r="CY2551" s="128"/>
      <c r="CZ2551" s="128"/>
      <c r="DA2551" s="128"/>
      <c r="DB2551" s="128"/>
      <c r="DC2551" s="128"/>
      <c r="DD2551" s="128"/>
      <c r="DE2551" s="128"/>
      <c r="DF2551" s="128"/>
      <c r="DG2551" s="128"/>
      <c r="DH2551" s="128"/>
      <c r="DI2551" s="128"/>
      <c r="DJ2551" s="128"/>
      <c r="DK2551" s="128"/>
      <c r="DL2551" s="128"/>
      <c r="DM2551" s="128"/>
      <c r="DN2551" s="128"/>
      <c r="DO2551" s="128"/>
      <c r="DP2551" s="128"/>
      <c r="DQ2551" s="128"/>
      <c r="DR2551" s="128"/>
      <c r="DS2551" s="128"/>
      <c r="DT2551" s="128"/>
      <c r="DU2551" s="128"/>
      <c r="DV2551" s="128"/>
      <c r="DW2551" s="128"/>
      <c r="DX2551" s="128"/>
      <c r="DY2551" s="128"/>
      <c r="DZ2551" s="128"/>
      <c r="EA2551" s="128"/>
      <c r="EB2551" s="128"/>
      <c r="EC2551" s="128"/>
      <c r="ED2551" s="128"/>
      <c r="EE2551" s="128"/>
      <c r="EF2551" s="128"/>
      <c r="EG2551" s="128"/>
      <c r="EH2551" s="128"/>
      <c r="EI2551" s="128"/>
      <c r="EJ2551" s="128"/>
      <c r="EK2551" s="128"/>
      <c r="EL2551" s="128"/>
      <c r="EM2551" s="128"/>
      <c r="EN2551" s="128"/>
      <c r="EO2551" s="128"/>
      <c r="EP2551" s="128"/>
      <c r="EQ2551" s="128"/>
      <c r="ER2551" s="128"/>
      <c r="ES2551" s="128"/>
      <c r="ET2551" s="128"/>
      <c r="EU2551" s="128"/>
      <c r="EV2551" s="128"/>
      <c r="EW2551" s="128"/>
      <c r="EX2551" s="128"/>
      <c r="EY2551" s="128"/>
      <c r="EZ2551" s="128"/>
      <c r="FA2551" s="128"/>
      <c r="FB2551" s="128"/>
      <c r="FC2551" s="128"/>
      <c r="FD2551" s="128"/>
      <c r="FE2551" s="128"/>
      <c r="FF2551" s="128"/>
      <c r="FG2551" s="128"/>
      <c r="FH2551" s="128"/>
      <c r="FI2551" s="128"/>
      <c r="FJ2551" s="128"/>
      <c r="FK2551" s="128"/>
      <c r="FL2551" s="128"/>
      <c r="FM2551" s="128"/>
      <c r="FN2551" s="128"/>
      <c r="FO2551" s="128"/>
      <c r="FP2551" s="128"/>
      <c r="FQ2551" s="128"/>
      <c r="FR2551" s="128"/>
      <c r="FS2551" s="128"/>
      <c r="FT2551" s="128"/>
      <c r="FU2551" s="128"/>
      <c r="FV2551" s="128"/>
      <c r="FW2551" s="128"/>
      <c r="FX2551" s="128"/>
      <c r="FY2551" s="128"/>
      <c r="FZ2551" s="128"/>
      <c r="GA2551" s="128"/>
      <c r="GB2551" s="128"/>
      <c r="GC2551" s="128"/>
      <c r="GD2551" s="128"/>
      <c r="GE2551" s="128"/>
      <c r="GF2551" s="128"/>
      <c r="GG2551" s="128"/>
      <c r="GH2551" s="128"/>
      <c r="GI2551" s="128"/>
      <c r="GJ2551" s="128"/>
      <c r="GK2551" s="128"/>
      <c r="GL2551" s="128"/>
      <c r="GM2551" s="128"/>
      <c r="GN2551" s="128"/>
      <c r="GO2551" s="128"/>
      <c r="GP2551" s="128"/>
      <c r="GQ2551" s="128"/>
      <c r="GR2551" s="128"/>
      <c r="GS2551" s="128"/>
      <c r="GT2551" s="128"/>
      <c r="GU2551" s="128"/>
      <c r="GV2551" s="128"/>
      <c r="GW2551" s="128"/>
      <c r="GX2551" s="128"/>
      <c r="GY2551" s="128"/>
      <c r="GZ2551" s="128"/>
      <c r="HA2551" s="128"/>
      <c r="HB2551" s="128"/>
      <c r="HC2551" s="128"/>
      <c r="HD2551" s="128"/>
      <c r="HE2551" s="128"/>
      <c r="HF2551" s="128"/>
      <c r="HG2551" s="128"/>
      <c r="HH2551" s="128"/>
      <c r="HI2551" s="128"/>
      <c r="HJ2551" s="128"/>
      <c r="HK2551" s="128"/>
      <c r="HL2551" s="128"/>
      <c r="HM2551" s="128"/>
      <c r="HN2551" s="128"/>
      <c r="HO2551" s="128"/>
      <c r="HP2551" s="128"/>
      <c r="HQ2551" s="128"/>
      <c r="HR2551" s="128"/>
      <c r="HS2551" s="128"/>
      <c r="HT2551" s="128"/>
      <c r="HU2551" s="128"/>
      <c r="HV2551" s="128"/>
      <c r="HW2551" s="128"/>
      <c r="HX2551" s="128"/>
      <c r="HY2551" s="128"/>
      <c r="HZ2551" s="128"/>
      <c r="IA2551" s="128"/>
      <c r="IB2551" s="128"/>
      <c r="IC2551" s="128"/>
      <c r="ID2551" s="128"/>
      <c r="IE2551" s="128"/>
      <c r="IF2551" s="128"/>
      <c r="IG2551" s="128"/>
      <c r="IH2551" s="128"/>
      <c r="II2551" s="128"/>
      <c r="IJ2551" s="128"/>
    </row>
    <row r="2552" spans="2:244" ht="12.75" customHeight="1">
      <c r="B2552" s="128"/>
      <c r="C2552" s="224"/>
      <c r="D2552" s="225"/>
      <c r="E2552" s="8"/>
      <c r="F2552" s="128"/>
      <c r="G2552" s="128"/>
      <c r="H2552" s="128"/>
      <c r="I2552" s="160"/>
      <c r="J2552" s="173"/>
      <c r="K2552" s="173"/>
      <c r="L2552" s="173"/>
      <c r="O2552" s="173"/>
      <c r="P2552" s="170"/>
      <c r="Q2552" s="128"/>
      <c r="R2552" s="128"/>
      <c r="S2552" s="180"/>
      <c r="T2552" s="173"/>
      <c r="U2552" s="171"/>
      <c r="V2552" s="173"/>
      <c r="W2552" s="173"/>
      <c r="X2552" s="128"/>
      <c r="Y2552" s="128"/>
      <c r="Z2552" s="128"/>
      <c r="AA2552" s="128"/>
      <c r="AB2552" s="128"/>
      <c r="AC2552" s="128"/>
      <c r="AD2552" s="128"/>
      <c r="AE2552" s="128"/>
      <c r="AF2552" s="128"/>
      <c r="AG2552" s="128"/>
      <c r="AH2552" s="128"/>
      <c r="AI2552" s="128"/>
      <c r="AJ2552" s="128"/>
      <c r="AK2552" s="128"/>
      <c r="AL2552" s="128"/>
      <c r="AM2552" s="128"/>
      <c r="AN2552" s="128"/>
      <c r="AO2552" s="128"/>
      <c r="AP2552" s="128"/>
      <c r="AQ2552" s="128"/>
      <c r="AR2552" s="128"/>
      <c r="AS2552" s="128"/>
      <c r="AT2552" s="128"/>
      <c r="AU2552" s="128"/>
      <c r="AV2552" s="128"/>
      <c r="AW2552" s="128"/>
      <c r="AX2552" s="128"/>
      <c r="AY2552" s="128"/>
      <c r="AZ2552" s="128"/>
      <c r="BA2552" s="128"/>
      <c r="BB2552" s="128"/>
      <c r="BC2552" s="128"/>
      <c r="BD2552" s="128"/>
      <c r="BE2552" s="128"/>
      <c r="BF2552" s="128"/>
      <c r="BG2552" s="128"/>
      <c r="BH2552" s="128"/>
      <c r="BI2552" s="128"/>
      <c r="BJ2552" s="128"/>
      <c r="BK2552" s="128"/>
      <c r="BL2552" s="128"/>
      <c r="BM2552" s="128"/>
      <c r="BN2552" s="128"/>
      <c r="BO2552" s="128"/>
      <c r="BP2552" s="128"/>
      <c r="BQ2552" s="128"/>
      <c r="BR2552" s="128"/>
      <c r="BS2552" s="128"/>
      <c r="BT2552" s="128"/>
      <c r="BU2552" s="128"/>
      <c r="BV2552" s="128"/>
      <c r="BW2552" s="128"/>
      <c r="BX2552" s="128"/>
      <c r="BY2552" s="128"/>
      <c r="BZ2552" s="128"/>
      <c r="CA2552" s="128"/>
      <c r="CB2552" s="128"/>
      <c r="CC2552" s="128"/>
      <c r="CD2552" s="128"/>
      <c r="CE2552" s="128"/>
      <c r="CF2552" s="128"/>
      <c r="CG2552" s="128"/>
      <c r="CH2552" s="128"/>
      <c r="CI2552" s="128"/>
      <c r="CJ2552" s="128"/>
      <c r="CK2552" s="128"/>
      <c r="CL2552" s="128"/>
      <c r="CM2552" s="128"/>
      <c r="CN2552" s="128"/>
      <c r="CO2552" s="128"/>
      <c r="CP2552" s="128"/>
      <c r="CQ2552" s="128"/>
      <c r="CR2552" s="128"/>
      <c r="CS2552" s="128"/>
      <c r="CT2552" s="128"/>
      <c r="CU2552" s="128"/>
      <c r="CV2552" s="128"/>
      <c r="CW2552" s="128"/>
      <c r="CX2552" s="128"/>
      <c r="CY2552" s="128"/>
      <c r="CZ2552" s="128"/>
      <c r="DA2552" s="128"/>
      <c r="DB2552" s="128"/>
      <c r="DC2552" s="128"/>
      <c r="DD2552" s="128"/>
      <c r="DE2552" s="128"/>
      <c r="DF2552" s="128"/>
      <c r="DG2552" s="128"/>
      <c r="DH2552" s="128"/>
      <c r="DI2552" s="128"/>
      <c r="DJ2552" s="128"/>
      <c r="DK2552" s="128"/>
      <c r="DL2552" s="128"/>
      <c r="DM2552" s="128"/>
      <c r="DN2552" s="128"/>
      <c r="DO2552" s="128"/>
      <c r="DP2552" s="128"/>
      <c r="DQ2552" s="128"/>
      <c r="DR2552" s="128"/>
      <c r="DS2552" s="128"/>
      <c r="DT2552" s="128"/>
      <c r="DU2552" s="128"/>
      <c r="DV2552" s="128"/>
      <c r="DW2552" s="128"/>
      <c r="DX2552" s="128"/>
      <c r="DY2552" s="128"/>
      <c r="DZ2552" s="128"/>
      <c r="EA2552" s="128"/>
      <c r="EB2552" s="128"/>
      <c r="EC2552" s="128"/>
      <c r="ED2552" s="128"/>
      <c r="EE2552" s="128"/>
      <c r="EF2552" s="128"/>
      <c r="EG2552" s="128"/>
      <c r="EH2552" s="128"/>
      <c r="EI2552" s="128"/>
      <c r="EJ2552" s="128"/>
      <c r="EK2552" s="128"/>
      <c r="EL2552" s="128"/>
      <c r="EM2552" s="128"/>
      <c r="EN2552" s="128"/>
      <c r="EO2552" s="128"/>
      <c r="EP2552" s="128"/>
      <c r="EQ2552" s="128"/>
      <c r="ER2552" s="128"/>
      <c r="ES2552" s="128"/>
      <c r="ET2552" s="128"/>
      <c r="EU2552" s="128"/>
      <c r="EV2552" s="128"/>
      <c r="EW2552" s="128"/>
      <c r="EX2552" s="128"/>
      <c r="EY2552" s="128"/>
      <c r="EZ2552" s="128"/>
      <c r="FA2552" s="128"/>
      <c r="FB2552" s="128"/>
      <c r="FC2552" s="128"/>
      <c r="FD2552" s="128"/>
      <c r="FE2552" s="128"/>
      <c r="FF2552" s="128"/>
      <c r="FG2552" s="128"/>
      <c r="FH2552" s="128"/>
      <c r="FI2552" s="128"/>
      <c r="FJ2552" s="128"/>
      <c r="FK2552" s="128"/>
      <c r="FL2552" s="128"/>
      <c r="FM2552" s="128"/>
      <c r="FN2552" s="128"/>
      <c r="FO2552" s="128"/>
      <c r="FP2552" s="128"/>
      <c r="FQ2552" s="128"/>
      <c r="FR2552" s="128"/>
      <c r="FS2552" s="128"/>
      <c r="FT2552" s="128"/>
      <c r="FU2552" s="128"/>
      <c r="FV2552" s="128"/>
      <c r="FW2552" s="128"/>
      <c r="FX2552" s="128"/>
      <c r="FY2552" s="128"/>
      <c r="FZ2552" s="128"/>
      <c r="GA2552" s="128"/>
      <c r="GB2552" s="128"/>
      <c r="GC2552" s="128"/>
      <c r="GD2552" s="128"/>
      <c r="GE2552" s="128"/>
      <c r="GF2552" s="128"/>
      <c r="GG2552" s="128"/>
      <c r="GH2552" s="128"/>
      <c r="GI2552" s="128"/>
      <c r="GJ2552" s="128"/>
      <c r="GK2552" s="128"/>
      <c r="GL2552" s="128"/>
      <c r="GM2552" s="128"/>
      <c r="GN2552" s="128"/>
      <c r="GO2552" s="128"/>
      <c r="GP2552" s="128"/>
      <c r="GQ2552" s="128"/>
      <c r="GR2552" s="128"/>
      <c r="GS2552" s="128"/>
      <c r="GT2552" s="128"/>
      <c r="GU2552" s="128"/>
      <c r="GV2552" s="128"/>
      <c r="GW2552" s="128"/>
      <c r="GX2552" s="128"/>
      <c r="GY2552" s="128"/>
      <c r="GZ2552" s="128"/>
      <c r="HA2552" s="128"/>
      <c r="HB2552" s="128"/>
      <c r="HC2552" s="128"/>
      <c r="HD2552" s="128"/>
      <c r="HE2552" s="128"/>
      <c r="HF2552" s="128"/>
      <c r="HG2552" s="128"/>
      <c r="HH2552" s="128"/>
      <c r="HI2552" s="128"/>
      <c r="HJ2552" s="128"/>
      <c r="HK2552" s="128"/>
      <c r="HL2552" s="128"/>
      <c r="HM2552" s="128"/>
      <c r="HN2552" s="128"/>
      <c r="HO2552" s="128"/>
      <c r="HP2552" s="128"/>
      <c r="HQ2552" s="128"/>
      <c r="HR2552" s="128"/>
      <c r="HS2552" s="128"/>
      <c r="HT2552" s="128"/>
      <c r="HU2552" s="128"/>
      <c r="HV2552" s="128"/>
      <c r="HW2552" s="128"/>
      <c r="HX2552" s="128"/>
      <c r="HY2552" s="128"/>
      <c r="HZ2552" s="128"/>
      <c r="IA2552" s="128"/>
      <c r="IB2552" s="128"/>
      <c r="IC2552" s="128"/>
      <c r="ID2552" s="128"/>
      <c r="IE2552" s="128"/>
      <c r="IF2552" s="128"/>
      <c r="IG2552" s="128"/>
      <c r="IH2552" s="128"/>
      <c r="II2552" s="128"/>
      <c r="IJ2552" s="128"/>
    </row>
    <row r="2553" spans="2:244" ht="12.75" customHeight="1">
      <c r="B2553" s="128"/>
      <c r="C2553" s="224"/>
      <c r="D2553" s="225"/>
      <c r="E2553" s="8"/>
      <c r="F2553" s="128"/>
      <c r="G2553" s="128"/>
      <c r="H2553" s="128"/>
      <c r="I2553" s="160"/>
      <c r="J2553" s="173"/>
      <c r="K2553" s="173"/>
      <c r="L2553" s="173"/>
      <c r="O2553" s="173"/>
      <c r="P2553" s="170"/>
      <c r="Q2553" s="128"/>
      <c r="R2553" s="128"/>
      <c r="S2553" s="180"/>
      <c r="T2553" s="173"/>
      <c r="U2553" s="171"/>
      <c r="V2553" s="173"/>
      <c r="W2553" s="173"/>
      <c r="X2553" s="128"/>
      <c r="Y2553" s="128"/>
      <c r="Z2553" s="128"/>
      <c r="AA2553" s="128"/>
      <c r="AB2553" s="128"/>
      <c r="AC2553" s="128"/>
      <c r="AD2553" s="128"/>
      <c r="AE2553" s="128"/>
      <c r="AF2553" s="128"/>
      <c r="AG2553" s="128"/>
      <c r="AH2553" s="128"/>
      <c r="AI2553" s="128"/>
      <c r="AJ2553" s="128"/>
      <c r="AK2553" s="128"/>
      <c r="AL2553" s="128"/>
      <c r="AM2553" s="128"/>
      <c r="AN2553" s="128"/>
      <c r="AO2553" s="128"/>
      <c r="AP2553" s="128"/>
      <c r="AQ2553" s="128"/>
      <c r="AR2553" s="128"/>
      <c r="AS2553" s="128"/>
      <c r="AT2553" s="128"/>
      <c r="AU2553" s="128"/>
      <c r="AV2553" s="128"/>
      <c r="AW2553" s="128"/>
      <c r="AX2553" s="128"/>
      <c r="AY2553" s="128"/>
      <c r="AZ2553" s="128"/>
      <c r="BA2553" s="128"/>
      <c r="BB2553" s="128"/>
      <c r="BC2553" s="128"/>
      <c r="BD2553" s="128"/>
      <c r="BE2553" s="128"/>
      <c r="BF2553" s="128"/>
      <c r="BG2553" s="128"/>
      <c r="BH2553" s="128"/>
      <c r="BI2553" s="128"/>
      <c r="BJ2553" s="128"/>
      <c r="BK2553" s="128"/>
      <c r="BL2553" s="128"/>
      <c r="BM2553" s="128"/>
      <c r="BN2553" s="128"/>
      <c r="BO2553" s="128"/>
      <c r="BP2553" s="128"/>
      <c r="BQ2553" s="128"/>
      <c r="BR2553" s="128"/>
      <c r="BS2553" s="128"/>
      <c r="BT2553" s="128"/>
      <c r="BU2553" s="128"/>
      <c r="BV2553" s="128"/>
      <c r="BW2553" s="128"/>
      <c r="BX2553" s="128"/>
      <c r="BY2553" s="128"/>
      <c r="BZ2553" s="128"/>
      <c r="CA2553" s="128"/>
      <c r="CB2553" s="128"/>
      <c r="CC2553" s="128"/>
      <c r="CD2553" s="128"/>
      <c r="CE2553" s="128"/>
      <c r="CF2553" s="128"/>
      <c r="CG2553" s="128"/>
      <c r="CH2553" s="128"/>
      <c r="CI2553" s="128"/>
      <c r="CJ2553" s="128"/>
      <c r="CK2553" s="128"/>
      <c r="CL2553" s="128"/>
      <c r="CM2553" s="128"/>
      <c r="CN2553" s="128"/>
      <c r="CO2553" s="128"/>
      <c r="CP2553" s="128"/>
      <c r="CQ2553" s="128"/>
      <c r="CR2553" s="128"/>
      <c r="CS2553" s="128"/>
      <c r="CT2553" s="128"/>
      <c r="CU2553" s="128"/>
      <c r="CV2553" s="128"/>
      <c r="CW2553" s="128"/>
      <c r="CX2553" s="128"/>
      <c r="CY2553" s="128"/>
      <c r="CZ2553" s="128"/>
      <c r="DA2553" s="128"/>
      <c r="DB2553" s="128"/>
      <c r="DC2553" s="128"/>
      <c r="DD2553" s="128"/>
      <c r="DE2553" s="128"/>
      <c r="DF2553" s="128"/>
      <c r="DG2553" s="128"/>
      <c r="DH2553" s="128"/>
      <c r="DI2553" s="128"/>
      <c r="DJ2553" s="128"/>
      <c r="DK2553" s="128"/>
      <c r="DL2553" s="128"/>
      <c r="DM2553" s="128"/>
      <c r="DN2553" s="128"/>
      <c r="DO2553" s="128"/>
      <c r="DP2553" s="128"/>
      <c r="DQ2553" s="128"/>
      <c r="DR2553" s="128"/>
      <c r="DS2553" s="128"/>
      <c r="DT2553" s="128"/>
      <c r="DU2553" s="128"/>
      <c r="DV2553" s="128"/>
      <c r="DW2553" s="128"/>
      <c r="DX2553" s="128"/>
      <c r="DY2553" s="128"/>
      <c r="DZ2553" s="128"/>
      <c r="EA2553" s="128"/>
      <c r="EB2553" s="128"/>
      <c r="EC2553" s="128"/>
      <c r="ED2553" s="128"/>
      <c r="EE2553" s="128"/>
      <c r="EF2553" s="128"/>
      <c r="EG2553" s="128"/>
      <c r="EH2553" s="128"/>
      <c r="EI2553" s="128"/>
      <c r="EJ2553" s="128"/>
      <c r="EK2553" s="128"/>
      <c r="EL2553" s="128"/>
      <c r="EM2553" s="128"/>
      <c r="EN2553" s="128"/>
      <c r="EO2553" s="128"/>
      <c r="EP2553" s="128"/>
      <c r="EQ2553" s="128"/>
      <c r="ER2553" s="128"/>
      <c r="ES2553" s="128"/>
      <c r="ET2553" s="128"/>
      <c r="EU2553" s="128"/>
      <c r="EV2553" s="128"/>
      <c r="EW2553" s="128"/>
      <c r="EX2553" s="128"/>
      <c r="EY2553" s="128"/>
      <c r="EZ2553" s="128"/>
      <c r="FA2553" s="128"/>
      <c r="FB2553" s="128"/>
      <c r="FC2553" s="128"/>
      <c r="FD2553" s="128"/>
      <c r="FE2553" s="128"/>
      <c r="FF2553" s="128"/>
      <c r="FG2553" s="128"/>
      <c r="FH2553" s="128"/>
      <c r="FI2553" s="128"/>
      <c r="FJ2553" s="128"/>
      <c r="FK2553" s="128"/>
      <c r="FL2553" s="128"/>
      <c r="FM2553" s="128"/>
      <c r="FN2553" s="128"/>
      <c r="FO2553" s="128"/>
      <c r="FP2553" s="128"/>
      <c r="FQ2553" s="128"/>
      <c r="FR2553" s="128"/>
      <c r="FS2553" s="128"/>
      <c r="FT2553" s="128"/>
      <c r="FU2553" s="128"/>
      <c r="FV2553" s="128"/>
      <c r="FW2553" s="128"/>
      <c r="FX2553" s="128"/>
      <c r="FY2553" s="128"/>
      <c r="FZ2553" s="128"/>
      <c r="GA2553" s="128"/>
      <c r="GB2553" s="128"/>
      <c r="GC2553" s="128"/>
      <c r="GD2553" s="128"/>
      <c r="GE2553" s="128"/>
      <c r="GF2553" s="128"/>
      <c r="GG2553" s="128"/>
      <c r="GH2553" s="128"/>
      <c r="GI2553" s="128"/>
      <c r="GJ2553" s="128"/>
      <c r="GK2553" s="128"/>
      <c r="GL2553" s="128"/>
      <c r="GM2553" s="128"/>
      <c r="GN2553" s="128"/>
      <c r="GO2553" s="128"/>
      <c r="GP2553" s="128"/>
      <c r="GQ2553" s="128"/>
      <c r="GR2553" s="128"/>
      <c r="GS2553" s="128"/>
      <c r="GT2553" s="128"/>
      <c r="GU2553" s="128"/>
      <c r="GV2553" s="128"/>
      <c r="GW2553" s="128"/>
      <c r="GX2553" s="128"/>
      <c r="GY2553" s="128"/>
      <c r="GZ2553" s="128"/>
      <c r="HA2553" s="128"/>
      <c r="HB2553" s="128"/>
      <c r="HC2553" s="128"/>
      <c r="HD2553" s="128"/>
      <c r="HE2553" s="128"/>
      <c r="HF2553" s="128"/>
      <c r="HG2553" s="128"/>
      <c r="HH2553" s="128"/>
      <c r="HI2553" s="128"/>
      <c r="HJ2553" s="128"/>
      <c r="HK2553" s="128"/>
      <c r="HL2553" s="128"/>
      <c r="HM2553" s="128"/>
      <c r="HN2553" s="128"/>
      <c r="HO2553" s="128"/>
      <c r="HP2553" s="128"/>
      <c r="HQ2553" s="128"/>
      <c r="HR2553" s="128"/>
      <c r="HS2553" s="128"/>
      <c r="HT2553" s="128"/>
      <c r="HU2553" s="128"/>
      <c r="HV2553" s="128"/>
      <c r="HW2553" s="128"/>
      <c r="HX2553" s="128"/>
      <c r="HY2553" s="128"/>
      <c r="HZ2553" s="128"/>
      <c r="IA2553" s="128"/>
      <c r="IB2553" s="128"/>
      <c r="IC2553" s="128"/>
      <c r="ID2553" s="128"/>
      <c r="IE2553" s="128"/>
      <c r="IF2553" s="128"/>
      <c r="IG2553" s="128"/>
      <c r="IH2553" s="128"/>
      <c r="II2553" s="128"/>
      <c r="IJ2553" s="128"/>
    </row>
    <row r="2554" spans="2:244" ht="12.75" customHeight="1">
      <c r="B2554" s="128"/>
      <c r="C2554" s="224"/>
      <c r="D2554" s="225"/>
      <c r="E2554" s="8"/>
      <c r="F2554" s="128"/>
      <c r="G2554" s="128"/>
      <c r="H2554" s="128"/>
      <c r="I2554" s="160"/>
      <c r="J2554" s="173"/>
      <c r="K2554" s="173"/>
      <c r="L2554" s="173"/>
      <c r="O2554" s="173"/>
      <c r="P2554" s="170"/>
      <c r="Q2554" s="128"/>
      <c r="R2554" s="128"/>
      <c r="S2554" s="180"/>
      <c r="T2554" s="173"/>
      <c r="U2554" s="171"/>
      <c r="V2554" s="173"/>
      <c r="W2554" s="173"/>
      <c r="X2554" s="128"/>
      <c r="Y2554" s="128"/>
      <c r="Z2554" s="128"/>
      <c r="AA2554" s="128"/>
      <c r="AB2554" s="128"/>
      <c r="AC2554" s="128"/>
      <c r="AD2554" s="128"/>
      <c r="AE2554" s="128"/>
      <c r="AF2554" s="128"/>
      <c r="AG2554" s="128"/>
      <c r="AH2554" s="128"/>
      <c r="AI2554" s="128"/>
      <c r="AJ2554" s="128"/>
      <c r="AK2554" s="128"/>
      <c r="AL2554" s="128"/>
      <c r="AM2554" s="128"/>
      <c r="AN2554" s="128"/>
      <c r="AO2554" s="128"/>
      <c r="AP2554" s="128"/>
      <c r="AQ2554" s="128"/>
      <c r="AR2554" s="128"/>
      <c r="AS2554" s="128"/>
      <c r="AT2554" s="128"/>
      <c r="AU2554" s="128"/>
      <c r="AV2554" s="128"/>
      <c r="AW2554" s="128"/>
      <c r="AX2554" s="128"/>
      <c r="AY2554" s="128"/>
      <c r="AZ2554" s="128"/>
      <c r="BA2554" s="128"/>
      <c r="BB2554" s="128"/>
      <c r="BC2554" s="128"/>
      <c r="BD2554" s="128"/>
      <c r="BE2554" s="128"/>
      <c r="BF2554" s="128"/>
      <c r="BG2554" s="128"/>
      <c r="BH2554" s="128"/>
      <c r="BI2554" s="128"/>
      <c r="BJ2554" s="128"/>
      <c r="BK2554" s="128"/>
      <c r="BL2554" s="128"/>
      <c r="BM2554" s="128"/>
      <c r="BN2554" s="128"/>
      <c r="BO2554" s="128"/>
      <c r="BP2554" s="128"/>
      <c r="BQ2554" s="128"/>
      <c r="BR2554" s="128"/>
      <c r="BS2554" s="128"/>
      <c r="BT2554" s="128"/>
      <c r="BU2554" s="128"/>
      <c r="BV2554" s="128"/>
      <c r="BW2554" s="128"/>
      <c r="BX2554" s="128"/>
      <c r="BY2554" s="128"/>
      <c r="BZ2554" s="128"/>
      <c r="CA2554" s="128"/>
      <c r="CB2554" s="128"/>
      <c r="CC2554" s="128"/>
      <c r="CD2554" s="128"/>
      <c r="CE2554" s="128"/>
      <c r="CF2554" s="128"/>
      <c r="CG2554" s="128"/>
      <c r="CH2554" s="128"/>
      <c r="CI2554" s="128"/>
      <c r="CJ2554" s="128"/>
      <c r="CK2554" s="128"/>
      <c r="CL2554" s="128"/>
      <c r="CM2554" s="128"/>
      <c r="CN2554" s="128"/>
      <c r="CO2554" s="128"/>
      <c r="CP2554" s="128"/>
      <c r="CQ2554" s="128"/>
      <c r="CR2554" s="128"/>
      <c r="CS2554" s="128"/>
      <c r="CT2554" s="128"/>
      <c r="CU2554" s="128"/>
      <c r="CV2554" s="128"/>
      <c r="CW2554" s="128"/>
      <c r="CX2554" s="128"/>
      <c r="CY2554" s="128"/>
      <c r="CZ2554" s="128"/>
      <c r="DA2554" s="128"/>
      <c r="DB2554" s="128"/>
      <c r="DC2554" s="128"/>
      <c r="DD2554" s="128"/>
      <c r="DE2554" s="128"/>
      <c r="DF2554" s="128"/>
      <c r="DG2554" s="128"/>
      <c r="DH2554" s="128"/>
      <c r="DI2554" s="128"/>
      <c r="DJ2554" s="128"/>
      <c r="DK2554" s="128"/>
      <c r="DL2554" s="128"/>
      <c r="DM2554" s="128"/>
      <c r="DN2554" s="128"/>
      <c r="DO2554" s="128"/>
      <c r="DP2554" s="128"/>
      <c r="DQ2554" s="128"/>
      <c r="DR2554" s="128"/>
      <c r="DS2554" s="128"/>
      <c r="DT2554" s="128"/>
      <c r="DU2554" s="128"/>
      <c r="DV2554" s="128"/>
      <c r="DW2554" s="128"/>
      <c r="DX2554" s="128"/>
      <c r="DY2554" s="128"/>
      <c r="DZ2554" s="128"/>
      <c r="EA2554" s="128"/>
      <c r="EB2554" s="128"/>
      <c r="EC2554" s="128"/>
      <c r="ED2554" s="128"/>
      <c r="EE2554" s="128"/>
      <c r="EF2554" s="128"/>
      <c r="EG2554" s="128"/>
      <c r="EH2554" s="128"/>
      <c r="EI2554" s="128"/>
      <c r="EJ2554" s="128"/>
      <c r="EK2554" s="128"/>
      <c r="EL2554" s="128"/>
      <c r="EM2554" s="128"/>
      <c r="EN2554" s="128"/>
      <c r="EO2554" s="128"/>
      <c r="EP2554" s="128"/>
      <c r="EQ2554" s="128"/>
      <c r="ER2554" s="128"/>
      <c r="ES2554" s="128"/>
      <c r="ET2554" s="128"/>
      <c r="EU2554" s="128"/>
      <c r="EV2554" s="128"/>
      <c r="EW2554" s="128"/>
      <c r="EX2554" s="128"/>
      <c r="EY2554" s="128"/>
      <c r="EZ2554" s="128"/>
      <c r="FA2554" s="128"/>
      <c r="FB2554" s="128"/>
      <c r="FC2554" s="128"/>
      <c r="FD2554" s="128"/>
      <c r="FE2554" s="128"/>
      <c r="FF2554" s="128"/>
      <c r="FG2554" s="128"/>
      <c r="FH2554" s="128"/>
      <c r="FI2554" s="128"/>
      <c r="FJ2554" s="128"/>
      <c r="FK2554" s="128"/>
      <c r="FL2554" s="128"/>
      <c r="FM2554" s="128"/>
      <c r="FN2554" s="128"/>
      <c r="FO2554" s="128"/>
      <c r="FP2554" s="128"/>
      <c r="FQ2554" s="128"/>
      <c r="FR2554" s="128"/>
      <c r="FS2554" s="128"/>
      <c r="FT2554" s="128"/>
      <c r="FU2554" s="128"/>
      <c r="FV2554" s="128"/>
      <c r="FW2554" s="128"/>
      <c r="FX2554" s="128"/>
      <c r="FY2554" s="128"/>
      <c r="FZ2554" s="128"/>
      <c r="GA2554" s="128"/>
      <c r="GB2554" s="128"/>
      <c r="GC2554" s="128"/>
      <c r="GD2554" s="128"/>
      <c r="GE2554" s="128"/>
      <c r="GF2554" s="128"/>
      <c r="GG2554" s="128"/>
      <c r="GH2554" s="128"/>
      <c r="GI2554" s="128"/>
      <c r="GJ2554" s="128"/>
      <c r="GK2554" s="128"/>
      <c r="GL2554" s="128"/>
      <c r="GM2554" s="128"/>
      <c r="GN2554" s="128"/>
      <c r="GO2554" s="128"/>
      <c r="GP2554" s="128"/>
      <c r="GQ2554" s="128"/>
      <c r="GR2554" s="128"/>
      <c r="GS2554" s="128"/>
      <c r="GT2554" s="128"/>
      <c r="GU2554" s="128"/>
      <c r="GV2554" s="128"/>
      <c r="GW2554" s="128"/>
      <c r="GX2554" s="128"/>
      <c r="GY2554" s="128"/>
      <c r="GZ2554" s="128"/>
      <c r="HA2554" s="128"/>
      <c r="HB2554" s="128"/>
      <c r="HC2554" s="128"/>
      <c r="HD2554" s="128"/>
      <c r="HE2554" s="128"/>
      <c r="HF2554" s="128"/>
      <c r="HG2554" s="128"/>
      <c r="HH2554" s="128"/>
      <c r="HI2554" s="128"/>
      <c r="HJ2554" s="128"/>
      <c r="HK2554" s="128"/>
      <c r="HL2554" s="128"/>
      <c r="HM2554" s="128"/>
      <c r="HN2554" s="128"/>
      <c r="HO2554" s="128"/>
      <c r="HP2554" s="128"/>
      <c r="HQ2554" s="128"/>
      <c r="HR2554" s="128"/>
      <c r="HS2554" s="128"/>
      <c r="HT2554" s="128"/>
      <c r="HU2554" s="128"/>
      <c r="HV2554" s="128"/>
      <c r="HW2554" s="128"/>
      <c r="HX2554" s="128"/>
      <c r="HY2554" s="128"/>
      <c r="HZ2554" s="128"/>
      <c r="IA2554" s="128"/>
      <c r="IB2554" s="128"/>
      <c r="IC2554" s="128"/>
      <c r="ID2554" s="128"/>
      <c r="IE2554" s="128"/>
      <c r="IF2554" s="128"/>
      <c r="IG2554" s="128"/>
      <c r="IH2554" s="128"/>
      <c r="II2554" s="128"/>
      <c r="IJ2554" s="128"/>
    </row>
    <row r="2555" spans="2:244" ht="12.75" customHeight="1">
      <c r="B2555" s="128"/>
      <c r="C2555" s="224"/>
      <c r="D2555" s="225"/>
      <c r="E2555" s="8"/>
      <c r="F2555" s="128"/>
      <c r="G2555" s="128"/>
      <c r="H2555" s="128"/>
      <c r="I2555" s="160"/>
      <c r="J2555" s="173"/>
      <c r="K2555" s="173"/>
      <c r="L2555" s="173"/>
      <c r="O2555" s="173"/>
      <c r="P2555" s="170"/>
      <c r="Q2555" s="128"/>
      <c r="R2555" s="128"/>
      <c r="S2555" s="180"/>
      <c r="T2555" s="173"/>
      <c r="U2555" s="171"/>
      <c r="V2555" s="173"/>
      <c r="W2555" s="173"/>
      <c r="X2555" s="128"/>
      <c r="Y2555" s="128"/>
      <c r="Z2555" s="128"/>
      <c r="AA2555" s="128"/>
      <c r="AB2555" s="128"/>
      <c r="AC2555" s="128"/>
      <c r="AD2555" s="128"/>
      <c r="AE2555" s="128"/>
      <c r="AF2555" s="128"/>
      <c r="AG2555" s="128"/>
      <c r="AH2555" s="128"/>
      <c r="AI2555" s="128"/>
      <c r="AJ2555" s="128"/>
      <c r="AK2555" s="128"/>
      <c r="AL2555" s="128"/>
      <c r="AM2555" s="128"/>
      <c r="AN2555" s="128"/>
      <c r="AO2555" s="128"/>
      <c r="AP2555" s="128"/>
      <c r="AQ2555" s="128"/>
      <c r="AR2555" s="128"/>
      <c r="AS2555" s="128"/>
      <c r="AT2555" s="128"/>
      <c r="AU2555" s="128"/>
      <c r="AV2555" s="128"/>
      <c r="AW2555" s="128"/>
      <c r="AX2555" s="128"/>
      <c r="AY2555" s="128"/>
      <c r="AZ2555" s="128"/>
      <c r="BA2555" s="128"/>
      <c r="BB2555" s="128"/>
      <c r="BC2555" s="128"/>
      <c r="BD2555" s="128"/>
      <c r="BE2555" s="128"/>
      <c r="BF2555" s="128"/>
      <c r="BG2555" s="128"/>
      <c r="BH2555" s="128"/>
      <c r="BI2555" s="128"/>
      <c r="BJ2555" s="128"/>
      <c r="BK2555" s="128"/>
      <c r="BL2555" s="128"/>
      <c r="BM2555" s="128"/>
      <c r="BN2555" s="128"/>
      <c r="BO2555" s="128"/>
      <c r="BP2555" s="128"/>
      <c r="BQ2555" s="128"/>
      <c r="BR2555" s="128"/>
      <c r="BS2555" s="128"/>
      <c r="BT2555" s="128"/>
      <c r="BU2555" s="128"/>
      <c r="BV2555" s="128"/>
      <c r="BW2555" s="128"/>
      <c r="BX2555" s="128"/>
      <c r="BY2555" s="128"/>
      <c r="BZ2555" s="128"/>
      <c r="CA2555" s="128"/>
      <c r="CB2555" s="128"/>
      <c r="CC2555" s="128"/>
      <c r="CD2555" s="128"/>
      <c r="CE2555" s="128"/>
      <c r="CF2555" s="128"/>
      <c r="CG2555" s="128"/>
      <c r="CH2555" s="128"/>
      <c r="CI2555" s="128"/>
      <c r="CJ2555" s="128"/>
      <c r="CK2555" s="128"/>
      <c r="CL2555" s="128"/>
      <c r="CM2555" s="128"/>
      <c r="CN2555" s="128"/>
      <c r="CO2555" s="128"/>
      <c r="CP2555" s="128"/>
      <c r="CQ2555" s="128"/>
      <c r="CR2555" s="128"/>
      <c r="CS2555" s="128"/>
      <c r="CT2555" s="128"/>
      <c r="CU2555" s="128"/>
      <c r="CV2555" s="128"/>
      <c r="CW2555" s="128"/>
      <c r="CX2555" s="128"/>
      <c r="CY2555" s="128"/>
      <c r="CZ2555" s="128"/>
      <c r="DA2555" s="128"/>
      <c r="DB2555" s="128"/>
      <c r="DC2555" s="128"/>
      <c r="DD2555" s="128"/>
      <c r="DE2555" s="128"/>
      <c r="DF2555" s="128"/>
      <c r="DG2555" s="128"/>
      <c r="DH2555" s="128"/>
      <c r="DI2555" s="128"/>
      <c r="DJ2555" s="128"/>
      <c r="DK2555" s="128"/>
      <c r="DL2555" s="128"/>
      <c r="DM2555" s="128"/>
      <c r="DN2555" s="128"/>
      <c r="DO2555" s="128"/>
      <c r="DP2555" s="128"/>
      <c r="DQ2555" s="128"/>
      <c r="DR2555" s="128"/>
      <c r="DS2555" s="128"/>
      <c r="DT2555" s="128"/>
      <c r="DU2555" s="128"/>
      <c r="DV2555" s="128"/>
      <c r="DW2555" s="128"/>
      <c r="DX2555" s="128"/>
      <c r="DY2555" s="128"/>
      <c r="DZ2555" s="128"/>
      <c r="EA2555" s="128"/>
      <c r="EB2555" s="128"/>
      <c r="EC2555" s="128"/>
      <c r="ED2555" s="128"/>
      <c r="EE2555" s="128"/>
      <c r="EF2555" s="128"/>
      <c r="EG2555" s="128"/>
      <c r="EH2555" s="128"/>
      <c r="EI2555" s="128"/>
      <c r="EJ2555" s="128"/>
      <c r="EK2555" s="128"/>
      <c r="EL2555" s="128"/>
      <c r="EM2555" s="128"/>
      <c r="EN2555" s="128"/>
      <c r="EO2555" s="128"/>
      <c r="EP2555" s="128"/>
      <c r="EQ2555" s="128"/>
      <c r="ER2555" s="128"/>
      <c r="ES2555" s="128"/>
      <c r="ET2555" s="128"/>
      <c r="EU2555" s="128"/>
      <c r="EV2555" s="128"/>
      <c r="EW2555" s="128"/>
      <c r="EX2555" s="128"/>
      <c r="EY2555" s="128"/>
      <c r="EZ2555" s="128"/>
      <c r="FA2555" s="128"/>
      <c r="FB2555" s="128"/>
      <c r="FC2555" s="128"/>
      <c r="FD2555" s="128"/>
      <c r="FE2555" s="128"/>
      <c r="FF2555" s="128"/>
      <c r="FG2555" s="128"/>
      <c r="FH2555" s="128"/>
      <c r="FI2555" s="128"/>
      <c r="FJ2555" s="128"/>
      <c r="FK2555" s="128"/>
      <c r="FL2555" s="128"/>
      <c r="FM2555" s="128"/>
      <c r="FN2555" s="128"/>
      <c r="FO2555" s="128"/>
      <c r="FP2555" s="128"/>
      <c r="FQ2555" s="128"/>
      <c r="FR2555" s="128"/>
      <c r="FS2555" s="128"/>
      <c r="FT2555" s="128"/>
      <c r="FU2555" s="128"/>
      <c r="FV2555" s="128"/>
      <c r="FW2555" s="128"/>
      <c r="FX2555" s="128"/>
      <c r="FY2555" s="128"/>
      <c r="FZ2555" s="128"/>
      <c r="GA2555" s="128"/>
      <c r="GB2555" s="128"/>
      <c r="GC2555" s="128"/>
      <c r="GD2555" s="128"/>
      <c r="GE2555" s="128"/>
      <c r="GF2555" s="128"/>
      <c r="GG2555" s="128"/>
      <c r="GH2555" s="128"/>
      <c r="GI2555" s="128"/>
      <c r="GJ2555" s="128"/>
      <c r="GK2555" s="128"/>
      <c r="GL2555" s="128"/>
      <c r="GM2555" s="128"/>
      <c r="GN2555" s="128"/>
      <c r="GO2555" s="128"/>
      <c r="GP2555" s="128"/>
      <c r="GQ2555" s="128"/>
      <c r="GR2555" s="128"/>
      <c r="GS2555" s="128"/>
      <c r="GT2555" s="128"/>
      <c r="GU2555" s="128"/>
      <c r="GV2555" s="128"/>
      <c r="GW2555" s="128"/>
      <c r="GX2555" s="128"/>
      <c r="GY2555" s="128"/>
      <c r="GZ2555" s="128"/>
      <c r="HA2555" s="128"/>
      <c r="HB2555" s="128"/>
      <c r="HC2555" s="128"/>
      <c r="HD2555" s="128"/>
      <c r="HE2555" s="128"/>
      <c r="HF2555" s="128"/>
      <c r="HG2555" s="128"/>
      <c r="HH2555" s="128"/>
      <c r="HI2555" s="128"/>
      <c r="HJ2555" s="128"/>
      <c r="HK2555" s="128"/>
      <c r="HL2555" s="128"/>
      <c r="HM2555" s="128"/>
      <c r="HN2555" s="128"/>
      <c r="HO2555" s="128"/>
      <c r="HP2555" s="128"/>
      <c r="HQ2555" s="128"/>
      <c r="HR2555" s="128"/>
      <c r="HS2555" s="128"/>
      <c r="HT2555" s="128"/>
      <c r="HU2555" s="128"/>
      <c r="HV2555" s="128"/>
      <c r="HW2555" s="128"/>
      <c r="HX2555" s="128"/>
      <c r="HY2555" s="128"/>
      <c r="HZ2555" s="128"/>
      <c r="IA2555" s="128"/>
      <c r="IB2555" s="128"/>
      <c r="IC2555" s="128"/>
      <c r="ID2555" s="128"/>
      <c r="IE2555" s="128"/>
      <c r="IF2555" s="128"/>
      <c r="IG2555" s="128"/>
      <c r="IH2555" s="128"/>
      <c r="II2555" s="128"/>
      <c r="IJ2555" s="128"/>
    </row>
    <row r="2556" spans="2:244" ht="12.75" customHeight="1">
      <c r="B2556" s="128"/>
      <c r="C2556" s="224"/>
      <c r="D2556" s="225"/>
      <c r="E2556" s="8"/>
      <c r="F2556" s="128"/>
      <c r="G2556" s="128"/>
      <c r="H2556" s="128"/>
      <c r="I2556" s="160"/>
      <c r="J2556" s="173"/>
      <c r="K2556" s="173"/>
      <c r="L2556" s="173"/>
      <c r="O2556" s="173"/>
      <c r="P2556" s="170"/>
      <c r="Q2556" s="128"/>
      <c r="R2556" s="128"/>
      <c r="S2556" s="180"/>
      <c r="T2556" s="173"/>
      <c r="U2556" s="171"/>
      <c r="V2556" s="173"/>
      <c r="W2556" s="173"/>
      <c r="X2556" s="128"/>
      <c r="Y2556" s="128"/>
      <c r="Z2556" s="128"/>
      <c r="AA2556" s="128"/>
      <c r="AB2556" s="128"/>
      <c r="AC2556" s="128"/>
      <c r="AD2556" s="128"/>
      <c r="AE2556" s="128"/>
      <c r="AF2556" s="128"/>
      <c r="AG2556" s="128"/>
      <c r="AH2556" s="128"/>
      <c r="AI2556" s="128"/>
      <c r="AJ2556" s="128"/>
      <c r="AK2556" s="128"/>
      <c r="AL2556" s="128"/>
      <c r="AM2556" s="128"/>
      <c r="AN2556" s="128"/>
      <c r="AO2556" s="128"/>
      <c r="AP2556" s="128"/>
      <c r="AQ2556" s="128"/>
      <c r="AR2556" s="128"/>
      <c r="AS2556" s="128"/>
      <c r="AT2556" s="128"/>
      <c r="AU2556" s="128"/>
      <c r="AV2556" s="128"/>
      <c r="AW2556" s="128"/>
      <c r="AX2556" s="128"/>
      <c r="AY2556" s="128"/>
      <c r="AZ2556" s="128"/>
      <c r="BA2556" s="128"/>
      <c r="BB2556" s="128"/>
      <c r="BC2556" s="128"/>
      <c r="BD2556" s="128"/>
      <c r="BE2556" s="128"/>
      <c r="BF2556" s="128"/>
      <c r="BG2556" s="128"/>
      <c r="BH2556" s="128"/>
      <c r="BI2556" s="128"/>
      <c r="BJ2556" s="128"/>
      <c r="BK2556" s="128"/>
      <c r="BL2556" s="128"/>
      <c r="BM2556" s="128"/>
      <c r="BN2556" s="128"/>
      <c r="BO2556" s="128"/>
      <c r="BP2556" s="128"/>
      <c r="BQ2556" s="128"/>
      <c r="BR2556" s="128"/>
      <c r="BS2556" s="128"/>
      <c r="BT2556" s="128"/>
      <c r="BU2556" s="128"/>
      <c r="BV2556" s="128"/>
      <c r="BW2556" s="128"/>
      <c r="BX2556" s="128"/>
      <c r="BY2556" s="128"/>
      <c r="BZ2556" s="128"/>
      <c r="CA2556" s="128"/>
      <c r="CB2556" s="128"/>
      <c r="CC2556" s="128"/>
      <c r="CD2556" s="128"/>
      <c r="CE2556" s="128"/>
      <c r="CF2556" s="128"/>
      <c r="CG2556" s="128"/>
      <c r="CH2556" s="128"/>
      <c r="CI2556" s="128"/>
      <c r="CJ2556" s="128"/>
      <c r="CK2556" s="128"/>
      <c r="CL2556" s="128"/>
      <c r="CM2556" s="128"/>
      <c r="CN2556" s="128"/>
      <c r="CO2556" s="128"/>
      <c r="CP2556" s="128"/>
      <c r="CQ2556" s="128"/>
      <c r="CR2556" s="128"/>
      <c r="CS2556" s="128"/>
      <c r="CT2556" s="128"/>
      <c r="CU2556" s="128"/>
      <c r="CV2556" s="128"/>
      <c r="CW2556" s="128"/>
      <c r="CX2556" s="128"/>
      <c r="CY2556" s="128"/>
      <c r="CZ2556" s="128"/>
      <c r="DA2556" s="128"/>
      <c r="DB2556" s="128"/>
      <c r="DC2556" s="128"/>
      <c r="DD2556" s="128"/>
      <c r="DE2556" s="128"/>
      <c r="DF2556" s="128"/>
      <c r="DG2556" s="128"/>
      <c r="DH2556" s="128"/>
      <c r="DI2556" s="128"/>
      <c r="DJ2556" s="128"/>
      <c r="DK2556" s="128"/>
      <c r="DL2556" s="128"/>
      <c r="DM2556" s="128"/>
      <c r="DN2556" s="128"/>
      <c r="DO2556" s="128"/>
      <c r="DP2556" s="128"/>
      <c r="DQ2556" s="128"/>
      <c r="DR2556" s="128"/>
      <c r="DS2556" s="128"/>
      <c r="DT2556" s="128"/>
      <c r="DU2556" s="128"/>
      <c r="DV2556" s="128"/>
      <c r="DW2556" s="128"/>
      <c r="DX2556" s="128"/>
      <c r="DY2556" s="128"/>
      <c r="DZ2556" s="128"/>
      <c r="EA2556" s="128"/>
      <c r="EB2556" s="128"/>
      <c r="EC2556" s="128"/>
      <c r="ED2556" s="128"/>
      <c r="EE2556" s="128"/>
      <c r="EF2556" s="128"/>
      <c r="EG2556" s="128"/>
      <c r="EH2556" s="128"/>
      <c r="EI2556" s="128"/>
      <c r="EJ2556" s="128"/>
      <c r="EK2556" s="128"/>
      <c r="EL2556" s="128"/>
      <c r="EM2556" s="128"/>
      <c r="EN2556" s="128"/>
      <c r="EO2556" s="128"/>
      <c r="EP2556" s="128"/>
      <c r="EQ2556" s="128"/>
      <c r="ER2556" s="128"/>
      <c r="ES2556" s="128"/>
      <c r="ET2556" s="128"/>
      <c r="EU2556" s="128"/>
      <c r="EV2556" s="128"/>
      <c r="EW2556" s="128"/>
      <c r="EX2556" s="128"/>
      <c r="EY2556" s="128"/>
      <c r="EZ2556" s="128"/>
      <c r="FA2556" s="128"/>
      <c r="FB2556" s="128"/>
      <c r="FC2556" s="128"/>
      <c r="FD2556" s="128"/>
      <c r="FE2556" s="128"/>
      <c r="FF2556" s="128"/>
      <c r="FG2556" s="128"/>
      <c r="FH2556" s="128"/>
      <c r="FI2556" s="128"/>
      <c r="FJ2556" s="128"/>
      <c r="FK2556" s="128"/>
      <c r="FL2556" s="128"/>
      <c r="FM2556" s="128"/>
      <c r="FN2556" s="128"/>
      <c r="FO2556" s="128"/>
      <c r="FP2556" s="128"/>
      <c r="FQ2556" s="128"/>
      <c r="FR2556" s="128"/>
      <c r="FS2556" s="128"/>
      <c r="FT2556" s="128"/>
      <c r="FU2556" s="128"/>
      <c r="FV2556" s="128"/>
      <c r="FW2556" s="128"/>
      <c r="FX2556" s="128"/>
      <c r="FY2556" s="128"/>
      <c r="FZ2556" s="128"/>
      <c r="GA2556" s="128"/>
      <c r="GB2556" s="128"/>
      <c r="GC2556" s="128"/>
      <c r="GD2556" s="128"/>
      <c r="GE2556" s="128"/>
      <c r="GF2556" s="128"/>
      <c r="GG2556" s="128"/>
      <c r="GH2556" s="128"/>
      <c r="GI2556" s="128"/>
      <c r="GJ2556" s="128"/>
      <c r="GK2556" s="128"/>
      <c r="GL2556" s="128"/>
      <c r="GM2556" s="128"/>
      <c r="GN2556" s="128"/>
      <c r="GO2556" s="128"/>
      <c r="GP2556" s="128"/>
      <c r="GQ2556" s="128"/>
      <c r="GR2556" s="128"/>
      <c r="GS2556" s="128"/>
      <c r="GT2556" s="128"/>
      <c r="GU2556" s="128"/>
      <c r="GV2556" s="128"/>
      <c r="GW2556" s="128"/>
      <c r="GX2556" s="128"/>
      <c r="GY2556" s="128"/>
      <c r="GZ2556" s="128"/>
      <c r="HA2556" s="128"/>
      <c r="HB2556" s="128"/>
      <c r="HC2556" s="128"/>
      <c r="HD2556" s="128"/>
      <c r="HE2556" s="128"/>
      <c r="HF2556" s="128"/>
      <c r="HG2556" s="128"/>
      <c r="HH2556" s="128"/>
      <c r="HI2556" s="128"/>
      <c r="HJ2556" s="128"/>
      <c r="HK2556" s="128"/>
      <c r="HL2556" s="128"/>
      <c r="HM2556" s="128"/>
      <c r="HN2556" s="128"/>
      <c r="HO2556" s="128"/>
      <c r="HP2556" s="128"/>
      <c r="HQ2556" s="128"/>
      <c r="HR2556" s="128"/>
      <c r="HS2556" s="128"/>
      <c r="HT2556" s="128"/>
      <c r="HU2556" s="128"/>
      <c r="HV2556" s="128"/>
      <c r="HW2556" s="128"/>
      <c r="HX2556" s="128"/>
      <c r="HY2556" s="128"/>
      <c r="HZ2556" s="128"/>
      <c r="IA2556" s="128"/>
      <c r="IB2556" s="128"/>
      <c r="IC2556" s="128"/>
      <c r="ID2556" s="128"/>
      <c r="IE2556" s="128"/>
      <c r="IF2556" s="128"/>
      <c r="IG2556" s="128"/>
      <c r="IH2556" s="128"/>
      <c r="II2556" s="128"/>
      <c r="IJ2556" s="128"/>
    </row>
    <row r="2557" spans="2:244" ht="12.75" customHeight="1">
      <c r="B2557" s="128"/>
      <c r="C2557" s="224"/>
      <c r="D2557" s="225"/>
      <c r="E2557" s="8"/>
      <c r="F2557" s="128"/>
      <c r="G2557" s="128"/>
      <c r="H2557" s="128"/>
      <c r="I2557" s="160"/>
      <c r="J2557" s="173"/>
      <c r="K2557" s="173"/>
      <c r="L2557" s="173"/>
      <c r="O2557" s="173"/>
      <c r="P2557" s="170"/>
      <c r="Q2557" s="128"/>
      <c r="R2557" s="128"/>
      <c r="S2557" s="180"/>
      <c r="T2557" s="173"/>
      <c r="U2557" s="171"/>
      <c r="V2557" s="173"/>
      <c r="W2557" s="173"/>
      <c r="X2557" s="128"/>
      <c r="Y2557" s="128"/>
      <c r="Z2557" s="128"/>
      <c r="AA2557" s="128"/>
      <c r="AB2557" s="128"/>
      <c r="AC2557" s="128"/>
      <c r="AD2557" s="128"/>
      <c r="AE2557" s="128"/>
      <c r="AF2557" s="128"/>
      <c r="AG2557" s="128"/>
      <c r="AH2557" s="128"/>
      <c r="AI2557" s="128"/>
      <c r="AJ2557" s="128"/>
      <c r="AK2557" s="128"/>
      <c r="AL2557" s="128"/>
      <c r="AM2557" s="128"/>
      <c r="AN2557" s="128"/>
      <c r="AO2557" s="128"/>
      <c r="AP2557" s="128"/>
      <c r="AQ2557" s="128"/>
      <c r="AR2557" s="128"/>
      <c r="AS2557" s="128"/>
      <c r="AT2557" s="128"/>
      <c r="AU2557" s="128"/>
      <c r="AV2557" s="128"/>
      <c r="AW2557" s="128"/>
      <c r="AX2557" s="128"/>
      <c r="AY2557" s="128"/>
      <c r="AZ2557" s="128"/>
      <c r="BA2557" s="128"/>
      <c r="BB2557" s="128"/>
      <c r="BC2557" s="128"/>
      <c r="BD2557" s="128"/>
      <c r="BE2557" s="128"/>
      <c r="BF2557" s="128"/>
      <c r="BG2557" s="128"/>
      <c r="BH2557" s="128"/>
      <c r="BI2557" s="128"/>
      <c r="BJ2557" s="128"/>
      <c r="BK2557" s="128"/>
      <c r="BL2557" s="128"/>
      <c r="BM2557" s="128"/>
      <c r="BN2557" s="128"/>
      <c r="BO2557" s="128"/>
      <c r="BP2557" s="128"/>
      <c r="BQ2557" s="128"/>
      <c r="BR2557" s="128"/>
      <c r="BS2557" s="128"/>
      <c r="BT2557" s="128"/>
      <c r="BU2557" s="128"/>
      <c r="BV2557" s="128"/>
      <c r="BW2557" s="128"/>
      <c r="BX2557" s="128"/>
      <c r="BY2557" s="128"/>
      <c r="BZ2557" s="128"/>
      <c r="CA2557" s="128"/>
      <c r="CB2557" s="128"/>
      <c r="CC2557" s="128"/>
      <c r="CD2557" s="128"/>
      <c r="CE2557" s="128"/>
      <c r="CF2557" s="128"/>
      <c r="CG2557" s="128"/>
      <c r="CH2557" s="128"/>
      <c r="CI2557" s="128"/>
      <c r="CJ2557" s="128"/>
      <c r="CK2557" s="128"/>
      <c r="CL2557" s="128"/>
      <c r="CM2557" s="128"/>
      <c r="CN2557" s="128"/>
      <c r="CO2557" s="128"/>
      <c r="CP2557" s="128"/>
      <c r="CQ2557" s="128"/>
      <c r="CR2557" s="128"/>
      <c r="CS2557" s="128"/>
      <c r="CT2557" s="128"/>
      <c r="CU2557" s="128"/>
      <c r="CV2557" s="128"/>
      <c r="CW2557" s="128"/>
      <c r="CX2557" s="128"/>
      <c r="CY2557" s="128"/>
      <c r="CZ2557" s="128"/>
      <c r="DA2557" s="128"/>
      <c r="DB2557" s="128"/>
      <c r="DC2557" s="128"/>
      <c r="DD2557" s="128"/>
      <c r="DE2557" s="128"/>
      <c r="DF2557" s="128"/>
      <c r="DG2557" s="128"/>
      <c r="DH2557" s="128"/>
      <c r="DI2557" s="128"/>
      <c r="DJ2557" s="128"/>
      <c r="DK2557" s="128"/>
      <c r="DL2557" s="128"/>
      <c r="DM2557" s="128"/>
      <c r="DN2557" s="128"/>
      <c r="DO2557" s="128"/>
      <c r="DP2557" s="128"/>
      <c r="DQ2557" s="128"/>
      <c r="DR2557" s="128"/>
      <c r="DS2557" s="128"/>
      <c r="DT2557" s="128"/>
      <c r="DU2557" s="128"/>
      <c r="DV2557" s="128"/>
      <c r="DW2557" s="128"/>
      <c r="DX2557" s="128"/>
      <c r="DY2557" s="128"/>
      <c r="DZ2557" s="128"/>
      <c r="EA2557" s="128"/>
      <c r="EB2557" s="128"/>
      <c r="EC2557" s="128"/>
      <c r="ED2557" s="128"/>
      <c r="EE2557" s="128"/>
      <c r="EF2557" s="128"/>
      <c r="EG2557" s="128"/>
      <c r="EH2557" s="128"/>
      <c r="EI2557" s="128"/>
      <c r="EJ2557" s="128"/>
      <c r="EK2557" s="128"/>
      <c r="EL2557" s="128"/>
      <c r="EM2557" s="128"/>
      <c r="EN2557" s="128"/>
      <c r="EO2557" s="128"/>
      <c r="EP2557" s="128"/>
      <c r="EQ2557" s="128"/>
      <c r="ER2557" s="128"/>
      <c r="ES2557" s="128"/>
      <c r="ET2557" s="128"/>
      <c r="EU2557" s="128"/>
      <c r="EV2557" s="128"/>
      <c r="EW2557" s="128"/>
      <c r="EX2557" s="128"/>
      <c r="EY2557" s="128"/>
      <c r="EZ2557" s="128"/>
      <c r="FA2557" s="128"/>
      <c r="FB2557" s="128"/>
      <c r="FC2557" s="128"/>
      <c r="FD2557" s="128"/>
      <c r="FE2557" s="128"/>
      <c r="FF2557" s="128"/>
      <c r="FG2557" s="128"/>
      <c r="FH2557" s="128"/>
      <c r="FI2557" s="128"/>
      <c r="FJ2557" s="128"/>
      <c r="FK2557" s="128"/>
      <c r="FL2557" s="128"/>
      <c r="FM2557" s="128"/>
      <c r="FN2557" s="128"/>
      <c r="FO2557" s="128"/>
      <c r="FP2557" s="128"/>
      <c r="FQ2557" s="128"/>
      <c r="FR2557" s="128"/>
      <c r="FS2557" s="128"/>
      <c r="FT2557" s="128"/>
      <c r="FU2557" s="128"/>
      <c r="FV2557" s="128"/>
      <c r="FW2557" s="128"/>
      <c r="FX2557" s="128"/>
      <c r="FY2557" s="128"/>
      <c r="FZ2557" s="128"/>
      <c r="GA2557" s="128"/>
      <c r="GB2557" s="128"/>
      <c r="GC2557" s="128"/>
      <c r="GD2557" s="128"/>
      <c r="GE2557" s="128"/>
      <c r="GF2557" s="128"/>
      <c r="GG2557" s="128"/>
      <c r="GH2557" s="128"/>
      <c r="GI2557" s="128"/>
      <c r="GJ2557" s="128"/>
      <c r="GK2557" s="128"/>
      <c r="GL2557" s="128"/>
      <c r="GM2557" s="128"/>
      <c r="GN2557" s="128"/>
      <c r="GO2557" s="128"/>
      <c r="GP2557" s="128"/>
      <c r="GQ2557" s="128"/>
      <c r="GR2557" s="128"/>
      <c r="GS2557" s="128"/>
      <c r="GT2557" s="128"/>
      <c r="GU2557" s="128"/>
      <c r="GV2557" s="128"/>
      <c r="GW2557" s="128"/>
      <c r="GX2557" s="128"/>
      <c r="GY2557" s="128"/>
      <c r="GZ2557" s="128"/>
      <c r="HA2557" s="128"/>
      <c r="HB2557" s="128"/>
      <c r="HC2557" s="128"/>
      <c r="HD2557" s="128"/>
      <c r="HE2557" s="128"/>
      <c r="HF2557" s="128"/>
      <c r="HG2557" s="128"/>
      <c r="HH2557" s="128"/>
      <c r="HI2557" s="128"/>
      <c r="HJ2557" s="128"/>
      <c r="HK2557" s="128"/>
      <c r="HL2557" s="128"/>
      <c r="HM2557" s="128"/>
      <c r="HN2557" s="128"/>
      <c r="HO2557" s="128"/>
      <c r="HP2557" s="128"/>
      <c r="HQ2557" s="128"/>
      <c r="HR2557" s="128"/>
      <c r="HS2557" s="128"/>
      <c r="HT2557" s="128"/>
      <c r="HU2557" s="128"/>
      <c r="HV2557" s="128"/>
      <c r="HW2557" s="128"/>
      <c r="HX2557" s="128"/>
      <c r="HY2557" s="128"/>
      <c r="HZ2557" s="128"/>
      <c r="IA2557" s="128"/>
      <c r="IB2557" s="128"/>
      <c r="IC2557" s="128"/>
      <c r="ID2557" s="128"/>
      <c r="IE2557" s="128"/>
      <c r="IF2557" s="128"/>
      <c r="IG2557" s="128"/>
      <c r="IH2557" s="128"/>
      <c r="II2557" s="128"/>
      <c r="IJ2557" s="128"/>
    </row>
    <row r="2558" spans="2:244" ht="12.75" customHeight="1">
      <c r="B2558" s="128"/>
      <c r="C2558" s="224"/>
      <c r="D2558" s="225"/>
      <c r="E2558" s="8"/>
      <c r="F2558" s="128"/>
      <c r="G2558" s="128"/>
      <c r="H2558" s="128"/>
      <c r="I2558" s="160"/>
      <c r="J2558" s="173"/>
      <c r="K2558" s="173"/>
      <c r="L2558" s="173"/>
      <c r="O2558" s="173"/>
      <c r="P2558" s="170"/>
      <c r="Q2558" s="128"/>
      <c r="R2558" s="128"/>
      <c r="S2558" s="180"/>
      <c r="T2558" s="173"/>
      <c r="U2558" s="171"/>
      <c r="V2558" s="173"/>
      <c r="W2558" s="173"/>
      <c r="X2558" s="128"/>
      <c r="Y2558" s="128"/>
      <c r="Z2558" s="128"/>
      <c r="AA2558" s="128"/>
      <c r="AB2558" s="128"/>
      <c r="AC2558" s="128"/>
      <c r="AD2558" s="128"/>
      <c r="AE2558" s="128"/>
      <c r="AF2558" s="128"/>
      <c r="AG2558" s="128"/>
      <c r="AH2558" s="128"/>
      <c r="AI2558" s="128"/>
      <c r="AJ2558" s="128"/>
      <c r="AK2558" s="128"/>
      <c r="AL2558" s="128"/>
      <c r="AM2558" s="128"/>
      <c r="AN2558" s="128"/>
      <c r="AO2558" s="128"/>
      <c r="AP2558" s="128"/>
      <c r="AQ2558" s="128"/>
      <c r="AR2558" s="128"/>
      <c r="AS2558" s="128"/>
      <c r="AT2558" s="128"/>
      <c r="AU2558" s="128"/>
      <c r="AV2558" s="128"/>
      <c r="AW2558" s="128"/>
      <c r="AX2558" s="128"/>
      <c r="AY2558" s="128"/>
      <c r="AZ2558" s="128"/>
      <c r="BA2558" s="128"/>
      <c r="BB2558" s="128"/>
      <c r="BC2558" s="128"/>
      <c r="BD2558" s="128"/>
      <c r="BE2558" s="128"/>
      <c r="BF2558" s="128"/>
      <c r="BG2558" s="128"/>
      <c r="BH2558" s="128"/>
      <c r="BI2558" s="128"/>
      <c r="BJ2558" s="128"/>
      <c r="BK2558" s="128"/>
      <c r="BL2558" s="128"/>
      <c r="BM2558" s="128"/>
      <c r="BN2558" s="128"/>
      <c r="BO2558" s="128"/>
      <c r="BP2558" s="128"/>
      <c r="BQ2558" s="128"/>
      <c r="BR2558" s="128"/>
      <c r="BS2558" s="128"/>
      <c r="BT2558" s="128"/>
      <c r="BU2558" s="128"/>
      <c r="BV2558" s="128"/>
      <c r="BW2558" s="128"/>
      <c r="BX2558" s="128"/>
      <c r="BY2558" s="128"/>
      <c r="BZ2558" s="128"/>
      <c r="CA2558" s="128"/>
      <c r="CB2558" s="128"/>
      <c r="CC2558" s="128"/>
      <c r="CD2558" s="128"/>
      <c r="CE2558" s="128"/>
      <c r="CF2558" s="128"/>
      <c r="CG2558" s="128"/>
      <c r="CH2558" s="128"/>
      <c r="CI2558" s="128"/>
      <c r="CJ2558" s="128"/>
      <c r="CK2558" s="128"/>
      <c r="CL2558" s="128"/>
      <c r="CM2558" s="128"/>
      <c r="CN2558" s="128"/>
      <c r="CO2558" s="128"/>
      <c r="CP2558" s="128"/>
      <c r="CQ2558" s="128"/>
      <c r="CR2558" s="128"/>
      <c r="CS2558" s="128"/>
      <c r="CT2558" s="128"/>
      <c r="CU2558" s="128"/>
      <c r="CV2558" s="128"/>
      <c r="CW2558" s="128"/>
      <c r="CX2558" s="128"/>
      <c r="CY2558" s="128"/>
      <c r="CZ2558" s="128"/>
      <c r="DA2558" s="128"/>
      <c r="DB2558" s="128"/>
      <c r="DC2558" s="128"/>
      <c r="DD2558" s="128"/>
      <c r="DE2558" s="128"/>
      <c r="DF2558" s="128"/>
      <c r="DG2558" s="128"/>
      <c r="DH2558" s="128"/>
      <c r="DI2558" s="128"/>
      <c r="DJ2558" s="128"/>
      <c r="DK2558" s="128"/>
      <c r="DL2558" s="128"/>
      <c r="DM2558" s="128"/>
      <c r="DN2558" s="128"/>
      <c r="DO2558" s="128"/>
      <c r="DP2558" s="128"/>
      <c r="DQ2558" s="128"/>
      <c r="DR2558" s="128"/>
      <c r="DS2558" s="128"/>
      <c r="DT2558" s="128"/>
      <c r="DU2558" s="128"/>
      <c r="DV2558" s="128"/>
      <c r="DW2558" s="128"/>
      <c r="DX2558" s="128"/>
      <c r="DY2558" s="128"/>
      <c r="DZ2558" s="128"/>
      <c r="EA2558" s="128"/>
      <c r="EB2558" s="128"/>
      <c r="EC2558" s="128"/>
      <c r="ED2558" s="128"/>
      <c r="EE2558" s="128"/>
      <c r="EF2558" s="128"/>
      <c r="EG2558" s="128"/>
      <c r="EH2558" s="128"/>
      <c r="EI2558" s="128"/>
      <c r="EJ2558" s="128"/>
      <c r="EK2558" s="128"/>
      <c r="EL2558" s="128"/>
      <c r="EM2558" s="128"/>
      <c r="EN2558" s="128"/>
      <c r="EO2558" s="128"/>
      <c r="EP2558" s="128"/>
      <c r="EQ2558" s="128"/>
      <c r="ER2558" s="128"/>
      <c r="ES2558" s="128"/>
      <c r="ET2558" s="128"/>
      <c r="EU2558" s="128"/>
      <c r="EV2558" s="128"/>
      <c r="EW2558" s="128"/>
      <c r="EX2558" s="128"/>
      <c r="EY2558" s="128"/>
      <c r="EZ2558" s="128"/>
      <c r="FA2558" s="128"/>
      <c r="FB2558" s="128"/>
      <c r="FC2558" s="128"/>
      <c r="FD2558" s="128"/>
      <c r="FE2558" s="128"/>
      <c r="FF2558" s="128"/>
      <c r="FG2558" s="128"/>
      <c r="FH2558" s="128"/>
      <c r="FI2558" s="128"/>
      <c r="FJ2558" s="128"/>
      <c r="FK2558" s="128"/>
      <c r="FL2558" s="128"/>
      <c r="FM2558" s="128"/>
      <c r="FN2558" s="128"/>
      <c r="FO2558" s="128"/>
      <c r="FP2558" s="128"/>
      <c r="FQ2558" s="128"/>
      <c r="FR2558" s="128"/>
      <c r="FS2558" s="128"/>
      <c r="FT2558" s="128"/>
      <c r="FU2558" s="128"/>
      <c r="FV2558" s="128"/>
      <c r="FW2558" s="128"/>
      <c r="FX2558" s="128"/>
      <c r="FY2558" s="128"/>
      <c r="FZ2558" s="128"/>
      <c r="GA2558" s="128"/>
      <c r="GB2558" s="128"/>
      <c r="GC2558" s="128"/>
      <c r="GD2558" s="128"/>
      <c r="GE2558" s="128"/>
      <c r="GF2558" s="128"/>
      <c r="GG2558" s="128"/>
      <c r="GH2558" s="128"/>
      <c r="GI2558" s="128"/>
      <c r="GJ2558" s="128"/>
      <c r="GK2558" s="128"/>
      <c r="GL2558" s="128"/>
      <c r="GM2558" s="128"/>
      <c r="GN2558" s="128"/>
      <c r="GO2558" s="128"/>
      <c r="GP2558" s="128"/>
      <c r="GQ2558" s="128"/>
      <c r="GR2558" s="128"/>
      <c r="GS2558" s="128"/>
      <c r="GT2558" s="128"/>
      <c r="GU2558" s="128"/>
      <c r="GV2558" s="128"/>
      <c r="GW2558" s="128"/>
      <c r="GX2558" s="128"/>
      <c r="GY2558" s="128"/>
      <c r="GZ2558" s="128"/>
      <c r="HA2558" s="128"/>
      <c r="HB2558" s="128"/>
      <c r="HC2558" s="128"/>
      <c r="HD2558" s="128"/>
      <c r="HE2558" s="128"/>
      <c r="HF2558" s="128"/>
      <c r="HG2558" s="128"/>
      <c r="HH2558" s="128"/>
      <c r="HI2558" s="128"/>
      <c r="HJ2558" s="128"/>
      <c r="HK2558" s="128"/>
      <c r="HL2558" s="128"/>
      <c r="HM2558" s="128"/>
      <c r="HN2558" s="128"/>
      <c r="HO2558" s="128"/>
      <c r="HP2558" s="128"/>
      <c r="HQ2558" s="128"/>
      <c r="HR2558" s="128"/>
      <c r="HS2558" s="128"/>
      <c r="HT2558" s="128"/>
      <c r="HU2558" s="128"/>
      <c r="HV2558" s="128"/>
      <c r="HW2558" s="128"/>
      <c r="HX2558" s="128"/>
      <c r="HY2558" s="128"/>
      <c r="HZ2558" s="128"/>
      <c r="IA2558" s="128"/>
      <c r="IB2558" s="128"/>
      <c r="IC2558" s="128"/>
      <c r="ID2558" s="128"/>
      <c r="IE2558" s="128"/>
      <c r="IF2558" s="128"/>
      <c r="IG2558" s="128"/>
      <c r="IH2558" s="128"/>
      <c r="II2558" s="128"/>
      <c r="IJ2558" s="128"/>
    </row>
    <row r="2559" spans="2:244" ht="12.75" customHeight="1">
      <c r="B2559" s="128"/>
      <c r="C2559" s="224"/>
      <c r="D2559" s="225"/>
      <c r="E2559" s="8"/>
      <c r="F2559" s="128"/>
      <c r="G2559" s="128"/>
      <c r="H2559" s="128"/>
      <c r="I2559" s="160"/>
      <c r="J2559" s="173"/>
      <c r="K2559" s="173"/>
      <c r="L2559" s="173"/>
      <c r="O2559" s="173"/>
      <c r="P2559" s="170"/>
      <c r="Q2559" s="128"/>
      <c r="R2559" s="128"/>
      <c r="S2559" s="180"/>
      <c r="T2559" s="173"/>
      <c r="U2559" s="171"/>
      <c r="V2559" s="173"/>
      <c r="W2559" s="173"/>
      <c r="X2559" s="128"/>
      <c r="Y2559" s="128"/>
      <c r="Z2559" s="128"/>
      <c r="AA2559" s="128"/>
      <c r="AB2559" s="128"/>
      <c r="AC2559" s="128"/>
      <c r="AD2559" s="128"/>
      <c r="AE2559" s="128"/>
      <c r="AF2559" s="128"/>
      <c r="AG2559" s="128"/>
      <c r="AH2559" s="128"/>
      <c r="AI2559" s="128"/>
      <c r="AJ2559" s="128"/>
      <c r="AK2559" s="128"/>
      <c r="AL2559" s="128"/>
      <c r="AM2559" s="128"/>
      <c r="AN2559" s="128"/>
      <c r="AO2559" s="128"/>
      <c r="AP2559" s="128"/>
      <c r="AQ2559" s="128"/>
      <c r="AR2559" s="128"/>
      <c r="AS2559" s="128"/>
      <c r="AT2559" s="128"/>
      <c r="AU2559" s="128"/>
      <c r="AV2559" s="128"/>
      <c r="AW2559" s="128"/>
      <c r="AX2559" s="128"/>
      <c r="AY2559" s="128"/>
      <c r="AZ2559" s="128"/>
      <c r="BA2559" s="128"/>
      <c r="BB2559" s="128"/>
      <c r="BC2559" s="128"/>
      <c r="BD2559" s="128"/>
      <c r="BE2559" s="128"/>
      <c r="BF2559" s="128"/>
      <c r="BG2559" s="128"/>
      <c r="BH2559" s="128"/>
      <c r="BI2559" s="128"/>
      <c r="BJ2559" s="128"/>
      <c r="BK2559" s="128"/>
      <c r="BL2559" s="128"/>
      <c r="BM2559" s="128"/>
      <c r="BN2559" s="128"/>
      <c r="BO2559" s="128"/>
      <c r="BP2559" s="128"/>
      <c r="BQ2559" s="128"/>
      <c r="BR2559" s="128"/>
      <c r="BS2559" s="128"/>
      <c r="BT2559" s="128"/>
      <c r="BU2559" s="128"/>
      <c r="BV2559" s="128"/>
      <c r="BW2559" s="128"/>
      <c r="BX2559" s="128"/>
      <c r="BY2559" s="128"/>
      <c r="BZ2559" s="128"/>
      <c r="CA2559" s="128"/>
      <c r="CB2559" s="128"/>
      <c r="CC2559" s="128"/>
      <c r="CD2559" s="128"/>
      <c r="CE2559" s="128"/>
      <c r="CF2559" s="128"/>
      <c r="CG2559" s="128"/>
      <c r="CH2559" s="128"/>
      <c r="CI2559" s="128"/>
      <c r="CJ2559" s="128"/>
      <c r="CK2559" s="128"/>
      <c r="CL2559" s="128"/>
      <c r="CM2559" s="128"/>
      <c r="CN2559" s="128"/>
      <c r="CO2559" s="128"/>
      <c r="CP2559" s="128"/>
      <c r="CQ2559" s="128"/>
      <c r="CR2559" s="128"/>
      <c r="CS2559" s="128"/>
      <c r="CT2559" s="128"/>
      <c r="CU2559" s="128"/>
      <c r="CV2559" s="128"/>
      <c r="CW2559" s="128"/>
      <c r="CX2559" s="128"/>
      <c r="CY2559" s="128"/>
      <c r="CZ2559" s="128"/>
      <c r="DA2559" s="128"/>
      <c r="DB2559" s="128"/>
      <c r="DC2559" s="128"/>
      <c r="DD2559" s="128"/>
      <c r="DE2559" s="128"/>
      <c r="DF2559" s="128"/>
      <c r="DG2559" s="128"/>
      <c r="DH2559" s="128"/>
      <c r="DI2559" s="128"/>
      <c r="DJ2559" s="128"/>
      <c r="DK2559" s="128"/>
      <c r="DL2559" s="128"/>
      <c r="DM2559" s="128"/>
      <c r="DN2559" s="128"/>
      <c r="DO2559" s="128"/>
      <c r="DP2559" s="128"/>
      <c r="DQ2559" s="128"/>
      <c r="DR2559" s="128"/>
      <c r="DS2559" s="128"/>
      <c r="DT2559" s="128"/>
      <c r="DU2559" s="128"/>
      <c r="DV2559" s="128"/>
      <c r="DW2559" s="128"/>
      <c r="DX2559" s="128"/>
      <c r="DY2559" s="128"/>
      <c r="DZ2559" s="128"/>
      <c r="EA2559" s="128"/>
      <c r="EB2559" s="128"/>
      <c r="EC2559" s="128"/>
      <c r="ED2559" s="128"/>
      <c r="EE2559" s="128"/>
      <c r="EF2559" s="128"/>
      <c r="EG2559" s="128"/>
      <c r="EH2559" s="128"/>
      <c r="EI2559" s="128"/>
      <c r="EJ2559" s="128"/>
      <c r="EK2559" s="128"/>
      <c r="EL2559" s="128"/>
      <c r="EM2559" s="128"/>
      <c r="EN2559" s="128"/>
      <c r="EO2559" s="128"/>
      <c r="EP2559" s="128"/>
      <c r="EQ2559" s="128"/>
      <c r="ER2559" s="128"/>
      <c r="ES2559" s="128"/>
      <c r="ET2559" s="128"/>
      <c r="EU2559" s="128"/>
      <c r="EV2559" s="128"/>
      <c r="EW2559" s="128"/>
      <c r="EX2559" s="128"/>
      <c r="EY2559" s="128"/>
      <c r="EZ2559" s="128"/>
      <c r="FA2559" s="128"/>
      <c r="FB2559" s="128"/>
      <c r="FC2559" s="128"/>
      <c r="FD2559" s="128"/>
      <c r="FE2559" s="128"/>
      <c r="FF2559" s="128"/>
      <c r="FG2559" s="128"/>
      <c r="FH2559" s="128"/>
      <c r="FI2559" s="128"/>
      <c r="FJ2559" s="128"/>
      <c r="FK2559" s="128"/>
      <c r="FL2559" s="128"/>
      <c r="FM2559" s="128"/>
      <c r="FN2559" s="128"/>
      <c r="FO2559" s="128"/>
      <c r="FP2559" s="128"/>
      <c r="FQ2559" s="128"/>
      <c r="FR2559" s="128"/>
      <c r="FS2559" s="128"/>
      <c r="FT2559" s="128"/>
      <c r="FU2559" s="128"/>
      <c r="FV2559" s="128"/>
      <c r="FW2559" s="128"/>
      <c r="FX2559" s="128"/>
      <c r="FY2559" s="128"/>
      <c r="FZ2559" s="128"/>
      <c r="GA2559" s="128"/>
      <c r="GB2559" s="128"/>
      <c r="GC2559" s="128"/>
      <c r="GD2559" s="128"/>
      <c r="GE2559" s="128"/>
      <c r="GF2559" s="128"/>
      <c r="GG2559" s="128"/>
      <c r="GH2559" s="128"/>
      <c r="GI2559" s="128"/>
      <c r="GJ2559" s="128"/>
      <c r="GK2559" s="128"/>
      <c r="GL2559" s="128"/>
      <c r="GM2559" s="128"/>
      <c r="GN2559" s="128"/>
      <c r="GO2559" s="128"/>
      <c r="GP2559" s="128"/>
      <c r="GQ2559" s="128"/>
      <c r="GR2559" s="128"/>
      <c r="GS2559" s="128"/>
      <c r="GT2559" s="128"/>
      <c r="GU2559" s="128"/>
      <c r="GV2559" s="128"/>
      <c r="GW2559" s="128"/>
      <c r="GX2559" s="128"/>
      <c r="GY2559" s="128"/>
      <c r="GZ2559" s="128"/>
      <c r="HA2559" s="128"/>
      <c r="HB2559" s="128"/>
      <c r="HC2559" s="128"/>
      <c r="HD2559" s="128"/>
      <c r="HE2559" s="128"/>
      <c r="HF2559" s="128"/>
      <c r="HG2559" s="128"/>
      <c r="HH2559" s="128"/>
      <c r="HI2559" s="128"/>
      <c r="HJ2559" s="128"/>
      <c r="HK2559" s="128"/>
      <c r="HL2559" s="128"/>
      <c r="HM2559" s="128"/>
      <c r="HN2559" s="128"/>
      <c r="HO2559" s="128"/>
      <c r="HP2559" s="128"/>
      <c r="HQ2559" s="128"/>
      <c r="HR2559" s="128"/>
      <c r="HS2559" s="128"/>
      <c r="HT2559" s="128"/>
      <c r="HU2559" s="128"/>
      <c r="HV2559" s="128"/>
      <c r="HW2559" s="128"/>
      <c r="HX2559" s="128"/>
      <c r="HY2559" s="128"/>
      <c r="HZ2559" s="128"/>
      <c r="IA2559" s="128"/>
      <c r="IB2559" s="128"/>
      <c r="IC2559" s="128"/>
      <c r="ID2559" s="128"/>
      <c r="IE2559" s="128"/>
      <c r="IF2559" s="128"/>
      <c r="IG2559" s="128"/>
      <c r="IH2559" s="128"/>
      <c r="II2559" s="128"/>
      <c r="IJ2559" s="128"/>
    </row>
    <row r="2560" spans="2:244" ht="12.75" customHeight="1">
      <c r="B2560" s="128"/>
      <c r="C2560" s="224"/>
      <c r="D2560" s="225"/>
      <c r="E2560" s="8"/>
      <c r="F2560" s="128"/>
      <c r="G2560" s="128"/>
      <c r="H2560" s="128"/>
      <c r="I2560" s="160"/>
      <c r="J2560" s="173"/>
      <c r="K2560" s="173"/>
      <c r="L2560" s="173"/>
      <c r="O2560" s="173"/>
      <c r="P2560" s="170"/>
      <c r="Q2560" s="128"/>
      <c r="R2560" s="128"/>
      <c r="S2560" s="180"/>
      <c r="T2560" s="173"/>
      <c r="U2560" s="171"/>
      <c r="V2560" s="173"/>
      <c r="W2560" s="173"/>
      <c r="X2560" s="128"/>
      <c r="Y2560" s="128"/>
      <c r="Z2560" s="128"/>
      <c r="AA2560" s="128"/>
      <c r="AB2560" s="128"/>
      <c r="AC2560" s="128"/>
      <c r="AD2560" s="128"/>
      <c r="AE2560" s="128"/>
      <c r="AF2560" s="128"/>
      <c r="AG2560" s="128"/>
      <c r="AH2560" s="128"/>
      <c r="AI2560" s="128"/>
      <c r="AJ2560" s="128"/>
      <c r="AK2560" s="128"/>
      <c r="AL2560" s="128"/>
      <c r="AM2560" s="128"/>
      <c r="AN2560" s="128"/>
      <c r="AO2560" s="128"/>
      <c r="AP2560" s="128"/>
      <c r="AQ2560" s="128"/>
      <c r="AR2560" s="128"/>
      <c r="AS2560" s="128"/>
      <c r="AT2560" s="128"/>
      <c r="AU2560" s="128"/>
      <c r="AV2560" s="128"/>
      <c r="AW2560" s="128"/>
      <c r="AX2560" s="128"/>
      <c r="AY2560" s="128"/>
      <c r="AZ2560" s="128"/>
      <c r="BA2560" s="128"/>
      <c r="BB2560" s="128"/>
      <c r="BC2560" s="128"/>
      <c r="BD2560" s="128"/>
      <c r="BE2560" s="128"/>
      <c r="BF2560" s="128"/>
      <c r="BG2560" s="128"/>
      <c r="BH2560" s="128"/>
      <c r="BI2560" s="128"/>
      <c r="BJ2560" s="128"/>
      <c r="BK2560" s="128"/>
      <c r="BL2560" s="128"/>
      <c r="BM2560" s="128"/>
      <c r="BN2560" s="128"/>
      <c r="BO2560" s="128"/>
      <c r="BP2560" s="128"/>
      <c r="BQ2560" s="128"/>
      <c r="BR2560" s="128"/>
      <c r="BS2560" s="128"/>
      <c r="BT2560" s="128"/>
      <c r="BU2560" s="128"/>
      <c r="BV2560" s="128"/>
      <c r="BW2560" s="128"/>
      <c r="BX2560" s="128"/>
      <c r="BY2560" s="128"/>
      <c r="BZ2560" s="128"/>
      <c r="CA2560" s="128"/>
      <c r="CB2560" s="128"/>
      <c r="CC2560" s="128"/>
      <c r="CD2560" s="128"/>
      <c r="CE2560" s="128"/>
      <c r="CF2560" s="128"/>
      <c r="CG2560" s="128"/>
      <c r="CH2560" s="128"/>
      <c r="CI2560" s="128"/>
      <c r="CJ2560" s="128"/>
      <c r="CK2560" s="128"/>
      <c r="CL2560" s="128"/>
      <c r="CM2560" s="128"/>
      <c r="CN2560" s="128"/>
      <c r="CO2560" s="128"/>
      <c r="CP2560" s="128"/>
      <c r="CQ2560" s="128"/>
      <c r="CR2560" s="128"/>
      <c r="CS2560" s="128"/>
      <c r="CT2560" s="128"/>
      <c r="CU2560" s="128"/>
      <c r="CV2560" s="128"/>
      <c r="CW2560" s="128"/>
      <c r="CX2560" s="128"/>
      <c r="CY2560" s="128"/>
      <c r="CZ2560" s="128"/>
      <c r="DA2560" s="128"/>
      <c r="DB2560" s="128"/>
      <c r="DC2560" s="128"/>
      <c r="DD2560" s="128"/>
      <c r="DE2560" s="128"/>
      <c r="DF2560" s="128"/>
      <c r="DG2560" s="128"/>
      <c r="DH2560" s="128"/>
      <c r="DI2560" s="128"/>
      <c r="DJ2560" s="128"/>
      <c r="DK2560" s="128"/>
      <c r="DL2560" s="128"/>
      <c r="DM2560" s="128"/>
      <c r="DN2560" s="128"/>
      <c r="DO2560" s="128"/>
      <c r="DP2560" s="128"/>
      <c r="DQ2560" s="128"/>
      <c r="DR2560" s="128"/>
      <c r="DS2560" s="128"/>
      <c r="DT2560" s="128"/>
      <c r="DU2560" s="128"/>
      <c r="DV2560" s="128"/>
      <c r="DW2560" s="128"/>
      <c r="DX2560" s="128"/>
      <c r="DY2560" s="128"/>
      <c r="DZ2560" s="128"/>
      <c r="EA2560" s="128"/>
      <c r="EB2560" s="128"/>
      <c r="EC2560" s="128"/>
      <c r="ED2560" s="128"/>
      <c r="EE2560" s="128"/>
      <c r="EF2560" s="128"/>
      <c r="EG2560" s="128"/>
      <c r="EH2560" s="128"/>
      <c r="EI2560" s="128"/>
      <c r="EJ2560" s="128"/>
      <c r="EK2560" s="128"/>
      <c r="EL2560" s="128"/>
      <c r="EM2560" s="128"/>
      <c r="EN2560" s="128"/>
      <c r="EO2560" s="128"/>
      <c r="EP2560" s="128"/>
      <c r="EQ2560" s="128"/>
      <c r="ER2560" s="128"/>
      <c r="ES2560" s="128"/>
      <c r="ET2560" s="128"/>
      <c r="EU2560" s="128"/>
      <c r="EV2560" s="128"/>
      <c r="EW2560" s="128"/>
      <c r="EX2560" s="128"/>
      <c r="EY2560" s="128"/>
      <c r="EZ2560" s="128"/>
      <c r="FA2560" s="128"/>
      <c r="FB2560" s="128"/>
      <c r="FC2560" s="128"/>
      <c r="FD2560" s="128"/>
      <c r="FE2560" s="128"/>
      <c r="FF2560" s="128"/>
      <c r="FG2560" s="128"/>
      <c r="FH2560" s="128"/>
      <c r="FI2560" s="128"/>
      <c r="FJ2560" s="128"/>
      <c r="FK2560" s="128"/>
      <c r="FL2560" s="128"/>
      <c r="FM2560" s="128"/>
      <c r="FN2560" s="128"/>
      <c r="FO2560" s="128"/>
      <c r="FP2560" s="128"/>
      <c r="FQ2560" s="128"/>
      <c r="FR2560" s="128"/>
      <c r="FS2560" s="128"/>
      <c r="FT2560" s="128"/>
      <c r="FU2560" s="128"/>
      <c r="FV2560" s="128"/>
      <c r="FW2560" s="128"/>
      <c r="FX2560" s="128"/>
      <c r="FY2560" s="128"/>
      <c r="FZ2560" s="128"/>
      <c r="GA2560" s="128"/>
      <c r="GB2560" s="128"/>
      <c r="GC2560" s="128"/>
      <c r="GD2560" s="128"/>
      <c r="GE2560" s="128"/>
      <c r="GF2560" s="128"/>
      <c r="GG2560" s="128"/>
      <c r="GH2560" s="128"/>
      <c r="GI2560" s="128"/>
      <c r="GJ2560" s="128"/>
      <c r="GK2560" s="128"/>
      <c r="GL2560" s="128"/>
      <c r="GM2560" s="128"/>
      <c r="GN2560" s="128"/>
      <c r="GO2560" s="128"/>
      <c r="GP2560" s="128"/>
      <c r="GQ2560" s="128"/>
      <c r="GR2560" s="128"/>
      <c r="GS2560" s="128"/>
      <c r="GT2560" s="128"/>
      <c r="GU2560" s="128"/>
      <c r="GV2560" s="128"/>
      <c r="GW2560" s="128"/>
      <c r="GX2560" s="128"/>
      <c r="GY2560" s="128"/>
      <c r="GZ2560" s="128"/>
      <c r="HA2560" s="128"/>
      <c r="HB2560" s="128"/>
      <c r="HC2560" s="128"/>
      <c r="HD2560" s="128"/>
      <c r="HE2560" s="128"/>
      <c r="HF2560" s="128"/>
      <c r="HG2560" s="128"/>
      <c r="HH2560" s="128"/>
      <c r="HI2560" s="128"/>
      <c r="HJ2560" s="128"/>
      <c r="HK2560" s="128"/>
      <c r="HL2560" s="128"/>
      <c r="HM2560" s="128"/>
      <c r="HN2560" s="128"/>
      <c r="HO2560" s="128"/>
      <c r="HP2560" s="128"/>
      <c r="HQ2560" s="128"/>
      <c r="HR2560" s="128"/>
      <c r="HS2560" s="128"/>
      <c r="HT2560" s="128"/>
      <c r="HU2560" s="128"/>
      <c r="HV2560" s="128"/>
      <c r="HW2560" s="128"/>
      <c r="HX2560" s="128"/>
      <c r="HY2560" s="128"/>
      <c r="HZ2560" s="128"/>
      <c r="IA2560" s="128"/>
      <c r="IB2560" s="128"/>
      <c r="IC2560" s="128"/>
      <c r="ID2560" s="128"/>
      <c r="IE2560" s="128"/>
      <c r="IF2560" s="128"/>
      <c r="IG2560" s="128"/>
      <c r="IH2560" s="128"/>
      <c r="II2560" s="128"/>
      <c r="IJ2560" s="128"/>
    </row>
    <row r="2561" spans="2:244" ht="12.75" customHeight="1">
      <c r="B2561" s="128"/>
      <c r="C2561" s="224"/>
      <c r="D2561" s="225"/>
      <c r="E2561" s="8"/>
      <c r="F2561" s="128"/>
      <c r="G2561" s="128"/>
      <c r="H2561" s="128"/>
      <c r="I2561" s="160"/>
      <c r="J2561" s="173"/>
      <c r="K2561" s="173"/>
      <c r="L2561" s="173"/>
      <c r="O2561" s="173"/>
      <c r="P2561" s="170"/>
      <c r="Q2561" s="128"/>
      <c r="R2561" s="128"/>
      <c r="S2561" s="180"/>
      <c r="T2561" s="173"/>
      <c r="U2561" s="171"/>
      <c r="V2561" s="173"/>
      <c r="W2561" s="173"/>
      <c r="X2561" s="128"/>
      <c r="Y2561" s="128"/>
      <c r="Z2561" s="128"/>
      <c r="AA2561" s="128"/>
      <c r="AB2561" s="128"/>
      <c r="AC2561" s="128"/>
      <c r="AD2561" s="128"/>
      <c r="AE2561" s="128"/>
      <c r="AF2561" s="128"/>
      <c r="AG2561" s="128"/>
      <c r="AH2561" s="128"/>
      <c r="AI2561" s="128"/>
      <c r="AJ2561" s="128"/>
      <c r="AK2561" s="128"/>
      <c r="AL2561" s="128"/>
      <c r="AM2561" s="128"/>
      <c r="AN2561" s="128"/>
      <c r="AO2561" s="128"/>
      <c r="AP2561" s="128"/>
      <c r="AQ2561" s="128"/>
      <c r="AR2561" s="128"/>
      <c r="AS2561" s="128"/>
      <c r="AT2561" s="128"/>
      <c r="AU2561" s="128"/>
      <c r="AV2561" s="128"/>
      <c r="AW2561" s="128"/>
      <c r="AX2561" s="128"/>
      <c r="AY2561" s="128"/>
      <c r="AZ2561" s="128"/>
      <c r="BA2561" s="128"/>
      <c r="BB2561" s="128"/>
      <c r="BC2561" s="128"/>
      <c r="BD2561" s="128"/>
      <c r="BE2561" s="128"/>
      <c r="BF2561" s="128"/>
      <c r="BG2561" s="128"/>
      <c r="BH2561" s="128"/>
      <c r="BI2561" s="128"/>
      <c r="BJ2561" s="128"/>
      <c r="BK2561" s="128"/>
      <c r="BL2561" s="128"/>
      <c r="BM2561" s="128"/>
      <c r="BN2561" s="128"/>
      <c r="BO2561" s="128"/>
      <c r="BP2561" s="128"/>
      <c r="BQ2561" s="128"/>
      <c r="BR2561" s="128"/>
      <c r="BS2561" s="128"/>
      <c r="BT2561" s="128"/>
      <c r="BU2561" s="128"/>
      <c r="BV2561" s="128"/>
      <c r="BW2561" s="128"/>
      <c r="BX2561" s="128"/>
      <c r="BY2561" s="128"/>
      <c r="BZ2561" s="128"/>
      <c r="CA2561" s="128"/>
      <c r="CB2561" s="128"/>
      <c r="CC2561" s="128"/>
      <c r="CD2561" s="128"/>
      <c r="CE2561" s="128"/>
      <c r="CF2561" s="128"/>
      <c r="CG2561" s="128"/>
      <c r="CH2561" s="128"/>
      <c r="CI2561" s="128"/>
      <c r="CJ2561" s="128"/>
      <c r="CK2561" s="128"/>
      <c r="CL2561" s="128"/>
      <c r="CM2561" s="128"/>
      <c r="CN2561" s="128"/>
      <c r="CO2561" s="128"/>
      <c r="CP2561" s="128"/>
      <c r="CQ2561" s="128"/>
      <c r="CR2561" s="128"/>
      <c r="CS2561" s="128"/>
      <c r="CT2561" s="128"/>
      <c r="CU2561" s="128"/>
      <c r="CV2561" s="128"/>
      <c r="CW2561" s="128"/>
      <c r="CX2561" s="128"/>
      <c r="CY2561" s="128"/>
      <c r="CZ2561" s="128"/>
      <c r="DA2561" s="128"/>
      <c r="DB2561" s="128"/>
      <c r="DC2561" s="128"/>
      <c r="DD2561" s="128"/>
      <c r="DE2561" s="128"/>
      <c r="DF2561" s="128"/>
      <c r="DG2561" s="128"/>
      <c r="DH2561" s="128"/>
      <c r="DI2561" s="128"/>
      <c r="DJ2561" s="128"/>
      <c r="DK2561" s="128"/>
      <c r="DL2561" s="128"/>
      <c r="DM2561" s="128"/>
      <c r="DN2561" s="128"/>
      <c r="DO2561" s="128"/>
      <c r="DP2561" s="128"/>
      <c r="DQ2561" s="128"/>
      <c r="DR2561" s="128"/>
      <c r="DS2561" s="128"/>
      <c r="DT2561" s="128"/>
      <c r="DU2561" s="128"/>
      <c r="DV2561" s="128"/>
      <c r="DW2561" s="128"/>
      <c r="DX2561" s="128"/>
      <c r="DY2561" s="128"/>
      <c r="DZ2561" s="128"/>
      <c r="EA2561" s="128"/>
      <c r="EB2561" s="128"/>
      <c r="EC2561" s="128"/>
      <c r="ED2561" s="128"/>
      <c r="EE2561" s="128"/>
      <c r="EF2561" s="128"/>
      <c r="EG2561" s="128"/>
      <c r="EH2561" s="128"/>
      <c r="EI2561" s="128"/>
      <c r="EJ2561" s="128"/>
      <c r="EK2561" s="128"/>
      <c r="EL2561" s="128"/>
      <c r="EM2561" s="128"/>
      <c r="EN2561" s="128"/>
      <c r="EO2561" s="128"/>
      <c r="EP2561" s="128"/>
      <c r="EQ2561" s="128"/>
      <c r="ER2561" s="128"/>
      <c r="ES2561" s="128"/>
      <c r="ET2561" s="128"/>
      <c r="EU2561" s="128"/>
      <c r="EV2561" s="128"/>
      <c r="EW2561" s="128"/>
      <c r="EX2561" s="128"/>
      <c r="EY2561" s="128"/>
      <c r="EZ2561" s="128"/>
      <c r="FA2561" s="128"/>
      <c r="FB2561" s="128"/>
      <c r="FC2561" s="128"/>
      <c r="FD2561" s="128"/>
      <c r="FE2561" s="128"/>
      <c r="FF2561" s="128"/>
      <c r="FG2561" s="128"/>
      <c r="FH2561" s="128"/>
      <c r="FI2561" s="128"/>
      <c r="FJ2561" s="128"/>
      <c r="FK2561" s="128"/>
      <c r="FL2561" s="128"/>
      <c r="FM2561" s="128"/>
      <c r="FN2561" s="128"/>
      <c r="FO2561" s="128"/>
      <c r="FP2561" s="128"/>
      <c r="FQ2561" s="128"/>
      <c r="FR2561" s="128"/>
      <c r="FS2561" s="128"/>
      <c r="FT2561" s="128"/>
      <c r="FU2561" s="128"/>
      <c r="FV2561" s="128"/>
      <c r="FW2561" s="128"/>
      <c r="FX2561" s="128"/>
      <c r="FY2561" s="128"/>
      <c r="FZ2561" s="128"/>
      <c r="GA2561" s="128"/>
      <c r="GB2561" s="128"/>
      <c r="GC2561" s="128"/>
      <c r="GD2561" s="128"/>
      <c r="GE2561" s="128"/>
      <c r="GF2561" s="128"/>
      <c r="GG2561" s="128"/>
      <c r="GH2561" s="128"/>
      <c r="GI2561" s="128"/>
      <c r="GJ2561" s="128"/>
      <c r="GK2561" s="128"/>
      <c r="GL2561" s="128"/>
      <c r="GM2561" s="128"/>
      <c r="GN2561" s="128"/>
      <c r="GO2561" s="128"/>
      <c r="GP2561" s="128"/>
      <c r="GQ2561" s="128"/>
      <c r="GR2561" s="128"/>
      <c r="GS2561" s="128"/>
      <c r="GT2561" s="128"/>
      <c r="GU2561" s="128"/>
      <c r="GV2561" s="128"/>
      <c r="GW2561" s="128"/>
      <c r="GX2561" s="128"/>
      <c r="GY2561" s="128"/>
      <c r="GZ2561" s="128"/>
      <c r="HA2561" s="128"/>
      <c r="HB2561" s="128"/>
      <c r="HC2561" s="128"/>
      <c r="HD2561" s="128"/>
      <c r="HE2561" s="128"/>
      <c r="HF2561" s="128"/>
      <c r="HG2561" s="128"/>
      <c r="HH2561" s="128"/>
      <c r="HI2561" s="128"/>
      <c r="HJ2561" s="128"/>
      <c r="HK2561" s="128"/>
      <c r="HL2561" s="128"/>
      <c r="HM2561" s="128"/>
      <c r="HN2561" s="128"/>
      <c r="HO2561" s="128"/>
      <c r="HP2561" s="128"/>
      <c r="HQ2561" s="128"/>
      <c r="HR2561" s="128"/>
      <c r="HS2561" s="128"/>
      <c r="HT2561" s="128"/>
      <c r="HU2561" s="128"/>
      <c r="HV2561" s="128"/>
      <c r="HW2561" s="128"/>
      <c r="HX2561" s="128"/>
      <c r="HY2561" s="128"/>
      <c r="HZ2561" s="128"/>
      <c r="IA2561" s="128"/>
      <c r="IB2561" s="128"/>
      <c r="IC2561" s="128"/>
      <c r="ID2561" s="128"/>
      <c r="IE2561" s="128"/>
      <c r="IF2561" s="128"/>
      <c r="IG2561" s="128"/>
      <c r="IH2561" s="128"/>
      <c r="II2561" s="128"/>
      <c r="IJ2561" s="128"/>
    </row>
    <row r="2562" spans="2:244" ht="12.75" customHeight="1">
      <c r="B2562" s="128"/>
      <c r="C2562" s="224"/>
      <c r="D2562" s="225"/>
      <c r="E2562" s="8"/>
      <c r="F2562" s="128"/>
      <c r="G2562" s="128"/>
      <c r="H2562" s="128"/>
      <c r="I2562" s="160"/>
      <c r="J2562" s="173"/>
      <c r="K2562" s="173"/>
      <c r="L2562" s="173"/>
      <c r="O2562" s="173"/>
      <c r="P2562" s="170"/>
      <c r="Q2562" s="128"/>
      <c r="R2562" s="128"/>
      <c r="S2562" s="180"/>
      <c r="T2562" s="173"/>
      <c r="U2562" s="171"/>
      <c r="V2562" s="173"/>
      <c r="W2562" s="173"/>
      <c r="X2562" s="128"/>
      <c r="Y2562" s="128"/>
      <c r="Z2562" s="128"/>
      <c r="AA2562" s="128"/>
      <c r="AB2562" s="128"/>
      <c r="AC2562" s="128"/>
      <c r="AD2562" s="128"/>
      <c r="AE2562" s="128"/>
      <c r="AF2562" s="128"/>
      <c r="AG2562" s="128"/>
      <c r="AH2562" s="128"/>
      <c r="AI2562" s="128"/>
      <c r="AJ2562" s="128"/>
      <c r="AK2562" s="128"/>
      <c r="AL2562" s="128"/>
      <c r="AM2562" s="128"/>
      <c r="AN2562" s="128"/>
      <c r="AO2562" s="128"/>
      <c r="AP2562" s="128"/>
      <c r="AQ2562" s="128"/>
      <c r="AR2562" s="128"/>
      <c r="AS2562" s="128"/>
      <c r="AT2562" s="128"/>
      <c r="AU2562" s="128"/>
      <c r="AV2562" s="128"/>
      <c r="AW2562" s="128"/>
      <c r="AX2562" s="128"/>
      <c r="AY2562" s="128"/>
      <c r="AZ2562" s="128"/>
      <c r="BA2562" s="128"/>
      <c r="BB2562" s="128"/>
      <c r="BC2562" s="128"/>
      <c r="BD2562" s="128"/>
      <c r="BE2562" s="128"/>
      <c r="BF2562" s="128"/>
      <c r="BG2562" s="128"/>
      <c r="BH2562" s="128"/>
      <c r="BI2562" s="128"/>
      <c r="BJ2562" s="128"/>
      <c r="BK2562" s="128"/>
      <c r="BL2562" s="128"/>
      <c r="BM2562" s="128"/>
      <c r="BN2562" s="128"/>
      <c r="BO2562" s="128"/>
      <c r="BP2562" s="128"/>
      <c r="BQ2562" s="128"/>
      <c r="BR2562" s="128"/>
      <c r="BS2562" s="128"/>
      <c r="BT2562" s="128"/>
      <c r="BU2562" s="128"/>
      <c r="BV2562" s="128"/>
      <c r="BW2562" s="128"/>
      <c r="BX2562" s="128"/>
      <c r="BY2562" s="128"/>
      <c r="BZ2562" s="128"/>
      <c r="CA2562" s="128"/>
      <c r="CB2562" s="128"/>
      <c r="CC2562" s="128"/>
      <c r="CD2562" s="128"/>
      <c r="CE2562" s="128"/>
      <c r="CF2562" s="128"/>
      <c r="CG2562" s="128"/>
      <c r="CH2562" s="128"/>
      <c r="CI2562" s="128"/>
      <c r="CJ2562" s="128"/>
      <c r="CK2562" s="128"/>
      <c r="CL2562" s="128"/>
      <c r="CM2562" s="128"/>
      <c r="CN2562" s="128"/>
      <c r="CO2562" s="128"/>
      <c r="CP2562" s="128"/>
      <c r="CQ2562" s="128"/>
      <c r="CR2562" s="128"/>
      <c r="CS2562" s="128"/>
      <c r="CT2562" s="128"/>
      <c r="CU2562" s="128"/>
      <c r="CV2562" s="128"/>
      <c r="CW2562" s="128"/>
      <c r="CX2562" s="128"/>
      <c r="CY2562" s="128"/>
      <c r="CZ2562" s="128"/>
      <c r="DA2562" s="128"/>
      <c r="DB2562" s="128"/>
      <c r="DC2562" s="128"/>
      <c r="DD2562" s="128"/>
      <c r="DE2562" s="128"/>
      <c r="DF2562" s="128"/>
      <c r="DG2562" s="128"/>
      <c r="DH2562" s="128"/>
      <c r="DI2562" s="128"/>
      <c r="DJ2562" s="128"/>
      <c r="DK2562" s="128"/>
      <c r="DL2562" s="128"/>
      <c r="DM2562" s="128"/>
      <c r="DN2562" s="128"/>
      <c r="DO2562" s="128"/>
      <c r="DP2562" s="128"/>
      <c r="DQ2562" s="128"/>
      <c r="DR2562" s="128"/>
      <c r="DS2562" s="128"/>
      <c r="DT2562" s="128"/>
      <c r="DU2562" s="128"/>
      <c r="DV2562" s="128"/>
      <c r="DW2562" s="128"/>
      <c r="DX2562" s="128"/>
      <c r="DY2562" s="128"/>
      <c r="DZ2562" s="128"/>
      <c r="EA2562" s="128"/>
      <c r="EB2562" s="128"/>
      <c r="EC2562" s="128"/>
      <c r="ED2562" s="128"/>
      <c r="EE2562" s="128"/>
      <c r="EF2562" s="128"/>
      <c r="EG2562" s="128"/>
      <c r="EH2562" s="128"/>
      <c r="EI2562" s="128"/>
      <c r="EJ2562" s="128"/>
      <c r="EK2562" s="128"/>
      <c r="EL2562" s="128"/>
      <c r="EM2562" s="128"/>
      <c r="EN2562" s="128"/>
      <c r="EO2562" s="128"/>
      <c r="EP2562" s="128"/>
      <c r="EQ2562" s="128"/>
      <c r="ER2562" s="128"/>
      <c r="ES2562" s="128"/>
      <c r="ET2562" s="128"/>
      <c r="EU2562" s="128"/>
      <c r="EV2562" s="128"/>
      <c r="EW2562" s="128"/>
      <c r="EX2562" s="128"/>
      <c r="EY2562" s="128"/>
      <c r="EZ2562" s="128"/>
      <c r="FA2562" s="128"/>
      <c r="FB2562" s="128"/>
      <c r="FC2562" s="128"/>
      <c r="FD2562" s="128"/>
      <c r="FE2562" s="128"/>
      <c r="FF2562" s="128"/>
      <c r="FG2562" s="128"/>
      <c r="FH2562" s="128"/>
      <c r="FI2562" s="128"/>
      <c r="FJ2562" s="128"/>
      <c r="FK2562" s="128"/>
      <c r="FL2562" s="128"/>
      <c r="FM2562" s="128"/>
      <c r="FN2562" s="128"/>
      <c r="FO2562" s="128"/>
      <c r="FP2562" s="128"/>
      <c r="FQ2562" s="128"/>
      <c r="FR2562" s="128"/>
      <c r="FS2562" s="128"/>
      <c r="FT2562" s="128"/>
      <c r="FU2562" s="128"/>
      <c r="FV2562" s="128"/>
      <c r="FW2562" s="128"/>
      <c r="FX2562" s="128"/>
      <c r="FY2562" s="128"/>
      <c r="FZ2562" s="128"/>
      <c r="GA2562" s="128"/>
      <c r="GB2562" s="128"/>
      <c r="GC2562" s="128"/>
      <c r="GD2562" s="128"/>
      <c r="GE2562" s="128"/>
      <c r="GF2562" s="128"/>
      <c r="GG2562" s="128"/>
      <c r="GH2562" s="128"/>
      <c r="GI2562" s="128"/>
      <c r="GJ2562" s="128"/>
      <c r="GK2562" s="128"/>
      <c r="GL2562" s="128"/>
      <c r="GM2562" s="128"/>
      <c r="GN2562" s="128"/>
      <c r="GO2562" s="128"/>
      <c r="GP2562" s="128"/>
      <c r="GQ2562" s="128"/>
      <c r="GR2562" s="128"/>
      <c r="GS2562" s="128"/>
      <c r="GT2562" s="128"/>
      <c r="GU2562" s="128"/>
      <c r="GV2562" s="128"/>
      <c r="GW2562" s="128"/>
      <c r="GX2562" s="128"/>
      <c r="GY2562" s="128"/>
      <c r="GZ2562" s="128"/>
      <c r="HA2562" s="128"/>
      <c r="HB2562" s="128"/>
      <c r="HC2562" s="128"/>
      <c r="HD2562" s="128"/>
      <c r="HE2562" s="128"/>
      <c r="HF2562" s="128"/>
      <c r="HG2562" s="128"/>
      <c r="HH2562" s="128"/>
      <c r="HI2562" s="128"/>
      <c r="HJ2562" s="128"/>
      <c r="HK2562" s="128"/>
      <c r="HL2562" s="128"/>
      <c r="HM2562" s="128"/>
      <c r="HN2562" s="128"/>
      <c r="HO2562" s="128"/>
      <c r="HP2562" s="128"/>
      <c r="HQ2562" s="128"/>
      <c r="HR2562" s="128"/>
      <c r="HS2562" s="128"/>
      <c r="HT2562" s="128"/>
      <c r="HU2562" s="128"/>
      <c r="HV2562" s="128"/>
      <c r="HW2562" s="128"/>
      <c r="HX2562" s="128"/>
      <c r="HY2562" s="128"/>
      <c r="HZ2562" s="128"/>
      <c r="IA2562" s="128"/>
      <c r="IB2562" s="128"/>
      <c r="IC2562" s="128"/>
      <c r="ID2562" s="128"/>
      <c r="IE2562" s="128"/>
      <c r="IF2562" s="128"/>
      <c r="IG2562" s="128"/>
      <c r="IH2562" s="128"/>
      <c r="II2562" s="128"/>
      <c r="IJ2562" s="128"/>
    </row>
    <row r="2563" spans="2:244" ht="12.75" customHeight="1">
      <c r="B2563" s="128"/>
      <c r="C2563" s="224"/>
      <c r="D2563" s="225"/>
      <c r="E2563" s="8"/>
      <c r="F2563" s="128"/>
      <c r="G2563" s="128"/>
      <c r="H2563" s="128"/>
      <c r="I2563" s="160"/>
      <c r="J2563" s="173"/>
      <c r="K2563" s="173"/>
      <c r="L2563" s="173"/>
      <c r="O2563" s="173"/>
      <c r="P2563" s="170"/>
      <c r="Q2563" s="128"/>
      <c r="R2563" s="128"/>
      <c r="S2563" s="180"/>
      <c r="T2563" s="173"/>
      <c r="U2563" s="171"/>
      <c r="V2563" s="173"/>
      <c r="W2563" s="173"/>
      <c r="X2563" s="128"/>
      <c r="Y2563" s="128"/>
      <c r="Z2563" s="128"/>
      <c r="AA2563" s="128"/>
      <c r="AB2563" s="128"/>
      <c r="AC2563" s="128"/>
      <c r="AD2563" s="128"/>
      <c r="AE2563" s="128"/>
      <c r="AF2563" s="128"/>
      <c r="AG2563" s="128"/>
      <c r="AH2563" s="128"/>
      <c r="AI2563" s="128"/>
      <c r="AJ2563" s="128"/>
      <c r="AK2563" s="128"/>
      <c r="AL2563" s="128"/>
      <c r="AM2563" s="128"/>
      <c r="AN2563" s="128"/>
      <c r="AO2563" s="128"/>
      <c r="AP2563" s="128"/>
      <c r="AQ2563" s="128"/>
      <c r="AR2563" s="128"/>
      <c r="AS2563" s="128"/>
      <c r="AT2563" s="128"/>
      <c r="AU2563" s="128"/>
      <c r="AV2563" s="128"/>
      <c r="AW2563" s="128"/>
      <c r="AX2563" s="128"/>
      <c r="AY2563" s="128"/>
      <c r="AZ2563" s="128"/>
      <c r="BA2563" s="128"/>
      <c r="BB2563" s="128"/>
      <c r="BC2563" s="128"/>
      <c r="BD2563" s="128"/>
      <c r="BE2563" s="128"/>
      <c r="BF2563" s="128"/>
      <c r="BG2563" s="128"/>
      <c r="BH2563" s="128"/>
      <c r="BI2563" s="128"/>
      <c r="BJ2563" s="128"/>
      <c r="BK2563" s="128"/>
      <c r="BL2563" s="128"/>
      <c r="BM2563" s="128"/>
      <c r="BN2563" s="128"/>
      <c r="BO2563" s="128"/>
      <c r="BP2563" s="128"/>
      <c r="BQ2563" s="128"/>
      <c r="BR2563" s="128"/>
      <c r="BS2563" s="128"/>
      <c r="BT2563" s="128"/>
      <c r="BU2563" s="128"/>
      <c r="BV2563" s="128"/>
      <c r="BW2563" s="128"/>
      <c r="BX2563" s="128"/>
      <c r="BY2563" s="128"/>
      <c r="BZ2563" s="128"/>
      <c r="CA2563" s="128"/>
      <c r="CB2563" s="128"/>
      <c r="CC2563" s="128"/>
      <c r="CD2563" s="128"/>
      <c r="CE2563" s="128"/>
      <c r="CF2563" s="128"/>
      <c r="CG2563" s="128"/>
      <c r="CH2563" s="128"/>
      <c r="CI2563" s="128"/>
      <c r="CJ2563" s="128"/>
      <c r="CK2563" s="128"/>
      <c r="CL2563" s="128"/>
      <c r="CM2563" s="128"/>
      <c r="CN2563" s="128"/>
      <c r="CO2563" s="128"/>
      <c r="CP2563" s="128"/>
      <c r="CQ2563" s="128"/>
      <c r="CR2563" s="128"/>
      <c r="CS2563" s="128"/>
      <c r="CT2563" s="128"/>
      <c r="CU2563" s="128"/>
      <c r="CV2563" s="128"/>
      <c r="CW2563" s="128"/>
      <c r="CX2563" s="128"/>
      <c r="CY2563" s="128"/>
      <c r="CZ2563" s="128"/>
      <c r="DA2563" s="128"/>
      <c r="DB2563" s="128"/>
      <c r="DC2563" s="128"/>
      <c r="DD2563" s="128"/>
      <c r="DE2563" s="128"/>
      <c r="DF2563" s="128"/>
      <c r="DG2563" s="128"/>
      <c r="DH2563" s="128"/>
      <c r="DI2563" s="128"/>
      <c r="DJ2563" s="128"/>
      <c r="DK2563" s="128"/>
      <c r="DL2563" s="128"/>
      <c r="DM2563" s="128"/>
      <c r="DN2563" s="128"/>
      <c r="DO2563" s="128"/>
      <c r="DP2563" s="128"/>
      <c r="DQ2563" s="128"/>
      <c r="DR2563" s="128"/>
      <c r="DS2563" s="128"/>
      <c r="DT2563" s="128"/>
      <c r="DU2563" s="128"/>
      <c r="DV2563" s="128"/>
      <c r="DW2563" s="128"/>
      <c r="DX2563" s="128"/>
      <c r="DY2563" s="128"/>
      <c r="DZ2563" s="128"/>
      <c r="EA2563" s="128"/>
      <c r="EB2563" s="128"/>
      <c r="EC2563" s="128"/>
      <c r="ED2563" s="128"/>
      <c r="EE2563" s="128"/>
      <c r="EF2563" s="128"/>
      <c r="EG2563" s="128"/>
      <c r="EH2563" s="128"/>
      <c r="EI2563" s="128"/>
      <c r="EJ2563" s="128"/>
      <c r="EK2563" s="128"/>
      <c r="EL2563" s="128"/>
      <c r="EM2563" s="128"/>
      <c r="EN2563" s="128"/>
      <c r="EO2563" s="128"/>
      <c r="EP2563" s="128"/>
      <c r="EQ2563" s="128"/>
      <c r="ER2563" s="128"/>
      <c r="ES2563" s="128"/>
      <c r="ET2563" s="128"/>
      <c r="EU2563" s="128"/>
      <c r="EV2563" s="128"/>
      <c r="EW2563" s="128"/>
      <c r="EX2563" s="128"/>
      <c r="EY2563" s="128"/>
      <c r="EZ2563" s="128"/>
      <c r="FA2563" s="128"/>
      <c r="FB2563" s="128"/>
      <c r="FC2563" s="128"/>
      <c r="FD2563" s="128"/>
      <c r="FE2563" s="128"/>
      <c r="FF2563" s="128"/>
      <c r="FG2563" s="128"/>
      <c r="FH2563" s="128"/>
      <c r="FI2563" s="128"/>
      <c r="FJ2563" s="128"/>
      <c r="FK2563" s="128"/>
      <c r="FL2563" s="128"/>
      <c r="FM2563" s="128"/>
      <c r="FN2563" s="128"/>
      <c r="FO2563" s="128"/>
      <c r="FP2563" s="128"/>
      <c r="FQ2563" s="128"/>
      <c r="FR2563" s="128"/>
      <c r="FS2563" s="128"/>
      <c r="FT2563" s="128"/>
      <c r="FU2563" s="128"/>
      <c r="FV2563" s="128"/>
      <c r="FW2563" s="128"/>
      <c r="FX2563" s="128"/>
      <c r="FY2563" s="128"/>
      <c r="FZ2563" s="128"/>
      <c r="GA2563" s="128"/>
      <c r="GB2563" s="128"/>
      <c r="GC2563" s="128"/>
      <c r="GD2563" s="128"/>
      <c r="GE2563" s="128"/>
      <c r="GF2563" s="128"/>
      <c r="GG2563" s="128"/>
      <c r="GH2563" s="128"/>
      <c r="GI2563" s="128"/>
      <c r="GJ2563" s="128"/>
      <c r="GK2563" s="128"/>
      <c r="GL2563" s="128"/>
      <c r="GM2563" s="128"/>
      <c r="GN2563" s="128"/>
      <c r="GO2563" s="128"/>
      <c r="GP2563" s="128"/>
      <c r="GQ2563" s="128"/>
      <c r="GR2563" s="128"/>
      <c r="GS2563" s="128"/>
      <c r="GT2563" s="128"/>
      <c r="GU2563" s="128"/>
      <c r="GV2563" s="128"/>
      <c r="GW2563" s="128"/>
      <c r="GX2563" s="128"/>
      <c r="GY2563" s="128"/>
      <c r="GZ2563" s="128"/>
      <c r="HA2563" s="128"/>
      <c r="HB2563" s="128"/>
      <c r="HC2563" s="128"/>
      <c r="HD2563" s="128"/>
      <c r="HE2563" s="128"/>
      <c r="HF2563" s="128"/>
      <c r="HG2563" s="128"/>
      <c r="HH2563" s="128"/>
      <c r="HI2563" s="128"/>
      <c r="HJ2563" s="128"/>
      <c r="HK2563" s="128"/>
      <c r="HL2563" s="128"/>
      <c r="HM2563" s="128"/>
      <c r="HN2563" s="128"/>
      <c r="HO2563" s="128"/>
      <c r="HP2563" s="128"/>
      <c r="HQ2563" s="128"/>
      <c r="HR2563" s="128"/>
      <c r="HS2563" s="128"/>
      <c r="HT2563" s="128"/>
      <c r="HU2563" s="128"/>
      <c r="HV2563" s="128"/>
      <c r="HW2563" s="128"/>
      <c r="HX2563" s="128"/>
      <c r="HY2563" s="128"/>
      <c r="HZ2563" s="128"/>
      <c r="IA2563" s="128"/>
      <c r="IB2563" s="128"/>
      <c r="IC2563" s="128"/>
      <c r="ID2563" s="128"/>
      <c r="IE2563" s="128"/>
      <c r="IF2563" s="128"/>
      <c r="IG2563" s="128"/>
      <c r="IH2563" s="128"/>
      <c r="II2563" s="128"/>
      <c r="IJ2563" s="128"/>
    </row>
    <row r="2564" spans="2:244" ht="12.75" customHeight="1">
      <c r="B2564" s="128"/>
      <c r="C2564" s="224"/>
      <c r="D2564" s="225"/>
      <c r="E2564" s="8"/>
      <c r="F2564" s="128"/>
      <c r="G2564" s="128"/>
      <c r="H2564" s="128"/>
      <c r="I2564" s="160"/>
      <c r="J2564" s="173"/>
      <c r="K2564" s="173"/>
      <c r="L2564" s="173"/>
      <c r="O2564" s="173"/>
      <c r="P2564" s="170"/>
      <c r="Q2564" s="128"/>
      <c r="R2564" s="128"/>
      <c r="S2564" s="180"/>
      <c r="T2564" s="173"/>
      <c r="U2564" s="171"/>
      <c r="V2564" s="173"/>
      <c r="W2564" s="173"/>
      <c r="X2564" s="128"/>
      <c r="Y2564" s="128"/>
      <c r="Z2564" s="128"/>
      <c r="AA2564" s="128"/>
      <c r="AB2564" s="128"/>
      <c r="AC2564" s="128"/>
      <c r="AD2564" s="128"/>
      <c r="AE2564" s="128"/>
      <c r="AF2564" s="128"/>
      <c r="AG2564" s="128"/>
      <c r="AH2564" s="128"/>
      <c r="AI2564" s="128"/>
      <c r="AJ2564" s="128"/>
      <c r="AK2564" s="128"/>
      <c r="AL2564" s="128"/>
      <c r="AM2564" s="128"/>
      <c r="AN2564" s="128"/>
      <c r="AO2564" s="128"/>
      <c r="AP2564" s="128"/>
      <c r="AQ2564" s="128"/>
      <c r="AR2564" s="128"/>
      <c r="AS2564" s="128"/>
      <c r="AT2564" s="128"/>
      <c r="AU2564" s="128"/>
      <c r="AV2564" s="128"/>
      <c r="AW2564" s="128"/>
      <c r="AX2564" s="128"/>
      <c r="AY2564" s="128"/>
      <c r="AZ2564" s="128"/>
      <c r="BA2564" s="128"/>
      <c r="BB2564" s="128"/>
      <c r="BC2564" s="128"/>
      <c r="BD2564" s="128"/>
      <c r="BE2564" s="128"/>
      <c r="BF2564" s="128"/>
      <c r="BG2564" s="128"/>
      <c r="BH2564" s="128"/>
      <c r="BI2564" s="128"/>
      <c r="BJ2564" s="128"/>
      <c r="BK2564" s="128"/>
      <c r="BL2564" s="128"/>
      <c r="BM2564" s="128"/>
      <c r="BN2564" s="128"/>
      <c r="BO2564" s="128"/>
      <c r="BP2564" s="128"/>
      <c r="BQ2564" s="128"/>
      <c r="BR2564" s="128"/>
      <c r="BS2564" s="128"/>
      <c r="BT2564" s="128"/>
      <c r="BU2564" s="128"/>
      <c r="BV2564" s="128"/>
      <c r="BW2564" s="128"/>
      <c r="BX2564" s="128"/>
      <c r="BY2564" s="128"/>
      <c r="BZ2564" s="128"/>
      <c r="CA2564" s="128"/>
      <c r="CB2564" s="128"/>
      <c r="CC2564" s="128"/>
      <c r="CD2564" s="128"/>
      <c r="CE2564" s="128"/>
      <c r="CF2564" s="128"/>
      <c r="CG2564" s="128"/>
      <c r="CH2564" s="128"/>
      <c r="CI2564" s="128"/>
      <c r="CJ2564" s="128"/>
      <c r="CK2564" s="128"/>
      <c r="CL2564" s="128"/>
      <c r="CM2564" s="128"/>
      <c r="CN2564" s="128"/>
      <c r="CO2564" s="128"/>
      <c r="CP2564" s="128"/>
      <c r="CQ2564" s="128"/>
      <c r="CR2564" s="128"/>
      <c r="CS2564" s="128"/>
      <c r="CT2564" s="128"/>
      <c r="CU2564" s="128"/>
      <c r="CV2564" s="128"/>
      <c r="CW2564" s="128"/>
      <c r="CX2564" s="128"/>
      <c r="CY2564" s="128"/>
      <c r="CZ2564" s="128"/>
      <c r="DA2564" s="128"/>
      <c r="DB2564" s="128"/>
      <c r="DC2564" s="128"/>
      <c r="DD2564" s="128"/>
      <c r="DE2564" s="128"/>
      <c r="DF2564" s="128"/>
      <c r="DG2564" s="128"/>
      <c r="DH2564" s="128"/>
      <c r="DI2564" s="128"/>
      <c r="DJ2564" s="128"/>
      <c r="DK2564" s="128"/>
      <c r="DL2564" s="128"/>
      <c r="DM2564" s="128"/>
      <c r="DN2564" s="128"/>
      <c r="DO2564" s="128"/>
      <c r="DP2564" s="128"/>
      <c r="DQ2564" s="128"/>
      <c r="DR2564" s="128"/>
      <c r="DS2564" s="128"/>
      <c r="DT2564" s="128"/>
      <c r="DU2564" s="128"/>
      <c r="DV2564" s="128"/>
      <c r="DW2564" s="128"/>
      <c r="DX2564" s="128"/>
      <c r="DY2564" s="128"/>
      <c r="DZ2564" s="128"/>
      <c r="EA2564" s="128"/>
      <c r="EB2564" s="128"/>
      <c r="EC2564" s="128"/>
      <c r="ED2564" s="128"/>
      <c r="EE2564" s="128"/>
      <c r="EF2564" s="128"/>
      <c r="EG2564" s="128"/>
      <c r="EH2564" s="128"/>
      <c r="EI2564" s="128"/>
      <c r="EJ2564" s="128"/>
      <c r="EK2564" s="128"/>
      <c r="EL2564" s="128"/>
      <c r="EM2564" s="128"/>
      <c r="EN2564" s="128"/>
      <c r="EO2564" s="128"/>
      <c r="EP2564" s="128"/>
      <c r="EQ2564" s="128"/>
      <c r="ER2564" s="128"/>
      <c r="ES2564" s="128"/>
      <c r="ET2564" s="128"/>
      <c r="EU2564" s="128"/>
      <c r="EV2564" s="128"/>
      <c r="EW2564" s="128"/>
      <c r="EX2564" s="128"/>
      <c r="EY2564" s="128"/>
      <c r="EZ2564" s="128"/>
      <c r="FA2564" s="128"/>
      <c r="FB2564" s="128"/>
      <c r="FC2564" s="128"/>
      <c r="FD2564" s="128"/>
      <c r="FE2564" s="128"/>
      <c r="FF2564" s="128"/>
      <c r="FG2564" s="128"/>
      <c r="FH2564" s="128"/>
      <c r="FI2564" s="128"/>
      <c r="FJ2564" s="128"/>
      <c r="FK2564" s="128"/>
      <c r="FL2564" s="128"/>
      <c r="FM2564" s="128"/>
      <c r="FN2564" s="128"/>
      <c r="FO2564" s="128"/>
      <c r="FP2564" s="128"/>
      <c r="FQ2564" s="128"/>
      <c r="FR2564" s="128"/>
      <c r="FS2564" s="128"/>
      <c r="FT2564" s="128"/>
      <c r="FU2564" s="128"/>
      <c r="FV2564" s="128"/>
      <c r="FW2564" s="128"/>
      <c r="FX2564" s="128"/>
      <c r="FY2564" s="128"/>
      <c r="FZ2564" s="128"/>
      <c r="GA2564" s="128"/>
      <c r="GB2564" s="128"/>
      <c r="GC2564" s="128"/>
      <c r="GD2564" s="128"/>
      <c r="GE2564" s="128"/>
      <c r="GF2564" s="128"/>
      <c r="GG2564" s="128"/>
      <c r="GH2564" s="128"/>
      <c r="GI2564" s="128"/>
      <c r="GJ2564" s="128"/>
      <c r="GK2564" s="128"/>
      <c r="GL2564" s="128"/>
      <c r="GM2564" s="128"/>
      <c r="GN2564" s="128"/>
      <c r="GO2564" s="128"/>
      <c r="GP2564" s="128"/>
      <c r="GQ2564" s="128"/>
      <c r="GR2564" s="128"/>
      <c r="GS2564" s="128"/>
      <c r="GT2564" s="128"/>
      <c r="GU2564" s="128"/>
      <c r="GV2564" s="128"/>
      <c r="GW2564" s="128"/>
      <c r="GX2564" s="128"/>
      <c r="GY2564" s="128"/>
      <c r="GZ2564" s="128"/>
      <c r="HA2564" s="128"/>
      <c r="HB2564" s="128"/>
      <c r="HC2564" s="128"/>
      <c r="HD2564" s="128"/>
      <c r="HE2564" s="128"/>
      <c r="HF2564" s="128"/>
      <c r="HG2564" s="128"/>
      <c r="HH2564" s="128"/>
      <c r="HI2564" s="128"/>
      <c r="HJ2564" s="128"/>
      <c r="HK2564" s="128"/>
      <c r="HL2564" s="128"/>
      <c r="HM2564" s="128"/>
      <c r="HN2564" s="128"/>
      <c r="HO2564" s="128"/>
      <c r="HP2564" s="128"/>
      <c r="HQ2564" s="128"/>
      <c r="HR2564" s="128"/>
      <c r="HS2564" s="128"/>
      <c r="HT2564" s="128"/>
      <c r="HU2564" s="128"/>
      <c r="HV2564" s="128"/>
      <c r="HW2564" s="128"/>
      <c r="HX2564" s="128"/>
      <c r="HY2564" s="128"/>
      <c r="HZ2564" s="128"/>
      <c r="IA2564" s="128"/>
      <c r="IB2564" s="128"/>
      <c r="IC2564" s="128"/>
      <c r="ID2564" s="128"/>
      <c r="IE2564" s="128"/>
      <c r="IF2564" s="128"/>
      <c r="IG2564" s="128"/>
      <c r="IH2564" s="128"/>
      <c r="II2564" s="128"/>
      <c r="IJ2564" s="128"/>
    </row>
    <row r="2565" spans="2:244" ht="12.75" customHeight="1">
      <c r="B2565" s="128"/>
      <c r="C2565" s="224"/>
      <c r="D2565" s="225"/>
      <c r="E2565" s="8"/>
      <c r="F2565" s="128"/>
      <c r="G2565" s="128"/>
      <c r="H2565" s="128"/>
      <c r="I2565" s="160"/>
      <c r="J2565" s="173"/>
      <c r="K2565" s="173"/>
      <c r="L2565" s="173"/>
      <c r="O2565" s="173"/>
      <c r="P2565" s="170"/>
      <c r="Q2565" s="128"/>
      <c r="R2565" s="128"/>
      <c r="S2565" s="180"/>
      <c r="T2565" s="173"/>
      <c r="U2565" s="171"/>
      <c r="V2565" s="173"/>
      <c r="W2565" s="173"/>
      <c r="X2565" s="128"/>
      <c r="Y2565" s="128"/>
      <c r="Z2565" s="128"/>
      <c r="AA2565" s="128"/>
      <c r="AB2565" s="128"/>
      <c r="AC2565" s="128"/>
      <c r="AD2565" s="128"/>
      <c r="AE2565" s="128"/>
      <c r="AF2565" s="128"/>
      <c r="AG2565" s="128"/>
      <c r="AH2565" s="128"/>
      <c r="AI2565" s="128"/>
      <c r="AJ2565" s="128"/>
      <c r="AK2565" s="128"/>
      <c r="AL2565" s="128"/>
      <c r="AM2565" s="128"/>
      <c r="AN2565" s="128"/>
      <c r="AO2565" s="128"/>
      <c r="AP2565" s="128"/>
      <c r="AQ2565" s="128"/>
      <c r="AR2565" s="128"/>
      <c r="AS2565" s="128"/>
      <c r="AT2565" s="128"/>
      <c r="AU2565" s="128"/>
      <c r="AV2565" s="128"/>
      <c r="AW2565" s="128"/>
      <c r="AX2565" s="128"/>
      <c r="AY2565" s="128"/>
      <c r="AZ2565" s="128"/>
      <c r="BA2565" s="128"/>
      <c r="BB2565" s="128"/>
      <c r="BC2565" s="128"/>
      <c r="BD2565" s="128"/>
      <c r="BE2565" s="128"/>
      <c r="BF2565" s="128"/>
      <c r="BG2565" s="128"/>
      <c r="BH2565" s="128"/>
      <c r="BI2565" s="128"/>
      <c r="BJ2565" s="128"/>
      <c r="BK2565" s="128"/>
      <c r="BL2565" s="128"/>
      <c r="BM2565" s="128"/>
      <c r="BN2565" s="128"/>
      <c r="BO2565" s="128"/>
      <c r="BP2565" s="128"/>
      <c r="BQ2565" s="128"/>
      <c r="BR2565" s="128"/>
      <c r="BS2565" s="128"/>
      <c r="BT2565" s="128"/>
      <c r="BU2565" s="128"/>
      <c r="BV2565" s="128"/>
      <c r="BW2565" s="128"/>
      <c r="BX2565" s="128"/>
      <c r="BY2565" s="128"/>
      <c r="BZ2565" s="128"/>
      <c r="CA2565" s="128"/>
      <c r="CB2565" s="128"/>
      <c r="CC2565" s="128"/>
      <c r="CD2565" s="128"/>
      <c r="CE2565" s="128"/>
      <c r="CF2565" s="128"/>
      <c r="CG2565" s="128"/>
      <c r="CH2565" s="128"/>
      <c r="CI2565" s="128"/>
      <c r="CJ2565" s="128"/>
      <c r="CK2565" s="128"/>
      <c r="CL2565" s="128"/>
      <c r="CM2565" s="128"/>
      <c r="CN2565" s="128"/>
      <c r="CO2565" s="128"/>
      <c r="CP2565" s="128"/>
      <c r="CQ2565" s="128"/>
      <c r="CR2565" s="128"/>
      <c r="CS2565" s="128"/>
      <c r="CT2565" s="128"/>
      <c r="CU2565" s="128"/>
      <c r="CV2565" s="128"/>
      <c r="CW2565" s="128"/>
      <c r="CX2565" s="128"/>
      <c r="CY2565" s="128"/>
      <c r="CZ2565" s="128"/>
      <c r="DA2565" s="128"/>
      <c r="DB2565" s="128"/>
      <c r="DC2565" s="128"/>
      <c r="DD2565" s="128"/>
      <c r="DE2565" s="128"/>
      <c r="DF2565" s="128"/>
      <c r="DG2565" s="128"/>
      <c r="DH2565" s="128"/>
      <c r="DI2565" s="128"/>
      <c r="DJ2565" s="128"/>
      <c r="DK2565" s="128"/>
      <c r="DL2565" s="128"/>
      <c r="DM2565" s="128"/>
      <c r="DN2565" s="128"/>
      <c r="DO2565" s="128"/>
      <c r="DP2565" s="128"/>
      <c r="DQ2565" s="128"/>
      <c r="DR2565" s="128"/>
      <c r="DS2565" s="128"/>
      <c r="DT2565" s="128"/>
      <c r="DU2565" s="128"/>
      <c r="DV2565" s="128"/>
      <c r="DW2565" s="128"/>
      <c r="DX2565" s="128"/>
      <c r="DY2565" s="128"/>
      <c r="DZ2565" s="128"/>
      <c r="EA2565" s="128"/>
      <c r="EB2565" s="128"/>
      <c r="EC2565" s="128"/>
      <c r="ED2565" s="128"/>
      <c r="EE2565" s="128"/>
      <c r="EF2565" s="128"/>
      <c r="EG2565" s="128"/>
      <c r="EH2565" s="128"/>
      <c r="EI2565" s="128"/>
      <c r="EJ2565" s="128"/>
      <c r="EK2565" s="128"/>
      <c r="EL2565" s="128"/>
      <c r="EM2565" s="128"/>
      <c r="EN2565" s="128"/>
      <c r="EO2565" s="128"/>
      <c r="EP2565" s="128"/>
      <c r="EQ2565" s="128"/>
      <c r="ER2565" s="128"/>
      <c r="ES2565" s="128"/>
      <c r="ET2565" s="128"/>
      <c r="EU2565" s="128"/>
      <c r="EV2565" s="128"/>
      <c r="EW2565" s="128"/>
      <c r="EX2565" s="128"/>
      <c r="EY2565" s="128"/>
      <c r="EZ2565" s="128"/>
      <c r="FA2565" s="128"/>
      <c r="FB2565" s="128"/>
      <c r="FC2565" s="128"/>
      <c r="FD2565" s="128"/>
      <c r="FE2565" s="128"/>
      <c r="FF2565" s="128"/>
      <c r="FG2565" s="128"/>
      <c r="FH2565" s="128"/>
      <c r="FI2565" s="128"/>
      <c r="FJ2565" s="128"/>
      <c r="FK2565" s="128"/>
      <c r="FL2565" s="128"/>
      <c r="FM2565" s="128"/>
      <c r="FN2565" s="128"/>
      <c r="FO2565" s="128"/>
      <c r="FP2565" s="128"/>
      <c r="FQ2565" s="128"/>
      <c r="FR2565" s="128"/>
      <c r="FS2565" s="128"/>
      <c r="FT2565" s="128"/>
      <c r="FU2565" s="128"/>
      <c r="FV2565" s="128"/>
      <c r="FW2565" s="128"/>
      <c r="FX2565" s="128"/>
      <c r="FY2565" s="128"/>
      <c r="FZ2565" s="128"/>
      <c r="GA2565" s="128"/>
      <c r="GB2565" s="128"/>
      <c r="GC2565" s="128"/>
      <c r="GD2565" s="128"/>
      <c r="GE2565" s="128"/>
      <c r="GF2565" s="128"/>
      <c r="GG2565" s="128"/>
      <c r="GH2565" s="128"/>
      <c r="GI2565" s="128"/>
      <c r="GJ2565" s="128"/>
      <c r="GK2565" s="128"/>
      <c r="GL2565" s="128"/>
      <c r="GM2565" s="128"/>
      <c r="GN2565" s="128"/>
      <c r="GO2565" s="128"/>
      <c r="GP2565" s="128"/>
      <c r="GQ2565" s="128"/>
      <c r="GR2565" s="128"/>
      <c r="GS2565" s="128"/>
      <c r="GT2565" s="128"/>
      <c r="GU2565" s="128"/>
      <c r="GV2565" s="128"/>
      <c r="GW2565" s="128"/>
      <c r="GX2565" s="128"/>
      <c r="GY2565" s="128"/>
      <c r="GZ2565" s="128"/>
      <c r="HA2565" s="128"/>
      <c r="HB2565" s="128"/>
      <c r="HC2565" s="128"/>
      <c r="HD2565" s="128"/>
      <c r="HE2565" s="128"/>
      <c r="HF2565" s="128"/>
      <c r="HG2565" s="128"/>
      <c r="HH2565" s="128"/>
      <c r="HI2565" s="128"/>
      <c r="HJ2565" s="128"/>
      <c r="HK2565" s="128"/>
      <c r="HL2565" s="128"/>
      <c r="HM2565" s="128"/>
      <c r="HN2565" s="128"/>
      <c r="HO2565" s="128"/>
      <c r="HP2565" s="128"/>
      <c r="HQ2565" s="128"/>
      <c r="HR2565" s="128"/>
      <c r="HS2565" s="128"/>
      <c r="HT2565" s="128"/>
      <c r="HU2565" s="128"/>
      <c r="HV2565" s="128"/>
      <c r="HW2565" s="128"/>
      <c r="HX2565" s="128"/>
      <c r="HY2565" s="128"/>
      <c r="HZ2565" s="128"/>
      <c r="IA2565" s="128"/>
      <c r="IB2565" s="128"/>
      <c r="IC2565" s="128"/>
      <c r="ID2565" s="128"/>
      <c r="IE2565" s="128"/>
      <c r="IF2565" s="128"/>
      <c r="IG2565" s="128"/>
      <c r="IH2565" s="128"/>
      <c r="II2565" s="128"/>
      <c r="IJ2565" s="128"/>
    </row>
    <row r="2566" spans="2:244" ht="12.75" customHeight="1">
      <c r="B2566" s="128"/>
      <c r="C2566" s="224"/>
      <c r="D2566" s="225"/>
      <c r="E2566" s="8"/>
      <c r="F2566" s="128"/>
      <c r="G2566" s="128"/>
      <c r="H2566" s="128"/>
      <c r="I2566" s="160"/>
      <c r="J2566" s="173"/>
      <c r="K2566" s="173"/>
      <c r="L2566" s="173"/>
      <c r="O2566" s="173"/>
      <c r="P2566" s="170"/>
      <c r="Q2566" s="128"/>
      <c r="R2566" s="128"/>
      <c r="S2566" s="180"/>
      <c r="T2566" s="173"/>
      <c r="U2566" s="171"/>
      <c r="V2566" s="173"/>
      <c r="W2566" s="173"/>
      <c r="X2566" s="128"/>
      <c r="Y2566" s="128"/>
      <c r="Z2566" s="128"/>
      <c r="AA2566" s="128"/>
      <c r="AB2566" s="128"/>
      <c r="AC2566" s="128"/>
      <c r="AD2566" s="128"/>
      <c r="AE2566" s="128"/>
      <c r="AF2566" s="128"/>
      <c r="AG2566" s="128"/>
      <c r="AH2566" s="128"/>
      <c r="AI2566" s="128"/>
      <c r="AJ2566" s="128"/>
      <c r="AK2566" s="128"/>
      <c r="AL2566" s="128"/>
      <c r="AM2566" s="128"/>
      <c r="AN2566" s="128"/>
      <c r="AO2566" s="128"/>
      <c r="AP2566" s="128"/>
      <c r="AQ2566" s="128"/>
      <c r="AR2566" s="128"/>
      <c r="AS2566" s="128"/>
      <c r="AT2566" s="128"/>
      <c r="AU2566" s="128"/>
      <c r="AV2566" s="128"/>
      <c r="AW2566" s="128"/>
      <c r="AX2566" s="128"/>
      <c r="AY2566" s="128"/>
      <c r="AZ2566" s="128"/>
      <c r="BA2566" s="128"/>
      <c r="BB2566" s="128"/>
      <c r="BC2566" s="128"/>
      <c r="BD2566" s="128"/>
      <c r="BE2566" s="128"/>
      <c r="BF2566" s="128"/>
      <c r="BG2566" s="128"/>
      <c r="BH2566" s="128"/>
      <c r="BI2566" s="128"/>
      <c r="BJ2566" s="128"/>
      <c r="BK2566" s="128"/>
      <c r="BL2566" s="128"/>
      <c r="BM2566" s="128"/>
      <c r="BN2566" s="128"/>
      <c r="BO2566" s="128"/>
      <c r="BP2566" s="128"/>
      <c r="BQ2566" s="128"/>
      <c r="BR2566" s="128"/>
      <c r="BS2566" s="128"/>
      <c r="BT2566" s="128"/>
      <c r="BU2566" s="128"/>
      <c r="BV2566" s="128"/>
      <c r="BW2566" s="128"/>
      <c r="BX2566" s="128"/>
      <c r="BY2566" s="128"/>
      <c r="BZ2566" s="128"/>
      <c r="CA2566" s="128"/>
      <c r="CB2566" s="128"/>
      <c r="CC2566" s="128"/>
      <c r="CD2566" s="128"/>
      <c r="CE2566" s="128"/>
      <c r="CF2566" s="128"/>
      <c r="CG2566" s="128"/>
      <c r="CH2566" s="128"/>
      <c r="CI2566" s="128"/>
      <c r="CJ2566" s="128"/>
      <c r="CK2566" s="128"/>
      <c r="CL2566" s="128"/>
      <c r="CM2566" s="128"/>
      <c r="CN2566" s="128"/>
      <c r="CO2566" s="128"/>
      <c r="CP2566" s="128"/>
      <c r="CQ2566" s="128"/>
      <c r="CR2566" s="128"/>
      <c r="CS2566" s="128"/>
      <c r="CT2566" s="128"/>
      <c r="CU2566" s="128"/>
      <c r="CV2566" s="128"/>
      <c r="CW2566" s="128"/>
      <c r="CX2566" s="128"/>
      <c r="CY2566" s="128"/>
      <c r="CZ2566" s="128"/>
      <c r="DA2566" s="128"/>
      <c r="DB2566" s="128"/>
      <c r="DC2566" s="128"/>
      <c r="DD2566" s="128"/>
      <c r="DE2566" s="128"/>
      <c r="DF2566" s="128"/>
      <c r="DG2566" s="128"/>
      <c r="DH2566" s="128"/>
      <c r="DI2566" s="128"/>
      <c r="DJ2566" s="128"/>
      <c r="DK2566" s="128"/>
      <c r="DL2566" s="128"/>
      <c r="DM2566" s="128"/>
      <c r="DN2566" s="128"/>
      <c r="DO2566" s="128"/>
      <c r="DP2566" s="128"/>
      <c r="DQ2566" s="128"/>
      <c r="DR2566" s="128"/>
      <c r="DS2566" s="128"/>
      <c r="DT2566" s="128"/>
      <c r="DU2566" s="128"/>
      <c r="DV2566" s="128"/>
      <c r="DW2566" s="128"/>
      <c r="DX2566" s="128"/>
      <c r="DY2566" s="128"/>
      <c r="DZ2566" s="128"/>
      <c r="EA2566" s="128"/>
      <c r="EB2566" s="128"/>
      <c r="EC2566" s="128"/>
      <c r="ED2566" s="128"/>
      <c r="EE2566" s="128"/>
      <c r="EF2566" s="128"/>
      <c r="EG2566" s="128"/>
      <c r="EH2566" s="128"/>
      <c r="EI2566" s="128"/>
      <c r="EJ2566" s="128"/>
      <c r="EK2566" s="128"/>
      <c r="EL2566" s="128"/>
      <c r="EM2566" s="128"/>
      <c r="EN2566" s="128"/>
      <c r="EO2566" s="128"/>
      <c r="EP2566" s="128"/>
      <c r="EQ2566" s="128"/>
      <c r="ER2566" s="128"/>
      <c r="ES2566" s="128"/>
      <c r="ET2566" s="128"/>
      <c r="EU2566" s="128"/>
      <c r="EV2566" s="128"/>
      <c r="EW2566" s="128"/>
      <c r="EX2566" s="128"/>
      <c r="EY2566" s="128"/>
      <c r="EZ2566" s="128"/>
      <c r="FA2566" s="128"/>
      <c r="FB2566" s="128"/>
      <c r="FC2566" s="128"/>
      <c r="FD2566" s="128"/>
      <c r="FE2566" s="128"/>
      <c r="FF2566" s="128"/>
      <c r="FG2566" s="128"/>
      <c r="FH2566" s="128"/>
      <c r="FI2566" s="128"/>
      <c r="FJ2566" s="128"/>
      <c r="FK2566" s="128"/>
      <c r="FL2566" s="128"/>
      <c r="FM2566" s="128"/>
      <c r="FN2566" s="128"/>
      <c r="FO2566" s="128"/>
      <c r="FP2566" s="128"/>
      <c r="FQ2566" s="128"/>
      <c r="FR2566" s="128"/>
      <c r="FS2566" s="128"/>
      <c r="FT2566" s="128"/>
      <c r="FU2566" s="128"/>
      <c r="FV2566" s="128"/>
      <c r="FW2566" s="128"/>
      <c r="FX2566" s="128"/>
      <c r="FY2566" s="128"/>
      <c r="FZ2566" s="128"/>
      <c r="GA2566" s="128"/>
      <c r="GB2566" s="128"/>
      <c r="GC2566" s="128"/>
      <c r="GD2566" s="128"/>
      <c r="GE2566" s="128"/>
      <c r="GF2566" s="128"/>
      <c r="GG2566" s="128"/>
      <c r="GH2566" s="128"/>
      <c r="GI2566" s="128"/>
      <c r="GJ2566" s="128"/>
      <c r="GK2566" s="128"/>
      <c r="GL2566" s="128"/>
      <c r="GM2566" s="128"/>
      <c r="GN2566" s="128"/>
      <c r="GO2566" s="128"/>
      <c r="GP2566" s="128"/>
      <c r="GQ2566" s="128"/>
      <c r="GR2566" s="128"/>
      <c r="GS2566" s="128"/>
      <c r="GT2566" s="128"/>
      <c r="GU2566" s="128"/>
      <c r="GV2566" s="128"/>
      <c r="GW2566" s="128"/>
      <c r="GX2566" s="128"/>
      <c r="GY2566" s="128"/>
      <c r="GZ2566" s="128"/>
      <c r="HA2566" s="128"/>
      <c r="HB2566" s="128"/>
      <c r="HC2566" s="128"/>
      <c r="HD2566" s="128"/>
      <c r="HE2566" s="128"/>
      <c r="HF2566" s="128"/>
      <c r="HG2566" s="128"/>
      <c r="HH2566" s="128"/>
      <c r="HI2566" s="128"/>
      <c r="HJ2566" s="128"/>
      <c r="HK2566" s="128"/>
      <c r="HL2566" s="128"/>
      <c r="HM2566" s="128"/>
      <c r="HN2566" s="128"/>
      <c r="HO2566" s="128"/>
      <c r="HP2566" s="128"/>
      <c r="HQ2566" s="128"/>
      <c r="HR2566" s="128"/>
      <c r="HS2566" s="128"/>
      <c r="HT2566" s="128"/>
      <c r="HU2566" s="128"/>
      <c r="HV2566" s="128"/>
      <c r="HW2566" s="128"/>
      <c r="HX2566" s="128"/>
      <c r="HY2566" s="128"/>
      <c r="HZ2566" s="128"/>
      <c r="IA2566" s="128"/>
      <c r="IB2566" s="128"/>
      <c r="IC2566" s="128"/>
      <c r="ID2566" s="128"/>
      <c r="IE2566" s="128"/>
      <c r="IF2566" s="128"/>
      <c r="IG2566" s="128"/>
      <c r="IH2566" s="128"/>
      <c r="II2566" s="128"/>
      <c r="IJ2566" s="128"/>
    </row>
    <row r="2567" spans="2:244" ht="12.75" customHeight="1">
      <c r="B2567" s="128"/>
      <c r="C2567" s="224"/>
      <c r="D2567" s="225"/>
      <c r="E2567" s="8"/>
      <c r="F2567" s="128"/>
      <c r="G2567" s="128"/>
      <c r="H2567" s="128"/>
      <c r="I2567" s="160"/>
      <c r="J2567" s="173"/>
      <c r="K2567" s="173"/>
      <c r="L2567" s="173"/>
      <c r="O2567" s="173"/>
      <c r="P2567" s="170"/>
      <c r="Q2567" s="128"/>
      <c r="R2567" s="128"/>
      <c r="S2567" s="180"/>
      <c r="T2567" s="173"/>
      <c r="U2567" s="171"/>
      <c r="V2567" s="173"/>
      <c r="W2567" s="173"/>
      <c r="X2567" s="128"/>
      <c r="Y2567" s="128"/>
      <c r="Z2567" s="128"/>
      <c r="AA2567" s="128"/>
      <c r="AB2567" s="128"/>
      <c r="AC2567" s="128"/>
      <c r="AD2567" s="128"/>
      <c r="AE2567" s="128"/>
      <c r="AF2567" s="128"/>
      <c r="AG2567" s="128"/>
      <c r="AH2567" s="128"/>
      <c r="AI2567" s="128"/>
      <c r="AJ2567" s="128"/>
      <c r="AK2567" s="128"/>
      <c r="AL2567" s="128"/>
      <c r="AM2567" s="128"/>
      <c r="AN2567" s="128"/>
      <c r="AO2567" s="128"/>
      <c r="AP2567" s="128"/>
      <c r="AQ2567" s="128"/>
      <c r="AR2567" s="128"/>
      <c r="AS2567" s="128"/>
      <c r="AT2567" s="128"/>
      <c r="AU2567" s="128"/>
      <c r="AV2567" s="128"/>
      <c r="AW2567" s="128"/>
      <c r="AX2567" s="128"/>
      <c r="AY2567" s="128"/>
      <c r="AZ2567" s="128"/>
      <c r="BA2567" s="128"/>
      <c r="BB2567" s="128"/>
      <c r="BC2567" s="128"/>
      <c r="BD2567" s="128"/>
      <c r="BE2567" s="128"/>
      <c r="BF2567" s="128"/>
      <c r="BG2567" s="128"/>
      <c r="BH2567" s="128"/>
      <c r="BI2567" s="128"/>
      <c r="BJ2567" s="128"/>
      <c r="BK2567" s="128"/>
      <c r="BL2567" s="128"/>
      <c r="BM2567" s="128"/>
      <c r="BN2567" s="128"/>
      <c r="BO2567" s="128"/>
      <c r="BP2567" s="128"/>
      <c r="BQ2567" s="128"/>
      <c r="BR2567" s="128"/>
      <c r="BS2567" s="128"/>
      <c r="BT2567" s="128"/>
      <c r="BU2567" s="128"/>
      <c r="BV2567" s="128"/>
      <c r="BW2567" s="128"/>
      <c r="BX2567" s="128"/>
      <c r="BY2567" s="128"/>
      <c r="BZ2567" s="128"/>
      <c r="CA2567" s="128"/>
      <c r="CB2567" s="128"/>
      <c r="CC2567" s="128"/>
      <c r="CD2567" s="128"/>
      <c r="CE2567" s="128"/>
      <c r="CF2567" s="128"/>
      <c r="CG2567" s="128"/>
      <c r="CH2567" s="128"/>
      <c r="CI2567" s="128"/>
      <c r="CJ2567" s="128"/>
      <c r="CK2567" s="128"/>
      <c r="CL2567" s="128"/>
      <c r="CM2567" s="128"/>
      <c r="CN2567" s="128"/>
      <c r="CO2567" s="128"/>
      <c r="CP2567" s="128"/>
      <c r="CQ2567" s="128"/>
      <c r="CR2567" s="128"/>
      <c r="CS2567" s="128"/>
      <c r="CT2567" s="128"/>
      <c r="CU2567" s="128"/>
      <c r="CV2567" s="128"/>
      <c r="CW2567" s="128"/>
      <c r="CX2567" s="128"/>
      <c r="CY2567" s="128"/>
      <c r="CZ2567" s="128"/>
      <c r="DA2567" s="128"/>
      <c r="DB2567" s="128"/>
      <c r="DC2567" s="128"/>
      <c r="DD2567" s="128"/>
      <c r="DE2567" s="128"/>
      <c r="DF2567" s="128"/>
      <c r="DG2567" s="128"/>
      <c r="DH2567" s="128"/>
      <c r="DI2567" s="128"/>
      <c r="DJ2567" s="128"/>
      <c r="DK2567" s="128"/>
      <c r="DL2567" s="128"/>
      <c r="DM2567" s="128"/>
      <c r="DN2567" s="128"/>
      <c r="DO2567" s="128"/>
      <c r="DP2567" s="128"/>
      <c r="DQ2567" s="128"/>
      <c r="DR2567" s="128"/>
      <c r="DS2567" s="128"/>
      <c r="DT2567" s="128"/>
      <c r="DU2567" s="128"/>
      <c r="DV2567" s="128"/>
      <c r="DW2567" s="128"/>
      <c r="DX2567" s="128"/>
      <c r="DY2567" s="128"/>
      <c r="DZ2567" s="128"/>
      <c r="EA2567" s="128"/>
      <c r="EB2567" s="128"/>
      <c r="EC2567" s="128"/>
      <c r="ED2567" s="128"/>
      <c r="EE2567" s="128"/>
      <c r="EF2567" s="128"/>
      <c r="EG2567" s="128"/>
      <c r="EH2567" s="128"/>
      <c r="EI2567" s="128"/>
      <c r="EJ2567" s="128"/>
      <c r="EK2567" s="128"/>
      <c r="EL2567" s="128"/>
      <c r="EM2567" s="128"/>
      <c r="EN2567" s="128"/>
      <c r="EO2567" s="128"/>
      <c r="EP2567" s="128"/>
      <c r="EQ2567" s="128"/>
      <c r="ER2567" s="128"/>
      <c r="ES2567" s="128"/>
      <c r="ET2567" s="128"/>
      <c r="EU2567" s="128"/>
      <c r="EV2567" s="128"/>
      <c r="EW2567" s="128"/>
      <c r="EX2567" s="128"/>
      <c r="EY2567" s="128"/>
      <c r="EZ2567" s="128"/>
      <c r="FA2567" s="128"/>
      <c r="FB2567" s="128"/>
      <c r="FC2567" s="128"/>
      <c r="FD2567" s="128"/>
      <c r="FE2567" s="128"/>
      <c r="FF2567" s="128"/>
      <c r="FG2567" s="128"/>
      <c r="FH2567" s="128"/>
      <c r="FI2567" s="128"/>
      <c r="FJ2567" s="128"/>
      <c r="FK2567" s="128"/>
      <c r="FL2567" s="128"/>
      <c r="FM2567" s="128"/>
      <c r="FN2567" s="128"/>
      <c r="FO2567" s="128"/>
      <c r="FP2567" s="128"/>
      <c r="FQ2567" s="128"/>
      <c r="FR2567" s="128"/>
      <c r="FS2567" s="128"/>
      <c r="FT2567" s="128"/>
      <c r="FU2567" s="128"/>
      <c r="FV2567" s="128"/>
      <c r="FW2567" s="128"/>
      <c r="FX2567" s="128"/>
      <c r="FY2567" s="128"/>
      <c r="FZ2567" s="128"/>
      <c r="GA2567" s="128"/>
      <c r="GB2567" s="128"/>
      <c r="GC2567" s="128"/>
      <c r="GD2567" s="128"/>
      <c r="GE2567" s="128"/>
      <c r="GF2567" s="128"/>
      <c r="GG2567" s="128"/>
      <c r="GH2567" s="128"/>
      <c r="GI2567" s="128"/>
      <c r="GJ2567" s="128"/>
      <c r="GK2567" s="128"/>
      <c r="GL2567" s="128"/>
      <c r="GM2567" s="128"/>
      <c r="GN2567" s="128"/>
      <c r="GO2567" s="128"/>
      <c r="GP2567" s="128"/>
      <c r="GQ2567" s="128"/>
      <c r="GR2567" s="128"/>
      <c r="GS2567" s="128"/>
      <c r="GT2567" s="128"/>
      <c r="GU2567" s="128"/>
      <c r="GV2567" s="128"/>
      <c r="GW2567" s="128"/>
      <c r="GX2567" s="128"/>
      <c r="GY2567" s="128"/>
      <c r="GZ2567" s="128"/>
      <c r="HA2567" s="128"/>
      <c r="HB2567" s="128"/>
      <c r="HC2567" s="128"/>
      <c r="HD2567" s="128"/>
      <c r="HE2567" s="128"/>
      <c r="HF2567" s="128"/>
      <c r="HG2567" s="128"/>
      <c r="HH2567" s="128"/>
      <c r="HI2567" s="128"/>
      <c r="HJ2567" s="128"/>
      <c r="HK2567" s="128"/>
      <c r="HL2567" s="128"/>
      <c r="HM2567" s="128"/>
      <c r="HN2567" s="128"/>
      <c r="HO2567" s="128"/>
      <c r="HP2567" s="128"/>
      <c r="HQ2567" s="128"/>
      <c r="HR2567" s="128"/>
      <c r="HS2567" s="128"/>
      <c r="HT2567" s="128"/>
      <c r="HU2567" s="128"/>
      <c r="HV2567" s="128"/>
      <c r="HW2567" s="128"/>
      <c r="HX2567" s="128"/>
      <c r="HY2567" s="128"/>
      <c r="HZ2567" s="128"/>
      <c r="IA2567" s="128"/>
      <c r="IB2567" s="128"/>
      <c r="IC2567" s="128"/>
      <c r="ID2567" s="128"/>
      <c r="IE2567" s="128"/>
      <c r="IF2567" s="128"/>
      <c r="IG2567" s="128"/>
      <c r="IH2567" s="128"/>
      <c r="II2567" s="128"/>
      <c r="IJ2567" s="128"/>
    </row>
    <row r="2568" spans="2:244" ht="12.75" customHeight="1">
      <c r="B2568" s="128"/>
      <c r="C2568" s="224"/>
      <c r="D2568" s="225"/>
      <c r="E2568" s="8"/>
      <c r="F2568" s="128"/>
      <c r="G2568" s="128"/>
      <c r="H2568" s="128"/>
      <c r="I2568" s="160"/>
      <c r="J2568" s="173"/>
      <c r="K2568" s="173"/>
      <c r="L2568" s="173"/>
      <c r="O2568" s="173"/>
      <c r="P2568" s="170"/>
      <c r="Q2568" s="128"/>
      <c r="R2568" s="128"/>
      <c r="S2568" s="180"/>
      <c r="T2568" s="173"/>
      <c r="U2568" s="171"/>
      <c r="V2568" s="173"/>
      <c r="W2568" s="173"/>
      <c r="X2568" s="128"/>
      <c r="Y2568" s="128"/>
      <c r="Z2568" s="128"/>
      <c r="AA2568" s="128"/>
      <c r="AB2568" s="128"/>
      <c r="AC2568" s="128"/>
      <c r="AD2568" s="128"/>
      <c r="AE2568" s="128"/>
      <c r="AF2568" s="128"/>
      <c r="AG2568" s="128"/>
      <c r="AH2568" s="128"/>
      <c r="AI2568" s="128"/>
      <c r="AJ2568" s="128"/>
      <c r="AK2568" s="128"/>
      <c r="AL2568" s="128"/>
      <c r="AM2568" s="128"/>
      <c r="AN2568" s="128"/>
      <c r="AO2568" s="128"/>
      <c r="AP2568" s="128"/>
      <c r="AQ2568" s="128"/>
      <c r="AR2568" s="128"/>
      <c r="AS2568" s="128"/>
      <c r="AT2568" s="128"/>
      <c r="AU2568" s="128"/>
      <c r="AV2568" s="128"/>
      <c r="AW2568" s="128"/>
      <c r="AX2568" s="128"/>
      <c r="AY2568" s="128"/>
      <c r="AZ2568" s="128"/>
      <c r="BA2568" s="128"/>
      <c r="BB2568" s="128"/>
      <c r="BC2568" s="128"/>
      <c r="BD2568" s="128"/>
      <c r="BE2568" s="128"/>
      <c r="BF2568" s="128"/>
      <c r="BG2568" s="128"/>
      <c r="BH2568" s="128"/>
      <c r="BI2568" s="128"/>
      <c r="BJ2568" s="128"/>
      <c r="BK2568" s="128"/>
      <c r="BL2568" s="128"/>
      <c r="BM2568" s="128"/>
      <c r="BN2568" s="128"/>
      <c r="BO2568" s="128"/>
      <c r="BP2568" s="128"/>
      <c r="BQ2568" s="128"/>
      <c r="BR2568" s="128"/>
      <c r="BS2568" s="128"/>
      <c r="BT2568" s="128"/>
      <c r="BU2568" s="128"/>
      <c r="BV2568" s="128"/>
      <c r="BW2568" s="128"/>
      <c r="BX2568" s="128"/>
      <c r="BY2568" s="128"/>
      <c r="BZ2568" s="128"/>
      <c r="CA2568" s="128"/>
      <c r="CB2568" s="128"/>
      <c r="CC2568" s="128"/>
      <c r="CD2568" s="128"/>
      <c r="CE2568" s="128"/>
      <c r="CF2568" s="128"/>
      <c r="CG2568" s="128"/>
      <c r="CH2568" s="128"/>
      <c r="CI2568" s="128"/>
      <c r="CJ2568" s="128"/>
      <c r="CK2568" s="128"/>
      <c r="CL2568" s="128"/>
      <c r="CM2568" s="128"/>
      <c r="CN2568" s="128"/>
      <c r="CO2568" s="128"/>
      <c r="CP2568" s="128"/>
      <c r="CQ2568" s="128"/>
      <c r="CR2568" s="128"/>
      <c r="CS2568" s="128"/>
      <c r="CT2568" s="128"/>
      <c r="CU2568" s="128"/>
      <c r="CV2568" s="128"/>
      <c r="CW2568" s="128"/>
      <c r="CX2568" s="128"/>
      <c r="CY2568" s="128"/>
      <c r="CZ2568" s="128"/>
      <c r="DA2568" s="128"/>
      <c r="DB2568" s="128"/>
      <c r="DC2568" s="128"/>
      <c r="DD2568" s="128"/>
      <c r="DE2568" s="128"/>
      <c r="DF2568" s="128"/>
      <c r="DG2568" s="128"/>
      <c r="DH2568" s="128"/>
      <c r="DI2568" s="128"/>
      <c r="DJ2568" s="128"/>
      <c r="DK2568" s="128"/>
      <c r="DL2568" s="128"/>
      <c r="DM2568" s="128"/>
      <c r="DN2568" s="128"/>
      <c r="DO2568" s="128"/>
      <c r="DP2568" s="128"/>
      <c r="DQ2568" s="128"/>
      <c r="DR2568" s="128"/>
      <c r="DS2568" s="128"/>
      <c r="DT2568" s="128"/>
      <c r="DU2568" s="128"/>
      <c r="DV2568" s="128"/>
      <c r="DW2568" s="128"/>
      <c r="DX2568" s="128"/>
      <c r="DY2568" s="128"/>
      <c r="DZ2568" s="128"/>
      <c r="EA2568" s="128"/>
      <c r="EB2568" s="128"/>
      <c r="EC2568" s="128"/>
      <c r="ED2568" s="128"/>
      <c r="EE2568" s="128"/>
      <c r="EF2568" s="128"/>
      <c r="EG2568" s="128"/>
      <c r="EH2568" s="128"/>
      <c r="EI2568" s="128"/>
      <c r="EJ2568" s="128"/>
      <c r="EK2568" s="128"/>
      <c r="EL2568" s="128"/>
      <c r="EM2568" s="128"/>
      <c r="EN2568" s="128"/>
      <c r="EO2568" s="128"/>
      <c r="EP2568" s="128"/>
      <c r="EQ2568" s="128"/>
      <c r="ER2568" s="128"/>
      <c r="ES2568" s="128"/>
      <c r="ET2568" s="128"/>
      <c r="EU2568" s="128"/>
      <c r="EV2568" s="128"/>
      <c r="EW2568" s="128"/>
      <c r="EX2568" s="128"/>
      <c r="EY2568" s="128"/>
      <c r="EZ2568" s="128"/>
      <c r="FA2568" s="128"/>
      <c r="FB2568" s="128"/>
      <c r="FC2568" s="128"/>
      <c r="FD2568" s="128"/>
      <c r="FE2568" s="128"/>
      <c r="FF2568" s="128"/>
      <c r="FG2568" s="128"/>
      <c r="FH2568" s="128"/>
      <c r="FI2568" s="128"/>
      <c r="FJ2568" s="128"/>
      <c r="FK2568" s="128"/>
      <c r="FL2568" s="128"/>
      <c r="FM2568" s="128"/>
      <c r="FN2568" s="128"/>
      <c r="FO2568" s="128"/>
      <c r="FP2568" s="128"/>
      <c r="FQ2568" s="128"/>
      <c r="FR2568" s="128"/>
      <c r="FS2568" s="128"/>
      <c r="FT2568" s="128"/>
      <c r="FU2568" s="128"/>
      <c r="FV2568" s="128"/>
      <c r="FW2568" s="128"/>
      <c r="FX2568" s="128"/>
      <c r="FY2568" s="128"/>
      <c r="FZ2568" s="128"/>
      <c r="GA2568" s="128"/>
      <c r="GB2568" s="128"/>
      <c r="GC2568" s="128"/>
      <c r="GD2568" s="128"/>
      <c r="GE2568" s="128"/>
      <c r="GF2568" s="128"/>
      <c r="GG2568" s="128"/>
      <c r="GH2568" s="128"/>
      <c r="GI2568" s="128"/>
      <c r="GJ2568" s="128"/>
      <c r="GK2568" s="128"/>
      <c r="GL2568" s="128"/>
      <c r="GM2568" s="128"/>
      <c r="GN2568" s="128"/>
      <c r="GO2568" s="128"/>
      <c r="GP2568" s="128"/>
      <c r="GQ2568" s="128"/>
      <c r="GR2568" s="128"/>
      <c r="GS2568" s="128"/>
      <c r="GT2568" s="128"/>
      <c r="GU2568" s="128"/>
      <c r="GV2568" s="128"/>
      <c r="GW2568" s="128"/>
      <c r="GX2568" s="128"/>
      <c r="GY2568" s="128"/>
      <c r="GZ2568" s="128"/>
      <c r="HA2568" s="128"/>
      <c r="HB2568" s="128"/>
      <c r="HC2568" s="128"/>
      <c r="HD2568" s="128"/>
      <c r="HE2568" s="128"/>
      <c r="HF2568" s="128"/>
      <c r="HG2568" s="128"/>
      <c r="HH2568" s="128"/>
      <c r="HI2568" s="128"/>
      <c r="HJ2568" s="128"/>
      <c r="HK2568" s="128"/>
      <c r="HL2568" s="128"/>
      <c r="HM2568" s="128"/>
      <c r="HN2568" s="128"/>
      <c r="HO2568" s="128"/>
      <c r="HP2568" s="128"/>
      <c r="HQ2568" s="128"/>
      <c r="HR2568" s="128"/>
      <c r="HS2568" s="128"/>
      <c r="HT2568" s="128"/>
      <c r="HU2568" s="128"/>
      <c r="HV2568" s="128"/>
      <c r="HW2568" s="128"/>
      <c r="HX2568" s="128"/>
      <c r="HY2568" s="128"/>
      <c r="HZ2568" s="128"/>
      <c r="IA2568" s="128"/>
      <c r="IB2568" s="128"/>
      <c r="IC2568" s="128"/>
      <c r="ID2568" s="128"/>
      <c r="IE2568" s="128"/>
      <c r="IF2568" s="128"/>
      <c r="IG2568" s="128"/>
      <c r="IH2568" s="128"/>
      <c r="II2568" s="128"/>
      <c r="IJ2568" s="128"/>
    </row>
    <row r="2569" spans="2:244" ht="12.75" customHeight="1">
      <c r="E2569" s="8"/>
    </row>
    <row r="2570" spans="2:244" ht="12.75" customHeight="1">
      <c r="E2570" s="8"/>
    </row>
    <row r="2571" spans="2:244" ht="12.75" customHeight="1">
      <c r="E2571" s="8"/>
    </row>
    <row r="2572" spans="2:244" ht="12.75" customHeight="1">
      <c r="E2572" s="8"/>
    </row>
    <row r="2573" spans="2:244" ht="12.75" customHeight="1">
      <c r="E2573" s="8"/>
    </row>
    <row r="2574" spans="2:244" ht="12.75" customHeight="1">
      <c r="E2574" s="8"/>
    </row>
    <row r="2575" spans="2:244" ht="12.75" customHeight="1">
      <c r="E2575" s="8"/>
    </row>
    <row r="2576" spans="2:244" ht="12.75" customHeight="1"/>
    <row r="2577" ht="12.75" customHeight="1"/>
    <row r="2578" ht="12.75" customHeight="1"/>
    <row r="2579" ht="12.75" customHeight="1"/>
    <row r="2580" ht="12.75" customHeight="1"/>
    <row r="2581" ht="12.75" customHeight="1"/>
    <row r="2582" ht="12.75" customHeight="1"/>
    <row r="2583" ht="12.75" customHeight="1"/>
    <row r="2584" ht="12.75" customHeight="1"/>
    <row r="2585" ht="12.75" customHeight="1"/>
    <row r="2586" ht="12.75" customHeight="1"/>
    <row r="2587" ht="12.75" customHeight="1"/>
    <row r="2588" ht="12.75" customHeight="1"/>
    <row r="2589" ht="12.75" customHeight="1"/>
    <row r="2590" ht="12.75" customHeight="1"/>
    <row r="2591" ht="12.75" customHeight="1"/>
    <row r="2592" ht="12.75" customHeight="1"/>
    <row r="2593" ht="12.75" customHeight="1"/>
    <row r="2594" ht="12.75" customHeight="1"/>
    <row r="2595" ht="12.75" customHeight="1"/>
    <row r="2596" ht="12.75" customHeight="1"/>
    <row r="2597" ht="12.75" customHeight="1"/>
    <row r="2598" ht="12.75" customHeight="1"/>
    <row r="2599" ht="12.75" customHeight="1"/>
    <row r="2600" ht="12.75" customHeight="1"/>
    <row r="2601" ht="12.75" customHeight="1"/>
    <row r="2602" ht="12.75" customHeight="1"/>
    <row r="2603" ht="12.75" customHeight="1"/>
    <row r="2604" ht="12.75" customHeight="1"/>
    <row r="2605" ht="12.75" customHeight="1"/>
    <row r="2606" ht="12.75" customHeight="1"/>
    <row r="2607" ht="12.75" customHeight="1"/>
    <row r="2608" ht="12.75" customHeight="1"/>
    <row r="2609" spans="8:9" ht="12.75" customHeight="1"/>
    <row r="2610" spans="8:9" ht="12.75" customHeight="1"/>
    <row r="2611" spans="8:9" ht="12.75" customHeight="1"/>
    <row r="2612" spans="8:9" ht="12.75" customHeight="1"/>
    <row r="2613" spans="8:9" ht="12.75" customHeight="1"/>
    <row r="2614" spans="8:9" ht="12.75" customHeight="1">
      <c r="H2614" s="162"/>
      <c r="I2614" s="194"/>
    </row>
    <row r="2615" spans="8:9" ht="12.75" customHeight="1"/>
    <row r="2616" spans="8:9" ht="12.75" customHeight="1"/>
    <row r="2617" spans="8:9" ht="12.75" customHeight="1"/>
    <row r="2618" spans="8:9" ht="12.75" customHeight="1"/>
    <row r="2619" spans="8:9" ht="12.75" customHeight="1"/>
    <row r="2620" spans="8:9" ht="12.75" customHeight="1"/>
    <row r="2621" spans="8:9" ht="12.75" customHeight="1"/>
    <row r="2622" spans="8:9" ht="12.75" customHeight="1"/>
    <row r="2623" spans="8:9" ht="12.75" customHeight="1"/>
    <row r="2624" spans="8:9" ht="12.75" customHeight="1"/>
    <row r="2625" spans="8:9" ht="12.75" customHeight="1"/>
    <row r="2626" spans="8:9" ht="12.75" customHeight="1"/>
    <row r="2627" spans="8:9" ht="12.75" customHeight="1"/>
    <row r="2628" spans="8:9" ht="12.75" customHeight="1"/>
    <row r="2629" spans="8:9" ht="12.75" customHeight="1"/>
    <row r="2630" spans="8:9" ht="12.75" customHeight="1"/>
    <row r="2631" spans="8:9" ht="12.75" customHeight="1"/>
    <row r="2632" spans="8:9" ht="12.75" customHeight="1"/>
    <row r="2633" spans="8:9" ht="12.75" customHeight="1"/>
    <row r="2634" spans="8:9" ht="12.75" customHeight="1"/>
    <row r="2635" spans="8:9" ht="12.75" customHeight="1"/>
    <row r="2636" spans="8:9" ht="12.75" customHeight="1"/>
    <row r="2637" spans="8:9" ht="12.75" customHeight="1"/>
    <row r="2638" spans="8:9" ht="12.75" customHeight="1"/>
    <row r="2639" spans="8:9" ht="12.75" customHeight="1">
      <c r="H2639" s="162"/>
      <c r="I2639" s="194"/>
    </row>
    <row r="2640" spans="8:9" ht="12.75" customHeight="1">
      <c r="H2640" s="162"/>
      <c r="I2640" s="194"/>
    </row>
    <row r="2641" spans="8:9" ht="12.75" customHeight="1">
      <c r="H2641" s="162"/>
      <c r="I2641" s="194"/>
    </row>
    <row r="2642" spans="8:9" ht="12.75" customHeight="1">
      <c r="H2642" s="162"/>
      <c r="I2642" s="194"/>
    </row>
    <row r="2643" spans="8:9" ht="12.75" customHeight="1">
      <c r="H2643" s="162"/>
      <c r="I2643" s="194"/>
    </row>
    <row r="2644" spans="8:9" ht="12.75" customHeight="1">
      <c r="H2644" s="162"/>
      <c r="I2644" s="194"/>
    </row>
    <row r="2645" spans="8:9" ht="12.75" customHeight="1">
      <c r="H2645" s="162"/>
      <c r="I2645" s="194"/>
    </row>
    <row r="2646" spans="8:9" ht="12.75" customHeight="1">
      <c r="H2646" s="162"/>
      <c r="I2646" s="194"/>
    </row>
    <row r="2647" spans="8:9" ht="12.75" customHeight="1">
      <c r="H2647" s="162"/>
      <c r="I2647" s="194"/>
    </row>
    <row r="2648" spans="8:9" ht="12.75" customHeight="1"/>
    <row r="2649" spans="8:9" ht="12.75" customHeight="1"/>
    <row r="2650" spans="8:9" ht="12.75" customHeight="1"/>
    <row r="2651" spans="8:9" ht="12.75" customHeight="1"/>
    <row r="2652" spans="8:9" ht="12.75" customHeight="1"/>
    <row r="2653" spans="8:9" ht="12.75" customHeight="1"/>
    <row r="2654" spans="8:9" ht="12.75" customHeight="1"/>
    <row r="2655" spans="8:9" ht="12.75" customHeight="1"/>
    <row r="2656" spans="8:9" ht="12.75" customHeight="1"/>
    <row r="2657" spans="8:9" ht="12.75" customHeight="1"/>
    <row r="2658" spans="8:9" ht="12.75" customHeight="1"/>
    <row r="2659" spans="8:9" ht="12.75" customHeight="1"/>
    <row r="2660" spans="8:9" ht="12.75" customHeight="1">
      <c r="H2660" s="162"/>
      <c r="I2660" s="194"/>
    </row>
    <row r="2661" spans="8:9" ht="12.75" customHeight="1">
      <c r="H2661" s="162"/>
      <c r="I2661" s="194"/>
    </row>
    <row r="2662" spans="8:9" ht="12.75" customHeight="1">
      <c r="H2662" s="162"/>
      <c r="I2662" s="194"/>
    </row>
    <row r="2663" spans="8:9" ht="12.75" customHeight="1">
      <c r="H2663" s="162"/>
      <c r="I2663" s="194"/>
    </row>
    <row r="2664" spans="8:9" ht="12.75" customHeight="1">
      <c r="H2664" s="162"/>
      <c r="I2664" s="194"/>
    </row>
    <row r="2665" spans="8:9" ht="12.75" customHeight="1">
      <c r="H2665" s="162"/>
      <c r="I2665" s="194"/>
    </row>
    <row r="2666" spans="8:9" ht="12.75" customHeight="1">
      <c r="H2666" s="162"/>
      <c r="I2666" s="194"/>
    </row>
    <row r="2667" spans="8:9" ht="12.75" customHeight="1">
      <c r="H2667" s="162"/>
      <c r="I2667" s="194"/>
    </row>
    <row r="2668" spans="8:9" ht="12.75" customHeight="1"/>
    <row r="2669" spans="8:9" ht="12.75" customHeight="1"/>
    <row r="2670" spans="8:9" ht="12.75" customHeight="1"/>
    <row r="2671" spans="8:9" ht="12.75" customHeight="1"/>
    <row r="2672" spans="8:9" ht="12.75" customHeight="1"/>
    <row r="2673" spans="8:9" ht="12.75" customHeight="1"/>
    <row r="2674" spans="8:9" ht="12.75" customHeight="1"/>
    <row r="2675" spans="8:9" ht="12.75" customHeight="1"/>
    <row r="2676" spans="8:9" ht="12.75" customHeight="1"/>
    <row r="2677" spans="8:9" ht="12.75" customHeight="1"/>
    <row r="2678" spans="8:9" ht="12.75" customHeight="1"/>
    <row r="2679" spans="8:9" ht="12.75" customHeight="1"/>
    <row r="2680" spans="8:9" ht="12.75" customHeight="1">
      <c r="H2680" s="162"/>
      <c r="I2680" s="194"/>
    </row>
    <row r="2681" spans="8:9" ht="12.75" customHeight="1">
      <c r="H2681" s="162"/>
      <c r="I2681" s="194"/>
    </row>
    <row r="2682" spans="8:9" ht="12.75" customHeight="1">
      <c r="H2682" s="162"/>
      <c r="I2682" s="194"/>
    </row>
    <row r="2683" spans="8:9" ht="12.75" customHeight="1">
      <c r="H2683" s="162"/>
      <c r="I2683" s="194"/>
    </row>
    <row r="2684" spans="8:9" ht="12.75" customHeight="1">
      <c r="H2684" s="162"/>
      <c r="I2684" s="194"/>
    </row>
    <row r="2685" spans="8:9" ht="12.75" customHeight="1">
      <c r="H2685" s="162"/>
      <c r="I2685" s="194"/>
    </row>
    <row r="2686" spans="8:9" ht="12.75" customHeight="1">
      <c r="H2686" s="162"/>
      <c r="I2686" s="194"/>
    </row>
    <row r="2687" spans="8:9" ht="12.75" customHeight="1">
      <c r="H2687" s="162"/>
      <c r="I2687" s="194"/>
    </row>
    <row r="2688" spans="8:9" ht="12.75" customHeight="1">
      <c r="H2688" s="162"/>
      <c r="I2688" s="194"/>
    </row>
    <row r="2689" spans="8:9" ht="12.75" customHeight="1">
      <c r="H2689" s="162"/>
      <c r="I2689" s="194"/>
    </row>
    <row r="2690" spans="8:9" ht="12.75" customHeight="1">
      <c r="H2690" s="162"/>
      <c r="I2690" s="194"/>
    </row>
    <row r="2691" spans="8:9" ht="12.75" customHeight="1">
      <c r="H2691" s="162"/>
      <c r="I2691" s="194"/>
    </row>
    <row r="2692" spans="8:9" ht="12.75" customHeight="1">
      <c r="H2692" s="162"/>
      <c r="I2692" s="194"/>
    </row>
    <row r="2693" spans="8:9" ht="12.75" customHeight="1">
      <c r="H2693" s="162"/>
      <c r="I2693" s="194"/>
    </row>
    <row r="2694" spans="8:9" ht="12.75" customHeight="1">
      <c r="H2694" s="162"/>
      <c r="I2694" s="194"/>
    </row>
    <row r="2695" spans="8:9" ht="12.75" customHeight="1"/>
    <row r="2696" spans="8:9" ht="12.75" customHeight="1"/>
    <row r="2697" spans="8:9" ht="12.75" customHeight="1"/>
    <row r="2698" spans="8:9" ht="12.75" customHeight="1"/>
    <row r="2699" spans="8:9" ht="12.75" customHeight="1"/>
    <row r="2700" spans="8:9" ht="12.75" customHeight="1"/>
    <row r="2701" spans="8:9" ht="12.75" customHeight="1"/>
    <row r="2702" spans="8:9" ht="12.75" customHeight="1"/>
    <row r="2703" spans="8:9" ht="12.75" customHeight="1"/>
    <row r="2704" spans="8:9" ht="12.75" customHeight="1"/>
    <row r="2705" spans="8:9" ht="12.75" customHeight="1"/>
    <row r="2706" spans="8:9" ht="12.75" customHeight="1"/>
    <row r="2707" spans="8:9" ht="12.75" customHeight="1">
      <c r="H2707" s="162"/>
      <c r="I2707" s="194"/>
    </row>
    <row r="2708" spans="8:9" ht="12.75" customHeight="1">
      <c r="H2708" s="162"/>
      <c r="I2708" s="194"/>
    </row>
    <row r="2709" spans="8:9" ht="12.75" customHeight="1">
      <c r="H2709" s="162"/>
      <c r="I2709" s="194"/>
    </row>
    <row r="2710" spans="8:9" ht="12.75" customHeight="1">
      <c r="H2710" s="162"/>
      <c r="I2710" s="194"/>
    </row>
    <row r="2711" spans="8:9" ht="12.75" customHeight="1">
      <c r="H2711" s="162"/>
      <c r="I2711" s="194"/>
    </row>
    <row r="2712" spans="8:9" ht="12.75" customHeight="1">
      <c r="H2712" s="162"/>
      <c r="I2712" s="194"/>
    </row>
    <row r="2713" spans="8:9" ht="12.75" customHeight="1">
      <c r="H2713" s="162"/>
      <c r="I2713" s="194"/>
    </row>
    <row r="2714" spans="8:9" ht="12.75" customHeight="1">
      <c r="H2714" s="162"/>
      <c r="I2714" s="194"/>
    </row>
    <row r="2715" spans="8:9" ht="12.75" customHeight="1">
      <c r="H2715" s="162"/>
      <c r="I2715" s="194"/>
    </row>
    <row r="2716" spans="8:9" ht="12.75" customHeight="1">
      <c r="H2716" s="162"/>
      <c r="I2716" s="194"/>
    </row>
    <row r="2717" spans="8:9" ht="12.75" customHeight="1">
      <c r="H2717" s="162"/>
      <c r="I2717" s="194"/>
    </row>
    <row r="2718" spans="8:9" ht="12.75" customHeight="1">
      <c r="H2718" s="162"/>
      <c r="I2718" s="194"/>
    </row>
    <row r="2719" spans="8:9" ht="12.75" customHeight="1">
      <c r="H2719" s="162"/>
      <c r="I2719" s="194"/>
    </row>
    <row r="2720" spans="8:9" ht="12.75" customHeight="1"/>
    <row r="2721" spans="9:9" ht="12.75" customHeight="1"/>
    <row r="2722" spans="9:9" ht="12.75" customHeight="1"/>
    <row r="2723" spans="9:9" ht="12.75" customHeight="1"/>
    <row r="2724" spans="9:9" ht="12.75" customHeight="1"/>
    <row r="2725" spans="9:9" ht="12.75" customHeight="1"/>
    <row r="2726" spans="9:9" ht="12.75" customHeight="1"/>
    <row r="2727" spans="9:9" ht="12.75" customHeight="1"/>
    <row r="2728" spans="9:9" ht="12.75" customHeight="1"/>
    <row r="2729" spans="9:9" ht="12.75" customHeight="1"/>
    <row r="2730" spans="9:9" ht="12.75" customHeight="1"/>
    <row r="2731" spans="9:9" ht="12.75" customHeight="1"/>
    <row r="2732" spans="9:9" ht="12.75" customHeight="1">
      <c r="I2732" s="194"/>
    </row>
    <row r="2733" spans="9:9" ht="12.75" customHeight="1">
      <c r="I2733" s="194"/>
    </row>
    <row r="2734" spans="9:9" ht="12.75" customHeight="1">
      <c r="I2734" s="194"/>
    </row>
    <row r="2735" spans="9:9" ht="12.75" customHeight="1">
      <c r="I2735" s="194"/>
    </row>
    <row r="2736" spans="9:9" ht="12.75" customHeight="1">
      <c r="I2736" s="194"/>
    </row>
    <row r="2737" spans="9:9" ht="12.75" customHeight="1">
      <c r="I2737" s="194"/>
    </row>
    <row r="2738" spans="9:9" ht="12.75" customHeight="1">
      <c r="I2738" s="194"/>
    </row>
    <row r="2739" spans="9:9" ht="12.75" customHeight="1">
      <c r="I2739" s="194"/>
    </row>
    <row r="2740" spans="9:9" ht="12.75" customHeight="1">
      <c r="I2740" s="194"/>
    </row>
    <row r="2741" spans="9:9" ht="12.75" customHeight="1">
      <c r="I2741" s="194"/>
    </row>
    <row r="2742" spans="9:9" ht="12.75" customHeight="1">
      <c r="I2742" s="194"/>
    </row>
    <row r="2743" spans="9:9" ht="12.75" customHeight="1">
      <c r="I2743" s="194"/>
    </row>
    <row r="2744" spans="9:9" ht="12.75" customHeight="1">
      <c r="I2744" s="194"/>
    </row>
    <row r="2745" spans="9:9" ht="12.75" customHeight="1">
      <c r="I2745" s="194"/>
    </row>
    <row r="2746" spans="9:9" ht="12.75" customHeight="1">
      <c r="I2746" s="194"/>
    </row>
    <row r="2747" spans="9:9" ht="12.75" customHeight="1">
      <c r="I2747" s="194"/>
    </row>
    <row r="2748" spans="9:9" ht="12.75" customHeight="1"/>
    <row r="2749" spans="9:9" ht="12.75" customHeight="1"/>
    <row r="2750" spans="9:9" ht="12.75" customHeight="1"/>
    <row r="2751" spans="9:9" ht="12.75" customHeight="1"/>
    <row r="2752" spans="9:9" ht="12.75" customHeight="1"/>
    <row r="2753" spans="8:9" ht="12.75" customHeight="1"/>
    <row r="2754" spans="8:9" ht="12.75" customHeight="1"/>
    <row r="2755" spans="8:9" ht="12.75" customHeight="1"/>
    <row r="2756" spans="8:9" ht="12.75" customHeight="1"/>
    <row r="2757" spans="8:9" ht="12.75" customHeight="1"/>
    <row r="2758" spans="8:9" ht="12.75" customHeight="1"/>
    <row r="2759" spans="8:9" ht="12.75" customHeight="1"/>
    <row r="2760" spans="8:9" ht="12.75" customHeight="1">
      <c r="H2760" s="162"/>
      <c r="I2760" s="194"/>
    </row>
    <row r="2761" spans="8:9" ht="12.75" customHeight="1">
      <c r="H2761" s="162"/>
      <c r="I2761" s="194"/>
    </row>
    <row r="2762" spans="8:9" ht="12.75" customHeight="1">
      <c r="H2762" s="162"/>
      <c r="I2762" s="194"/>
    </row>
    <row r="2763" spans="8:9" ht="12.75" customHeight="1">
      <c r="H2763" s="162"/>
      <c r="I2763" s="194"/>
    </row>
    <row r="2764" spans="8:9" ht="12.75" customHeight="1">
      <c r="H2764" s="162"/>
      <c r="I2764" s="194"/>
    </row>
    <row r="2765" spans="8:9" ht="12.75" customHeight="1">
      <c r="H2765" s="162"/>
      <c r="I2765" s="194"/>
    </row>
    <row r="2766" spans="8:9" ht="12.75" customHeight="1">
      <c r="H2766" s="162"/>
      <c r="I2766" s="194"/>
    </row>
    <row r="2767" spans="8:9" ht="12.75" customHeight="1">
      <c r="H2767" s="162"/>
      <c r="I2767" s="194"/>
    </row>
    <row r="2768" spans="8:9" ht="12.75" customHeight="1">
      <c r="H2768" s="162"/>
      <c r="I2768" s="194"/>
    </row>
    <row r="2769" spans="8:9" ht="12.75" customHeight="1">
      <c r="H2769" s="162"/>
      <c r="I2769" s="194"/>
    </row>
    <row r="2770" spans="8:9" ht="12.75" customHeight="1">
      <c r="H2770" s="162"/>
      <c r="I2770" s="194"/>
    </row>
    <row r="2771" spans="8:9" ht="12.75" customHeight="1">
      <c r="H2771" s="162"/>
      <c r="I2771" s="194"/>
    </row>
    <row r="2772" spans="8:9" ht="12.75" customHeight="1">
      <c r="H2772" s="162"/>
      <c r="I2772" s="194"/>
    </row>
    <row r="2773" spans="8:9" ht="12.75" customHeight="1"/>
    <row r="2774" spans="8:9" ht="12.75" customHeight="1"/>
    <row r="2775" spans="8:9" ht="12.75" customHeight="1"/>
    <row r="2776" spans="8:9" ht="12.75" customHeight="1"/>
    <row r="2777" spans="8:9" ht="12.75" customHeight="1"/>
    <row r="2778" spans="8:9" ht="12.75" customHeight="1"/>
    <row r="2779" spans="8:9" ht="12.75" customHeight="1"/>
    <row r="2780" spans="8:9" ht="12.75" customHeight="1"/>
    <row r="2781" spans="8:9" ht="12.75" customHeight="1"/>
    <row r="2782" spans="8:9" ht="12.75" customHeight="1"/>
    <row r="2783" spans="8:9" ht="12.75" customHeight="1"/>
    <row r="2784" spans="8:9" ht="12.75" customHeight="1"/>
    <row r="2785" spans="8:9" ht="12.75" customHeight="1">
      <c r="H2785" s="162"/>
      <c r="I2785" s="194"/>
    </row>
    <row r="2786" spans="8:9" ht="12.75" customHeight="1">
      <c r="H2786" s="162"/>
      <c r="I2786" s="194"/>
    </row>
    <row r="2787" spans="8:9" ht="12.75" customHeight="1">
      <c r="H2787" s="162"/>
      <c r="I2787" s="194"/>
    </row>
    <row r="2788" spans="8:9" ht="12.75" customHeight="1">
      <c r="H2788" s="162"/>
      <c r="I2788" s="194"/>
    </row>
    <row r="2789" spans="8:9" ht="12.75" customHeight="1">
      <c r="H2789" s="162"/>
      <c r="I2789" s="194"/>
    </row>
    <row r="2790" spans="8:9" ht="12.75" customHeight="1"/>
    <row r="2791" spans="8:9" ht="12.75" customHeight="1"/>
    <row r="2792" spans="8:9" ht="12.75" customHeight="1"/>
    <row r="2793" spans="8:9" ht="12.75" customHeight="1"/>
    <row r="2794" spans="8:9" ht="12.75" customHeight="1"/>
    <row r="2795" spans="8:9" ht="12.75" customHeight="1"/>
    <row r="2796" spans="8:9" ht="12.75" customHeight="1"/>
    <row r="2797" spans="8:9" ht="12.75" customHeight="1"/>
    <row r="2798" spans="8:9" ht="12.75" customHeight="1"/>
    <row r="2799" spans="8:9" ht="12.75" customHeight="1"/>
    <row r="2800" spans="8:9" ht="12.75" customHeight="1"/>
    <row r="2801" spans="8:9" ht="12.75" customHeight="1"/>
    <row r="2802" spans="8:9" ht="12.75" customHeight="1">
      <c r="H2802" s="162"/>
      <c r="I2802" s="194"/>
    </row>
    <row r="2803" spans="8:9" ht="12.75" customHeight="1">
      <c r="H2803" s="162"/>
      <c r="I2803" s="194"/>
    </row>
    <row r="2804" spans="8:9" ht="12.75" customHeight="1">
      <c r="H2804" s="162"/>
      <c r="I2804" s="194"/>
    </row>
    <row r="2805" spans="8:9" ht="12.75" customHeight="1">
      <c r="H2805" s="162"/>
      <c r="I2805" s="194"/>
    </row>
    <row r="2806" spans="8:9" ht="12.75" customHeight="1">
      <c r="H2806" s="162"/>
      <c r="I2806" s="194"/>
    </row>
    <row r="2807" spans="8:9" ht="12.75" customHeight="1">
      <c r="H2807" s="162"/>
      <c r="I2807" s="194"/>
    </row>
    <row r="2808" spans="8:9" ht="12.75" customHeight="1">
      <c r="H2808" s="162"/>
      <c r="I2808" s="194"/>
    </row>
    <row r="2809" spans="8:9" ht="12.75" customHeight="1">
      <c r="H2809" s="162"/>
      <c r="I2809" s="194"/>
    </row>
    <row r="2810" spans="8:9" ht="12.75" customHeight="1">
      <c r="H2810" s="162"/>
      <c r="I2810" s="194"/>
    </row>
    <row r="2811" spans="8:9" ht="12.75" customHeight="1">
      <c r="H2811" s="162"/>
      <c r="I2811" s="194"/>
    </row>
    <row r="2812" spans="8:9" ht="12.75" customHeight="1">
      <c r="H2812" s="162"/>
      <c r="I2812" s="194"/>
    </row>
    <row r="2813" spans="8:9" ht="12.75" customHeight="1">
      <c r="H2813" s="162"/>
      <c r="I2813" s="194"/>
    </row>
    <row r="2814" spans="8:9" ht="12.75" customHeight="1">
      <c r="H2814" s="162"/>
      <c r="I2814" s="194"/>
    </row>
    <row r="2815" spans="8:9" ht="12.75" customHeight="1">
      <c r="H2815" s="162"/>
      <c r="I2815" s="194"/>
    </row>
    <row r="2816" spans="8:9" ht="12.75" customHeight="1">
      <c r="H2816" s="162"/>
      <c r="I2816" s="194"/>
    </row>
    <row r="2817" spans="8:9" ht="12.75" customHeight="1">
      <c r="H2817" s="162"/>
      <c r="I2817" s="194"/>
    </row>
    <row r="2818" spans="8:9" ht="12.75" customHeight="1"/>
    <row r="2819" spans="8:9" ht="12.75" customHeight="1"/>
    <row r="2820" spans="8:9" ht="12.75" customHeight="1"/>
    <row r="2821" spans="8:9" ht="12.75" customHeight="1"/>
    <row r="2822" spans="8:9" ht="12.75" customHeight="1"/>
    <row r="2823" spans="8:9" ht="12.75" customHeight="1"/>
    <row r="2824" spans="8:9" ht="12.75" customHeight="1"/>
    <row r="2825" spans="8:9" ht="12.75" customHeight="1"/>
    <row r="2826" spans="8:9" ht="12.75" customHeight="1"/>
    <row r="2827" spans="8:9" ht="12.75" customHeight="1"/>
    <row r="2828" spans="8:9" ht="12.75" customHeight="1"/>
    <row r="2829" spans="8:9" ht="12.75" customHeight="1"/>
    <row r="2830" spans="8:9" ht="12.75" customHeight="1">
      <c r="H2830" s="162"/>
      <c r="I2830" s="194"/>
    </row>
    <row r="2831" spans="8:9" ht="12.75" customHeight="1">
      <c r="H2831" s="162"/>
      <c r="I2831" s="194"/>
    </row>
    <row r="2832" spans="8:9" ht="12.75" customHeight="1">
      <c r="H2832" s="162"/>
      <c r="I2832" s="194"/>
    </row>
    <row r="2833" spans="3:9" ht="12.75" customHeight="1">
      <c r="H2833" s="162"/>
      <c r="I2833" s="194"/>
    </row>
    <row r="2834" spans="3:9" ht="12.75" customHeight="1">
      <c r="H2834" s="162"/>
      <c r="I2834" s="194"/>
    </row>
    <row r="2835" spans="3:9" ht="12.75" customHeight="1">
      <c r="H2835" s="162"/>
      <c r="I2835" s="194"/>
    </row>
    <row r="2836" spans="3:9" ht="12.75" customHeight="1">
      <c r="H2836" s="162"/>
      <c r="I2836" s="194"/>
    </row>
    <row r="2837" spans="3:9" ht="12.75" customHeight="1"/>
    <row r="2838" spans="3:9" ht="12.75" customHeight="1"/>
    <row r="2839" spans="3:9" ht="12.75" customHeight="1"/>
    <row r="2840" spans="3:9" ht="12.75" customHeight="1"/>
    <row r="2841" spans="3:9" ht="12.75" customHeight="1"/>
    <row r="2842" spans="3:9" ht="12.75" customHeight="1"/>
    <row r="2843" spans="3:9" ht="12.75" customHeight="1"/>
    <row r="2844" spans="3:9" ht="12.75" customHeight="1"/>
    <row r="2845" spans="3:9" ht="12.75" customHeight="1"/>
    <row r="2846" spans="3:9" ht="12.75" customHeight="1"/>
    <row r="2847" spans="3:9" ht="12.75" customHeight="1"/>
    <row r="2848" spans="3:9" ht="12" customHeight="1">
      <c r="C2848" s="156"/>
      <c r="D2848" s="227"/>
      <c r="E2848" s="162"/>
      <c r="F2848" s="162"/>
      <c r="G2848" s="162"/>
      <c r="H2848" s="128"/>
      <c r="I2848" s="160"/>
    </row>
    <row r="2849" spans="3:23" ht="12.75" customHeight="1">
      <c r="C2849" s="156"/>
      <c r="D2849" s="227"/>
      <c r="E2849" s="162"/>
      <c r="F2849" s="162"/>
      <c r="G2849" s="162"/>
      <c r="H2849" s="128"/>
      <c r="I2849" s="160"/>
    </row>
    <row r="2850" spans="3:23" ht="12.75" customHeight="1">
      <c r="C2850" s="156"/>
      <c r="D2850" s="227"/>
      <c r="E2850" s="162"/>
      <c r="F2850" s="162"/>
      <c r="G2850" s="162"/>
      <c r="H2850" s="162"/>
      <c r="J2850" s="11"/>
      <c r="K2850" s="11"/>
      <c r="L2850" s="11"/>
      <c r="O2850" s="11"/>
      <c r="T2850" s="11"/>
      <c r="V2850" s="11"/>
      <c r="W2850" s="11"/>
    </row>
    <row r="2851" spans="3:23" ht="12.75" customHeight="1">
      <c r="C2851" s="156"/>
      <c r="D2851" s="227"/>
      <c r="E2851" s="162"/>
      <c r="F2851" s="162"/>
      <c r="G2851" s="162"/>
      <c r="H2851" s="162"/>
    </row>
    <row r="2852" spans="3:23" ht="12.75" customHeight="1">
      <c r="C2852" s="156"/>
      <c r="D2852" s="227"/>
      <c r="E2852" s="162"/>
      <c r="F2852" s="162"/>
      <c r="G2852" s="162"/>
      <c r="H2852" s="162"/>
    </row>
    <row r="2853" spans="3:23" ht="12.75" customHeight="1"/>
    <row r="2854" spans="3:23" ht="12.75" customHeight="1"/>
    <row r="2855" spans="3:23" ht="12.75" customHeight="1">
      <c r="C2855" s="156"/>
      <c r="D2855" s="227"/>
      <c r="E2855" s="162"/>
      <c r="F2855" s="162"/>
      <c r="G2855" s="162"/>
      <c r="H2855" s="162"/>
      <c r="J2855" s="11"/>
      <c r="K2855" s="11"/>
      <c r="L2855" s="11"/>
      <c r="O2855" s="11"/>
      <c r="T2855" s="11"/>
      <c r="V2855" s="11"/>
      <c r="W2855" s="11"/>
    </row>
    <row r="2856" spans="3:23" ht="12.75" customHeight="1">
      <c r="C2856" s="156"/>
      <c r="D2856" s="227"/>
      <c r="E2856" s="162"/>
      <c r="F2856" s="162"/>
      <c r="G2856" s="162"/>
      <c r="J2856" s="11"/>
      <c r="K2856" s="11"/>
      <c r="L2856" s="11"/>
      <c r="O2856" s="11"/>
      <c r="T2856" s="11"/>
      <c r="V2856" s="11"/>
      <c r="W2856" s="11"/>
    </row>
    <row r="2857" spans="3:23" ht="12.75" customHeight="1">
      <c r="J2857" s="11"/>
      <c r="K2857" s="11"/>
      <c r="L2857" s="11"/>
      <c r="O2857" s="11"/>
      <c r="T2857" s="11"/>
      <c r="V2857" s="11"/>
      <c r="W2857" s="11"/>
    </row>
    <row r="2858" spans="3:23" ht="12.75" customHeight="1">
      <c r="J2858" s="11"/>
      <c r="K2858" s="11"/>
      <c r="L2858" s="11"/>
      <c r="O2858" s="11"/>
      <c r="T2858" s="11"/>
      <c r="V2858" s="11"/>
      <c r="W2858" s="11"/>
    </row>
    <row r="2859" spans="3:23" ht="12.75" customHeight="1">
      <c r="C2859" s="156"/>
      <c r="D2859" s="227"/>
      <c r="E2859" s="162"/>
      <c r="F2859" s="162"/>
      <c r="G2859" s="162"/>
      <c r="H2859" s="162"/>
      <c r="J2859" s="11"/>
      <c r="K2859" s="11"/>
      <c r="L2859" s="11"/>
      <c r="O2859" s="11"/>
      <c r="T2859" s="11"/>
      <c r="V2859" s="11"/>
      <c r="W2859" s="11"/>
    </row>
    <row r="2860" spans="3:23" ht="12.75" customHeight="1"/>
    <row r="2861" spans="3:23" ht="12.75" customHeight="1"/>
    <row r="2862" spans="3:23" ht="12.75" customHeight="1">
      <c r="C2862" s="156"/>
      <c r="D2862" s="227"/>
      <c r="E2862" s="162"/>
      <c r="F2862" s="162"/>
      <c r="G2862" s="162"/>
      <c r="J2862" s="11"/>
      <c r="K2862" s="166"/>
      <c r="L2862" s="11"/>
      <c r="O2862" s="11"/>
      <c r="T2862" s="166"/>
      <c r="V2862" s="11"/>
      <c r="W2862" s="11"/>
    </row>
    <row r="2863" spans="3:23" ht="12.75" customHeight="1"/>
    <row r="2864" spans="3:23" ht="12.75" customHeight="1"/>
    <row r="2865" spans="3:23" ht="12.75" customHeight="1"/>
    <row r="2866" spans="3:23" ht="12.75" customHeight="1"/>
    <row r="2867" spans="3:23" ht="12.75" customHeight="1"/>
    <row r="2868" spans="3:23" ht="12.75" customHeight="1"/>
    <row r="2869" spans="3:23" ht="12.75" customHeight="1"/>
    <row r="2870" spans="3:23" ht="12.75" customHeight="1"/>
    <row r="2871" spans="3:23" ht="12.75" customHeight="1">
      <c r="C2871" s="156"/>
      <c r="D2871" s="227"/>
      <c r="E2871" s="162"/>
      <c r="F2871" s="162"/>
      <c r="G2871" s="162"/>
      <c r="J2871" s="11"/>
      <c r="K2871" s="11"/>
      <c r="L2871" s="11"/>
      <c r="O2871" s="11"/>
      <c r="T2871" s="11"/>
      <c r="V2871" s="11"/>
      <c r="W2871" s="11"/>
    </row>
    <row r="2872" spans="3:23" ht="12.75" customHeight="1"/>
    <row r="2873" spans="3:23" ht="12.75" customHeight="1"/>
    <row r="2874" spans="3:23" ht="12.75" customHeight="1"/>
    <row r="2875" spans="3:23" ht="12.75" customHeight="1">
      <c r="C2875" s="228"/>
      <c r="D2875" s="229"/>
      <c r="E2875" s="230"/>
      <c r="F2875" s="230"/>
      <c r="G2875" s="230"/>
      <c r="H2875" s="230"/>
      <c r="I2875" s="231"/>
      <c r="J2875" s="230"/>
      <c r="K2875" s="230"/>
      <c r="L2875" s="230"/>
      <c r="O2875" s="230"/>
      <c r="P2875" s="232"/>
      <c r="Q2875" s="230"/>
      <c r="R2875" s="230"/>
      <c r="S2875" s="228"/>
      <c r="T2875" s="230"/>
      <c r="U2875" s="233"/>
      <c r="V2875" s="230"/>
      <c r="W2875" s="230"/>
    </row>
    <row r="2876" spans="3:23" ht="12.75" customHeight="1"/>
    <row r="2877" spans="3:23" ht="12.75" customHeight="1"/>
    <row r="2878" spans="3:23" ht="12.75" customHeight="1"/>
    <row r="2879" spans="3:23" ht="12.75" customHeight="1"/>
    <row r="2880" spans="3:23" ht="12.75" customHeight="1">
      <c r="C2880" s="156"/>
      <c r="D2880" s="227"/>
      <c r="E2880" s="162"/>
      <c r="F2880" s="162"/>
      <c r="G2880" s="162"/>
      <c r="H2880" s="162"/>
      <c r="J2880" s="11"/>
      <c r="K2880" s="11"/>
      <c r="L2880" s="11"/>
      <c r="O2880" s="11"/>
      <c r="T2880" s="11"/>
      <c r="V2880" s="11"/>
      <c r="W2880" s="11"/>
    </row>
    <row r="2881" spans="3:23" ht="12.75" customHeight="1">
      <c r="C2881" s="156"/>
      <c r="D2881" s="227"/>
      <c r="E2881" s="162"/>
      <c r="F2881" s="162"/>
      <c r="G2881" s="162"/>
      <c r="H2881" s="162"/>
      <c r="J2881" s="11"/>
      <c r="K2881" s="11"/>
      <c r="L2881" s="11"/>
      <c r="O2881" s="11"/>
      <c r="T2881" s="11"/>
      <c r="V2881" s="11"/>
      <c r="W2881" s="11"/>
    </row>
    <row r="2882" spans="3:23" ht="12.75" customHeight="1"/>
    <row r="2883" spans="3:23" ht="12.75" customHeight="1"/>
    <row r="2884" spans="3:23" ht="12.75" customHeight="1"/>
    <row r="2885" spans="3:23" ht="12.75" customHeight="1"/>
    <row r="2886" spans="3:23" ht="12.75" customHeight="1"/>
    <row r="2887" spans="3:23" ht="12.75" customHeight="1"/>
    <row r="2888" spans="3:23" ht="12.75" customHeight="1"/>
    <row r="2889" spans="3:23" ht="12.75" customHeight="1"/>
    <row r="2890" spans="3:23" ht="12.75" customHeight="1"/>
    <row r="2891" spans="3:23" ht="12.75" customHeight="1"/>
    <row r="2892" spans="3:23" ht="12.75" customHeight="1"/>
    <row r="2893" spans="3:23" ht="12.75" customHeight="1"/>
    <row r="2894" spans="3:23" ht="12.75" customHeight="1"/>
    <row r="2895" spans="3:23" ht="12.75" customHeight="1"/>
    <row r="2896" spans="3:23" ht="12.75" customHeight="1"/>
    <row r="2897" spans="3:7" ht="12.75" customHeight="1"/>
    <row r="2898" spans="3:7" ht="12.75" customHeight="1"/>
    <row r="2899" spans="3:7" ht="12.75" customHeight="1"/>
    <row r="2900" spans="3:7" ht="12.75" customHeight="1"/>
    <row r="2901" spans="3:7" ht="12.75" customHeight="1"/>
    <row r="2902" spans="3:7" ht="12.75" customHeight="1"/>
    <row r="2903" spans="3:7" ht="12.75" customHeight="1"/>
    <row r="2904" spans="3:7" ht="12.75" customHeight="1"/>
    <row r="2905" spans="3:7" ht="12.75" customHeight="1"/>
    <row r="2906" spans="3:7" ht="12.75" customHeight="1">
      <c r="C2906" s="156"/>
      <c r="D2906" s="227"/>
      <c r="E2906" s="162"/>
      <c r="F2906" s="162"/>
      <c r="G2906" s="162"/>
    </row>
    <row r="2907" spans="3:7" ht="12.75" customHeight="1">
      <c r="C2907" s="156"/>
      <c r="D2907" s="227"/>
      <c r="E2907" s="162"/>
      <c r="F2907" s="162"/>
      <c r="G2907" s="162"/>
    </row>
    <row r="2908" spans="3:7" ht="12.75" customHeight="1"/>
    <row r="2909" spans="3:7" ht="12.75" customHeight="1"/>
    <row r="2910" spans="3:7" ht="12.75" customHeight="1"/>
    <row r="2911" spans="3:7" ht="12.75" customHeight="1"/>
    <row r="2912" spans="3:7" ht="12.75" customHeight="1"/>
    <row r="2913" ht="12.75" customHeight="1"/>
    <row r="2914" ht="12.75" customHeight="1"/>
    <row r="2915" ht="12.75" customHeight="1"/>
    <row r="2916" ht="12.75" customHeight="1"/>
    <row r="2917" ht="12.75" customHeight="1"/>
    <row r="2918" ht="12.75" customHeight="1"/>
    <row r="2919" ht="12.75" customHeight="1"/>
    <row r="2920" ht="12.75" customHeight="1"/>
    <row r="2921" ht="12.75" customHeight="1"/>
    <row r="2922" ht="12.75" customHeight="1"/>
    <row r="2923" ht="12.75" customHeight="1"/>
    <row r="2924" ht="12.75" customHeight="1"/>
    <row r="2925" ht="12.75" customHeight="1"/>
    <row r="2926" ht="12.75" customHeight="1"/>
    <row r="2927" ht="12.75" customHeight="1"/>
    <row r="2928" ht="12.75" customHeight="1"/>
    <row r="2929" spans="3:23" ht="12.75" customHeight="1"/>
    <row r="2930" spans="3:23" ht="12.75" customHeight="1"/>
    <row r="2931" spans="3:23" ht="12.75" customHeight="1"/>
    <row r="2932" spans="3:23" ht="12.75" customHeight="1"/>
    <row r="2933" spans="3:23" ht="12.75" customHeight="1">
      <c r="C2933" s="156"/>
      <c r="D2933" s="227"/>
      <c r="E2933" s="162"/>
      <c r="F2933" s="162"/>
      <c r="G2933" s="162"/>
      <c r="H2933" s="162"/>
      <c r="J2933" s="11"/>
      <c r="K2933" s="11"/>
      <c r="L2933" s="11"/>
      <c r="O2933" s="11"/>
      <c r="T2933" s="11"/>
      <c r="V2933" s="11"/>
      <c r="W2933" s="11"/>
    </row>
    <row r="2934" spans="3:23" ht="12.75" customHeight="1">
      <c r="C2934" s="156"/>
      <c r="D2934" s="227"/>
      <c r="E2934" s="162"/>
      <c r="F2934" s="162"/>
      <c r="G2934" s="162"/>
      <c r="H2934" s="162"/>
      <c r="J2934" s="11"/>
      <c r="K2934" s="11"/>
      <c r="L2934" s="11"/>
      <c r="O2934" s="11"/>
      <c r="T2934" s="11"/>
      <c r="V2934" s="11"/>
      <c r="W2934" s="11"/>
    </row>
    <row r="2935" spans="3:23" ht="12.75" customHeight="1"/>
    <row r="2936" spans="3:23" ht="12.75" customHeight="1"/>
    <row r="2937" spans="3:23" ht="12.75" customHeight="1"/>
    <row r="2973" spans="3:23">
      <c r="C2973" s="156"/>
      <c r="D2973" s="227"/>
      <c r="E2973" s="162"/>
      <c r="F2973" s="162"/>
      <c r="G2973" s="162"/>
      <c r="J2973" s="11"/>
      <c r="K2973" s="11"/>
      <c r="L2973" s="11"/>
      <c r="O2973" s="11"/>
      <c r="T2973" s="11"/>
      <c r="V2973" s="11"/>
      <c r="W2973" s="11"/>
    </row>
    <row r="2974" spans="3:23">
      <c r="C2974" s="156"/>
      <c r="D2974" s="227"/>
      <c r="E2974" s="162"/>
      <c r="F2974" s="162"/>
      <c r="G2974" s="162"/>
      <c r="J2974" s="11"/>
      <c r="K2974" s="11"/>
      <c r="L2974" s="11"/>
      <c r="O2974" s="11"/>
      <c r="T2974" s="11"/>
      <c r="V2974" s="11"/>
      <c r="W2974" s="11"/>
    </row>
    <row r="3003" spans="3:23">
      <c r="C3003" s="156"/>
      <c r="D3003" s="227"/>
      <c r="E3003" s="162"/>
      <c r="F3003" s="162"/>
      <c r="G3003" s="162"/>
      <c r="J3003" s="11"/>
      <c r="K3003" s="11"/>
      <c r="L3003" s="11"/>
      <c r="O3003" s="11"/>
      <c r="T3003" s="11"/>
      <c r="V3003" s="11"/>
      <c r="W3003" s="11"/>
    </row>
    <row r="3007" spans="3:23">
      <c r="I3007" s="161"/>
    </row>
    <row r="3008" spans="3:23">
      <c r="H3008" s="161"/>
    </row>
    <row r="3009" spans="4:10">
      <c r="H3009" s="161"/>
    </row>
    <row r="3010" spans="4:10">
      <c r="E3010" s="157"/>
      <c r="F3010" s="157"/>
      <c r="G3010" s="157"/>
      <c r="H3010" s="163"/>
      <c r="J3010" s="234"/>
    </row>
    <row r="3011" spans="4:10">
      <c r="D3011" s="234"/>
      <c r="E3011" s="15"/>
      <c r="F3011" s="234"/>
      <c r="G3011" s="234"/>
      <c r="H3011" s="234"/>
      <c r="I3011" s="511"/>
      <c r="J3011" s="234"/>
    </row>
    <row r="3012" spans="4:10">
      <c r="D3012" s="234"/>
      <c r="E3012" s="15"/>
      <c r="F3012" s="15"/>
      <c r="G3012" s="15"/>
      <c r="H3012" s="15"/>
    </row>
    <row r="3013" spans="4:10">
      <c r="D3013" s="234"/>
      <c r="E3013" s="234"/>
      <c r="F3013" s="234"/>
      <c r="G3013" s="234"/>
      <c r="H3013" s="234"/>
      <c r="J3013" s="234"/>
    </row>
    <row r="3014" spans="4:10">
      <c r="D3014" s="234"/>
      <c r="E3014" s="15"/>
      <c r="F3014" s="15"/>
      <c r="G3014" s="15"/>
      <c r="H3014" s="15"/>
    </row>
    <row r="3015" spans="4:10">
      <c r="D3015" s="234"/>
      <c r="E3015" s="234"/>
      <c r="F3015" s="234"/>
      <c r="G3015" s="234"/>
      <c r="H3015" s="234"/>
    </row>
    <row r="3016" spans="4:10">
      <c r="D3016" s="234"/>
      <c r="E3016" s="234"/>
      <c r="F3016" s="234"/>
      <c r="G3016" s="234"/>
      <c r="H3016" s="15"/>
    </row>
    <row r="3017" spans="4:10">
      <c r="D3017" s="234"/>
      <c r="E3017" s="15"/>
      <c r="F3017" s="15"/>
      <c r="G3017" s="15"/>
      <c r="H3017" s="15"/>
    </row>
    <row r="3018" spans="4:10">
      <c r="D3018" s="234"/>
      <c r="E3018" s="234"/>
      <c r="F3018" s="234"/>
      <c r="G3018" s="234"/>
      <c r="H3018" s="234"/>
      <c r="J3018" s="234"/>
    </row>
    <row r="3019" spans="4:10">
      <c r="D3019" s="234"/>
      <c r="E3019" s="15"/>
      <c r="F3019" s="15"/>
      <c r="G3019" s="15"/>
      <c r="H3019" s="15"/>
    </row>
    <row r="3020" spans="4:10">
      <c r="D3020" s="234"/>
      <c r="E3020" s="234"/>
      <c r="F3020" s="234"/>
      <c r="G3020" s="234"/>
      <c r="H3020" s="234"/>
      <c r="J3020" s="234"/>
    </row>
    <row r="3021" spans="4:10">
      <c r="D3021" s="234"/>
      <c r="E3021" s="15"/>
      <c r="F3021" s="15"/>
      <c r="G3021" s="15"/>
      <c r="H3021" s="15"/>
    </row>
    <row r="3022" spans="4:10">
      <c r="D3022" s="234"/>
      <c r="E3022" s="15"/>
      <c r="F3022" s="234"/>
      <c r="G3022" s="234"/>
      <c r="H3022" s="234"/>
    </row>
    <row r="3023" spans="4:10">
      <c r="D3023" s="234"/>
      <c r="E3023" s="234"/>
      <c r="F3023" s="234"/>
      <c r="G3023" s="234"/>
      <c r="H3023" s="234"/>
    </row>
    <row r="3024" spans="4:10">
      <c r="D3024" s="234"/>
      <c r="E3024" s="15"/>
      <c r="F3024" s="15"/>
      <c r="G3024" s="15"/>
      <c r="H3024" s="15"/>
    </row>
    <row r="3025" spans="4:10">
      <c r="D3025" s="234"/>
      <c r="E3025" s="15"/>
      <c r="F3025" s="15"/>
      <c r="G3025" s="15"/>
      <c r="H3025" s="15"/>
    </row>
    <row r="3026" spans="4:10">
      <c r="D3026" s="234"/>
      <c r="E3026" s="234"/>
      <c r="F3026" s="15"/>
      <c r="G3026" s="15"/>
      <c r="H3026" s="15"/>
    </row>
    <row r="3027" spans="4:10">
      <c r="D3027" s="234"/>
      <c r="E3027" s="15"/>
      <c r="F3027" s="15"/>
      <c r="G3027" s="15"/>
      <c r="H3027" s="15"/>
    </row>
    <row r="3028" spans="4:10">
      <c r="D3028" s="234"/>
      <c r="E3028" s="15"/>
      <c r="F3028" s="15"/>
      <c r="G3028" s="15"/>
      <c r="H3028" s="15"/>
    </row>
    <row r="3029" spans="4:10">
      <c r="D3029" s="234"/>
      <c r="E3029" s="15"/>
      <c r="F3029" s="15"/>
      <c r="G3029" s="15"/>
      <c r="H3029" s="15"/>
      <c r="J3029" s="234"/>
    </row>
    <row r="3030" spans="4:10">
      <c r="D3030" s="234"/>
      <c r="E3030" s="15"/>
      <c r="F3030" s="15"/>
      <c r="G3030" s="15"/>
      <c r="H3030" s="15"/>
      <c r="J3030" s="234"/>
    </row>
    <row r="3031" spans="4:10">
      <c r="D3031" s="234"/>
      <c r="E3031" s="234"/>
      <c r="F3031" s="15"/>
      <c r="G3031" s="15"/>
      <c r="H3031" s="15"/>
    </row>
    <row r="3032" spans="4:10">
      <c r="D3032" s="234"/>
      <c r="E3032" s="234"/>
      <c r="F3032" s="234"/>
      <c r="G3032" s="234"/>
      <c r="H3032" s="234"/>
      <c r="J3032" s="234"/>
    </row>
    <row r="3033" spans="4:10">
      <c r="D3033" s="234"/>
      <c r="E3033" s="15"/>
      <c r="F3033" s="15"/>
      <c r="G3033" s="15"/>
      <c r="H3033" s="15"/>
    </row>
    <row r="3034" spans="4:10">
      <c r="D3034" s="234"/>
      <c r="E3034" s="234"/>
      <c r="F3034" s="15"/>
      <c r="G3034" s="15"/>
      <c r="H3034" s="15"/>
    </row>
  </sheetData>
  <autoFilter ref="B1:S3003">
    <filterColumn colId="0"/>
    <filterColumn colId="2"/>
    <filterColumn colId="3"/>
    <filterColumn colId="11"/>
    <filterColumn colId="12"/>
    <filterColumn colId="14"/>
    <filterColumn colId="17"/>
    <sortState ref="B2128:V2148">
      <sortCondition ref="D1:D2651"/>
    </sortState>
  </autoFilter>
  <sortState ref="B2:AC2387">
    <sortCondition ref="C2:C2387"/>
  </sortState>
  <phoneticPr fontId="5" type="noConversion"/>
  <pageMargins left="0.75" right="0.75" top="1" bottom="1" header="0.5" footer="0.5"/>
  <pageSetup orientation="portrait" verticalDpi="1200" r:id="rId1"/>
  <headerFooter alignWithMargins="0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>
    <pageSetUpPr fitToPage="1"/>
  </sheetPr>
  <dimension ref="A1:BM650"/>
  <sheetViews>
    <sheetView workbookViewId="0">
      <selection activeCell="B6" sqref="B6"/>
    </sheetView>
  </sheetViews>
  <sheetFormatPr defaultRowHeight="12.75"/>
  <cols>
    <col min="1" max="1" width="9.42578125" customWidth="1"/>
    <col min="2" max="2" width="26.28515625" customWidth="1"/>
    <col min="3" max="14" width="10.140625" customWidth="1"/>
    <col min="15" max="15" width="12.5703125" customWidth="1"/>
    <col min="16" max="16" width="12" style="18" customWidth="1"/>
    <col min="17" max="17" width="6.85546875" style="18" customWidth="1"/>
    <col min="18" max="18" width="7.140625" style="18" customWidth="1"/>
    <col min="19" max="19" width="2.140625" customWidth="1"/>
    <col min="20" max="23" width="7.140625" customWidth="1"/>
    <col min="24" max="24" width="21.28515625" customWidth="1"/>
    <col min="25" max="25" width="7.140625" customWidth="1"/>
    <col min="26" max="26" width="11.7109375" style="67" customWidth="1"/>
    <col min="27" max="27" width="10.28515625" style="53" customWidth="1"/>
    <col min="28" max="29" width="11.7109375" style="53" customWidth="1"/>
    <col min="30" max="30" width="14" style="53" customWidth="1"/>
    <col min="31" max="31" width="11.7109375" style="64" customWidth="1"/>
    <col min="32" max="32" width="11.7109375" style="67" customWidth="1"/>
    <col min="33" max="35" width="11.7109375" style="53" customWidth="1"/>
    <col min="36" max="36" width="7.28515625" style="53" bestFit="1" customWidth="1"/>
    <col min="37" max="37" width="7.5703125" style="53" bestFit="1" customWidth="1"/>
    <col min="38" max="40" width="9.140625" style="53"/>
    <col min="41" max="61" width="7.140625" bestFit="1" customWidth="1"/>
    <col min="62" max="62" width="10.5703125" bestFit="1" customWidth="1"/>
  </cols>
  <sheetData>
    <row r="1" spans="1:65">
      <c r="C1" t="s">
        <v>44</v>
      </c>
      <c r="D1" t="s">
        <v>45</v>
      </c>
      <c r="E1" t="s">
        <v>46</v>
      </c>
      <c r="F1" t="s">
        <v>47</v>
      </c>
      <c r="G1" t="s">
        <v>48</v>
      </c>
      <c r="H1" t="s">
        <v>49</v>
      </c>
      <c r="I1" t="s">
        <v>50</v>
      </c>
      <c r="J1" t="s">
        <v>51</v>
      </c>
      <c r="K1" t="s">
        <v>52</v>
      </c>
      <c r="L1" t="s">
        <v>53</v>
      </c>
      <c r="M1" t="s">
        <v>54</v>
      </c>
      <c r="N1" t="s">
        <v>55</v>
      </c>
      <c r="AA1" s="124" t="s">
        <v>657</v>
      </c>
      <c r="AD1" s="124" t="s">
        <v>753</v>
      </c>
      <c r="AG1" s="96" t="s">
        <v>658</v>
      </c>
      <c r="AH1" s="96"/>
      <c r="AI1" s="96"/>
    </row>
    <row r="2" spans="1:65">
      <c r="A2" s="22"/>
      <c r="B2" s="23"/>
      <c r="C2" s="26" t="s">
        <v>34</v>
      </c>
      <c r="D2" s="23"/>
      <c r="E2" s="23"/>
      <c r="F2" s="23"/>
      <c r="G2" s="23"/>
      <c r="H2" s="23"/>
      <c r="I2" s="23"/>
      <c r="J2" s="23"/>
      <c r="K2" s="23"/>
      <c r="L2" s="23"/>
      <c r="M2" s="23"/>
      <c r="N2" s="24"/>
      <c r="Z2" s="67" t="s">
        <v>248</v>
      </c>
      <c r="AA2" s="53" t="s">
        <v>96</v>
      </c>
      <c r="AB2" s="124" t="s">
        <v>266</v>
      </c>
      <c r="AC2" s="53" t="s">
        <v>1</v>
      </c>
      <c r="AD2" s="53" t="s">
        <v>1</v>
      </c>
      <c r="AE2" s="123" t="s">
        <v>268</v>
      </c>
      <c r="AF2" s="125" t="s">
        <v>269</v>
      </c>
      <c r="AG2" s="124" t="s">
        <v>267</v>
      </c>
      <c r="AH2" s="551" t="s">
        <v>810</v>
      </c>
      <c r="AI2" s="551"/>
      <c r="AJ2" s="59" t="s">
        <v>114</v>
      </c>
      <c r="AK2" s="59" t="s">
        <v>112</v>
      </c>
      <c r="AL2" s="59" t="s">
        <v>116</v>
      </c>
      <c r="AM2" s="129" t="s">
        <v>272</v>
      </c>
      <c r="AN2" s="59" t="s">
        <v>118</v>
      </c>
    </row>
    <row r="3" spans="1:65">
      <c r="A3" s="26" t="s">
        <v>0</v>
      </c>
      <c r="B3" s="26" t="s">
        <v>56</v>
      </c>
      <c r="C3" s="22" t="s">
        <v>44</v>
      </c>
      <c r="D3" s="31" t="s">
        <v>45</v>
      </c>
      <c r="E3" s="31" t="s">
        <v>46</v>
      </c>
      <c r="F3" s="31" t="s">
        <v>47</v>
      </c>
      <c r="G3" s="31" t="s">
        <v>48</v>
      </c>
      <c r="H3" s="31" t="s">
        <v>49</v>
      </c>
      <c r="I3" s="31" t="s">
        <v>50</v>
      </c>
      <c r="J3" s="31" t="s">
        <v>51</v>
      </c>
      <c r="K3" s="31" t="s">
        <v>52</v>
      </c>
      <c r="L3" s="31" t="s">
        <v>53</v>
      </c>
      <c r="M3" s="31" t="s">
        <v>54</v>
      </c>
      <c r="N3" s="38" t="s">
        <v>55</v>
      </c>
      <c r="O3" s="3" t="s">
        <v>214</v>
      </c>
      <c r="P3" s="86" t="s">
        <v>76</v>
      </c>
      <c r="Q3" s="536"/>
      <c r="R3" s="536"/>
      <c r="Y3" s="131" t="s">
        <v>34</v>
      </c>
      <c r="Z3" s="126" t="s">
        <v>195</v>
      </c>
      <c r="AA3" s="141" t="s">
        <v>110</v>
      </c>
      <c r="AB3" s="141" t="s">
        <v>256</v>
      </c>
      <c r="AC3" s="141" t="s">
        <v>264</v>
      </c>
      <c r="AD3" s="141" t="s">
        <v>265</v>
      </c>
      <c r="AE3" s="121" t="s">
        <v>121</v>
      </c>
      <c r="AF3" s="126" t="s">
        <v>240</v>
      </c>
      <c r="AG3" s="141" t="s">
        <v>256</v>
      </c>
      <c r="AH3" s="535" t="s">
        <v>808</v>
      </c>
      <c r="AI3" s="535" t="s">
        <v>809</v>
      </c>
      <c r="AJ3" s="141" t="s">
        <v>115</v>
      </c>
      <c r="AK3" s="130" t="s">
        <v>113</v>
      </c>
      <c r="AL3" s="130" t="s">
        <v>117</v>
      </c>
      <c r="AM3" s="130" t="s">
        <v>113</v>
      </c>
      <c r="AN3" s="130" t="s">
        <v>119</v>
      </c>
    </row>
    <row r="4" spans="1:65" s="2" customFormat="1">
      <c r="A4" s="22">
        <v>1999</v>
      </c>
      <c r="B4" s="22" t="s">
        <v>57</v>
      </c>
      <c r="C4" s="33"/>
      <c r="D4" s="34"/>
      <c r="E4" s="34"/>
      <c r="F4" s="34"/>
      <c r="G4" s="34"/>
      <c r="H4" s="34"/>
      <c r="I4" s="34"/>
      <c r="J4" s="34"/>
      <c r="K4" s="34">
        <v>1</v>
      </c>
      <c r="L4" s="34">
        <v>1</v>
      </c>
      <c r="M4" s="34">
        <v>1</v>
      </c>
      <c r="N4" s="41">
        <v>1</v>
      </c>
      <c r="O4"/>
      <c r="P4" s="72" t="s">
        <v>75</v>
      </c>
      <c r="Q4" s="72"/>
      <c r="R4" s="72"/>
      <c r="S4" s="45"/>
      <c r="T4" s="45"/>
      <c r="U4" s="45"/>
      <c r="V4" s="45"/>
      <c r="W4" s="45"/>
      <c r="X4" s="45"/>
      <c r="Y4" s="1">
        <v>36586</v>
      </c>
      <c r="Z4" s="163">
        <f>GETPIVOTDATA("Sum of # fish2",$A$2,"Month","Mar","Year",2000)</f>
        <v>4215865</v>
      </c>
      <c r="AA4" s="524"/>
      <c r="AB4" s="524"/>
      <c r="AC4" s="524"/>
      <c r="AD4" s="524"/>
      <c r="AE4" s="234"/>
      <c r="AF4" s="163"/>
      <c r="AG4" s="538">
        <f>AG5*(AG16/AG17)</f>
        <v>9124881.7090750281</v>
      </c>
      <c r="AH4" s="334">
        <f>AH5*(AH16/AH17)</f>
        <v>5641742.9871554235</v>
      </c>
      <c r="AI4" s="334">
        <f>AI5*(AI16/AI17)</f>
        <v>15167441.076455321</v>
      </c>
      <c r="AJ4" s="524">
        <f>GETPIVOTDATA("Count of # fish",$A$2,"Month","Mar","Year",2000)</f>
        <v>14</v>
      </c>
      <c r="AK4" s="351">
        <v>0</v>
      </c>
      <c r="AL4" s="351">
        <v>0</v>
      </c>
      <c r="AM4" s="351">
        <v>0</v>
      </c>
      <c r="AN4" s="351">
        <v>14</v>
      </c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</row>
    <row r="5" spans="1:65" s="2" customFormat="1">
      <c r="A5" s="25"/>
      <c r="B5" s="29" t="s">
        <v>59</v>
      </c>
      <c r="C5" s="35"/>
      <c r="D5" s="21"/>
      <c r="E5" s="21"/>
      <c r="F5" s="21"/>
      <c r="G5" s="21"/>
      <c r="H5" s="21"/>
      <c r="I5" s="21"/>
      <c r="J5" s="21"/>
      <c r="K5" s="21">
        <v>502917.123809524</v>
      </c>
      <c r="L5" s="21">
        <v>498033.438095238</v>
      </c>
      <c r="M5" s="21">
        <v>493149.75238095201</v>
      </c>
      <c r="N5" s="39">
        <v>488266.066666667</v>
      </c>
      <c r="O5"/>
      <c r="P5" s="72" t="s">
        <v>77</v>
      </c>
      <c r="Q5" s="72"/>
      <c r="R5" s="72"/>
      <c r="S5" s="45"/>
      <c r="T5" s="45"/>
      <c r="U5" s="45"/>
      <c r="V5" s="45"/>
      <c r="W5" s="45"/>
      <c r="X5" s="45"/>
      <c r="Y5" s="1">
        <v>36617</v>
      </c>
      <c r="Z5" s="67">
        <f>GETPIVOTDATA("Sum of # fish2",$A$2,"Month","Apr","Year",2000)</f>
        <v>5106507</v>
      </c>
      <c r="AA5" s="80">
        <f>GETPIVOTDATA("0.4*(# Caligus/ farm)",$A$2,"Month","Apr","Year",2000)/P458</f>
        <v>934123.45244082587</v>
      </c>
      <c r="AB5" s="80">
        <f>(GETPIVOTDATA("Sum of # Female L.salmonis",$A$2,"Month","Apr","Year",2000)-'Data for broughton'!U749)/P170</f>
        <v>9138739.3517521266</v>
      </c>
      <c r="AC5" s="80">
        <f>'Data for broughton'!I489+'Data for broughton'!I1349+'Data for broughton'!I2345</f>
        <v>186105</v>
      </c>
      <c r="AD5" s="80">
        <f>'Data for broughton'!I249+'Data for broughton'!I369</f>
        <v>769237</v>
      </c>
      <c r="AE5" s="122">
        <f>(GETPIVOTDATA("Sum of # Female L.salmonis",$A$2,"Month","Apr","Year",2000)-'Data for broughton'!U749)/AD5</f>
        <v>6.8795864928494073</v>
      </c>
      <c r="AF5" s="80">
        <f>AC5*AE5</f>
        <v>1280325.444251739</v>
      </c>
      <c r="AG5" s="80">
        <f>AB5+AF5</f>
        <v>10419064.796003865</v>
      </c>
      <c r="AH5" s="80">
        <f>AF5+(GETPIVOTDATA("Sum of # Female L.salmonis",$A$2,"Month","Apr","Year",2000)-'Data for broughton'!U749)/R170</f>
        <v>7849222.7776627913</v>
      </c>
      <c r="AI5" s="80">
        <f>AF5+(GETPIVOTDATA("Sum of # Female L.salmonis",$A$2,"Month","Apr","Year",2000)-'Data for broughton'!U749)/Q170</f>
        <v>13360115.896069976</v>
      </c>
      <c r="AJ5" s="279">
        <f>GETPIVOTDATA("Count of # fish",$A$2,"Month","Apr","Year",2000)</f>
        <v>16</v>
      </c>
      <c r="AK5" s="279">
        <v>3</v>
      </c>
      <c r="AL5" s="53">
        <v>0</v>
      </c>
      <c r="AM5" s="53">
        <v>0</v>
      </c>
      <c r="AN5" s="67">
        <f t="shared" ref="AN5:AN68" si="0">AJ5-AK5-AL5</f>
        <v>13</v>
      </c>
    </row>
    <row r="6" spans="1:65" s="2" customFormat="1">
      <c r="A6" s="25"/>
      <c r="B6" s="29" t="s">
        <v>389</v>
      </c>
      <c r="C6" s="35"/>
      <c r="D6" s="21"/>
      <c r="E6" s="21"/>
      <c r="F6" s="21"/>
      <c r="G6" s="21"/>
      <c r="H6" s="21"/>
      <c r="I6" s="21"/>
      <c r="J6" s="21"/>
      <c r="K6" s="21">
        <v>1</v>
      </c>
      <c r="L6" s="21">
        <v>1</v>
      </c>
      <c r="M6" s="21">
        <v>1</v>
      </c>
      <c r="N6" s="39">
        <v>1</v>
      </c>
      <c r="O6"/>
      <c r="P6" s="72" t="s">
        <v>78</v>
      </c>
      <c r="Q6" s="72"/>
      <c r="R6" s="72"/>
      <c r="S6" s="45"/>
      <c r="T6" s="45"/>
      <c r="U6" s="45"/>
      <c r="V6" s="45"/>
      <c r="W6" s="45"/>
      <c r="X6" s="45"/>
      <c r="Y6" s="1">
        <v>36647</v>
      </c>
      <c r="Z6" s="67">
        <f>GETPIVOTDATA("Sum of # fish2",$A$2,"Month","May","Year",2000)</f>
        <v>5845366</v>
      </c>
      <c r="AA6" s="80">
        <f>GETPIVOTDATA("0.4*(# Caligus/ farm)",$A$2,"Month","May","Year",2000)/P482</f>
        <v>1492403.465380142</v>
      </c>
      <c r="AB6" s="80">
        <f>(GETPIVOTDATA("Sum of # Female L.salmonis",$A$2,"Month","May","Year",2000)-'Data for broughton'!U750)/P194</f>
        <v>11334087.769864231</v>
      </c>
      <c r="AC6" s="80">
        <f>'Data for broughton'!I490+'Data for broughton'!I1350</f>
        <v>71350</v>
      </c>
      <c r="AD6" s="80">
        <f>'Data for broughton'!I130+'Data for broughton'!I250+'Data for broughton'!I370</f>
        <v>1232744</v>
      </c>
      <c r="AE6" s="122">
        <f>(GETPIVOTDATA("Sum of # Female L.salmonis",$A$2,"Month","May","Year",2000)-'Data for broughton'!U750)/AD6</f>
        <v>6.47228372841401</v>
      </c>
      <c r="AF6" s="80">
        <f t="shared" ref="AF6:AF9" si="1">AC6*AE6</f>
        <v>461797.44402233959</v>
      </c>
      <c r="AG6" s="80">
        <f t="shared" ref="AG6:AG9" si="2">AB6+AF6</f>
        <v>11795885.21388657</v>
      </c>
      <c r="AH6" s="80">
        <f>AF6+(GETPIVOTDATA("Sum of # Female L.salmonis",$A$2,"Month","May","Year",2000)-'Data for broughton'!U750)/R194</f>
        <v>9952103.9032526705</v>
      </c>
      <c r="AI6" s="80">
        <f>AF6+(GETPIVOTDATA("Sum of # Female L.salmonis",$A$2,"Month","May","Year",2000)-'Data for broughton'!U750)/Q194</f>
        <v>15294205.086748958</v>
      </c>
      <c r="AJ6" s="279">
        <f>GETPIVOTDATA("Count of # fish",$A$2,"Month","May","Year",2000)</f>
        <v>16</v>
      </c>
      <c r="AK6" s="279">
        <v>4</v>
      </c>
      <c r="AL6" s="68">
        <v>0</v>
      </c>
      <c r="AM6" s="68">
        <v>0</v>
      </c>
      <c r="AN6" s="67">
        <f t="shared" si="0"/>
        <v>12</v>
      </c>
    </row>
    <row r="7" spans="1:65" s="2" customFormat="1">
      <c r="A7" s="25"/>
      <c r="B7" s="29" t="s">
        <v>391</v>
      </c>
      <c r="C7" s="35"/>
      <c r="D7" s="21"/>
      <c r="E7" s="21"/>
      <c r="F7" s="21"/>
      <c r="G7" s="21"/>
      <c r="H7" s="21"/>
      <c r="I7" s="21"/>
      <c r="J7" s="21"/>
      <c r="K7" s="21">
        <v>754375.68571428605</v>
      </c>
      <c r="L7" s="21">
        <v>514022.93268671678</v>
      </c>
      <c r="M7" s="21">
        <v>1257531.8685714274</v>
      </c>
      <c r="N7" s="39">
        <v>1344087.977962964</v>
      </c>
      <c r="O7"/>
      <c r="P7" s="73" t="s">
        <v>99</v>
      </c>
      <c r="Q7" s="73"/>
      <c r="R7" s="73"/>
      <c r="S7" s="45"/>
      <c r="T7" s="45"/>
      <c r="U7" s="45"/>
      <c r="V7" s="45"/>
      <c r="W7" s="45"/>
      <c r="X7" s="45"/>
      <c r="Y7" s="518">
        <v>36678</v>
      </c>
      <c r="Z7" s="67">
        <f>GETPIVOTDATA("Sum of # fish2",$A$2,"Month","Jun","Year",2000)</f>
        <v>5665051</v>
      </c>
      <c r="AA7" s="80">
        <f>GETPIVOTDATA("0.4*(# Caligus/ farm)",$A$2,"Month","Jun","Year",2000)/P505</f>
        <v>563134.87007501011</v>
      </c>
      <c r="AB7" s="80">
        <f>(GETPIVOTDATA("Sum of # Female L.salmonis",$A$2,"Month","Jun","Year",2000)-'Data for broughton'!U751)/P218</f>
        <v>17715037.357741944</v>
      </c>
      <c r="AC7" s="80">
        <f>'Data for broughton'!I491+'Data for broughton'!I1351</f>
        <v>26300</v>
      </c>
      <c r="AD7" s="80">
        <f>'Data for broughton'!I131+'Data for broughton'!I251+'Data for broughton'!I371</f>
        <v>1148188</v>
      </c>
      <c r="AE7" s="122">
        <f>(GETPIVOTDATA("Sum of # Female L.salmonis",$A$2,"Month","Jun","Year",2000)-'Data for broughton'!U751)/AD7</f>
        <v>10.424492497937814</v>
      </c>
      <c r="AF7" s="80">
        <f t="shared" si="1"/>
        <v>274164.1526957645</v>
      </c>
      <c r="AG7" s="80">
        <f t="shared" si="2"/>
        <v>17989201.510437708</v>
      </c>
      <c r="AH7" s="80">
        <f>AF7+(GETPIVOTDATA("Sum of # Female L.salmonis",$A$2,"Month","Jun","Year",2000)-'Data for broughton'!U751)/R218</f>
        <v>13151645.228231102</v>
      </c>
      <c r="AI7" s="80">
        <f>AF7+(GETPIVOTDATA("Sum of # Female L.salmonis",$A$2,"Month","Jun","Year",2000)-'Data for broughton'!U751)/Q218</f>
        <v>22023756.69968266</v>
      </c>
      <c r="AJ7" s="68">
        <f>GETPIVOTDATA("Count of # fish",$A$2,"Month","Jun","Year",2000)</f>
        <v>16</v>
      </c>
      <c r="AK7" s="68">
        <v>3</v>
      </c>
      <c r="AL7" s="68">
        <v>1</v>
      </c>
      <c r="AM7" s="68">
        <v>0</v>
      </c>
      <c r="AN7" s="67">
        <f t="shared" si="0"/>
        <v>12</v>
      </c>
    </row>
    <row r="8" spans="1:65" s="2" customFormat="1">
      <c r="A8" s="25"/>
      <c r="B8" s="29" t="s">
        <v>393</v>
      </c>
      <c r="C8" s="35"/>
      <c r="D8" s="21"/>
      <c r="E8" s="21"/>
      <c r="F8" s="21"/>
      <c r="G8" s="21"/>
      <c r="H8" s="21"/>
      <c r="I8" s="21"/>
      <c r="J8" s="21"/>
      <c r="K8" s="21"/>
      <c r="L8" s="21"/>
      <c r="M8" s="21">
        <v>1</v>
      </c>
      <c r="N8" s="39"/>
      <c r="O8" s="67">
        <f>SUM(C8:N8)</f>
        <v>1</v>
      </c>
      <c r="P8" s="72" t="s">
        <v>79</v>
      </c>
      <c r="Q8" s="72"/>
      <c r="R8" s="72"/>
      <c r="S8" s="45"/>
      <c r="T8" s="45"/>
      <c r="U8" s="45"/>
      <c r="V8" s="45"/>
      <c r="W8" s="45"/>
      <c r="X8" s="45"/>
      <c r="Y8" s="1">
        <v>36708</v>
      </c>
      <c r="Z8" s="67">
        <f>GETPIVOTDATA("Sum of # fish2",$A$2,"Month","Jul","Year",2000)</f>
        <v>5419056</v>
      </c>
      <c r="AA8" s="80">
        <f>GETPIVOTDATA("0.4*(# Caligus/ farm)",$A$2,"Month","Jul","Year",2000)/P529</f>
        <v>298146.22773161065</v>
      </c>
      <c r="AB8" s="80">
        <f>(GETPIVOTDATA("Sum of # Female L.salmonis",$A$2,"Month","Jul","Year",2000)-'Data for broughton'!U752)/P242</f>
        <v>12110871.095182663</v>
      </c>
      <c r="AC8" s="80">
        <f>'Data for broughton'!I492</f>
        <v>17758</v>
      </c>
      <c r="AD8" s="80">
        <f>'Data for broughton'!I132+'Data for broughton'!I252+'Data for broughton'!I372</f>
        <v>1034016</v>
      </c>
      <c r="AE8" s="122">
        <f>(GETPIVOTDATA("Sum of # Female L.salmonis",$A$2,"Month","Jul","Year",2000)-'Data for broughton'!U752)/AD8</f>
        <v>8.3341506780359307</v>
      </c>
      <c r="AF8" s="80">
        <f t="shared" si="1"/>
        <v>147997.84774056205</v>
      </c>
      <c r="AG8" s="80">
        <f t="shared" si="2"/>
        <v>12258868.942923225</v>
      </c>
      <c r="AH8" s="80">
        <f>AF8+(GETPIVOTDATA("Sum of # Female L.salmonis",$A$2,"Month","Jul","Year",2000)-'Data for broughton'!U752)/R242</f>
        <v>10791817.385080677</v>
      </c>
      <c r="AI8" s="80">
        <f>AF8+(GETPIVOTDATA("Sum of # Female L.salmonis",$A$2,"Month","Jul","Year",2000)-'Data for broughton'!U752)/Q242</f>
        <v>14964095.782173516</v>
      </c>
      <c r="AJ8" s="68">
        <f>GETPIVOTDATA("Count of # fish",$A$2,"Month","Jul","Year",2000)</f>
        <v>15</v>
      </c>
      <c r="AK8" s="68">
        <v>4</v>
      </c>
      <c r="AL8" s="68">
        <v>0</v>
      </c>
      <c r="AM8" s="68">
        <v>0</v>
      </c>
      <c r="AN8" s="67">
        <f t="shared" si="0"/>
        <v>11</v>
      </c>
    </row>
    <row r="9" spans="1:65" s="2" customFormat="1">
      <c r="A9" s="25"/>
      <c r="B9" s="29" t="s">
        <v>396</v>
      </c>
      <c r="C9" s="35"/>
      <c r="D9" s="21"/>
      <c r="E9" s="21"/>
      <c r="F9" s="21"/>
      <c r="G9" s="21"/>
      <c r="H9" s="21"/>
      <c r="I9" s="21"/>
      <c r="J9" s="21"/>
      <c r="K9" s="21">
        <v>20116.684952380965</v>
      </c>
      <c r="L9" s="21">
        <v>288754.54495037592</v>
      </c>
      <c r="M9" s="21">
        <v>276163.86133333313</v>
      </c>
      <c r="N9" s="39">
        <v>490653.14521481516</v>
      </c>
      <c r="O9"/>
      <c r="P9" s="73" t="s">
        <v>98</v>
      </c>
      <c r="Q9" s="73"/>
      <c r="R9" s="73"/>
      <c r="S9" s="45"/>
      <c r="T9" s="45"/>
      <c r="U9" s="45"/>
      <c r="V9" s="45"/>
      <c r="W9" s="45"/>
      <c r="X9" s="45"/>
      <c r="Y9" s="1">
        <v>36739</v>
      </c>
      <c r="Z9" s="67">
        <f>GETPIVOTDATA("Sum of # fish2",$A$2,"Month","Aug","Year",2000)</f>
        <v>5163265</v>
      </c>
      <c r="AA9" s="80">
        <f>GETPIVOTDATA("0.4*(# Caligus/ farm)",$A$2,"Month","Aug","Year",2000)/P554</f>
        <v>19761.374658171</v>
      </c>
      <c r="AB9" s="80">
        <f>GETPIVOTDATA("Sum of # Female L.salmonis",$A$2,"Month","Aug","Year",2000)/P267</f>
        <v>5073842.4107221533</v>
      </c>
      <c r="AC9" s="80">
        <f>'Data for broughton'!I493</f>
        <v>17708</v>
      </c>
      <c r="AD9" s="80">
        <f>'Data for broughton'!I133+'Data for broughton'!I253+'Data for broughton'!I373+'Data for broughton'!I753</f>
        <v>1511977</v>
      </c>
      <c r="AE9" s="122">
        <f>GETPIVOTDATA("Sum of # Female L.salmonis",$A$2,"Month","Aug","Year",2000)/AD9</f>
        <v>2.5116904357672105</v>
      </c>
      <c r="AF9" s="80">
        <f t="shared" si="1"/>
        <v>44477.014236565767</v>
      </c>
      <c r="AG9" s="80">
        <f t="shared" si="2"/>
        <v>5118319.4249587189</v>
      </c>
      <c r="AH9" s="80">
        <f>AF9+GETPIVOTDATA("Sum of # Female L.salmonis",$A$2,"Month","Aug","Year",2000)/R267</f>
        <v>4466309.6451095222</v>
      </c>
      <c r="AI9" s="80">
        <f>AF9+GETPIVOTDATA("Sum of # Female L.salmonis",$A$2,"Month","Aug","Year",2000)/Q267</f>
        <v>5816012.9294016864</v>
      </c>
      <c r="AJ9" s="68">
        <f>GETPIVOTDATA("Count of # fish",$A$2,"Month","Aug","Year",2000)</f>
        <v>15</v>
      </c>
      <c r="AK9" s="68">
        <v>4</v>
      </c>
      <c r="AL9" s="68">
        <v>0</v>
      </c>
      <c r="AM9" s="68">
        <v>1</v>
      </c>
      <c r="AN9" s="67">
        <f t="shared" si="0"/>
        <v>11</v>
      </c>
    </row>
    <row r="10" spans="1:65" s="2" customFormat="1">
      <c r="A10" s="60">
        <v>2000</v>
      </c>
      <c r="B10" s="60" t="s">
        <v>57</v>
      </c>
      <c r="C10" s="263">
        <v>15</v>
      </c>
      <c r="D10" s="264">
        <v>14</v>
      </c>
      <c r="E10" s="264">
        <v>14</v>
      </c>
      <c r="F10" s="264">
        <v>16</v>
      </c>
      <c r="G10" s="264">
        <v>16</v>
      </c>
      <c r="H10" s="264">
        <v>16</v>
      </c>
      <c r="I10" s="264">
        <v>15</v>
      </c>
      <c r="J10" s="264">
        <v>15</v>
      </c>
      <c r="K10" s="264">
        <v>15</v>
      </c>
      <c r="L10" s="264">
        <v>16</v>
      </c>
      <c r="M10" s="264">
        <v>15</v>
      </c>
      <c r="N10" s="265">
        <v>15</v>
      </c>
      <c r="O10"/>
      <c r="P10" s="50" t="s">
        <v>75</v>
      </c>
      <c r="Q10" s="50"/>
      <c r="R10" s="50"/>
      <c r="S10"/>
      <c r="T10"/>
      <c r="U10"/>
      <c r="V10"/>
      <c r="W10"/>
      <c r="X10"/>
      <c r="Y10" s="1">
        <v>36770</v>
      </c>
      <c r="Z10" s="67">
        <f>GETPIVOTDATA("Sum of # fish2",$A$2,"Month","Sep","Year",2000)</f>
        <v>4821889</v>
      </c>
      <c r="AA10" s="80"/>
      <c r="AB10" s="80"/>
      <c r="AC10" s="80"/>
      <c r="AD10" s="80"/>
      <c r="AE10" s="122"/>
      <c r="AF10" s="80"/>
      <c r="AG10" s="81"/>
      <c r="AH10" s="80"/>
      <c r="AI10" s="80"/>
      <c r="AJ10" s="68">
        <f>GETPIVOTDATA("Count of # fish",$A$2,"Month","Sep","Year",2000)</f>
        <v>15</v>
      </c>
      <c r="AK10" s="68">
        <v>2</v>
      </c>
      <c r="AL10" s="68">
        <v>0</v>
      </c>
      <c r="AM10" s="68"/>
      <c r="AN10" s="67">
        <f t="shared" si="0"/>
        <v>13</v>
      </c>
    </row>
    <row r="11" spans="1:65" s="2" customFormat="1">
      <c r="A11" s="62"/>
      <c r="B11" s="63" t="s">
        <v>59</v>
      </c>
      <c r="C11" s="266">
        <v>4618570</v>
      </c>
      <c r="D11" s="110">
        <v>4381264</v>
      </c>
      <c r="E11" s="110">
        <v>4215865</v>
      </c>
      <c r="F11" s="110">
        <v>5106507</v>
      </c>
      <c r="G11" s="110">
        <v>5845366</v>
      </c>
      <c r="H11" s="110">
        <v>5665051</v>
      </c>
      <c r="I11" s="110">
        <v>5419056</v>
      </c>
      <c r="J11" s="110">
        <v>5163265</v>
      </c>
      <c r="K11" s="110">
        <v>4821889</v>
      </c>
      <c r="L11" s="110">
        <v>4715238</v>
      </c>
      <c r="M11" s="110">
        <v>4884806</v>
      </c>
      <c r="N11" s="267">
        <v>5042930</v>
      </c>
      <c r="O11"/>
      <c r="P11" s="50" t="s">
        <v>77</v>
      </c>
      <c r="Q11" s="50"/>
      <c r="R11" s="50"/>
      <c r="S11"/>
      <c r="T11"/>
      <c r="U11"/>
      <c r="V11"/>
      <c r="W11"/>
      <c r="X11"/>
      <c r="Y11" s="1">
        <v>36800</v>
      </c>
      <c r="Z11" s="67">
        <f>GETPIVOTDATA("Sum of # fish2",$A$2,"Month","Oct","Year",2000)</f>
        <v>4715238</v>
      </c>
      <c r="AA11" s="80"/>
      <c r="AB11" s="243"/>
      <c r="AC11" s="80"/>
      <c r="AD11" s="80"/>
      <c r="AE11" s="512"/>
      <c r="AF11" s="80"/>
      <c r="AH11" s="80"/>
      <c r="AI11" s="80"/>
      <c r="AJ11" s="68">
        <f>GETPIVOTDATA("Count of # fish",$A$2,"Month","Oct","Year",2000)</f>
        <v>16</v>
      </c>
      <c r="AK11" s="68">
        <v>1</v>
      </c>
      <c r="AL11" s="68">
        <v>0</v>
      </c>
      <c r="AM11" s="68"/>
      <c r="AN11" s="67">
        <f t="shared" si="0"/>
        <v>15</v>
      </c>
    </row>
    <row r="12" spans="1:65" s="2" customFormat="1">
      <c r="A12" s="62"/>
      <c r="B12" s="268" t="s">
        <v>389</v>
      </c>
      <c r="C12" s="266">
        <v>1</v>
      </c>
      <c r="D12" s="110"/>
      <c r="E12" s="110"/>
      <c r="F12" s="110">
        <v>3</v>
      </c>
      <c r="G12" s="110">
        <v>4</v>
      </c>
      <c r="H12" s="110">
        <v>4</v>
      </c>
      <c r="I12" s="110">
        <v>4</v>
      </c>
      <c r="J12" s="110">
        <v>4</v>
      </c>
      <c r="K12" s="110">
        <v>2</v>
      </c>
      <c r="L12" s="110">
        <v>1</v>
      </c>
      <c r="M12" s="110">
        <v>1</v>
      </c>
      <c r="N12" s="267">
        <v>1</v>
      </c>
      <c r="O12"/>
      <c r="P12" s="50" t="s">
        <v>78</v>
      </c>
      <c r="Q12" s="50"/>
      <c r="R12" s="50"/>
      <c r="S12"/>
      <c r="T12"/>
      <c r="U12"/>
      <c r="V12"/>
      <c r="W12"/>
      <c r="X12"/>
      <c r="Y12" s="1">
        <v>36831</v>
      </c>
      <c r="Z12" s="67">
        <f>GETPIVOTDATA("Sum of # fish2",$A$2,"Month","Nov","Year",2000)</f>
        <v>4884806</v>
      </c>
      <c r="AA12" s="80"/>
      <c r="AB12" s="243"/>
      <c r="AC12" s="80"/>
      <c r="AD12" s="80"/>
      <c r="AE12" s="122"/>
      <c r="AF12" s="80"/>
      <c r="AG12" s="81"/>
      <c r="AH12" s="80"/>
      <c r="AI12" s="80"/>
      <c r="AJ12" s="68">
        <f>GETPIVOTDATA("Count of # fish",$A$2,"Month","Nov","Year",2000)</f>
        <v>15</v>
      </c>
      <c r="AK12" s="68">
        <v>1</v>
      </c>
      <c r="AL12" s="68">
        <v>0</v>
      </c>
      <c r="AM12" s="68"/>
      <c r="AN12" s="67">
        <f t="shared" si="0"/>
        <v>14</v>
      </c>
    </row>
    <row r="13" spans="1:65" s="2" customFormat="1">
      <c r="A13" s="62"/>
      <c r="B13" s="268" t="s">
        <v>391</v>
      </c>
      <c r="C13" s="266">
        <v>1171437.5999999999</v>
      </c>
      <c r="D13" s="110"/>
      <c r="E13" s="110"/>
      <c r="F13" s="110">
        <v>5337332.4749999996</v>
      </c>
      <c r="G13" s="110">
        <v>8013902.2658333331</v>
      </c>
      <c r="H13" s="110">
        <v>12145443.858888889</v>
      </c>
      <c r="I13" s="110">
        <v>8934745.1475000009</v>
      </c>
      <c r="J13" s="110">
        <v>3797618.17</v>
      </c>
      <c r="K13" s="110">
        <v>2644391.4</v>
      </c>
      <c r="L13" s="110">
        <v>3650137.5</v>
      </c>
      <c r="M13" s="110">
        <v>2984812.6166666672</v>
      </c>
      <c r="N13" s="267">
        <v>1442083.5</v>
      </c>
      <c r="O13"/>
      <c r="P13" s="74" t="s">
        <v>99</v>
      </c>
      <c r="Q13" s="74"/>
      <c r="R13" s="74"/>
      <c r="S13"/>
      <c r="T13"/>
      <c r="U13"/>
      <c r="V13"/>
      <c r="W13"/>
      <c r="X13"/>
      <c r="Y13" s="1">
        <v>36861</v>
      </c>
      <c r="Z13" s="67">
        <f>GETPIVOTDATA("Sum of # fish2",$A$2,"Month","Dec","Year",2000)</f>
        <v>5042930</v>
      </c>
      <c r="AA13" s="80"/>
      <c r="AB13" s="80"/>
      <c r="AC13" s="80"/>
      <c r="AD13" s="80"/>
      <c r="AE13" s="122"/>
      <c r="AF13" s="80"/>
      <c r="AG13" s="81"/>
      <c r="AH13" s="80"/>
      <c r="AI13" s="80"/>
      <c r="AJ13" s="68">
        <f>GETPIVOTDATA("Count of # fish",$A$2,"Month","Dec","Year",2000)</f>
        <v>15</v>
      </c>
      <c r="AK13" s="68">
        <v>1</v>
      </c>
      <c r="AL13" s="68">
        <v>0</v>
      </c>
      <c r="AM13" s="68"/>
      <c r="AN13" s="67">
        <f t="shared" si="0"/>
        <v>14</v>
      </c>
    </row>
    <row r="14" spans="1:65" s="2" customFormat="1">
      <c r="A14" s="62"/>
      <c r="B14" s="268" t="s">
        <v>393</v>
      </c>
      <c r="C14" s="266"/>
      <c r="D14" s="110"/>
      <c r="E14" s="110"/>
      <c r="F14" s="110"/>
      <c r="G14" s="110">
        <v>1</v>
      </c>
      <c r="H14" s="110">
        <v>1</v>
      </c>
      <c r="I14" s="110">
        <v>1</v>
      </c>
      <c r="J14" s="110"/>
      <c r="K14" s="110"/>
      <c r="L14" s="110"/>
      <c r="M14" s="110">
        <v>1</v>
      </c>
      <c r="N14" s="267"/>
      <c r="O14" s="67">
        <f>SUM(C14:N14)</f>
        <v>4</v>
      </c>
      <c r="P14" s="50" t="s">
        <v>79</v>
      </c>
      <c r="Q14" s="50"/>
      <c r="R14" s="50"/>
      <c r="S14"/>
      <c r="T14"/>
      <c r="U14"/>
      <c r="V14"/>
      <c r="W14"/>
      <c r="X14"/>
      <c r="Y14" s="1">
        <v>36892</v>
      </c>
      <c r="Z14" s="67">
        <f>GETPIVOTDATA("Sum of # fish2",$A$2,"Month","Jan","Year",2001)</f>
        <v>5501875</v>
      </c>
      <c r="AA14" s="80"/>
      <c r="AC14" s="80"/>
      <c r="AD14" s="80"/>
      <c r="AE14" s="122"/>
      <c r="AF14" s="80"/>
      <c r="AG14" s="81"/>
      <c r="AH14" s="80"/>
      <c r="AI14" s="80"/>
      <c r="AJ14" s="69">
        <v>12</v>
      </c>
      <c r="AK14" s="68">
        <v>1</v>
      </c>
      <c r="AL14" s="68">
        <v>0</v>
      </c>
      <c r="AM14" s="68"/>
      <c r="AN14" s="67">
        <f t="shared" si="0"/>
        <v>11</v>
      </c>
    </row>
    <row r="15" spans="1:65" s="2" customFormat="1">
      <c r="A15" s="62"/>
      <c r="B15" s="268" t="s">
        <v>396</v>
      </c>
      <c r="C15" s="266">
        <v>146429.70000000001</v>
      </c>
      <c r="D15" s="110"/>
      <c r="E15" s="110"/>
      <c r="F15" s="110">
        <v>721111.51466666674</v>
      </c>
      <c r="G15" s="110">
        <v>1251824.0820000002</v>
      </c>
      <c r="H15" s="110">
        <v>481231.61244444456</v>
      </c>
      <c r="I15" s="110">
        <v>269069.52900000004</v>
      </c>
      <c r="J15" s="110">
        <v>18910.768</v>
      </c>
      <c r="K15" s="110">
        <v>0</v>
      </c>
      <c r="L15" s="110">
        <v>40881.54</v>
      </c>
      <c r="M15" s="110">
        <v>27223.046666666669</v>
      </c>
      <c r="N15" s="267">
        <v>145665</v>
      </c>
      <c r="O15"/>
      <c r="P15" s="74" t="s">
        <v>103</v>
      </c>
      <c r="Q15" s="74"/>
      <c r="R15" s="74"/>
      <c r="S15"/>
      <c r="T15"/>
      <c r="U15"/>
      <c r="V15"/>
      <c r="W15"/>
      <c r="X15"/>
      <c r="Y15" s="1">
        <v>36923</v>
      </c>
      <c r="Z15" s="67">
        <f>GETPIVOTDATA("Sum of # fish2",$A$2,"Month","Feb","Year",2001)</f>
        <v>6014678</v>
      </c>
      <c r="AA15" s="80"/>
      <c r="AC15" s="80"/>
      <c r="AD15" s="80"/>
      <c r="AE15" s="122"/>
      <c r="AF15" s="80"/>
      <c r="AG15" s="81"/>
      <c r="AH15" s="80"/>
      <c r="AI15" s="80"/>
      <c r="AJ15" s="69">
        <v>14</v>
      </c>
      <c r="AK15" s="68">
        <v>1</v>
      </c>
      <c r="AL15" s="68">
        <v>0</v>
      </c>
      <c r="AM15" s="68"/>
      <c r="AN15" s="67">
        <f t="shared" si="0"/>
        <v>13</v>
      </c>
    </row>
    <row r="16" spans="1:65" s="2" customFormat="1">
      <c r="A16" s="22">
        <v>2001</v>
      </c>
      <c r="B16" s="22" t="s">
        <v>57</v>
      </c>
      <c r="C16" s="33">
        <v>12</v>
      </c>
      <c r="D16" s="34">
        <v>14</v>
      </c>
      <c r="E16" s="34">
        <v>16</v>
      </c>
      <c r="F16" s="34">
        <v>17</v>
      </c>
      <c r="G16" s="34">
        <v>16</v>
      </c>
      <c r="H16" s="34">
        <v>16</v>
      </c>
      <c r="I16" s="34">
        <v>15</v>
      </c>
      <c r="J16" s="34">
        <v>15</v>
      </c>
      <c r="K16" s="34">
        <v>15</v>
      </c>
      <c r="L16" s="34">
        <v>15</v>
      </c>
      <c r="M16" s="34">
        <v>15</v>
      </c>
      <c r="N16" s="41">
        <v>16</v>
      </c>
      <c r="O16"/>
      <c r="P16" s="72" t="s">
        <v>75</v>
      </c>
      <c r="Q16" s="72"/>
      <c r="R16" s="72"/>
      <c r="S16" s="61" t="s">
        <v>80</v>
      </c>
      <c r="T16" s="45"/>
      <c r="U16" s="45"/>
      <c r="V16" s="45"/>
      <c r="W16" s="45"/>
      <c r="X16" s="45"/>
      <c r="Y16" s="1">
        <v>36951</v>
      </c>
      <c r="Z16" s="67">
        <f>GETPIVOTDATA("Sum of # fish2",$A$2,"Month","Mar","Year",2001)</f>
        <v>6365680</v>
      </c>
      <c r="AA16" s="80">
        <f>GETPIVOTDATA("0.4*(# Caligus/ farm)",$A$2,"Month","Mar","Year",2001)/P434</f>
        <v>560341.66146304086</v>
      </c>
      <c r="AB16" s="80">
        <f>(GETPIVOTDATA("Sum of # Female L.salmonis",$A$2,"Month","Mar","Year",2001)-'Data for broughton'!U1000)/P146</f>
        <v>6419315.5102926549</v>
      </c>
      <c r="AC16" s="80">
        <f>'Data for broughton'!I500+'Data for broughton'!I1156+'Data for broughton'!I1396+'Data for broughton'!I1516</f>
        <v>548383</v>
      </c>
      <c r="AD16" s="80">
        <f>'Data for broughton'!I760+'Data for broughton'!I2236</f>
        <v>1608324</v>
      </c>
      <c r="AE16" s="122">
        <f>(GETPIVOTDATA("Sum of # Female L.salmonis",$A$2,"Month","Mar","Year",2001)-'Data for broughton'!U1000)/AD16</f>
        <v>2.0579926246204123</v>
      </c>
      <c r="AF16" s="80">
        <f>AC16*AE16</f>
        <v>1128568.1694672157</v>
      </c>
      <c r="AG16" s="539">
        <f>AB16+AF16</f>
        <v>7547883.6797598703</v>
      </c>
      <c r="AH16" s="80">
        <f>AF16+(GETPIVOTDATA("Sum of # Female L.salmonis",$A$2,"Month","Mar","Year",2001)-'Data for broughton'!U1000)/R146</f>
        <v>5943262.0580895804</v>
      </c>
      <c r="AI16" s="80">
        <f>AF16+(GETPIVOTDATA("Sum of # Female L.salmonis",$A$2,"Month","Mar","Year",2001)-'Data for broughton'!U1000)/Q146</f>
        <v>10015126.211564489</v>
      </c>
      <c r="AJ16" s="69">
        <v>16</v>
      </c>
      <c r="AK16" s="68">
        <v>3</v>
      </c>
      <c r="AL16" s="68">
        <v>0</v>
      </c>
      <c r="AM16" s="68">
        <v>1</v>
      </c>
      <c r="AN16" s="67">
        <f t="shared" si="0"/>
        <v>13</v>
      </c>
    </row>
    <row r="17" spans="1:40" s="2" customFormat="1">
      <c r="A17" s="25"/>
      <c r="B17" s="29" t="s">
        <v>59</v>
      </c>
      <c r="C17" s="35">
        <v>5501875</v>
      </c>
      <c r="D17" s="21">
        <v>6014678</v>
      </c>
      <c r="E17" s="21">
        <v>6365680</v>
      </c>
      <c r="F17" s="21">
        <v>7866546</v>
      </c>
      <c r="G17" s="21">
        <v>7893113</v>
      </c>
      <c r="H17" s="21">
        <v>7593157</v>
      </c>
      <c r="I17" s="21">
        <v>7325202</v>
      </c>
      <c r="J17" s="21">
        <v>7157761</v>
      </c>
      <c r="K17" s="21">
        <v>6787874</v>
      </c>
      <c r="L17" s="21">
        <v>6609367</v>
      </c>
      <c r="M17" s="21">
        <v>7367817</v>
      </c>
      <c r="N17" s="39">
        <v>7758825</v>
      </c>
      <c r="O17"/>
      <c r="P17" s="72" t="s">
        <v>77</v>
      </c>
      <c r="Q17" s="72"/>
      <c r="R17" s="72"/>
      <c r="S17" s="45"/>
      <c r="T17" s="45"/>
      <c r="U17" s="45"/>
      <c r="V17" s="45"/>
      <c r="W17" s="45"/>
      <c r="X17" s="45"/>
      <c r="Y17" s="1">
        <v>36982</v>
      </c>
      <c r="Z17" s="67">
        <f>GETPIVOTDATA("Sum of # fish2",$A$2,"Month","Apr","Year",2001)</f>
        <v>7866546</v>
      </c>
      <c r="AA17" s="80">
        <f>GETPIVOTDATA("0.4*(# Caligus/ farm)",$A$2,"Month","Apr","Year",2001)/P461</f>
        <v>1461589.1773863996</v>
      </c>
      <c r="AB17" s="80">
        <f>(GETPIVOTDATA("Sum of # Female L.salmonis",$A$2,"Month","Apr","Year",2001)-'Data for broughton'!U761)/P174</f>
        <v>7799082.7424834501</v>
      </c>
      <c r="AC17" s="80">
        <f>'Data for broughton'!I501+'Data for broughton'!I1157+'Data for broughton'!I1397+'Data for broughton'!I1517</f>
        <v>421370</v>
      </c>
      <c r="AD17" s="80">
        <f>'Data for broughton'!I17+'Data for broughton'!I621+'Data for broughton'!I741+'Data for broughton'!I881+'Data for broughton'!I1001+'Data for broughton'!I2237</f>
        <v>3679053</v>
      </c>
      <c r="AE17" s="122">
        <f>(GETPIVOTDATA("Sum of # Female L.salmonis",$A$2,"Month","Apr","Year",2001)-'Data for broughton'!U761)/AD17</f>
        <v>1.9444151248523283</v>
      </c>
      <c r="AF17" s="80">
        <f>AC17*AE17</f>
        <v>819318.20115902554</v>
      </c>
      <c r="AG17" s="80">
        <f>AB17+AF17</f>
        <v>8618400.9436424747</v>
      </c>
      <c r="AH17" s="80">
        <f>AF17+(GETPIVOTDATA("Sum of # Female L.salmonis",$A$2,"Month","Apr","Year",2001)-'Data for broughton'!U761)/R174</f>
        <v>8268719.086669486</v>
      </c>
      <c r="AI17" s="80">
        <f>AF17+(GETPIVOTDATA("Sum of # Female L.salmonis",$A$2,"Month","Apr","Year",2001)-'Data for broughton'!U761)/Q174</f>
        <v>8821741.6653079912</v>
      </c>
      <c r="AJ17" s="69">
        <v>17</v>
      </c>
      <c r="AK17" s="68">
        <v>4</v>
      </c>
      <c r="AL17" s="68">
        <v>3</v>
      </c>
      <c r="AM17" s="68">
        <v>1</v>
      </c>
      <c r="AN17" s="67">
        <f t="shared" si="0"/>
        <v>10</v>
      </c>
    </row>
    <row r="18" spans="1:40" s="2" customFormat="1">
      <c r="A18" s="25"/>
      <c r="B18" s="29" t="s">
        <v>389</v>
      </c>
      <c r="C18" s="35">
        <v>2</v>
      </c>
      <c r="D18" s="21">
        <v>2</v>
      </c>
      <c r="E18" s="21">
        <v>3</v>
      </c>
      <c r="F18" s="21">
        <v>7</v>
      </c>
      <c r="G18" s="21">
        <v>6</v>
      </c>
      <c r="H18" s="21">
        <v>9</v>
      </c>
      <c r="I18" s="21">
        <v>8</v>
      </c>
      <c r="J18" s="21">
        <v>8</v>
      </c>
      <c r="K18" s="21">
        <v>7</v>
      </c>
      <c r="L18" s="21">
        <v>7</v>
      </c>
      <c r="M18" s="21">
        <v>7</v>
      </c>
      <c r="N18" s="39">
        <v>6</v>
      </c>
      <c r="O18"/>
      <c r="P18" s="72" t="s">
        <v>78</v>
      </c>
      <c r="Q18" s="72"/>
      <c r="R18" s="72"/>
      <c r="S18" s="45"/>
      <c r="T18" s="45"/>
      <c r="U18" s="45"/>
      <c r="V18" s="45"/>
      <c r="W18" s="45"/>
      <c r="X18" s="45"/>
      <c r="Y18" s="1">
        <v>37012</v>
      </c>
      <c r="Z18" s="67">
        <f>GETPIVOTDATA("Sum of # fish2",$A$2,"Month","May","Year",2001)</f>
        <v>7893113</v>
      </c>
      <c r="AA18" s="80">
        <f>GETPIVOTDATA("0.4*(# Caligus/ farm)",$A$2,"Month","May","Year",2001)/P483</f>
        <v>296036.6716275012</v>
      </c>
      <c r="AB18" s="80">
        <f>(GETPIVOTDATA("Sum of # Female L.salmonis",$A$2,"Month","May","Year",2001)-'Data for broughton'!U762)/P196</f>
        <v>12146033.710843226</v>
      </c>
      <c r="AC18" s="80">
        <f>'Data for broughton'!I502+'Data for broughton'!I1518+'Data for broughton'!I1638</f>
        <v>173624</v>
      </c>
      <c r="AD18" s="80">
        <f>'Data for broughton'!I18+'Data for broughton'!I622+'Data for broughton'!I882+'Data for broughton'!I1002+'Data for broughton'!I2238</f>
        <v>2875972</v>
      </c>
      <c r="AE18" s="122">
        <f>(GETPIVOTDATA("Sum of # Female L.salmonis",$A$2,"Month","May","Year",2001)-'Data for broughton'!U762)/AD18</f>
        <v>3.6375843627823916</v>
      </c>
      <c r="AF18" s="80">
        <f t="shared" ref="AF18:AF37" si="3">AC18*AE18</f>
        <v>631571.94740373001</v>
      </c>
      <c r="AG18" s="80">
        <f t="shared" ref="AG18:AG81" si="4">AB18+AF18</f>
        <v>12777605.658246957</v>
      </c>
      <c r="AH18" s="80">
        <f>AF18+(GETPIVOTDATA("Sum of # Female L.salmonis",$A$2,"Month","May","Year",2001)-'Data for broughton'!U762)/R196</f>
        <v>11758064.011091884</v>
      </c>
      <c r="AI18" s="80">
        <f>AF18+(GETPIVOTDATA("Sum of # Female L.salmonis",$A$2,"Month","May","Year",2001)-'Data for broughton'!U762)/Q196</f>
        <v>14504999.359130852</v>
      </c>
      <c r="AJ18" s="69">
        <v>16</v>
      </c>
      <c r="AK18" s="68">
        <v>4</v>
      </c>
      <c r="AL18" s="68">
        <v>2</v>
      </c>
      <c r="AM18" s="68">
        <v>1</v>
      </c>
      <c r="AN18" s="67">
        <f t="shared" si="0"/>
        <v>10</v>
      </c>
    </row>
    <row r="19" spans="1:40" s="2" customFormat="1">
      <c r="A19" s="25"/>
      <c r="B19" s="29" t="s">
        <v>391</v>
      </c>
      <c r="C19" s="35">
        <v>123096.75</v>
      </c>
      <c r="D19" s="21">
        <v>203494.86000000002</v>
      </c>
      <c r="E19" s="21">
        <v>3503346.5966666667</v>
      </c>
      <c r="F19" s="21">
        <v>7409446.0583333327</v>
      </c>
      <c r="G19" s="21">
        <v>10589510.655000001</v>
      </c>
      <c r="H19" s="21">
        <v>13950386.053636365</v>
      </c>
      <c r="I19" s="21">
        <v>17543388.483333331</v>
      </c>
      <c r="J19" s="21">
        <v>8980530.8000000007</v>
      </c>
      <c r="K19" s="21">
        <v>6192716.5</v>
      </c>
      <c r="L19" s="21">
        <v>7232436.8071428565</v>
      </c>
      <c r="M19" s="21">
        <v>10840703.014285715</v>
      </c>
      <c r="N19" s="39">
        <v>9072807.1999999993</v>
      </c>
      <c r="O19"/>
      <c r="P19" s="73" t="s">
        <v>99</v>
      </c>
      <c r="Q19" s="73"/>
      <c r="R19" s="73"/>
      <c r="S19" s="45"/>
      <c r="T19" s="45"/>
      <c r="U19" s="45"/>
      <c r="V19" s="45"/>
      <c r="W19" s="45"/>
      <c r="X19" s="45"/>
      <c r="Y19" s="1">
        <v>37043</v>
      </c>
      <c r="Z19" s="67">
        <f>GETPIVOTDATA("Sum of # fish2",$A$2,"Month","Jun","Year",2001)</f>
        <v>7593157</v>
      </c>
      <c r="AA19" s="80">
        <f>GETPIVOTDATA("0.4*(# Caligus/ farm)",$A$2,"Month","Jun","Year",2001)/P507</f>
        <v>128662.49082575372</v>
      </c>
      <c r="AB19" s="80">
        <f>(GETPIVOTDATA("Sum of # Female L.salmonis",$A$2,"Month","Jun","Year",2001)-'Data for broughton'!U623-'Data for broughton'!U763)/P221</f>
        <v>15137386.255581224</v>
      </c>
      <c r="AC19" s="80">
        <f>'Data for broughton'!I503+'Data for broughton'!I1519+'Data for broughton'!I1639</f>
        <v>125362</v>
      </c>
      <c r="AD19" s="80">
        <f>'Data for broughton'!I743+'Data for broughton'!I883+'Data for broughton'!I1003+'Data for broughton'!I1279+'Data for broughton'!I1315+'Data for broughton'!I1759+'Data for broughton'!I2239</f>
        <v>3726316</v>
      </c>
      <c r="AE19" s="122">
        <f>(GETPIVOTDATA("Sum of # Female L.salmonis",$A$2,"Month","Jun","Year",2001)-'Data for broughton'!U623-'Data for broughton'!U763)/AD19</f>
        <v>3.7417415458055627</v>
      </c>
      <c r="AF19" s="80">
        <f t="shared" si="3"/>
        <v>469072.20366527693</v>
      </c>
      <c r="AG19" s="80">
        <f t="shared" si="4"/>
        <v>15606458.459246501</v>
      </c>
      <c r="AH19" s="80">
        <f>AF19+(GETPIVOTDATA("Sum of # Female L.salmonis",$A$2,"Month","Jun","Year",2001)-'Data for broughton'!U623-'Data for broughton'!U763)/R221</f>
        <v>14411983.593665278</v>
      </c>
      <c r="AI19" s="80">
        <f>AF19+(GETPIVOTDATA("Sum of # Female L.salmonis",$A$2,"Month","Jun","Year",2001)-'Data for broughton'!U623-'Data for broughton'!U763)/Q221</f>
        <v>16260378.393976264</v>
      </c>
      <c r="AJ19" s="69">
        <v>16</v>
      </c>
      <c r="AK19" s="68">
        <v>4</v>
      </c>
      <c r="AL19" s="68">
        <v>5</v>
      </c>
      <c r="AM19" s="68">
        <v>2</v>
      </c>
      <c r="AN19" s="67">
        <f t="shared" si="0"/>
        <v>7</v>
      </c>
    </row>
    <row r="20" spans="1:40" s="2" customFormat="1">
      <c r="A20" s="25"/>
      <c r="B20" s="29" t="s">
        <v>393</v>
      </c>
      <c r="C20" s="35"/>
      <c r="D20" s="21"/>
      <c r="E20" s="21">
        <v>1</v>
      </c>
      <c r="F20" s="21"/>
      <c r="G20" s="21">
        <v>2</v>
      </c>
      <c r="H20" s="21">
        <v>3</v>
      </c>
      <c r="I20" s="21">
        <v>1</v>
      </c>
      <c r="J20" s="21"/>
      <c r="K20" s="21"/>
      <c r="L20" s="21"/>
      <c r="M20" s="21"/>
      <c r="N20" s="39">
        <v>1</v>
      </c>
      <c r="O20" s="67">
        <f>SUM(C20:N20)</f>
        <v>8</v>
      </c>
      <c r="P20" s="72" t="s">
        <v>79</v>
      </c>
      <c r="Q20" s="72"/>
      <c r="R20" s="72"/>
      <c r="S20" s="45"/>
      <c r="T20" s="45"/>
      <c r="U20" s="45"/>
      <c r="V20" s="45"/>
      <c r="W20" s="45"/>
      <c r="X20" s="45"/>
      <c r="Y20" s="518">
        <v>37073</v>
      </c>
      <c r="Z20" s="67">
        <f>GETPIVOTDATA("Sum of # fish2",$A$2,"Month","Jul","Year",2001)</f>
        <v>7325202</v>
      </c>
      <c r="AA20" s="80">
        <f>GETPIVOTDATA("0.4*(# Caligus/ farm)",$A$2,"Month","Jul","Year",2001)/P531</f>
        <v>7837.2553218893445</v>
      </c>
      <c r="AB20" s="80">
        <f>(GETPIVOTDATA("Sum of # Female L.salmonis",$A$2,"Month","Jul","Year",2001)-'Data for broughton'!U1280-'Data for broughton'!U1316)/P245</f>
        <v>19179412.937862683</v>
      </c>
      <c r="AC20" s="80">
        <f>'Data for broughton'!I504+'Data for broughton'!I1640</f>
        <v>50100</v>
      </c>
      <c r="AD20" s="80">
        <f>'Data for broughton'!I884+'Data for broughton'!I1004+'Data for broughton'!I1364+'Data for broughton'!I1760+'Data for broughton'!I2000+'Data for broughton'!I2240</f>
        <v>2493827</v>
      </c>
      <c r="AE20" s="122">
        <f>(GETPIVOTDATA("Sum of # Female L.salmonis",$A$2,"Month","Jul","Year",2001)-'Data for broughton'!U1280-'Data for broughton'!U1316)/AD20</f>
        <v>7.0191921492549385</v>
      </c>
      <c r="AF20" s="80">
        <f t="shared" si="3"/>
        <v>351661.5266776724</v>
      </c>
      <c r="AG20" s="80">
        <f t="shared" si="4"/>
        <v>19531074.464540355</v>
      </c>
      <c r="AH20" s="80">
        <f>AF20+(GETPIVOTDATA("Sum of # Female L.salmonis",$A$2,"Month","Jul","Year",2001)-'Data for broughton'!U1280-'Data for broughton'!U1316)/R245</f>
        <v>18660052.791446254</v>
      </c>
      <c r="AI20" s="80">
        <f>AF20+(GETPIVOTDATA("Sum of # Female L.salmonis",$A$2,"Month","Jul","Year",2001)-'Data for broughton'!U1280-'Data for broughton'!U1316)/Q245</f>
        <v>22007996.94942027</v>
      </c>
      <c r="AJ20" s="69">
        <v>15</v>
      </c>
      <c r="AK20" s="68">
        <v>8</v>
      </c>
      <c r="AL20" s="68">
        <v>0</v>
      </c>
      <c r="AM20" s="68">
        <v>2</v>
      </c>
      <c r="AN20" s="67">
        <f t="shared" si="0"/>
        <v>7</v>
      </c>
    </row>
    <row r="21" spans="1:40" s="2" customFormat="1">
      <c r="A21" s="25"/>
      <c r="B21" s="29" t="s">
        <v>396</v>
      </c>
      <c r="C21" s="35">
        <v>4653.1200000000008</v>
      </c>
      <c r="D21" s="21">
        <v>0</v>
      </c>
      <c r="E21" s="21">
        <v>355927.47</v>
      </c>
      <c r="F21" s="21">
        <v>1380991.4900000002</v>
      </c>
      <c r="G21" s="21">
        <v>263687.34000000003</v>
      </c>
      <c r="H21" s="21">
        <v>125693.65454545457</v>
      </c>
      <c r="I21" s="21">
        <v>7691.9000000000005</v>
      </c>
      <c r="J21" s="21">
        <v>22591.600000000002</v>
      </c>
      <c r="K21" s="21">
        <v>10978.400000000001</v>
      </c>
      <c r="L21" s="21">
        <v>490844.0914285715</v>
      </c>
      <c r="M21" s="21">
        <v>625950.54285714298</v>
      </c>
      <c r="N21" s="39">
        <v>245705.9</v>
      </c>
      <c r="O21"/>
      <c r="P21" s="73" t="s">
        <v>103</v>
      </c>
      <c r="Q21" s="73"/>
      <c r="R21" s="73"/>
      <c r="S21" s="45"/>
      <c r="T21" s="45"/>
      <c r="U21" s="45"/>
      <c r="V21" s="45"/>
      <c r="W21" s="45"/>
      <c r="X21" s="45"/>
      <c r="Y21" s="1">
        <v>37104</v>
      </c>
      <c r="Z21" s="67">
        <f>GETPIVOTDATA("Sum of # fish2",$A$2,"Month","Aug","Year",2001)</f>
        <v>7157761</v>
      </c>
      <c r="AA21" s="80">
        <f>GETPIVOTDATA("0.4*(# Caligus/ farm)",$A$2,"Month","Aug","Year",2001)/P555</f>
        <v>23055.258477895484</v>
      </c>
      <c r="AB21" s="80">
        <f>(GETPIVOTDATA("Sum of # Female L.salmonis",$A$2,"Month","Aug","Year",2001)-'Data for broughton'!U885-'Data for broughton'!U1281-'Data for broughton'!U1317)/P269</f>
        <v>9881762.8075470366</v>
      </c>
      <c r="AC21" s="80">
        <f>'Data for broughton'!I505+'Data for broughton'!I1641</f>
        <v>47036</v>
      </c>
      <c r="AD21" s="80">
        <f>'Data for broughton'!I385+'Data for broughton'!I1005+'Data for broughton'!I1365+'Data for broughton'!I1761+'Data for broughton'!I2361</f>
        <v>2263152</v>
      </c>
      <c r="AE21" s="122">
        <f>(GETPIVOTDATA("Sum of # Female L.salmonis",$A$2,"Month","Aug","Year",2001)-'Data for broughton'!U885-'Data for broughton'!U1281-'Data for broughton'!U1317)/AD21</f>
        <v>3.8546884168628535</v>
      </c>
      <c r="AF21" s="80">
        <f t="shared" si="3"/>
        <v>181309.12437556116</v>
      </c>
      <c r="AG21" s="80">
        <f t="shared" si="4"/>
        <v>10063071.931922598</v>
      </c>
      <c r="AH21" s="80">
        <f>AF21+(GETPIVOTDATA("Sum of # Female L.salmonis",$A$2,"Month","Aug","Year",2001)-'Data for broughton'!U885-'Data for broughton'!U1281-'Data for broughton'!U1317)/R269</f>
        <v>9646625.2290380504</v>
      </c>
      <c r="AI21" s="80">
        <f>AF21+(GETPIVOTDATA("Sum of # Female L.salmonis",$A$2,"Month","Aug","Year",2001)-'Data for broughton'!U885-'Data for broughton'!U1281-'Data for broughton'!U1317)/Q269</f>
        <v>10426288.829842189</v>
      </c>
      <c r="AJ21" s="69">
        <v>15</v>
      </c>
      <c r="AK21" s="68">
        <v>6</v>
      </c>
      <c r="AL21" s="68">
        <v>2</v>
      </c>
      <c r="AM21" s="68">
        <v>3</v>
      </c>
      <c r="AN21" s="67">
        <f t="shared" si="0"/>
        <v>7</v>
      </c>
    </row>
    <row r="22" spans="1:40" s="2" customFormat="1">
      <c r="A22" s="60">
        <v>2002</v>
      </c>
      <c r="B22" s="60" t="s">
        <v>57</v>
      </c>
      <c r="C22" s="263">
        <v>15</v>
      </c>
      <c r="D22" s="264">
        <v>14</v>
      </c>
      <c r="E22" s="264">
        <v>15</v>
      </c>
      <c r="F22" s="264">
        <v>15</v>
      </c>
      <c r="G22" s="264">
        <v>15</v>
      </c>
      <c r="H22" s="264">
        <v>16</v>
      </c>
      <c r="I22" s="264">
        <v>15</v>
      </c>
      <c r="J22" s="264">
        <v>15</v>
      </c>
      <c r="K22" s="264">
        <v>14</v>
      </c>
      <c r="L22" s="264">
        <v>12</v>
      </c>
      <c r="M22" s="264">
        <v>14</v>
      </c>
      <c r="N22" s="265">
        <v>15</v>
      </c>
      <c r="O22"/>
      <c r="P22" s="50" t="s">
        <v>75</v>
      </c>
      <c r="Q22" s="50"/>
      <c r="R22" s="50"/>
      <c r="S22"/>
      <c r="T22"/>
      <c r="U22"/>
      <c r="V22"/>
      <c r="W22"/>
      <c r="X22"/>
      <c r="Y22" s="1">
        <v>37135</v>
      </c>
      <c r="Z22" s="67">
        <f>GETPIVOTDATA("Sum of # fish2",$A$2,"Month","Sep","Year",2001)</f>
        <v>6787874</v>
      </c>
      <c r="AA22" s="80">
        <f>GETPIVOTDATA("0.4*(# Caligus/ farm)",$A$2,"Month","Sep","Year",2001)/P578</f>
        <v>11842.712518292392</v>
      </c>
      <c r="AB22" s="80">
        <f>(GETPIVOTDATA("Sum of # Female L.salmonis",$A$2,"Month","Sep","Year",2001)-'Data for broughton'!U22-'Data for broughton'!U886-'Data for broughton'!U1318)/P292</f>
        <v>7050479.2316447934</v>
      </c>
      <c r="AC22" s="80">
        <f>'Data for broughton'!I506+'Data for broughton'!I1642</f>
        <v>47777</v>
      </c>
      <c r="AD22" s="80">
        <f>'Data for broughton'!I386+'Data for broughton'!I1006+'Data for broughton'!I1366+'Data for broughton'!I1762</f>
        <v>1125891</v>
      </c>
      <c r="AE22" s="122">
        <f>(GETPIVOTDATA("Sum of # Female L.salmonis",$A$2,"Month","Sep","Year",2001)-'Data for broughton'!U22-'Data for broughton'!U886-'Data for broughton'!U1318)/AD22</f>
        <v>5.3678525718741872</v>
      </c>
      <c r="AF22" s="80">
        <f t="shared" si="3"/>
        <v>256459.89232643304</v>
      </c>
      <c r="AG22" s="80">
        <f t="shared" si="4"/>
        <v>7306939.1239712266</v>
      </c>
      <c r="AH22" s="80">
        <f>AF22+(GETPIVOTDATA("Sum of # Female L.salmonis",$A$2,"Month","Sep","Year",2001)-'Data for broughton'!U22-'Data for broughton'!U886-'Data for broughton'!U1318)/R292</f>
        <v>6950148.0453909962</v>
      </c>
      <c r="AI22" s="80">
        <f>AF22+(GETPIVOTDATA("Sum of # Female L.salmonis",$A$2,"Month","Sep","Year",2001)-'Data for broughton'!U22-'Data for broughton'!U886-'Data for broughton'!U1318)/Q292</f>
        <v>7794123.9813919552</v>
      </c>
      <c r="AJ22" s="69">
        <v>15</v>
      </c>
      <c r="AK22" s="68">
        <v>3</v>
      </c>
      <c r="AL22" s="68">
        <v>4</v>
      </c>
      <c r="AM22" s="68">
        <v>3</v>
      </c>
      <c r="AN22" s="67">
        <f t="shared" si="0"/>
        <v>8</v>
      </c>
    </row>
    <row r="23" spans="1:40" s="2" customFormat="1">
      <c r="A23" s="62"/>
      <c r="B23" s="63" t="s">
        <v>59</v>
      </c>
      <c r="C23" s="266">
        <v>7721927</v>
      </c>
      <c r="D23" s="110">
        <v>7643097</v>
      </c>
      <c r="E23" s="110">
        <v>6716832</v>
      </c>
      <c r="F23" s="110">
        <v>7925690</v>
      </c>
      <c r="G23" s="110">
        <v>7880206</v>
      </c>
      <c r="H23" s="110">
        <v>7403365</v>
      </c>
      <c r="I23" s="110">
        <v>6952584</v>
      </c>
      <c r="J23" s="110">
        <v>6670140</v>
      </c>
      <c r="K23" s="110">
        <v>5051279</v>
      </c>
      <c r="L23" s="110">
        <v>5148823</v>
      </c>
      <c r="M23" s="110">
        <v>5358315</v>
      </c>
      <c r="N23" s="267">
        <v>5473379</v>
      </c>
      <c r="O23"/>
      <c r="P23" s="50" t="s">
        <v>77</v>
      </c>
      <c r="Q23" s="50"/>
      <c r="R23" s="50"/>
      <c r="S23"/>
      <c r="T23"/>
      <c r="U23"/>
      <c r="V23"/>
      <c r="W23"/>
      <c r="X23"/>
      <c r="Y23" s="1">
        <v>37165</v>
      </c>
      <c r="Z23" s="67">
        <f>GETPIVOTDATA("Sum of # fish2",$A$2,"Month","Oct","Year",2001)</f>
        <v>6609367</v>
      </c>
      <c r="AA23" s="80">
        <f>GETPIVOTDATA("0.4*(# Caligus/ farm)",$A$2,"Month","Oct","Year",2001)/P603</f>
        <v>498615.89731176081</v>
      </c>
      <c r="AB23" s="80">
        <f>GETPIVOTDATA("Sum of # Female L.salmonis",$A$2,"Month","Oct","Year",2001)/P318</f>
        <v>7587995.0893206485</v>
      </c>
      <c r="AC23" s="80">
        <f>'Data for broughton'!I507+'Data for broughton'!I1643</f>
        <v>46336</v>
      </c>
      <c r="AD23" s="80">
        <f>'Data for broughton'!I23+'Data for broughton'!I387+'Data for broughton'!I627+'Data for broughton'!I1163+'Data for broughton'!I1367+'Data for broughton'!I1523+'Data for broughton'!I1763</f>
        <v>4118653</v>
      </c>
      <c r="AE23" s="122">
        <f>GETPIVOTDATA("Sum of # Female L.salmonis",$A$2,"Month","Oct","Year",2001)/AD23</f>
        <v>1.7560199432054258</v>
      </c>
      <c r="AF23" s="80">
        <f t="shared" si="3"/>
        <v>81366.940088366609</v>
      </c>
      <c r="AG23" s="80">
        <f t="shared" si="4"/>
        <v>7669362.0294090146</v>
      </c>
      <c r="AH23" s="80">
        <f>AF23+GETPIVOTDATA("Sum of # Female L.salmonis",$A$2,"Month","Oct","Year",2001)/R318</f>
        <v>7467413.2851427831</v>
      </c>
      <c r="AI23" s="80">
        <f>AF23+GETPIVOTDATA("Sum of # Female L.salmonis",$A$2,"Month","Oct","Year",2001)/Q318</f>
        <v>8239566.0411552135</v>
      </c>
      <c r="AJ23" s="69">
        <v>15</v>
      </c>
      <c r="AK23" s="68">
        <v>4</v>
      </c>
      <c r="AL23" s="68">
        <v>3</v>
      </c>
      <c r="AM23" s="68">
        <v>0</v>
      </c>
      <c r="AN23" s="67">
        <f t="shared" si="0"/>
        <v>8</v>
      </c>
    </row>
    <row r="24" spans="1:40" s="2" customFormat="1">
      <c r="A24" s="62"/>
      <c r="B24" s="268" t="s">
        <v>389</v>
      </c>
      <c r="C24" s="266">
        <v>7</v>
      </c>
      <c r="D24" s="110">
        <v>5</v>
      </c>
      <c r="E24" s="110">
        <v>5</v>
      </c>
      <c r="F24" s="110">
        <v>4</v>
      </c>
      <c r="G24" s="110">
        <v>5</v>
      </c>
      <c r="H24" s="110">
        <v>5</v>
      </c>
      <c r="I24" s="110">
        <v>6</v>
      </c>
      <c r="J24" s="110">
        <v>5</v>
      </c>
      <c r="K24" s="110">
        <v>4</v>
      </c>
      <c r="L24" s="110">
        <v>3</v>
      </c>
      <c r="M24" s="110">
        <v>4</v>
      </c>
      <c r="N24" s="267">
        <v>7</v>
      </c>
      <c r="O24"/>
      <c r="P24" s="50" t="s">
        <v>78</v>
      </c>
      <c r="Q24" s="50"/>
      <c r="R24" s="50"/>
      <c r="S24"/>
      <c r="T24"/>
      <c r="U24"/>
      <c r="V24"/>
      <c r="W24"/>
      <c r="X24"/>
      <c r="Y24" s="1">
        <v>37196</v>
      </c>
      <c r="Z24" s="67">
        <f>GETPIVOTDATA("Sum of # fish2",$A$2,"Month","Nov","Year",2001)</f>
        <v>7367817</v>
      </c>
      <c r="AA24" s="80">
        <f>GETPIVOTDATA("0.4*(# Caligus/ farm)",$A$2,"Month","Nov","Year",2001)/P626</f>
        <v>653023.7766117861</v>
      </c>
      <c r="AB24" s="80">
        <f>GETPIVOTDATA("Sum of # Female L.salmonis",$A$2,"Month","Nov","Year",2001)/P341</f>
        <v>11386027.562352657</v>
      </c>
      <c r="AC24" s="80">
        <f>'Data for broughton'!I508+'Data for broughton'!I1644</f>
        <v>43823</v>
      </c>
      <c r="AD24" s="80">
        <f>'Data for broughton'!I24+'Data for broughton'!I388+'Data for broughton'!I628+'Data for broughton'!I1164+'Data for broughton'!I1368+'Data for broughton'!I1524+'Data for broughton'!I1764</f>
        <v>3961001</v>
      </c>
      <c r="AE24" s="122">
        <f>GETPIVOTDATA("Sum of # Female L.salmonis",$A$2,"Month","Nov","Year",2001)/AD24</f>
        <v>2.7368594489841622</v>
      </c>
      <c r="AF24" s="80">
        <f t="shared" si="3"/>
        <v>119937.39163283294</v>
      </c>
      <c r="AG24" s="80">
        <f t="shared" si="4"/>
        <v>11505964.95398549</v>
      </c>
      <c r="AH24" s="80">
        <f>AF24+GETPIVOTDATA("Sum of # Female L.salmonis",$A$2,"Month","Nov","Year",2001)/R341</f>
        <v>11182084.826400118</v>
      </c>
      <c r="AI24" s="80">
        <f>AF24+GETPIVOTDATA("Sum of # Female L.salmonis",$A$2,"Month","Nov","Year",2001)/Q341</f>
        <v>12306692.405637391</v>
      </c>
      <c r="AJ24" s="69">
        <v>15</v>
      </c>
      <c r="AK24" s="68">
        <v>5</v>
      </c>
      <c r="AL24" s="68">
        <v>2</v>
      </c>
      <c r="AM24" s="68">
        <v>0</v>
      </c>
      <c r="AN24" s="67">
        <f t="shared" si="0"/>
        <v>8</v>
      </c>
    </row>
    <row r="25" spans="1:40" s="2" customFormat="1">
      <c r="A25" s="62"/>
      <c r="B25" s="268" t="s">
        <v>391</v>
      </c>
      <c r="C25" s="266">
        <v>9813299.0749999993</v>
      </c>
      <c r="D25" s="110">
        <v>11022407.00413846</v>
      </c>
      <c r="E25" s="110">
        <v>10763025.889999999</v>
      </c>
      <c r="F25" s="110">
        <v>12229703.039999999</v>
      </c>
      <c r="G25" s="110">
        <v>4867307.8899999997</v>
      </c>
      <c r="H25" s="110">
        <v>3462283.1249999995</v>
      </c>
      <c r="I25" s="110">
        <v>2048245.06</v>
      </c>
      <c r="J25" s="110">
        <v>1399079.92</v>
      </c>
      <c r="K25" s="110">
        <v>2079337.88</v>
      </c>
      <c r="L25" s="110">
        <v>2806246.82</v>
      </c>
      <c r="M25" s="110">
        <v>4331035.6807692312</v>
      </c>
      <c r="N25" s="267">
        <v>7122652.4799999995</v>
      </c>
      <c r="O25"/>
      <c r="P25" s="74" t="s">
        <v>99</v>
      </c>
      <c r="Q25" s="74"/>
      <c r="R25" s="74"/>
      <c r="S25"/>
      <c r="T25"/>
      <c r="U25"/>
      <c r="V25"/>
      <c r="W25"/>
      <c r="X25"/>
      <c r="Y25" s="1">
        <v>37226</v>
      </c>
      <c r="Z25" s="67">
        <f>GETPIVOTDATA("Sum of # fish2",$A$2,"Month","Dec","Year",2001)</f>
        <v>7758825</v>
      </c>
      <c r="AA25" s="80">
        <f>GETPIVOTDATA("0.4*(# Caligus/ farm)",$A$2,"Month","Dec","Year",2001)/P649</f>
        <v>266071.14261475252</v>
      </c>
      <c r="AB25" s="80">
        <f>GETPIVOTDATA("Sum of # Female L.salmonis",$A$2,"Month","Dec","Year",2001)/P364</f>
        <v>10012172.886514084</v>
      </c>
      <c r="AC25" s="80">
        <f>'Data for broughton'!I509+'Data for broughton'!I1645+'Data for broughton'!I2245</f>
        <v>468985</v>
      </c>
      <c r="AD25" s="80">
        <f>'Data for broughton'!I25+'Data for broughton'!I389+'Data for broughton'!I1165+'Data for broughton'!I1369+'Data for broughton'!I1525+'Data for broughton'!I1765</f>
        <v>2750856</v>
      </c>
      <c r="AE25" s="122">
        <f>GETPIVOTDATA("Sum of # Female L.salmonis",$A$2,"Month","Dec","Year",2001)/AD25</f>
        <v>3.2981759859476467</v>
      </c>
      <c r="AF25" s="80">
        <f t="shared" si="3"/>
        <v>1546795.0647696571</v>
      </c>
      <c r="AG25" s="80">
        <f t="shared" si="4"/>
        <v>11558967.951283742</v>
      </c>
      <c r="AH25" s="80">
        <f>AF25+GETPIVOTDATA("Sum of # Female L.salmonis",$A$2,"Month","Dec","Year",2001)/R364</f>
        <v>11404405.172239818</v>
      </c>
      <c r="AI25" s="80">
        <f>AF25+GETPIVOTDATA("Sum of # Female L.salmonis",$A$2,"Month","Dec","Year",2001)/Q364</f>
        <v>11772186.654036406</v>
      </c>
      <c r="AJ25" s="69">
        <v>16</v>
      </c>
      <c r="AK25" s="68">
        <v>1</v>
      </c>
      <c r="AL25" s="68">
        <v>5</v>
      </c>
      <c r="AM25" s="68">
        <v>0</v>
      </c>
      <c r="AN25" s="67">
        <f t="shared" si="0"/>
        <v>10</v>
      </c>
    </row>
    <row r="26" spans="1:40" s="2" customFormat="1">
      <c r="A26" s="62"/>
      <c r="B26" s="268" t="s">
        <v>393</v>
      </c>
      <c r="C26" s="266"/>
      <c r="D26" s="110">
        <v>1</v>
      </c>
      <c r="E26" s="110">
        <v>2</v>
      </c>
      <c r="F26" s="110">
        <v>2</v>
      </c>
      <c r="G26" s="110">
        <v>1</v>
      </c>
      <c r="H26" s="110">
        <v>1</v>
      </c>
      <c r="I26" s="110"/>
      <c r="J26" s="110"/>
      <c r="K26" s="110"/>
      <c r="L26" s="110"/>
      <c r="M26" s="110"/>
      <c r="N26" s="267"/>
      <c r="O26" s="67">
        <f>SUM(C26:N26)</f>
        <v>7</v>
      </c>
      <c r="P26" s="50" t="s">
        <v>79</v>
      </c>
      <c r="Q26" s="50"/>
      <c r="R26" s="50"/>
      <c r="S26"/>
      <c r="T26"/>
      <c r="U26"/>
      <c r="V26"/>
      <c r="W26"/>
      <c r="X26"/>
      <c r="Y26" s="1">
        <v>37257</v>
      </c>
      <c r="Z26" s="67">
        <f>GETPIVOTDATA("Sum of # fish2",$A$2,"Month","Jan","Year",2002)</f>
        <v>7721927</v>
      </c>
      <c r="AA26" s="80">
        <f>GETPIVOTDATA("0.4*(# Caligus/ farm)",$A$2,"Month","Jan","Year",2002)/P392</f>
        <v>223791.09028559312</v>
      </c>
      <c r="AB26" s="80">
        <f>GETPIVOTDATA("Sum of # Female L.salmonis",$A$2,"Month","Jan","Year",2002)/P103</f>
        <v>10394119.166995056</v>
      </c>
      <c r="AC26" s="80">
        <f>'Data for broughton'!I510+'Data for broughton'!I890+'Data for broughton'!I1646+'Data for broughton'!I2246</f>
        <v>727288</v>
      </c>
      <c r="AD26" s="80">
        <f>'Data for broughton'!I26+'Data for broughton'!I390+'Data for broughton'!I1166+'Data for broughton'!I1370+'Data for broughton'!I1526+'Data for broughton'!I2006+'Data for broughton'!I2126</f>
        <v>3545121</v>
      </c>
      <c r="AE26" s="122">
        <f>GETPIVOTDATA("Sum of # Female L.salmonis",$A$2,"Month","Jan","Year",2002)/AD26</f>
        <v>2.7681140009043412</v>
      </c>
      <c r="AF26" s="80">
        <f t="shared" si="3"/>
        <v>2013216.0954897166</v>
      </c>
      <c r="AG26" s="80">
        <f t="shared" si="4"/>
        <v>12407335.262484772</v>
      </c>
      <c r="AH26" s="80">
        <f>AF26+GETPIVOTDATA("Sum of # Female L.salmonis",$A$2,"Month","Jan","Year",2002)/R103</f>
        <v>12153444.919492766</v>
      </c>
      <c r="AI26" s="80">
        <f>AF26+GETPIVOTDATA("Sum of # Female L.salmonis",$A$2,"Month","Jan","Year",2002)/Q103</f>
        <v>12654411.7066873</v>
      </c>
      <c r="AJ26" s="69">
        <v>15</v>
      </c>
      <c r="AK26" s="68">
        <v>5</v>
      </c>
      <c r="AL26" s="68">
        <v>2</v>
      </c>
      <c r="AM26" s="68">
        <v>0</v>
      </c>
      <c r="AN26" s="67">
        <f t="shared" si="0"/>
        <v>8</v>
      </c>
    </row>
    <row r="27" spans="1:40" s="2" customFormat="1">
      <c r="A27" s="62"/>
      <c r="B27" s="268" t="s">
        <v>396</v>
      </c>
      <c r="C27" s="266">
        <v>213824.348</v>
      </c>
      <c r="D27" s="110">
        <v>424041.07682666666</v>
      </c>
      <c r="E27" s="110">
        <v>764857.46000000008</v>
      </c>
      <c r="F27" s="110">
        <v>0</v>
      </c>
      <c r="G27" s="110">
        <v>2077.7380000000003</v>
      </c>
      <c r="H27" s="110">
        <v>0</v>
      </c>
      <c r="I27" s="110">
        <v>0</v>
      </c>
      <c r="J27" s="110">
        <v>9335.840000000002</v>
      </c>
      <c r="K27" s="110">
        <v>8711.02</v>
      </c>
      <c r="L27" s="110">
        <v>9122.4040000000005</v>
      </c>
      <c r="M27" s="110">
        <v>90796.102461538481</v>
      </c>
      <c r="N27" s="267">
        <v>125984.70000000003</v>
      </c>
      <c r="O27"/>
      <c r="P27" s="74" t="s">
        <v>103</v>
      </c>
      <c r="Q27" s="74"/>
      <c r="R27" s="74"/>
      <c r="S27"/>
      <c r="T27"/>
      <c r="U27"/>
      <c r="V27"/>
      <c r="W27"/>
      <c r="X27"/>
      <c r="Y27" s="1">
        <v>37288</v>
      </c>
      <c r="Z27" s="67">
        <f>GETPIVOTDATA("Sum of # fish2",$A$2,"Month","Feb","Year",2002)</f>
        <v>7643097</v>
      </c>
      <c r="AA27" s="80">
        <f>GETPIVOTDATA("0.4*(# Caligus/ farm)",$A$2,"Month","Feb","Year",2002)/P413</f>
        <v>500092.81056126097</v>
      </c>
      <c r="AB27" s="80">
        <f>GETPIVOTDATA("Sum of # Female L.salmonis",$A$2,"Month","Feb","Year",2002)/P125</f>
        <v>14047499.167106869</v>
      </c>
      <c r="AC27" s="80">
        <f>'Data for broughton'!I511+'Data for broughton'!I891+'Data for broughton'!I1647+'Data for broughton'!I2247</f>
        <v>677058</v>
      </c>
      <c r="AD27" s="80">
        <f>'Data for broughton'!I27+'Data for broughton'!I391+'Data for broughton'!I631+'Data for broughton'!I1167+'Data for broughton'!I1527</f>
        <v>3717411</v>
      </c>
      <c r="AE27" s="122">
        <f>GETPIVOTDATA("Sum of # Female L.salmonis",$A$2,"Month","Feb","Year",2002)/AD27</f>
        <v>2.9650762329315916</v>
      </c>
      <c r="AF27" s="80">
        <f t="shared" si="3"/>
        <v>2007528.5841161977</v>
      </c>
      <c r="AG27" s="80">
        <f t="shared" si="4"/>
        <v>16055027.751223067</v>
      </c>
      <c r="AH27" s="80">
        <f>AF27+GETPIVOTDATA("Sum of # Female L.salmonis",$A$2,"Month","Feb","Year",2002)/R125</f>
        <v>14251307.53764477</v>
      </c>
      <c r="AI27" s="80">
        <f>AF27+GETPIVOTDATA("Sum of # Female L.salmonis",$A$2,"Month","Feb","Year",2002)/Q125</f>
        <v>19591334.101220682</v>
      </c>
      <c r="AJ27" s="69">
        <v>15</v>
      </c>
      <c r="AK27" s="68">
        <v>4</v>
      </c>
      <c r="AL27" s="68">
        <v>1</v>
      </c>
      <c r="AM27" s="68">
        <v>0</v>
      </c>
      <c r="AN27" s="67">
        <f t="shared" si="0"/>
        <v>10</v>
      </c>
    </row>
    <row r="28" spans="1:40" s="2" customFormat="1">
      <c r="A28" s="22">
        <v>2003</v>
      </c>
      <c r="B28" s="22" t="s">
        <v>57</v>
      </c>
      <c r="C28" s="33">
        <v>13</v>
      </c>
      <c r="D28" s="34">
        <v>16</v>
      </c>
      <c r="E28" s="34">
        <v>16</v>
      </c>
      <c r="F28" s="34">
        <v>15</v>
      </c>
      <c r="G28" s="34">
        <v>14</v>
      </c>
      <c r="H28" s="34">
        <v>13</v>
      </c>
      <c r="I28" s="34">
        <v>14</v>
      </c>
      <c r="J28" s="34">
        <v>12</v>
      </c>
      <c r="K28" s="34">
        <v>12</v>
      </c>
      <c r="L28" s="34">
        <v>11</v>
      </c>
      <c r="M28" s="34">
        <v>13</v>
      </c>
      <c r="N28" s="41">
        <v>16</v>
      </c>
      <c r="O28"/>
      <c r="P28" s="72" t="s">
        <v>75</v>
      </c>
      <c r="Q28" s="72"/>
      <c r="R28" s="72"/>
      <c r="S28" s="45"/>
      <c r="T28" s="45"/>
      <c r="U28" s="45"/>
      <c r="V28" s="45"/>
      <c r="W28" s="45"/>
      <c r="X28" s="45"/>
      <c r="Y28" s="1">
        <v>37316</v>
      </c>
      <c r="Z28" s="67">
        <f>GETPIVOTDATA("Sum of # fish2",$A$2,"Month","Mar","Year",2002)</f>
        <v>6716832</v>
      </c>
      <c r="AA28" s="80">
        <f>GETPIVOTDATA("0.4*(# Caligus/ farm)",$A$2,"Month","Mar","Year",2002)/P437</f>
        <v>836288.30433896882</v>
      </c>
      <c r="AB28" s="80">
        <f>GETPIVOTDATA("Sum of # Female L.salmonis",$A$2,"Month","Mar","Year",2002)/P149</f>
        <v>13093006.502603231</v>
      </c>
      <c r="AC28" s="80">
        <f>'Data for broughton'!I512+'Data for broughton'!I892+'Data for broughton'!I1648+'Data for broughton'!I2248</f>
        <v>503571</v>
      </c>
      <c r="AD28" s="80">
        <f>'Data for broughton'!I28+'Data for broughton'!I392+'Data for broughton'!I632+'Data for broughton'!I1168+'Data for broughton'!I1528</f>
        <v>3501504</v>
      </c>
      <c r="AE28" s="122">
        <f>GETPIVOTDATA("Sum of # Female L.salmonis",$A$2,"Month","Mar","Year",2002)/AD28</f>
        <v>3.07382938588675</v>
      </c>
      <c r="AF28" s="80">
        <f t="shared" si="3"/>
        <v>1547891.3376803766</v>
      </c>
      <c r="AG28" s="539">
        <f t="shared" si="4"/>
        <v>14640897.840283608</v>
      </c>
      <c r="AH28" s="80">
        <f>AF28+GETPIVOTDATA("Sum of # Female L.salmonis",$A$2,"Month","Mar","Year",2002)/R149</f>
        <v>12957614.244548632</v>
      </c>
      <c r="AI28" s="80">
        <f>AF28+GETPIVOTDATA("Sum of # Female L.salmonis",$A$2,"Month","Mar","Year",2002)/Q149</f>
        <v>17003136.01671109</v>
      </c>
      <c r="AJ28" s="69">
        <v>15</v>
      </c>
      <c r="AK28" s="68">
        <v>4</v>
      </c>
      <c r="AL28" s="68">
        <v>1</v>
      </c>
      <c r="AM28" s="68">
        <v>0</v>
      </c>
      <c r="AN28" s="67">
        <f t="shared" si="0"/>
        <v>10</v>
      </c>
    </row>
    <row r="29" spans="1:40" s="2" customFormat="1">
      <c r="A29" s="25"/>
      <c r="B29" s="29" t="s">
        <v>59</v>
      </c>
      <c r="C29" s="35">
        <v>5385137</v>
      </c>
      <c r="D29" s="21">
        <v>5936693</v>
      </c>
      <c r="E29" s="21">
        <v>7141739</v>
      </c>
      <c r="F29" s="21">
        <v>7473373</v>
      </c>
      <c r="G29" s="21">
        <v>7895802</v>
      </c>
      <c r="H29" s="21">
        <v>7780099</v>
      </c>
      <c r="I29" s="21">
        <v>8225591.5</v>
      </c>
      <c r="J29" s="21">
        <v>7335373</v>
      </c>
      <c r="K29" s="21">
        <v>7185319.5</v>
      </c>
      <c r="L29" s="21">
        <v>7081630</v>
      </c>
      <c r="M29" s="21">
        <v>7568343</v>
      </c>
      <c r="N29" s="39">
        <v>7554088</v>
      </c>
      <c r="O29"/>
      <c r="P29" s="72" t="s">
        <v>77</v>
      </c>
      <c r="Q29" s="72"/>
      <c r="R29" s="72"/>
      <c r="S29" s="45"/>
      <c r="T29" s="45"/>
      <c r="U29" s="45"/>
      <c r="V29" s="45"/>
      <c r="W29" s="45"/>
      <c r="X29" s="45"/>
      <c r="Y29" s="518">
        <v>37347</v>
      </c>
      <c r="Z29" s="67">
        <f>GETPIVOTDATA("Sum of # fish2",$A$2,"Month","Apr","Year",2002)</f>
        <v>7925690</v>
      </c>
      <c r="AA29" s="80">
        <f>GETPIVOTDATA("0.4*(# Caligus/ farm)",$A$2,"Month","Apr","Year",2002)/P459</f>
        <v>0</v>
      </c>
      <c r="AB29" s="80">
        <f>(GETPIVOTDATA("Sum of # Female L.salmonis",$A$2,"Month","Apr","Year",2002)-'Data for broughton'!U393)/P171</f>
        <v>16503466.172942286</v>
      </c>
      <c r="AC29" s="80">
        <f>'Data for broughton'!I513+'Data for broughton'!I1649+'Data for broughton'!I2249</f>
        <v>371871</v>
      </c>
      <c r="AD29" s="80">
        <f>'Data for broughton'!I633+'Data for broughton'!I1169+'Data for broughton'!I1529</f>
        <v>1938569</v>
      </c>
      <c r="AE29" s="122">
        <f>(GETPIVOTDATA("Sum of # Female L.salmonis",$A$2,"Month","Apr","Year",2002)-'Data for broughton'!U393)/AD29</f>
        <v>5.9220791831500446</v>
      </c>
      <c r="AF29" s="80">
        <f t="shared" si="3"/>
        <v>2202249.5079171904</v>
      </c>
      <c r="AG29" s="80">
        <f t="shared" si="4"/>
        <v>18705715.680859476</v>
      </c>
      <c r="AH29" s="80">
        <f>AF29+(GETPIVOTDATA("Sum of # Female L.salmonis",$A$2,"Month","Apr","Year",2002)-'Data for broughton'!U393)/R171</f>
        <v>15650665.767655909</v>
      </c>
      <c r="AI29" s="80">
        <f>AF29+(GETPIVOTDATA("Sum of # Female L.salmonis",$A$2,"Month","Apr","Year",2002)-'Data for broughton'!U393)/Q171</f>
        <v>22839581.698819324</v>
      </c>
      <c r="AJ29" s="69">
        <v>15</v>
      </c>
      <c r="AK29" s="68">
        <v>4</v>
      </c>
      <c r="AL29" s="68">
        <v>0</v>
      </c>
      <c r="AM29" s="68">
        <v>1</v>
      </c>
      <c r="AN29" s="67">
        <f t="shared" si="0"/>
        <v>11</v>
      </c>
    </row>
    <row r="30" spans="1:40" s="2" customFormat="1">
      <c r="A30" s="25"/>
      <c r="B30" s="29" t="s">
        <v>389</v>
      </c>
      <c r="C30" s="35">
        <v>12</v>
      </c>
      <c r="D30" s="21">
        <v>15</v>
      </c>
      <c r="E30" s="21">
        <v>15</v>
      </c>
      <c r="F30" s="21">
        <v>15</v>
      </c>
      <c r="G30" s="21">
        <v>14</v>
      </c>
      <c r="H30" s="21">
        <v>13</v>
      </c>
      <c r="I30" s="21">
        <v>14</v>
      </c>
      <c r="J30" s="21">
        <v>12</v>
      </c>
      <c r="K30" s="21">
        <v>12</v>
      </c>
      <c r="L30" s="21">
        <v>11</v>
      </c>
      <c r="M30" s="21">
        <v>13</v>
      </c>
      <c r="N30" s="39">
        <v>16</v>
      </c>
      <c r="O30"/>
      <c r="P30" s="72" t="s">
        <v>78</v>
      </c>
      <c r="Q30" s="72"/>
      <c r="R30" s="72"/>
      <c r="S30" s="45"/>
      <c r="T30" s="45"/>
      <c r="U30" s="45"/>
      <c r="V30" s="45"/>
      <c r="W30" s="45"/>
      <c r="X30" s="45"/>
      <c r="Y30" s="1">
        <v>37377</v>
      </c>
      <c r="Z30" s="67">
        <f>GETPIVOTDATA("Sum of # fish2",$A$2,"Month","May","Year",2002)</f>
        <v>7880206</v>
      </c>
      <c r="AA30" s="80">
        <f>GETPIVOTDATA("0.4*(# Caligus/ farm)",$A$2,"Month","May","Year",2002)/P482</f>
        <v>2477.0440479128006</v>
      </c>
      <c r="AB30" s="80">
        <f>(GETPIVOTDATA("Sum of # Female L.salmonis",$A$2,"Month","May","Year",2002)-'Data for broughton'!U1530)/P195</f>
        <v>5714191.4092930006</v>
      </c>
      <c r="AC30" s="80">
        <f>'Data for broughton'!I1650+'Data for broughton'!I2250</f>
        <v>229020</v>
      </c>
      <c r="AD30" s="80">
        <f>'Data for broughton'!I514+'Data for broughton'!I1170+'Data for broughton'!I2010+'Data for broughton'!I2130</f>
        <v>1480281</v>
      </c>
      <c r="AE30" s="122">
        <f>(GETPIVOTDATA("Sum of # Female L.salmonis",$A$2,"Month","May","Year",2002)-'Data for broughton'!U1530)/AD30</f>
        <v>3.1210755863244883</v>
      </c>
      <c r="AF30" s="80">
        <f t="shared" si="3"/>
        <v>714788.73078003433</v>
      </c>
      <c r="AG30" s="80">
        <f t="shared" si="4"/>
        <v>6428980.1400730349</v>
      </c>
      <c r="AH30" s="80">
        <f>AF30+(GETPIVOTDATA("Sum of # Female L.salmonis",$A$2,"Month","May","Year",2002)-'Data for broughton'!U1530)/R195</f>
        <v>5833180.5681938883</v>
      </c>
      <c r="AI30" s="80">
        <f>AF30+(GETPIVOTDATA("Sum of # Female L.salmonis",$A$2,"Month","May","Year",2002)-'Data for broughton'!U1530)/Q195</f>
        <v>7597368.1479951115</v>
      </c>
      <c r="AJ30" s="69">
        <v>15</v>
      </c>
      <c r="AK30" s="68">
        <v>5</v>
      </c>
      <c r="AL30" s="68">
        <v>0</v>
      </c>
      <c r="AM30" s="68">
        <v>1</v>
      </c>
      <c r="AN30" s="67">
        <f t="shared" si="0"/>
        <v>10</v>
      </c>
    </row>
    <row r="31" spans="1:40" s="2" customFormat="1">
      <c r="A31" s="25"/>
      <c r="B31" s="29" t="s">
        <v>391</v>
      </c>
      <c r="C31" s="35">
        <v>10561652.084999997</v>
      </c>
      <c r="D31" s="21">
        <v>7462289.0024999995</v>
      </c>
      <c r="E31" s="21">
        <v>4849224.7879999997</v>
      </c>
      <c r="F31" s="21">
        <v>1412283.8800000001</v>
      </c>
      <c r="G31" s="21">
        <v>446250.00199999998</v>
      </c>
      <c r="H31" s="21">
        <v>351181.43499999994</v>
      </c>
      <c r="I31" s="21">
        <v>951778.91999999993</v>
      </c>
      <c r="J31" s="21">
        <v>1132178.6599999999</v>
      </c>
      <c r="K31" s="21">
        <v>3194240.51</v>
      </c>
      <c r="L31" s="21">
        <v>6221884.4299999997</v>
      </c>
      <c r="M31" s="21">
        <v>9112720.4800000004</v>
      </c>
      <c r="N31" s="39">
        <v>10908914.120000001</v>
      </c>
      <c r="O31"/>
      <c r="P31" s="73" t="s">
        <v>99</v>
      </c>
      <c r="Q31" s="73"/>
      <c r="R31" s="73"/>
      <c r="S31" s="45"/>
      <c r="T31" s="45"/>
      <c r="U31" s="45"/>
      <c r="V31" s="45"/>
      <c r="W31" s="45"/>
      <c r="X31" s="45"/>
      <c r="Y31" s="1">
        <v>37408</v>
      </c>
      <c r="Z31" s="67">
        <f>GETPIVOTDATA("Sum of # fish2",$A$2,"Month","Jun","Year",2002)</f>
        <v>7403365</v>
      </c>
      <c r="AA31" s="80">
        <f>GETPIVOTDATA("0.4*(# Caligus/ farm)",$A$2,"Month","Jun","Year",2002)/P503</f>
        <v>0</v>
      </c>
      <c r="AB31" s="80">
        <f>(GETPIVOTDATA("Sum of # Female L.salmonis",$A$2,"Month","Jun","Year",2002)-'Data for broughton'!U31-'Data for broughton'!U155-'Data for broughton'!U1531)/P217</f>
        <v>6082722.3064700188</v>
      </c>
      <c r="AC31" s="80">
        <f>'Data for broughton'!I275+'Data for broughton'!I395+'Data for broughton'!I515+'Data for broughton'!I1651+'Data for broughton'!I2251</f>
        <v>683405</v>
      </c>
      <c r="AD31" s="80">
        <f>'Data for broughton'!I1015+'Data for broughton'!I1171</f>
        <v>697797</v>
      </c>
      <c r="AE31" s="122">
        <f>(GETPIVOTDATA("Sum of # Female L.salmonis",$A$2,"Month","Jun","Year",2002)-'Data for broughton'!U31-'Data for broughton'!U155-'Data for broughton'!U1531)/AD31</f>
        <v>4.7259897291045956</v>
      </c>
      <c r="AF31" s="80">
        <f t="shared" si="3"/>
        <v>3229765.0108187259</v>
      </c>
      <c r="AG31" s="80">
        <f t="shared" si="4"/>
        <v>9312487.3172887452</v>
      </c>
      <c r="AH31" s="80">
        <f>AF31+(GETPIVOTDATA("Sum of # Female L.salmonis",$A$2,"Month","Jun","Year",2002)-'Data for broughton'!U31-'Data for broughton'!U155-'Data for broughton'!U1531)/R217</f>
        <v>7651162.8482457027</v>
      </c>
      <c r="AI31" s="80">
        <f>AF31+(GETPIVOTDATA("Sum of # Female L.salmonis",$A$2,"Month","Jun","Year",2002)-'Data for broughton'!U31-'Data for broughton'!U155-'Data for broughton'!U1531)/Q217</f>
        <v>11253666.662325373</v>
      </c>
      <c r="AJ31" s="69">
        <v>16</v>
      </c>
      <c r="AK31" s="68">
        <v>4</v>
      </c>
      <c r="AL31" s="68">
        <v>1</v>
      </c>
      <c r="AM31" s="68">
        <v>3</v>
      </c>
      <c r="AN31" s="67">
        <f t="shared" si="0"/>
        <v>11</v>
      </c>
    </row>
    <row r="32" spans="1:40" s="2" customFormat="1">
      <c r="A32" s="25"/>
      <c r="B32" s="29" t="s">
        <v>393</v>
      </c>
      <c r="C32" s="35">
        <v>2</v>
      </c>
      <c r="D32" s="21">
        <v>1</v>
      </c>
      <c r="E32" s="21">
        <v>2</v>
      </c>
      <c r="F32" s="21"/>
      <c r="G32" s="21"/>
      <c r="H32" s="21"/>
      <c r="I32" s="21"/>
      <c r="J32" s="21"/>
      <c r="K32" s="21"/>
      <c r="L32" s="21"/>
      <c r="M32" s="21">
        <v>1</v>
      </c>
      <c r="N32" s="39">
        <v>1</v>
      </c>
      <c r="O32" s="67">
        <f>SUM(C32:N32)</f>
        <v>7</v>
      </c>
      <c r="P32" s="72" t="s">
        <v>79</v>
      </c>
      <c r="Q32" s="72"/>
      <c r="R32" s="72"/>
      <c r="S32" s="45"/>
      <c r="T32" s="45"/>
      <c r="U32" s="45"/>
      <c r="V32" s="45"/>
      <c r="W32" s="45"/>
      <c r="X32" s="45"/>
      <c r="Y32" s="1">
        <v>37438</v>
      </c>
      <c r="Z32" s="67">
        <f>GETPIVOTDATA("Sum of # fish2",$A$2,"Month","Jul","Year",2002)</f>
        <v>6952584</v>
      </c>
      <c r="AA32" s="80">
        <f>GETPIVOTDATA("0.4*(# Caligus/ farm)",$A$2,"Month","Jul","Year",2002)/P528</f>
        <v>0</v>
      </c>
      <c r="AB32" s="80">
        <f>(GETPIVOTDATA("Sum of # Female L.salmonis",$A$2,"Month","Jul","Year",2002)-'Data for broughton'!U156-'Data for broughton'!U636-'Data for broughton'!U2371)/P242</f>
        <v>2618694.1660265294</v>
      </c>
      <c r="AC32" s="80">
        <f>'Data for broughton'!I276+'Data for broughton'!I396+'Data for broughton'!I516+'Data for broughton'!I1652</f>
        <v>362220</v>
      </c>
      <c r="AD32" s="80">
        <f>'Data for broughton'!I1016+'Data for broughton'!I1172+'Data for broughton'!I1412</f>
        <v>907880</v>
      </c>
      <c r="AE32" s="122">
        <f>(GETPIVOTDATA("Sum of # Female L.salmonis",$A$2,"Month","Jul","Year",2002)-'Data for broughton'!U156-'Data for broughton'!U636-'Data for broughton'!U2371)/AD32</f>
        <v>2.0524356853328634</v>
      </c>
      <c r="AF32" s="80">
        <f t="shared" si="3"/>
        <v>743433.25394126971</v>
      </c>
      <c r="AG32" s="80">
        <f t="shared" si="4"/>
        <v>3362127.419967799</v>
      </c>
      <c r="AH32" s="80">
        <f>AF32+(GETPIVOTDATA("Sum of # Female L.salmonis",$A$2,"Month","Jul","Year",2002)-'Data for broughton'!U156-'Data for broughton'!U636-'Data for broughton'!U2371)/R242</f>
        <v>3044911.6453477098</v>
      </c>
      <c r="AI32" s="80">
        <f>AF32+(GETPIVOTDATA("Sum of # Female L.salmonis",$A$2,"Month","Jul","Year",2002)-'Data for broughton'!U156-'Data for broughton'!U636-'Data for broughton'!U2371)/Q242</f>
        <v>3947069.7982696365</v>
      </c>
      <c r="AJ32" s="69">
        <v>15</v>
      </c>
      <c r="AK32" s="68">
        <v>5</v>
      </c>
      <c r="AL32" s="68">
        <v>1</v>
      </c>
      <c r="AM32" s="68">
        <v>3</v>
      </c>
      <c r="AN32" s="67">
        <f t="shared" si="0"/>
        <v>9</v>
      </c>
    </row>
    <row r="33" spans="1:65" s="2" customFormat="1">
      <c r="A33" s="25"/>
      <c r="B33" s="29" t="s">
        <v>396</v>
      </c>
      <c r="C33" s="35">
        <v>395125.56800000009</v>
      </c>
      <c r="D33" s="21">
        <v>606022.40399999986</v>
      </c>
      <c r="E33" s="21">
        <v>2298956.0759999999</v>
      </c>
      <c r="F33" s="21">
        <v>2632022.6359999999</v>
      </c>
      <c r="G33" s="21">
        <v>4622348.1239999998</v>
      </c>
      <c r="H33" s="21">
        <v>4408881.2719999999</v>
      </c>
      <c r="I33" s="21">
        <v>3066289.1680000005</v>
      </c>
      <c r="J33" s="21">
        <v>3737203.284</v>
      </c>
      <c r="K33" s="21">
        <v>2276439.6239999998</v>
      </c>
      <c r="L33" s="21">
        <v>1778472.4959999998</v>
      </c>
      <c r="M33" s="21">
        <v>3877019.3280000002</v>
      </c>
      <c r="N33" s="39">
        <v>4167513.4079999998</v>
      </c>
      <c r="O33"/>
      <c r="P33" s="73" t="s">
        <v>103</v>
      </c>
      <c r="Q33" s="73"/>
      <c r="R33" s="73"/>
      <c r="S33" s="45"/>
      <c r="T33" s="45"/>
      <c r="U33" s="45"/>
      <c r="V33" s="45"/>
      <c r="W33" s="45"/>
      <c r="X33" s="45"/>
      <c r="Y33" s="1">
        <v>37469</v>
      </c>
      <c r="Z33" s="67">
        <f>GETPIVOTDATA("Sum of # fish2",$A$2,"Month","Aug","Year",2002)</f>
        <v>6670140</v>
      </c>
      <c r="AA33" s="80">
        <f>GETPIVOTDATA("0.4*(# Caligus/ farm)",$A$2,"Month","Aug","Year",2002)/P553</f>
        <v>10259.443025521638</v>
      </c>
      <c r="AB33" s="80">
        <f>(GETPIVOTDATA("Sum of # Female L.salmonis",$A$2,"Month","Aug","Year",2002)-'Data for broughton'!U637-'Data for broughton'!U1017)/P267</f>
        <v>1702751.9355591736</v>
      </c>
      <c r="AC33" s="80">
        <f>'Data for broughton'!I277+'Data for broughton'!I397+'Data for broughton'!I1653</f>
        <v>205693</v>
      </c>
      <c r="AD33" s="80">
        <f>'Data for broughton'!I157+'Data for broughton'!I517+'Data for broughton'!I1413</f>
        <v>707671</v>
      </c>
      <c r="AE33" s="122">
        <f>(GETPIVOTDATA("Sum of # Female L.salmonis",$A$2,"Month","Aug","Year",2002)-'Data for broughton'!U637-'Data for broughton'!U1017)/AD33</f>
        <v>1.8009195233378219</v>
      </c>
      <c r="AF33" s="80">
        <f t="shared" si="3"/>
        <v>370436.5395139266</v>
      </c>
      <c r="AG33" s="80">
        <f t="shared" si="4"/>
        <v>2073188.4750731001</v>
      </c>
      <c r="AH33" s="80">
        <f>AF33+(GETPIVOTDATA("Sum of # Female L.salmonis",$A$2,"Month","Aug","Year",2002)-'Data for broughton'!U637-'Data for broughton'!U1017)/R267</f>
        <v>1854377.7937843772</v>
      </c>
      <c r="AI33" s="80">
        <f>AF33+(GETPIVOTDATA("Sum of # Female L.salmonis",$A$2,"Month","Aug","Year",2002)-'Data for broughton'!U637-'Data for broughton'!U1017)/Q267</f>
        <v>2307330.3480265881</v>
      </c>
      <c r="AJ33" s="69">
        <v>15</v>
      </c>
      <c r="AK33" s="68">
        <v>4</v>
      </c>
      <c r="AL33" s="68">
        <v>1</v>
      </c>
      <c r="AM33" s="68">
        <v>2</v>
      </c>
      <c r="AN33" s="67">
        <f t="shared" si="0"/>
        <v>10</v>
      </c>
    </row>
    <row r="34" spans="1:65" s="2" customFormat="1">
      <c r="A34" s="60">
        <v>2004</v>
      </c>
      <c r="B34" s="60" t="s">
        <v>57</v>
      </c>
      <c r="C34" s="263">
        <v>16</v>
      </c>
      <c r="D34" s="264">
        <v>17</v>
      </c>
      <c r="E34" s="264">
        <v>17</v>
      </c>
      <c r="F34" s="264">
        <v>17</v>
      </c>
      <c r="G34" s="264">
        <v>16</v>
      </c>
      <c r="H34" s="264">
        <v>15</v>
      </c>
      <c r="I34" s="264">
        <v>15</v>
      </c>
      <c r="J34" s="264">
        <v>15</v>
      </c>
      <c r="K34" s="264">
        <v>14</v>
      </c>
      <c r="L34" s="264">
        <v>16</v>
      </c>
      <c r="M34" s="264">
        <v>16</v>
      </c>
      <c r="N34" s="265">
        <v>16</v>
      </c>
      <c r="O34"/>
      <c r="P34" s="50" t="s">
        <v>75</v>
      </c>
      <c r="Q34" s="50"/>
      <c r="R34" s="50"/>
      <c r="S34"/>
      <c r="T34"/>
      <c r="U34"/>
      <c r="V34"/>
      <c r="W34"/>
      <c r="X34"/>
      <c r="Y34" s="1">
        <v>37500</v>
      </c>
      <c r="Z34" s="67">
        <f>GETPIVOTDATA("Sum of # fish2",$A$2,"Month","Sep","Year",2002)</f>
        <v>5051279</v>
      </c>
      <c r="AA34" s="80">
        <f>GETPIVOTDATA("0.4*(# Caligus/ farm)",$A$2,"Month","Sep","Year",2002)/P576</f>
        <v>10878.420054894097</v>
      </c>
      <c r="AB34" s="80">
        <f>(GETPIVOTDATA("Sum of # Female L.salmonis",$A$2,"Month","Sep","Year",2002)-'Data for broughton'!U638-'Data for broughton'!U1018)/P290</f>
        <v>3104614.8684707228</v>
      </c>
      <c r="AC34" s="80">
        <f>'Data for broughton'!I278+'Data for broughton'!I518+'Data for broughton'!I1654</f>
        <v>97853</v>
      </c>
      <c r="AD34" s="80">
        <f>'Data for broughton'!I158+'Data for broughton'!I1414</f>
        <v>681990</v>
      </c>
      <c r="AE34" s="122">
        <f>(GETPIVOTDATA("Sum of # Female L.salmonis",$A$2,"Month","Sep","Year",2002)-'Data for broughton'!U638-'Data for broughton'!U1018)/AD34</f>
        <v>2.7650933298142202</v>
      </c>
      <c r="AF34" s="80">
        <f t="shared" si="3"/>
        <v>270572.6776023109</v>
      </c>
      <c r="AG34" s="80">
        <f t="shared" si="4"/>
        <v>3375187.5460730335</v>
      </c>
      <c r="AH34" s="80">
        <f>AF34+(GETPIVOTDATA("Sum of # Female L.salmonis",$A$2,"Month","Sep","Year",2002)-'Data for broughton'!U638-'Data for broughton'!U1018)/R290</f>
        <v>3164819.8045341233</v>
      </c>
      <c r="AI34" s="80">
        <f>AF34+(GETPIVOTDATA("Sum of # Female L.salmonis",$A$2,"Month","Sep","Year",2002)-'Data for broughton'!U638-'Data for broughton'!U1018)/Q290</f>
        <v>4187115.7586115552</v>
      </c>
      <c r="AJ34" s="69">
        <v>14</v>
      </c>
      <c r="AK34" s="68">
        <v>0</v>
      </c>
      <c r="AL34" s="68">
        <v>4</v>
      </c>
      <c r="AM34" s="68">
        <v>2</v>
      </c>
      <c r="AN34" s="67">
        <f t="shared" si="0"/>
        <v>10</v>
      </c>
    </row>
    <row r="35" spans="1:65" s="2" customFormat="1">
      <c r="A35" s="62"/>
      <c r="B35" s="63" t="s">
        <v>59</v>
      </c>
      <c r="C35" s="266">
        <v>7047778</v>
      </c>
      <c r="D35" s="110">
        <v>7307499</v>
      </c>
      <c r="E35" s="110">
        <v>7223190</v>
      </c>
      <c r="F35" s="110">
        <v>8404962</v>
      </c>
      <c r="G35" s="110">
        <v>8182372</v>
      </c>
      <c r="H35" s="110">
        <v>7693627</v>
      </c>
      <c r="I35" s="110">
        <v>7511916</v>
      </c>
      <c r="J35" s="110">
        <v>6998437.666666667</v>
      </c>
      <c r="K35" s="110">
        <v>6481213.166666667</v>
      </c>
      <c r="L35" s="110">
        <v>6012754.666666667</v>
      </c>
      <c r="M35" s="110">
        <v>7055181.166666667</v>
      </c>
      <c r="N35" s="267">
        <v>6774366.666666667</v>
      </c>
      <c r="O35"/>
      <c r="P35" s="50" t="s">
        <v>77</v>
      </c>
      <c r="Q35" s="50"/>
      <c r="R35" s="50"/>
      <c r="S35"/>
      <c r="T35"/>
      <c r="U35"/>
      <c r="V35"/>
      <c r="W35"/>
      <c r="X35"/>
      <c r="Y35" s="1">
        <v>37530</v>
      </c>
      <c r="Z35" s="67">
        <f>GETPIVOTDATA("Sum of # fish2",$A$2,"Month","Oct","Year",2002)</f>
        <v>5148823</v>
      </c>
      <c r="AA35" s="80">
        <f>GETPIVOTDATA("0.4*(# Caligus/ farm)",$A$2,"Month","Oct","Year",2002)/P600</f>
        <v>11632.486768932902</v>
      </c>
      <c r="AB35" s="80">
        <f>(GETPIVOTDATA("Sum of # Female L.salmonis",$A$2,"Month","Oct","Year",2002)-'Data for broughton'!U639)/P314</f>
        <v>4881823.6469774516</v>
      </c>
      <c r="AC35" s="80">
        <f>'Data for broughton'!I35+'Data for broughton'!I519+'Data for broughton'!I1655+'Data for broughton'!I2135</f>
        <v>828712</v>
      </c>
      <c r="AD35" s="80">
        <f>'Data for broughton'!I159+'Data for broughton'!I1415</f>
        <v>680620</v>
      </c>
      <c r="AE35" s="122">
        <f>(GETPIVOTDATA("Sum of # Female L.salmonis",$A$2,"Month","Oct","Year",2002)-'Data for broughton'!U639)/AD35</f>
        <v>3.7058894831183333</v>
      </c>
      <c r="AF35" s="80">
        <f t="shared" si="3"/>
        <v>3071115.0853339601</v>
      </c>
      <c r="AG35" s="80">
        <f t="shared" si="4"/>
        <v>7952938.7323114118</v>
      </c>
      <c r="AH35" s="80">
        <f>AF35+(GETPIVOTDATA("Sum of # Female L.salmonis",$A$2,"Month","Oct","Year",2002)-'Data for broughton'!U639)/R314</f>
        <v>7473137.0337371984</v>
      </c>
      <c r="AI35" s="80">
        <f>AF35+(GETPIVOTDATA("Sum of # Female L.salmonis",$A$2,"Month","Oct","Year",2002)-'Data for broughton'!U639)/Q314</f>
        <v>9006693.7014504224</v>
      </c>
      <c r="AJ35" s="69">
        <v>12</v>
      </c>
      <c r="AK35" s="68">
        <v>0</v>
      </c>
      <c r="AL35" s="68">
        <v>2</v>
      </c>
      <c r="AM35" s="68">
        <v>1</v>
      </c>
      <c r="AN35" s="67">
        <f t="shared" si="0"/>
        <v>10</v>
      </c>
    </row>
    <row r="36" spans="1:65" s="2" customFormat="1">
      <c r="A36" s="62"/>
      <c r="B36" s="268" t="s">
        <v>389</v>
      </c>
      <c r="C36" s="266">
        <v>16</v>
      </c>
      <c r="D36" s="110">
        <v>17</v>
      </c>
      <c r="E36" s="110">
        <v>17</v>
      </c>
      <c r="F36" s="110">
        <v>17</v>
      </c>
      <c r="G36" s="110">
        <v>16</v>
      </c>
      <c r="H36" s="110">
        <v>15</v>
      </c>
      <c r="I36" s="110">
        <v>15</v>
      </c>
      <c r="J36" s="110">
        <v>15</v>
      </c>
      <c r="K36" s="110">
        <v>14</v>
      </c>
      <c r="L36" s="110">
        <v>16</v>
      </c>
      <c r="M36" s="110">
        <v>16</v>
      </c>
      <c r="N36" s="267">
        <v>16</v>
      </c>
      <c r="O36"/>
      <c r="P36" s="50" t="s">
        <v>78</v>
      </c>
      <c r="Q36" s="50"/>
      <c r="R36" s="50"/>
      <c r="S36"/>
      <c r="T36"/>
      <c r="U36"/>
      <c r="V36"/>
      <c r="W36"/>
      <c r="X36"/>
      <c r="Y36" s="1">
        <v>37561</v>
      </c>
      <c r="Z36" s="67">
        <f>GETPIVOTDATA("Sum of # fish2",$A$2,"Month","Nov","Year",2002)</f>
        <v>5358315</v>
      </c>
      <c r="AA36" s="80">
        <f>GETPIVOTDATA("0.4*(# Caligus/ farm)",$A$2,"Month","Nov","Year",2002)/P624</f>
        <v>106216.10253915694</v>
      </c>
      <c r="AB36" s="80">
        <f>(GETPIVOTDATA("Sum of # Female L.salmonis",$A$2,"Month","Nov","Year",2002)-'Data for broughton'!U640)/P338</f>
        <v>5761113.6798254242</v>
      </c>
      <c r="AC36" s="80">
        <f>'Data for broughton'!I36+'Data for broughton'!I520+'Data for broughton'!I1536+'Data for broughton'!I1656+'Data for broughton'!I2016+'Data for broughton'!I2136</f>
        <v>1124776</v>
      </c>
      <c r="AD36" s="80">
        <f>'Data for broughton'!I160+'Data for broughton'!I1176+'Data for broughton'!I1416</f>
        <v>1051120</v>
      </c>
      <c r="AE36" s="122">
        <f>(GETPIVOTDATA("Sum of # Female L.salmonis",$A$2,"Month","Nov","Year",2002)-'Data for broughton'!U639)/AD36</f>
        <v>3.8502657743827835</v>
      </c>
      <c r="AF36" s="80">
        <f t="shared" si="3"/>
        <v>4330686.5366471699</v>
      </c>
      <c r="AG36" s="80">
        <f t="shared" si="4"/>
        <v>10091800.216472594</v>
      </c>
      <c r="AH36" s="80">
        <f>AF36+(GETPIVOTDATA("Sum of # Female L.salmonis",$A$2,"Month","Nov","Year",2002)-'Data for broughton'!U640)/R338</f>
        <v>9638233.3619835153</v>
      </c>
      <c r="AI36" s="80">
        <f>AF36+(GETPIVOTDATA("Sum of # Female L.salmonis",$A$2,"Month","Nov","Year",2002)-'Data for broughton'!U640)/Q338</f>
        <v>11768510.294554319</v>
      </c>
      <c r="AJ36" s="69">
        <v>14</v>
      </c>
      <c r="AK36" s="68">
        <v>2</v>
      </c>
      <c r="AL36" s="68">
        <v>1</v>
      </c>
      <c r="AM36" s="68">
        <v>1</v>
      </c>
      <c r="AN36" s="67">
        <f t="shared" si="0"/>
        <v>11</v>
      </c>
    </row>
    <row r="37" spans="1:65" s="2" customFormat="1">
      <c r="A37" s="62"/>
      <c r="B37" s="268" t="s">
        <v>391</v>
      </c>
      <c r="C37" s="266">
        <v>8011879.3600000003</v>
      </c>
      <c r="D37" s="110">
        <v>5226420.8999999994</v>
      </c>
      <c r="E37" s="110">
        <v>5566962.5999999996</v>
      </c>
      <c r="F37" s="110">
        <v>7885960.5499999989</v>
      </c>
      <c r="G37" s="110">
        <v>29528485.16</v>
      </c>
      <c r="H37" s="110">
        <v>13376405.949999999</v>
      </c>
      <c r="I37" s="110">
        <v>5287390.9000000004</v>
      </c>
      <c r="J37" s="110">
        <v>6533196.2366666673</v>
      </c>
      <c r="K37" s="110">
        <v>5663828.3441666672</v>
      </c>
      <c r="L37" s="110">
        <v>7234110.1766666658</v>
      </c>
      <c r="M37" s="110">
        <v>9814626.8416666687</v>
      </c>
      <c r="N37" s="267">
        <v>11387084.806666667</v>
      </c>
      <c r="O37"/>
      <c r="P37" s="74" t="s">
        <v>99</v>
      </c>
      <c r="Q37" s="74"/>
      <c r="R37" s="74"/>
      <c r="S37" s="20"/>
      <c r="T37"/>
      <c r="U37"/>
      <c r="V37"/>
      <c r="W37"/>
      <c r="X37"/>
      <c r="Y37" s="1">
        <v>37591</v>
      </c>
      <c r="Z37" s="67">
        <f>GETPIVOTDATA("Sum of # fish2",$A$2,"Month","Dec","Year",2002)</f>
        <v>5473379</v>
      </c>
      <c r="AA37" s="80">
        <f>GETPIVOTDATA("0.4*(# Caligus/ farm)",$A$2,"Month","Dec","Year",2002)/P649</f>
        <v>136426.89524743531</v>
      </c>
      <c r="AB37" s="80">
        <f>(GETPIVOTDATA("Sum of # Female L.salmonis",$A$2,"Month","Dec","Year",2002)-'Data for broughton'!U401)/P364</f>
        <v>7860106.1907629101</v>
      </c>
      <c r="AC37" s="80">
        <f>'Data for broughton'!I37+'Data for broughton'!I521+'Data for broughton'!I1537+'Data for broughton'!I1657+'Data for broughton'!I2017+'Data for broughton'!I2137</f>
        <v>702637</v>
      </c>
      <c r="AD37" s="80">
        <f>'Data for broughton'!I161+'Data for broughton'!I641+'Data for broughton'!I1177+'Data for broughton'!I1417+'Data for broughton'!I1777+'Data for broughton'!I2257</f>
        <v>3016044</v>
      </c>
      <c r="AE37" s="122">
        <f>(GETPIVOTDATA("Sum of # Female L.salmonis",$A$2,"Month","Dec","Year",2002)-'Data for broughton'!I401)/AD37</f>
        <v>2.0667491853567119</v>
      </c>
      <c r="AF37" s="80">
        <f t="shared" si="3"/>
        <v>1452174.4473514841</v>
      </c>
      <c r="AG37" s="80">
        <f t="shared" si="4"/>
        <v>9312280.6381143946</v>
      </c>
      <c r="AH37" s="80">
        <f>AF37+(GETPIVOTDATA("Sum of # Female L.salmonis",$A$2,"Month","Dec","Year",2002)-'Data for broughton'!U401)/R364</f>
        <v>9190940.3586171195</v>
      </c>
      <c r="AI37" s="80">
        <f>AF37+(GETPIVOTDATA("Sum of # Female L.salmonis",$A$2,"Month","Dec","Year",2002)-'Data for broughton'!U401)/Q364</f>
        <v>9479669.0426584315</v>
      </c>
      <c r="AJ37" s="69">
        <v>15</v>
      </c>
      <c r="AK37" s="68">
        <v>4</v>
      </c>
      <c r="AL37" s="68">
        <v>3</v>
      </c>
      <c r="AM37" s="68">
        <v>0</v>
      </c>
      <c r="AN37" s="67">
        <f t="shared" si="0"/>
        <v>8</v>
      </c>
    </row>
    <row r="38" spans="1:65" s="2" customFormat="1">
      <c r="A38" s="62"/>
      <c r="B38" s="268" t="s">
        <v>393</v>
      </c>
      <c r="C38" s="266">
        <v>4</v>
      </c>
      <c r="D38" s="110">
        <v>1</v>
      </c>
      <c r="E38" s="110">
        <v>1</v>
      </c>
      <c r="F38" s="110">
        <v>2</v>
      </c>
      <c r="G38" s="110">
        <v>6</v>
      </c>
      <c r="H38" s="110">
        <v>2</v>
      </c>
      <c r="I38" s="110"/>
      <c r="J38" s="110">
        <v>1</v>
      </c>
      <c r="K38" s="110"/>
      <c r="L38" s="110"/>
      <c r="M38" s="110">
        <v>1</v>
      </c>
      <c r="N38" s="267">
        <v>1</v>
      </c>
      <c r="O38" s="67">
        <f>SUM(C38:N38)</f>
        <v>19</v>
      </c>
      <c r="P38" s="50" t="s">
        <v>79</v>
      </c>
      <c r="Q38" s="50"/>
      <c r="R38" s="50"/>
      <c r="S38"/>
      <c r="T38"/>
      <c r="U38"/>
      <c r="V38"/>
      <c r="W38"/>
      <c r="X38"/>
      <c r="Y38" s="518">
        <v>37622</v>
      </c>
      <c r="Z38" s="67">
        <f>GETPIVOTDATA("Sum of # fish2",$A$2,"Month","Jan","Year",2003)</f>
        <v>5385137</v>
      </c>
      <c r="AA38" s="80">
        <f>GETPIVOTDATA("0.4*(# Caligus/ farm)",$A$2,"Month","Jan","Year",2003)</f>
        <v>395125.56800000009</v>
      </c>
      <c r="AB38" s="80">
        <f>GETPIVOTDATA("Sum of # Female L.salmonis",$A$2,"Month","Jan","Year",2003)</f>
        <v>10561652.084999997</v>
      </c>
      <c r="AC38" s="80"/>
      <c r="AD38" s="80"/>
      <c r="AE38" s="122"/>
      <c r="AF38" s="80"/>
      <c r="AG38" s="80">
        <f t="shared" si="4"/>
        <v>10561652.084999997</v>
      </c>
      <c r="AH38" s="80"/>
      <c r="AI38" s="80"/>
      <c r="AJ38" s="279">
        <v>13</v>
      </c>
      <c r="AK38" s="68">
        <v>10</v>
      </c>
      <c r="AL38" s="68">
        <v>2</v>
      </c>
      <c r="AM38" s="68"/>
      <c r="AN38" s="67">
        <f t="shared" si="0"/>
        <v>1</v>
      </c>
    </row>
    <row r="39" spans="1:65" s="2" customFormat="1">
      <c r="A39" s="62"/>
      <c r="B39" s="268" t="s">
        <v>396</v>
      </c>
      <c r="C39" s="266">
        <v>3058770.128</v>
      </c>
      <c r="D39" s="110">
        <v>1436293.48</v>
      </c>
      <c r="E39" s="110">
        <v>890076.28</v>
      </c>
      <c r="F39" s="110">
        <v>1230231.044</v>
      </c>
      <c r="G39" s="110">
        <v>2204072.9840000002</v>
      </c>
      <c r="H39" s="110">
        <v>1075610.1400000001</v>
      </c>
      <c r="I39" s="110">
        <v>315387.44000000006</v>
      </c>
      <c r="J39" s="110">
        <v>225065.84400000004</v>
      </c>
      <c r="K39" s="110">
        <v>417661.80433333345</v>
      </c>
      <c r="L39" s="110">
        <v>648501.81066666672</v>
      </c>
      <c r="M39" s="110">
        <v>643241.83599999989</v>
      </c>
      <c r="N39" s="267">
        <v>2648749.5533333337</v>
      </c>
      <c r="O39"/>
      <c r="P39" s="74" t="s">
        <v>103</v>
      </c>
      <c r="Q39" s="74"/>
      <c r="R39" s="74"/>
      <c r="S39"/>
      <c r="T39"/>
      <c r="U39"/>
      <c r="V39"/>
      <c r="W39"/>
      <c r="X39"/>
      <c r="Y39" s="1">
        <v>37653</v>
      </c>
      <c r="Z39" s="67">
        <f>GETPIVOTDATA("Sum of # fish2",$A$2,"Month","Feb","Year",2003)</f>
        <v>5936693</v>
      </c>
      <c r="AA39" s="80">
        <f>GETPIVOTDATA("0.4*(# Caligus/ farm)",$A$2,"Month","Feb","Year",2003)</f>
        <v>606022.40399999986</v>
      </c>
      <c r="AB39" s="80">
        <f>GETPIVOTDATA("Sum of # Female L.salmonis",$A$2,"Month","Feb","Year",2003)</f>
        <v>7462289.0024999995</v>
      </c>
      <c r="AC39" s="80"/>
      <c r="AD39" s="80"/>
      <c r="AE39" s="122"/>
      <c r="AF39" s="80"/>
      <c r="AG39" s="80">
        <f t="shared" si="4"/>
        <v>7462289.0024999995</v>
      </c>
      <c r="AH39" s="80"/>
      <c r="AI39" s="80"/>
      <c r="AJ39" s="279">
        <v>16</v>
      </c>
      <c r="AK39" s="68">
        <v>10</v>
      </c>
      <c r="AL39" s="68">
        <v>5</v>
      </c>
      <c r="AM39" s="68"/>
      <c r="AN39" s="67">
        <f t="shared" si="0"/>
        <v>1</v>
      </c>
    </row>
    <row r="40" spans="1:65" s="2" customFormat="1">
      <c r="A40" s="22">
        <v>2005</v>
      </c>
      <c r="B40" s="22" t="s">
        <v>57</v>
      </c>
      <c r="C40" s="33">
        <v>17</v>
      </c>
      <c r="D40" s="34">
        <v>16</v>
      </c>
      <c r="E40" s="34">
        <v>16</v>
      </c>
      <c r="F40" s="34">
        <v>18</v>
      </c>
      <c r="G40" s="34">
        <v>17</v>
      </c>
      <c r="H40" s="34">
        <v>15</v>
      </c>
      <c r="I40" s="34">
        <v>15</v>
      </c>
      <c r="J40" s="34">
        <v>15</v>
      </c>
      <c r="K40" s="34">
        <v>16</v>
      </c>
      <c r="L40" s="34">
        <v>15</v>
      </c>
      <c r="M40" s="34">
        <v>14</v>
      </c>
      <c r="N40" s="41">
        <v>16</v>
      </c>
      <c r="O40"/>
      <c r="P40" s="72" t="s">
        <v>75</v>
      </c>
      <c r="Q40" s="72"/>
      <c r="R40" s="72"/>
      <c r="S40" s="45"/>
      <c r="T40" s="45"/>
      <c r="U40" s="45"/>
      <c r="V40" s="45"/>
      <c r="W40" s="45"/>
      <c r="X40" s="45"/>
      <c r="Y40" s="1">
        <v>37681</v>
      </c>
      <c r="Z40" s="67">
        <f>GETPIVOTDATA("Sum of # fish2",$A$2,"Month","Mar","Year",2003)</f>
        <v>7141739</v>
      </c>
      <c r="AA40" s="80">
        <f>GETPIVOTDATA("0.4*(# Caligus/ farm)",$A$2,"Month","Mar","Year",2003)</f>
        <v>2298956.0759999999</v>
      </c>
      <c r="AB40" s="80">
        <f>GETPIVOTDATA("Sum of # Female L.salmonis",$A$2,"Month","Mar","Year",2003)</f>
        <v>4849224.7879999997</v>
      </c>
      <c r="AC40" s="80"/>
      <c r="AD40" s="80"/>
      <c r="AE40" s="122"/>
      <c r="AF40" s="80"/>
      <c r="AG40" s="539">
        <f t="shared" si="4"/>
        <v>4849224.7879999997</v>
      </c>
      <c r="AH40" s="80"/>
      <c r="AI40" s="80"/>
      <c r="AJ40" s="279">
        <v>16</v>
      </c>
      <c r="AK40" s="68">
        <v>13</v>
      </c>
      <c r="AL40" s="68">
        <v>2</v>
      </c>
      <c r="AM40" s="68"/>
      <c r="AN40" s="67">
        <f t="shared" si="0"/>
        <v>1</v>
      </c>
    </row>
    <row r="41" spans="1:65" s="2" customFormat="1">
      <c r="A41" s="25"/>
      <c r="B41" s="29" t="s">
        <v>59</v>
      </c>
      <c r="C41" s="35">
        <v>7115204</v>
      </c>
      <c r="D41" s="21">
        <v>7056518.5</v>
      </c>
      <c r="E41" s="21">
        <v>7285092</v>
      </c>
      <c r="F41" s="21">
        <v>8081256</v>
      </c>
      <c r="G41" s="21">
        <v>7945966</v>
      </c>
      <c r="H41" s="21">
        <v>7788166</v>
      </c>
      <c r="I41" s="21">
        <v>7724650</v>
      </c>
      <c r="J41" s="21">
        <v>7466011.5666666664</v>
      </c>
      <c r="K41" s="21">
        <v>7232483.7666666675</v>
      </c>
      <c r="L41" s="21">
        <v>6464195.9666666668</v>
      </c>
      <c r="M41" s="21">
        <v>6202676.166666667</v>
      </c>
      <c r="N41" s="39">
        <v>7615074.3666666672</v>
      </c>
      <c r="O41"/>
      <c r="P41" s="72" t="s">
        <v>77</v>
      </c>
      <c r="Q41" s="72"/>
      <c r="R41" s="72"/>
      <c r="S41" s="45"/>
      <c r="T41" s="45"/>
      <c r="U41" s="45"/>
      <c r="V41" s="45"/>
      <c r="W41" s="45"/>
      <c r="X41" s="45"/>
      <c r="Y41" s="1">
        <v>37712</v>
      </c>
      <c r="Z41" s="67">
        <f>GETPIVOTDATA("Sum of # fish2",$A$2,"Month","Apr","Year",2003)</f>
        <v>7473373</v>
      </c>
      <c r="AA41" s="80">
        <f>GETPIVOTDATA("0.4*(# Caligus/ farm)",$A$2,"Month","Apr","Year",2003)</f>
        <v>2632022.6359999999</v>
      </c>
      <c r="AB41" s="80">
        <f>GETPIVOTDATA("Sum of # Female L.salmonis",$A$2,"Month","Apr","Year",2003)</f>
        <v>1412283.8800000001</v>
      </c>
      <c r="AC41" s="80"/>
      <c r="AD41" s="80"/>
      <c r="AE41" s="122"/>
      <c r="AF41" s="80"/>
      <c r="AG41" s="80">
        <f t="shared" si="4"/>
        <v>1412283.8800000001</v>
      </c>
      <c r="AH41" s="80"/>
      <c r="AI41" s="80"/>
      <c r="AJ41" s="279">
        <v>15</v>
      </c>
      <c r="AK41" s="68">
        <v>13</v>
      </c>
      <c r="AL41" s="68">
        <v>2</v>
      </c>
      <c r="AM41" s="68"/>
      <c r="AN41" s="67">
        <f t="shared" si="0"/>
        <v>0</v>
      </c>
    </row>
    <row r="42" spans="1:65" s="2" customFormat="1">
      <c r="A42" s="25"/>
      <c r="B42" s="29" t="s">
        <v>389</v>
      </c>
      <c r="C42" s="35">
        <v>17</v>
      </c>
      <c r="D42" s="21">
        <v>16</v>
      </c>
      <c r="E42" s="21">
        <v>16</v>
      </c>
      <c r="F42" s="21">
        <v>18</v>
      </c>
      <c r="G42" s="21">
        <v>17</v>
      </c>
      <c r="H42" s="21">
        <v>15</v>
      </c>
      <c r="I42" s="21">
        <v>15</v>
      </c>
      <c r="J42" s="21">
        <v>15</v>
      </c>
      <c r="K42" s="21">
        <v>16</v>
      </c>
      <c r="L42" s="21">
        <v>15</v>
      </c>
      <c r="M42" s="21">
        <v>14</v>
      </c>
      <c r="N42" s="39">
        <v>16</v>
      </c>
      <c r="O42"/>
      <c r="P42" s="72" t="s">
        <v>78</v>
      </c>
      <c r="Q42" s="72"/>
      <c r="R42" s="72"/>
      <c r="S42" s="45"/>
      <c r="T42" s="45"/>
      <c r="U42" s="45"/>
      <c r="V42" s="45"/>
      <c r="W42" s="45"/>
      <c r="X42" s="45"/>
      <c r="Y42" s="1">
        <v>37742</v>
      </c>
      <c r="Z42" s="67">
        <f>GETPIVOTDATA("Sum of # fish2",$A$2,"Month","May","Year",2003)</f>
        <v>7895802</v>
      </c>
      <c r="AA42" s="80">
        <f>GETPIVOTDATA("0.4*(# Caligus/ farm)",$A$2,"Month","May","Year",2003)</f>
        <v>4622348.1239999998</v>
      </c>
      <c r="AB42" s="80">
        <f>GETPIVOTDATA("Sum of # Female L.salmonis",$A$2,"Month","May","Year",2003)</f>
        <v>446250.00199999998</v>
      </c>
      <c r="AC42" s="80"/>
      <c r="AD42" s="80"/>
      <c r="AE42" s="122"/>
      <c r="AF42" s="80"/>
      <c r="AG42" s="80">
        <f t="shared" si="4"/>
        <v>446250.00199999998</v>
      </c>
      <c r="AH42" s="80"/>
      <c r="AI42" s="80"/>
      <c r="AJ42" s="279">
        <v>14</v>
      </c>
      <c r="AK42" s="68">
        <v>13</v>
      </c>
      <c r="AL42" s="68">
        <v>1</v>
      </c>
      <c r="AM42" s="68"/>
      <c r="AN42" s="67">
        <f t="shared" si="0"/>
        <v>0</v>
      </c>
    </row>
    <row r="43" spans="1:65" s="2" customFormat="1">
      <c r="A43" s="25"/>
      <c r="B43" s="29" t="s">
        <v>391</v>
      </c>
      <c r="C43" s="35">
        <v>12855494.609999999</v>
      </c>
      <c r="D43" s="21">
        <v>9477603.3200000003</v>
      </c>
      <c r="E43" s="21">
        <v>4019714.8800000004</v>
      </c>
      <c r="F43" s="21">
        <v>4261532.12</v>
      </c>
      <c r="G43" s="21">
        <v>5584506.9500000002</v>
      </c>
      <c r="H43" s="21">
        <v>4787828.3899999997</v>
      </c>
      <c r="I43" s="21">
        <v>3839359.7900000005</v>
      </c>
      <c r="J43" s="21">
        <v>3265018.3603333333</v>
      </c>
      <c r="K43" s="21">
        <v>11693330.765333334</v>
      </c>
      <c r="L43" s="21">
        <v>14397434.524333334</v>
      </c>
      <c r="M43" s="21">
        <v>13008241.190000003</v>
      </c>
      <c r="N43" s="39">
        <v>19400530.884</v>
      </c>
      <c r="O43"/>
      <c r="P43" s="73" t="s">
        <v>99</v>
      </c>
      <c r="Q43" s="73"/>
      <c r="R43" s="73"/>
      <c r="S43" s="45"/>
      <c r="T43" s="45"/>
      <c r="U43" s="45"/>
      <c r="V43" s="45"/>
      <c r="W43" s="45"/>
      <c r="X43" s="45"/>
      <c r="Y43" s="1">
        <v>37773</v>
      </c>
      <c r="Z43" s="67">
        <f>GETPIVOTDATA("Sum of # fish2",$A$2,"Month","Jun","Year",2003)</f>
        <v>7780099</v>
      </c>
      <c r="AA43" s="80">
        <f>GETPIVOTDATA("0.4*(# Caligus/ farm)",$A$2,"Month","Jun","Year",2003)</f>
        <v>4408881.2719999999</v>
      </c>
      <c r="AB43" s="80">
        <f>GETPIVOTDATA("Sum of # Female L.salmonis",$A$2,"Month","Jun","Year",2003)</f>
        <v>351181.43499999994</v>
      </c>
      <c r="AC43" s="80"/>
      <c r="AD43" s="80"/>
      <c r="AE43" s="122"/>
      <c r="AF43" s="80"/>
      <c r="AG43" s="80">
        <f t="shared" si="4"/>
        <v>351181.43499999994</v>
      </c>
      <c r="AH43" s="80"/>
      <c r="AI43" s="80"/>
      <c r="AJ43" s="279">
        <v>13</v>
      </c>
      <c r="AK43" s="68">
        <v>13</v>
      </c>
      <c r="AL43" s="68">
        <v>0</v>
      </c>
      <c r="AM43" s="68"/>
      <c r="AN43" s="67">
        <f t="shared" si="0"/>
        <v>0</v>
      </c>
    </row>
    <row r="44" spans="1:65" s="2" customFormat="1">
      <c r="A44" s="25"/>
      <c r="B44" s="29" t="s">
        <v>393</v>
      </c>
      <c r="C44" s="35">
        <v>3</v>
      </c>
      <c r="D44" s="21">
        <v>4</v>
      </c>
      <c r="E44" s="21"/>
      <c r="F44" s="21"/>
      <c r="G44" s="21">
        <v>4</v>
      </c>
      <c r="H44" s="21"/>
      <c r="I44" s="21">
        <v>1</v>
      </c>
      <c r="J44" s="21">
        <v>1</v>
      </c>
      <c r="K44" s="21"/>
      <c r="L44" s="21"/>
      <c r="M44" s="21">
        <v>1</v>
      </c>
      <c r="N44" s="39">
        <v>3</v>
      </c>
      <c r="O44" s="67">
        <f>SUM(C44:N44)</f>
        <v>17</v>
      </c>
      <c r="P44" s="72" t="s">
        <v>79</v>
      </c>
      <c r="Q44" s="72"/>
      <c r="R44" s="72"/>
      <c r="S44" s="45"/>
      <c r="T44" s="45"/>
      <c r="U44" s="45"/>
      <c r="V44" s="45"/>
      <c r="W44" s="45"/>
      <c r="X44" s="45"/>
      <c r="Y44" s="1">
        <v>37803</v>
      </c>
      <c r="Z44" s="67">
        <f>GETPIVOTDATA("Sum of # fish2",$A$2,"Month","Jul","Year",2003)</f>
        <v>8225591.5</v>
      </c>
      <c r="AA44" s="80">
        <f>GETPIVOTDATA("0.4*(# Caligus/ farm)",$A$2,"Month","Jul","Year",2003)</f>
        <v>3066289.1680000005</v>
      </c>
      <c r="AB44" s="80">
        <f>GETPIVOTDATA("Sum of # Female L.salmonis",$A$2,"Month","Jul","Year",2003)</f>
        <v>951778.91999999993</v>
      </c>
      <c r="AC44" s="80"/>
      <c r="AD44" s="80"/>
      <c r="AE44" s="122"/>
      <c r="AF44" s="80"/>
      <c r="AG44" s="80">
        <f t="shared" si="4"/>
        <v>951778.91999999993</v>
      </c>
      <c r="AH44" s="80"/>
      <c r="AI44" s="80"/>
      <c r="AJ44" s="279">
        <v>14</v>
      </c>
      <c r="AK44" s="68">
        <v>13</v>
      </c>
      <c r="AL44" s="68">
        <v>1</v>
      </c>
      <c r="AM44" s="68"/>
      <c r="AN44" s="67">
        <f t="shared" si="0"/>
        <v>0</v>
      </c>
    </row>
    <row r="45" spans="1:65" s="2" customFormat="1">
      <c r="A45" s="25"/>
      <c r="B45" s="29" t="s">
        <v>396</v>
      </c>
      <c r="C45" s="35">
        <v>3407130.6440000003</v>
      </c>
      <c r="D45" s="21">
        <v>1588715.41</v>
      </c>
      <c r="E45" s="21">
        <v>1334964.5920000002</v>
      </c>
      <c r="F45" s="21">
        <v>1339560.4600000002</v>
      </c>
      <c r="G45" s="21">
        <v>1354257.7600000002</v>
      </c>
      <c r="H45" s="21">
        <v>990761.88400000008</v>
      </c>
      <c r="I45" s="21">
        <v>555276.20799999998</v>
      </c>
      <c r="J45" s="21">
        <v>440214.408</v>
      </c>
      <c r="K45" s="21">
        <v>662503.39786666667</v>
      </c>
      <c r="L45" s="21">
        <v>1917804.2836</v>
      </c>
      <c r="M45" s="21">
        <v>1362779.5133333334</v>
      </c>
      <c r="N45" s="39">
        <v>1617680.1710666667</v>
      </c>
      <c r="O45"/>
      <c r="P45" s="73" t="s">
        <v>103</v>
      </c>
      <c r="Q45" s="73"/>
      <c r="R45" s="73"/>
      <c r="S45" s="45"/>
      <c r="T45" s="45"/>
      <c r="U45" s="45"/>
      <c r="V45" s="45"/>
      <c r="W45" s="45"/>
      <c r="X45" s="45"/>
      <c r="Y45" s="1">
        <v>37834</v>
      </c>
      <c r="Z45" s="67">
        <f>GETPIVOTDATA("Sum of # fish2",$A$2,"Month","Aug","Year",2003)</f>
        <v>7335373</v>
      </c>
      <c r="AA45" s="80">
        <f>GETPIVOTDATA("0.4*(# Caligus/ farm)",$A$2,"Month","Aug","Year",2003)</f>
        <v>3737203.284</v>
      </c>
      <c r="AB45" s="80">
        <f>GETPIVOTDATA("Sum of # Female L.salmonis",$A$2,"Month","Aug","Year",2003)</f>
        <v>1132178.6599999999</v>
      </c>
      <c r="AC45" s="80"/>
      <c r="AD45" s="80"/>
      <c r="AE45" s="122"/>
      <c r="AF45" s="80"/>
      <c r="AG45" s="80">
        <f t="shared" si="4"/>
        <v>1132178.6599999999</v>
      </c>
      <c r="AH45" s="80"/>
      <c r="AI45" s="80"/>
      <c r="AJ45" s="279">
        <v>12</v>
      </c>
      <c r="AK45" s="68">
        <v>11</v>
      </c>
      <c r="AL45" s="68">
        <v>1</v>
      </c>
      <c r="AM45" s="68"/>
      <c r="AN45" s="67">
        <f t="shared" si="0"/>
        <v>0</v>
      </c>
    </row>
    <row r="46" spans="1:65">
      <c r="A46" s="60">
        <v>2006</v>
      </c>
      <c r="B46" s="60" t="s">
        <v>57</v>
      </c>
      <c r="C46" s="263">
        <v>16</v>
      </c>
      <c r="D46" s="264">
        <v>15</v>
      </c>
      <c r="E46" s="264">
        <v>16</v>
      </c>
      <c r="F46" s="264">
        <v>15</v>
      </c>
      <c r="G46" s="264">
        <v>15</v>
      </c>
      <c r="H46" s="264">
        <v>13</v>
      </c>
      <c r="I46" s="264">
        <v>13</v>
      </c>
      <c r="J46" s="264">
        <v>14</v>
      </c>
      <c r="K46" s="264">
        <v>16</v>
      </c>
      <c r="L46" s="264">
        <v>13</v>
      </c>
      <c r="M46" s="264">
        <v>14</v>
      </c>
      <c r="N46" s="265">
        <v>15</v>
      </c>
      <c r="P46" s="50" t="s">
        <v>75</v>
      </c>
      <c r="Q46" s="50"/>
      <c r="R46" s="50"/>
      <c r="Y46" s="1">
        <v>37865</v>
      </c>
      <c r="Z46" s="67">
        <f>GETPIVOTDATA("Sum of # fish2",$A$2,"Month","Sep","Year",2003)</f>
        <v>7185319.5</v>
      </c>
      <c r="AA46" s="80">
        <f>GETPIVOTDATA("0.4*(# Caligus/ farm)",$A$2,"Month","Sep","Year",2003)</f>
        <v>2276439.6239999998</v>
      </c>
      <c r="AB46" s="80">
        <f>GETPIVOTDATA("Sum of # Female L.salmonis",$A$2,"Month","Sep","Year",2003)</f>
        <v>3194240.51</v>
      </c>
      <c r="AC46" s="80"/>
      <c r="AD46" s="80"/>
      <c r="AE46" s="122"/>
      <c r="AF46" s="80"/>
      <c r="AG46" s="80">
        <f t="shared" si="4"/>
        <v>3194240.51</v>
      </c>
      <c r="AH46" s="80"/>
      <c r="AI46" s="80"/>
      <c r="AJ46" s="279">
        <v>12</v>
      </c>
      <c r="AK46" s="68">
        <v>8</v>
      </c>
      <c r="AL46" s="68">
        <v>4</v>
      </c>
      <c r="AM46" s="68"/>
      <c r="AN46" s="67">
        <f t="shared" si="0"/>
        <v>0</v>
      </c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</row>
    <row r="47" spans="1:65">
      <c r="A47" s="62"/>
      <c r="B47" s="63" t="s">
        <v>59</v>
      </c>
      <c r="C47" s="266">
        <v>8169320.5666666664</v>
      </c>
      <c r="D47" s="110">
        <v>8152547.0999999996</v>
      </c>
      <c r="E47" s="110">
        <v>8028610</v>
      </c>
      <c r="F47" s="110">
        <v>8443100</v>
      </c>
      <c r="G47" s="110">
        <v>8207003</v>
      </c>
      <c r="H47" s="110">
        <v>6845594</v>
      </c>
      <c r="I47" s="110">
        <v>6571258</v>
      </c>
      <c r="J47" s="110">
        <v>6073312</v>
      </c>
      <c r="K47" s="110">
        <v>5661657</v>
      </c>
      <c r="L47" s="110">
        <v>5720244</v>
      </c>
      <c r="M47" s="110">
        <v>7155633</v>
      </c>
      <c r="N47" s="267">
        <v>7040708</v>
      </c>
      <c r="P47" s="50" t="s">
        <v>77</v>
      </c>
      <c r="Q47" s="50"/>
      <c r="R47" s="50"/>
      <c r="Y47" s="1">
        <v>37895</v>
      </c>
      <c r="Z47" s="67">
        <f>GETPIVOTDATA("Sum of # fish2",$A$2,"Month","Oct","Year",2003)</f>
        <v>7081630</v>
      </c>
      <c r="AA47" s="80">
        <f>GETPIVOTDATA("0.4*(# Caligus/ farm)",$A$2,"Month","Oct","Year",2003)</f>
        <v>1778472.4959999998</v>
      </c>
      <c r="AB47" s="80">
        <f>GETPIVOTDATA("Sum of # Female L.salmonis",$A$2,"Month","Oct","Year",2003)</f>
        <v>6221884.4299999997</v>
      </c>
      <c r="AC47" s="80"/>
      <c r="AD47" s="80"/>
      <c r="AE47" s="122"/>
      <c r="AF47" s="80"/>
      <c r="AG47" s="80">
        <f t="shared" si="4"/>
        <v>6221884.4299999997</v>
      </c>
      <c r="AH47" s="80"/>
      <c r="AI47" s="80"/>
      <c r="AJ47" s="279">
        <v>11</v>
      </c>
      <c r="AK47" s="68">
        <v>11</v>
      </c>
      <c r="AL47" s="68">
        <v>0</v>
      </c>
      <c r="AM47" s="68"/>
      <c r="AN47" s="67">
        <f t="shared" si="0"/>
        <v>0</v>
      </c>
    </row>
    <row r="48" spans="1:65">
      <c r="A48" s="62"/>
      <c r="B48" s="268" t="s">
        <v>389</v>
      </c>
      <c r="C48" s="266">
        <v>16</v>
      </c>
      <c r="D48" s="110">
        <v>15</v>
      </c>
      <c r="E48" s="110">
        <v>16</v>
      </c>
      <c r="F48" s="110">
        <v>15</v>
      </c>
      <c r="G48" s="110">
        <v>15</v>
      </c>
      <c r="H48" s="110">
        <v>13</v>
      </c>
      <c r="I48" s="110">
        <v>13</v>
      </c>
      <c r="J48" s="110">
        <v>14</v>
      </c>
      <c r="K48" s="110">
        <v>16</v>
      </c>
      <c r="L48" s="110">
        <v>13</v>
      </c>
      <c r="M48" s="110">
        <v>14</v>
      </c>
      <c r="N48" s="267">
        <v>15</v>
      </c>
      <c r="P48" s="50" t="s">
        <v>78</v>
      </c>
      <c r="Q48" s="50"/>
      <c r="R48" s="50"/>
      <c r="Y48" s="1">
        <v>37926</v>
      </c>
      <c r="Z48" s="125">
        <f>GETPIVOTDATA("Sum of # fish2",$A$2,"Month","Nov","Year",2003)</f>
        <v>7568343</v>
      </c>
      <c r="AA48" s="80">
        <f>GETPIVOTDATA("0.4*(# Caligus/ farm)",$A$2,"Month","Nov","Year",2003)</f>
        <v>3877019.3280000002</v>
      </c>
      <c r="AB48" s="80">
        <f>GETPIVOTDATA("Sum of # Female L.salmonis",$A$2,"Month","Nov","Year",2003)</f>
        <v>9112720.4800000004</v>
      </c>
      <c r="AC48" s="80"/>
      <c r="AD48" s="80"/>
      <c r="AE48" s="122"/>
      <c r="AF48" s="80"/>
      <c r="AG48" s="80">
        <f t="shared" si="4"/>
        <v>9112720.4800000004</v>
      </c>
      <c r="AH48" s="80"/>
      <c r="AI48" s="80"/>
      <c r="AJ48" s="279">
        <v>13</v>
      </c>
      <c r="AK48" s="68">
        <v>13</v>
      </c>
      <c r="AL48" s="53">
        <v>0</v>
      </c>
      <c r="AN48" s="67">
        <f t="shared" si="0"/>
        <v>0</v>
      </c>
    </row>
    <row r="49" spans="1:65">
      <c r="A49" s="62"/>
      <c r="B49" s="268" t="s">
        <v>391</v>
      </c>
      <c r="C49" s="266">
        <v>10756920.745000001</v>
      </c>
      <c r="D49" s="110">
        <v>12242287.097000001</v>
      </c>
      <c r="E49" s="110">
        <v>4490380.3600000013</v>
      </c>
      <c r="F49" s="110">
        <v>1095941.2899999998</v>
      </c>
      <c r="G49" s="110">
        <v>2178553.17</v>
      </c>
      <c r="H49" s="110">
        <v>1146587.6000000001</v>
      </c>
      <c r="I49" s="110">
        <v>929823.09000000008</v>
      </c>
      <c r="J49" s="110">
        <v>1498006.9338237001</v>
      </c>
      <c r="K49" s="110">
        <v>2135421.38</v>
      </c>
      <c r="L49" s="110">
        <v>5187348.7500000019</v>
      </c>
      <c r="M49" s="110">
        <v>4952986.9097182006</v>
      </c>
      <c r="N49" s="267">
        <v>6244425.5800000001</v>
      </c>
      <c r="P49" s="74" t="s">
        <v>99</v>
      </c>
      <c r="Q49" s="74"/>
      <c r="R49" s="74"/>
      <c r="Y49" s="1">
        <v>37956</v>
      </c>
      <c r="Z49" s="67">
        <f>GETPIVOTDATA("Sum of # fish2",$A$2,"Month","Dec","Year",2003)</f>
        <v>7554088</v>
      </c>
      <c r="AA49" s="80">
        <f>GETPIVOTDATA("0.4*(# Caligus/ farm)",$A$2,"Month","Dec","Year",2003)</f>
        <v>4167513.4079999998</v>
      </c>
      <c r="AB49" s="80">
        <f>GETPIVOTDATA("Sum of # Female L.salmonis",$A$2,"Month","Dec","Year",2003)</f>
        <v>10908914.120000001</v>
      </c>
      <c r="AC49" s="80"/>
      <c r="AD49" s="80"/>
      <c r="AE49" s="122"/>
      <c r="AF49" s="80"/>
      <c r="AG49" s="80">
        <f t="shared" si="4"/>
        <v>10908914.120000001</v>
      </c>
      <c r="AH49" s="80"/>
      <c r="AI49" s="80"/>
      <c r="AJ49" s="279">
        <v>16</v>
      </c>
      <c r="AK49" s="68">
        <v>11</v>
      </c>
      <c r="AL49" s="53">
        <v>5</v>
      </c>
      <c r="AN49" s="67">
        <f t="shared" si="0"/>
        <v>0</v>
      </c>
    </row>
    <row r="50" spans="1:65">
      <c r="A50" s="62"/>
      <c r="B50" s="268" t="s">
        <v>393</v>
      </c>
      <c r="C50" s="266">
        <v>4</v>
      </c>
      <c r="D50" s="110">
        <v>4</v>
      </c>
      <c r="E50" s="110">
        <v>2</v>
      </c>
      <c r="F50" s="110">
        <v>2</v>
      </c>
      <c r="G50" s="110">
        <v>2</v>
      </c>
      <c r="H50" s="110"/>
      <c r="I50" s="110"/>
      <c r="J50" s="110"/>
      <c r="K50" s="110"/>
      <c r="L50" s="110">
        <v>2</v>
      </c>
      <c r="M50" s="110"/>
      <c r="N50" s="267"/>
      <c r="O50" s="67">
        <f>SUM(C50:N50)</f>
        <v>16</v>
      </c>
      <c r="P50" s="50" t="s">
        <v>79</v>
      </c>
      <c r="Q50" s="50"/>
      <c r="R50" s="50"/>
      <c r="Y50" s="1">
        <v>37987</v>
      </c>
      <c r="Z50" s="67">
        <f>GETPIVOTDATA("Sum of # fish2",$A$2,"Month","Jan","Year",2004)</f>
        <v>7047778</v>
      </c>
      <c r="AA50" s="80">
        <f>GETPIVOTDATA("0.4*(# Caligus/ farm)",$A$2,"Month","Jan","Year",2004)</f>
        <v>3058770.128</v>
      </c>
      <c r="AB50" s="80">
        <f>GETPIVOTDATA("Sum of # Female L.salmonis",$A$2,"Month","Jan","Year",2004)</f>
        <v>8011879.3600000003</v>
      </c>
      <c r="AC50" s="80"/>
      <c r="AD50" s="80"/>
      <c r="AE50" s="122"/>
      <c r="AF50" s="80"/>
      <c r="AG50" s="80">
        <f t="shared" si="4"/>
        <v>8011879.3600000003</v>
      </c>
      <c r="AH50" s="80"/>
      <c r="AI50" s="80"/>
      <c r="AJ50" s="279">
        <v>16</v>
      </c>
      <c r="AK50" s="68">
        <v>12</v>
      </c>
      <c r="AL50" s="53">
        <v>4</v>
      </c>
      <c r="AN50" s="67">
        <f t="shared" si="0"/>
        <v>0</v>
      </c>
    </row>
    <row r="51" spans="1:65">
      <c r="A51" s="62"/>
      <c r="B51" s="268" t="s">
        <v>396</v>
      </c>
      <c r="C51" s="266">
        <v>1132089.7861333333</v>
      </c>
      <c r="D51" s="110">
        <v>652910.73399999994</v>
      </c>
      <c r="E51" s="110">
        <v>559602.66400000011</v>
      </c>
      <c r="F51" s="110">
        <v>466674.69999999995</v>
      </c>
      <c r="G51" s="110">
        <v>686560.58</v>
      </c>
      <c r="H51" s="110">
        <v>121485.66000000002</v>
      </c>
      <c r="I51" s="110">
        <v>451301.99599999998</v>
      </c>
      <c r="J51" s="110">
        <v>461063.73154556006</v>
      </c>
      <c r="K51" s="110">
        <v>1069591.548</v>
      </c>
      <c r="L51" s="110">
        <v>1542208.6280000003</v>
      </c>
      <c r="M51" s="110">
        <v>940004.71781720011</v>
      </c>
      <c r="N51" s="267">
        <v>752399.09600000002</v>
      </c>
      <c r="P51" s="74" t="s">
        <v>103</v>
      </c>
      <c r="Q51" s="74"/>
      <c r="R51" s="74"/>
      <c r="Y51" s="1">
        <v>38018</v>
      </c>
      <c r="Z51" s="67">
        <f>GETPIVOTDATA("Sum of # fish2",$A$2,"Month","Feb","Year",2004)</f>
        <v>7307499</v>
      </c>
      <c r="AA51" s="80">
        <f>GETPIVOTDATA("0.4*(# Caligus/ farm)",$A$2,"Month","Feb","Year",2004)</f>
        <v>1436293.48</v>
      </c>
      <c r="AB51" s="80">
        <f>GETPIVOTDATA("Sum of # Female L.salmonis",$A$2,"Month","Feb","Year",2004)</f>
        <v>5226420.8999999994</v>
      </c>
      <c r="AC51" s="80"/>
      <c r="AD51" s="80"/>
      <c r="AE51" s="122"/>
      <c r="AF51" s="80"/>
      <c r="AG51" s="80">
        <f t="shared" si="4"/>
        <v>5226420.8999999994</v>
      </c>
      <c r="AH51" s="80"/>
      <c r="AI51" s="80"/>
      <c r="AJ51" s="279">
        <v>17</v>
      </c>
      <c r="AK51" s="68">
        <v>12</v>
      </c>
      <c r="AL51" s="53">
        <v>5</v>
      </c>
      <c r="AN51" s="67">
        <f t="shared" si="0"/>
        <v>0</v>
      </c>
    </row>
    <row r="52" spans="1:65" s="2" customFormat="1">
      <c r="A52" s="22">
        <v>2007</v>
      </c>
      <c r="B52" s="22" t="s">
        <v>57</v>
      </c>
      <c r="C52" s="33">
        <v>15</v>
      </c>
      <c r="D52" s="34">
        <v>16</v>
      </c>
      <c r="E52" s="34">
        <v>17</v>
      </c>
      <c r="F52" s="34">
        <v>16</v>
      </c>
      <c r="G52" s="34">
        <v>16</v>
      </c>
      <c r="H52" s="34">
        <v>14</v>
      </c>
      <c r="I52" s="34">
        <v>15</v>
      </c>
      <c r="J52" s="34">
        <v>15</v>
      </c>
      <c r="K52" s="34">
        <v>16</v>
      </c>
      <c r="L52" s="34">
        <v>15</v>
      </c>
      <c r="M52" s="34">
        <v>16</v>
      </c>
      <c r="N52" s="41">
        <v>17</v>
      </c>
      <c r="O52"/>
      <c r="P52" s="72" t="s">
        <v>75</v>
      </c>
      <c r="Q52" s="72"/>
      <c r="R52" s="72"/>
      <c r="S52" s="45"/>
      <c r="T52" s="45"/>
      <c r="U52" s="45"/>
      <c r="V52" s="45"/>
      <c r="W52" s="45"/>
      <c r="Y52" s="1">
        <v>38047</v>
      </c>
      <c r="Z52" s="67">
        <f>GETPIVOTDATA("Sum of # fish2",$A$2,"Month","Mar","Year",2004)</f>
        <v>7223190</v>
      </c>
      <c r="AA52" s="80">
        <f>GETPIVOTDATA("0.4*(# Caligus/ farm)",$A$2,"Month","Mar","Year",2004)</f>
        <v>890076.28</v>
      </c>
      <c r="AB52" s="80">
        <f>GETPIVOTDATA("Sum of # Female L.salmonis",$A$2,"Month","Mar","Year",2004)</f>
        <v>5566962.5999999996</v>
      </c>
      <c r="AC52" s="80"/>
      <c r="AD52" s="80"/>
      <c r="AE52" s="122"/>
      <c r="AF52" s="80"/>
      <c r="AG52" s="539">
        <f t="shared" si="4"/>
        <v>5566962.5999999996</v>
      </c>
      <c r="AH52" s="80"/>
      <c r="AI52" s="80"/>
      <c r="AJ52" s="279">
        <v>17</v>
      </c>
      <c r="AK52" s="68">
        <v>15</v>
      </c>
      <c r="AL52" s="53">
        <v>2</v>
      </c>
      <c r="AM52" s="53"/>
      <c r="AN52" s="67">
        <f t="shared" si="0"/>
        <v>0</v>
      </c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</row>
    <row r="53" spans="1:65" s="2" customFormat="1">
      <c r="A53" s="25"/>
      <c r="B53" s="29" t="s">
        <v>59</v>
      </c>
      <c r="C53" s="35">
        <v>6651357</v>
      </c>
      <c r="D53" s="21">
        <v>7876384</v>
      </c>
      <c r="E53" s="21">
        <v>7855247</v>
      </c>
      <c r="F53" s="21">
        <v>8242716</v>
      </c>
      <c r="G53" s="21">
        <v>8612604</v>
      </c>
      <c r="H53" s="21">
        <v>8402932</v>
      </c>
      <c r="I53" s="21">
        <v>8178464</v>
      </c>
      <c r="J53" s="21">
        <v>7835119</v>
      </c>
      <c r="K53" s="21">
        <v>7755833</v>
      </c>
      <c r="L53" s="21">
        <v>7287696</v>
      </c>
      <c r="M53" s="21">
        <v>7372702</v>
      </c>
      <c r="N53" s="39">
        <v>8768442</v>
      </c>
      <c r="O53"/>
      <c r="P53" s="72" t="s">
        <v>77</v>
      </c>
      <c r="Q53" s="72"/>
      <c r="R53" s="72"/>
      <c r="S53" s="45"/>
      <c r="T53" s="45"/>
      <c r="U53" s="45"/>
      <c r="V53" s="45"/>
      <c r="W53" s="45"/>
      <c r="Y53" s="1">
        <v>38078</v>
      </c>
      <c r="Z53" s="67">
        <f>GETPIVOTDATA("Sum of # fish2",$A$2,"Month","Apr","Year",2004)</f>
        <v>8404962</v>
      </c>
      <c r="AA53" s="80">
        <f>GETPIVOTDATA("0.4*(# Caligus/ farm)",$A$2,"Month","Apr","Year",2004)</f>
        <v>1230231.044</v>
      </c>
      <c r="AB53" s="80">
        <f>GETPIVOTDATA("Sum of # Female L.salmonis",$A$2,"Month","Apr","Year",2004)</f>
        <v>7885960.5499999989</v>
      </c>
      <c r="AC53" s="80"/>
      <c r="AD53" s="80"/>
      <c r="AE53" s="122"/>
      <c r="AF53" s="80"/>
      <c r="AG53" s="80">
        <f t="shared" si="4"/>
        <v>7885960.5499999989</v>
      </c>
      <c r="AH53" s="80"/>
      <c r="AI53" s="80"/>
      <c r="AJ53" s="279">
        <v>17</v>
      </c>
      <c r="AK53" s="68">
        <v>14</v>
      </c>
      <c r="AL53" s="53">
        <v>3</v>
      </c>
      <c r="AM53" s="53"/>
      <c r="AN53" s="67">
        <f t="shared" si="0"/>
        <v>0</v>
      </c>
    </row>
    <row r="54" spans="1:65" s="2" customFormat="1">
      <c r="A54" s="25"/>
      <c r="B54" s="29" t="s">
        <v>389</v>
      </c>
      <c r="C54" s="35">
        <v>15</v>
      </c>
      <c r="D54" s="21">
        <v>16</v>
      </c>
      <c r="E54" s="21">
        <v>17</v>
      </c>
      <c r="F54" s="21">
        <v>16</v>
      </c>
      <c r="G54" s="21">
        <v>16</v>
      </c>
      <c r="H54" s="21">
        <v>14</v>
      </c>
      <c r="I54" s="21">
        <v>15</v>
      </c>
      <c r="J54" s="21">
        <v>15</v>
      </c>
      <c r="K54" s="21">
        <v>16</v>
      </c>
      <c r="L54" s="21">
        <v>15</v>
      </c>
      <c r="M54" s="21">
        <v>16</v>
      </c>
      <c r="N54" s="39">
        <v>17</v>
      </c>
      <c r="O54"/>
      <c r="P54" s="72" t="s">
        <v>78</v>
      </c>
      <c r="Q54" s="72"/>
      <c r="R54" s="72"/>
      <c r="S54" s="45"/>
      <c r="T54" s="45"/>
      <c r="U54" s="45"/>
      <c r="V54" s="45"/>
      <c r="W54" s="45"/>
      <c r="Y54" s="518">
        <v>38108</v>
      </c>
      <c r="Z54" s="67">
        <f>GETPIVOTDATA("Sum of # fish2",$A$2,"Month","May","Year",2004)</f>
        <v>8182372</v>
      </c>
      <c r="AA54" s="80">
        <f>GETPIVOTDATA("0.4*(# Caligus/ farm)",$A$2,"Month","May","Year",2004)</f>
        <v>2204072.9840000002</v>
      </c>
      <c r="AB54" s="80">
        <f>GETPIVOTDATA("Sum of # Female L.salmonis",$A$2,"Month","May","Year",2004)</f>
        <v>29528485.16</v>
      </c>
      <c r="AC54" s="80"/>
      <c r="AD54" s="80"/>
      <c r="AE54" s="122"/>
      <c r="AF54" s="80"/>
      <c r="AG54" s="80">
        <f t="shared" si="4"/>
        <v>29528485.16</v>
      </c>
      <c r="AH54" s="80"/>
      <c r="AI54" s="80"/>
      <c r="AJ54" s="279">
        <v>16</v>
      </c>
      <c r="AK54" s="68">
        <v>15</v>
      </c>
      <c r="AL54" s="68">
        <v>1</v>
      </c>
      <c r="AM54" s="68"/>
      <c r="AN54" s="67">
        <f t="shared" si="0"/>
        <v>0</v>
      </c>
    </row>
    <row r="55" spans="1:65" s="2" customFormat="1">
      <c r="A55" s="25"/>
      <c r="B55" s="29" t="s">
        <v>391</v>
      </c>
      <c r="C55" s="35">
        <v>5551754.5977334995</v>
      </c>
      <c r="D55" s="21">
        <v>2915054.32</v>
      </c>
      <c r="E55" s="21">
        <v>2310171.0400000005</v>
      </c>
      <c r="F55" s="21">
        <v>1442069.35</v>
      </c>
      <c r="G55" s="21">
        <v>715525.04999999993</v>
      </c>
      <c r="H55" s="21">
        <v>417098.88</v>
      </c>
      <c r="I55" s="21">
        <v>656322.75000000012</v>
      </c>
      <c r="J55" s="21">
        <v>760278.28</v>
      </c>
      <c r="K55" s="21">
        <v>2177330.54</v>
      </c>
      <c r="L55" s="21">
        <v>2439590.4099999997</v>
      </c>
      <c r="M55" s="21">
        <v>2491994.7000000002</v>
      </c>
      <c r="N55" s="39">
        <v>3565428.61</v>
      </c>
      <c r="O55"/>
      <c r="P55" s="73" t="s">
        <v>99</v>
      </c>
      <c r="Q55" s="73"/>
      <c r="R55" s="73"/>
      <c r="S55" s="45"/>
      <c r="T55" s="45"/>
      <c r="U55" s="45"/>
      <c r="V55" s="45"/>
      <c r="W55" s="45"/>
      <c r="Y55" s="1">
        <v>38139</v>
      </c>
      <c r="Z55" s="67">
        <f>GETPIVOTDATA("Sum of # fish2",$A$2,"Month","Jun","Year",2004)</f>
        <v>7693627</v>
      </c>
      <c r="AA55" s="80">
        <f>GETPIVOTDATA("0.4*(# Caligus/ farm)",$A$2,"Month","Jun","Year",2004)</f>
        <v>1075610.1400000001</v>
      </c>
      <c r="AB55" s="80">
        <f>GETPIVOTDATA("Sum of # Female L.salmonis",$A$2,"Month","Jun","Year",2004)</f>
        <v>13376405.949999999</v>
      </c>
      <c r="AC55" s="80"/>
      <c r="AD55" s="80"/>
      <c r="AE55" s="122"/>
      <c r="AF55" s="80"/>
      <c r="AG55" s="80">
        <f t="shared" si="4"/>
        <v>13376405.949999999</v>
      </c>
      <c r="AH55" s="80"/>
      <c r="AI55" s="80"/>
      <c r="AJ55" s="279">
        <v>15</v>
      </c>
      <c r="AK55" s="68">
        <v>15</v>
      </c>
      <c r="AL55" s="68">
        <v>0</v>
      </c>
      <c r="AM55" s="68"/>
      <c r="AN55" s="67">
        <f t="shared" si="0"/>
        <v>0</v>
      </c>
    </row>
    <row r="56" spans="1:65" s="2" customFormat="1">
      <c r="A56" s="25"/>
      <c r="B56" s="29" t="s">
        <v>393</v>
      </c>
      <c r="C56" s="35">
        <v>4</v>
      </c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39"/>
      <c r="O56" s="67">
        <f>SUM(C56:N56)</f>
        <v>4</v>
      </c>
      <c r="P56" s="72" t="s">
        <v>79</v>
      </c>
      <c r="Q56" s="72"/>
      <c r="R56" s="72"/>
      <c r="S56" s="45"/>
      <c r="T56" s="45"/>
      <c r="U56" s="45"/>
      <c r="V56" s="45"/>
      <c r="W56" s="45"/>
      <c r="Y56" s="1">
        <v>38169</v>
      </c>
      <c r="Z56" s="67">
        <f>GETPIVOTDATA("Sum of # fish2",$A$2,"Month","Jul","Year",2004)</f>
        <v>7511916</v>
      </c>
      <c r="AA56" s="80">
        <f>GETPIVOTDATA("0.4*(# Caligus/ farm)",$A$2,"Month","Jul","Year",2004)</f>
        <v>315387.44000000006</v>
      </c>
      <c r="AB56" s="80">
        <f>GETPIVOTDATA("Sum of # Female L.salmonis",$A$2,"Month","Jul","Year",2004)</f>
        <v>5287390.9000000004</v>
      </c>
      <c r="AC56" s="80"/>
      <c r="AD56" s="80"/>
      <c r="AE56" s="122"/>
      <c r="AF56" s="80"/>
      <c r="AG56" s="80">
        <f t="shared" si="4"/>
        <v>5287390.9000000004</v>
      </c>
      <c r="AH56" s="80"/>
      <c r="AI56" s="80"/>
      <c r="AJ56" s="279">
        <v>15</v>
      </c>
      <c r="AK56" s="68">
        <v>15</v>
      </c>
      <c r="AL56" s="68">
        <v>0</v>
      </c>
      <c r="AM56" s="68"/>
      <c r="AN56" s="67">
        <f t="shared" si="0"/>
        <v>0</v>
      </c>
    </row>
    <row r="57" spans="1:65" s="2" customFormat="1">
      <c r="A57" s="25"/>
      <c r="B57" s="29" t="s">
        <v>396</v>
      </c>
      <c r="C57" s="35">
        <v>670601.27240363997</v>
      </c>
      <c r="D57" s="21">
        <v>406327.84266666672</v>
      </c>
      <c r="E57" s="21">
        <v>399969.72933333338</v>
      </c>
      <c r="F57" s="21">
        <v>896274.02533333318</v>
      </c>
      <c r="G57" s="21">
        <v>561076.13600000006</v>
      </c>
      <c r="H57" s="21">
        <v>936161.01466666686</v>
      </c>
      <c r="I57" s="21">
        <v>741541.69200000004</v>
      </c>
      <c r="J57" s="21">
        <v>322317.26</v>
      </c>
      <c r="K57" s="21">
        <v>105927.41200000001</v>
      </c>
      <c r="L57" s="21">
        <v>205939.35200000001</v>
      </c>
      <c r="M57" s="21">
        <v>409809.72000000009</v>
      </c>
      <c r="N57" s="39">
        <v>573522.41200000013</v>
      </c>
      <c r="O57"/>
      <c r="P57" s="73" t="s">
        <v>103</v>
      </c>
      <c r="Q57" s="73"/>
      <c r="R57" s="73"/>
      <c r="S57" s="45"/>
      <c r="T57" s="45"/>
      <c r="U57" s="45"/>
      <c r="V57" s="45"/>
      <c r="W57" s="45"/>
      <c r="Y57" s="1">
        <v>38200</v>
      </c>
      <c r="Z57" s="67">
        <f>GETPIVOTDATA("Sum of # fish2",$A$2,"Month","Aug","Year",2004)</f>
        <v>6998437.666666667</v>
      </c>
      <c r="AA57" s="80">
        <f>GETPIVOTDATA("0.4*(# Caligus/ farm)",$A$2,"Month","Aug","Year",2004)</f>
        <v>225065.84400000004</v>
      </c>
      <c r="AB57" s="80">
        <f>GETPIVOTDATA("Sum of # Female L.salmonis",$A$2,"Month","Aug","Year",2004)</f>
        <v>6533196.2366666673</v>
      </c>
      <c r="AC57" s="80"/>
      <c r="AD57" s="80"/>
      <c r="AE57" s="122"/>
      <c r="AF57" s="80"/>
      <c r="AG57" s="80">
        <f t="shared" si="4"/>
        <v>6533196.2366666673</v>
      </c>
      <c r="AH57" s="80"/>
      <c r="AI57" s="80"/>
      <c r="AJ57" s="279">
        <v>15</v>
      </c>
      <c r="AK57" s="68">
        <v>14</v>
      </c>
      <c r="AL57" s="68">
        <v>1</v>
      </c>
      <c r="AM57" s="68"/>
      <c r="AN57" s="67">
        <f t="shared" si="0"/>
        <v>0</v>
      </c>
    </row>
    <row r="58" spans="1:65">
      <c r="A58" s="60">
        <v>2008</v>
      </c>
      <c r="B58" s="60" t="s">
        <v>57</v>
      </c>
      <c r="C58" s="263">
        <v>15</v>
      </c>
      <c r="D58" s="264">
        <v>14</v>
      </c>
      <c r="E58" s="264">
        <v>14</v>
      </c>
      <c r="F58" s="264">
        <v>14</v>
      </c>
      <c r="G58" s="264">
        <v>15</v>
      </c>
      <c r="H58" s="264">
        <v>14</v>
      </c>
      <c r="I58" s="264">
        <v>13</v>
      </c>
      <c r="J58" s="264">
        <v>15</v>
      </c>
      <c r="K58" s="264">
        <v>15</v>
      </c>
      <c r="L58" s="264">
        <v>17</v>
      </c>
      <c r="M58" s="264">
        <v>18</v>
      </c>
      <c r="N58" s="265">
        <v>18</v>
      </c>
      <c r="P58" s="17" t="s">
        <v>75</v>
      </c>
      <c r="Q58" s="17"/>
      <c r="R58" s="17"/>
      <c r="Y58" s="1">
        <v>38231</v>
      </c>
      <c r="Z58" s="67">
        <f>GETPIVOTDATA("Sum of # fish2",$A$2,"Month","Sep","Year",2004)</f>
        <v>6481213.166666667</v>
      </c>
      <c r="AA58" s="80">
        <f>GETPIVOTDATA("0.4*(# Caligus/ farm)",$A$2,"Month","Sep","Year",2004)</f>
        <v>417661.80433333345</v>
      </c>
      <c r="AB58" s="80">
        <f>GETPIVOTDATA("Sum of # Female L.salmonis",$A$2,"Month","Sep","Year",2004)</f>
        <v>5663828.3441666672</v>
      </c>
      <c r="AC58" s="80"/>
      <c r="AD58" s="80"/>
      <c r="AE58" s="122"/>
      <c r="AF58" s="80"/>
      <c r="AG58" s="80">
        <f t="shared" si="4"/>
        <v>5663828.3441666672</v>
      </c>
      <c r="AH58" s="80"/>
      <c r="AI58" s="80"/>
      <c r="AJ58" s="279">
        <v>14</v>
      </c>
      <c r="AK58" s="68">
        <v>12</v>
      </c>
      <c r="AL58" s="68">
        <v>2</v>
      </c>
      <c r="AM58" s="68"/>
      <c r="AN58" s="67">
        <f t="shared" si="0"/>
        <v>0</v>
      </c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</row>
    <row r="59" spans="1:65">
      <c r="A59" s="62"/>
      <c r="B59" s="63" t="s">
        <v>59</v>
      </c>
      <c r="C59" s="266">
        <v>9091826</v>
      </c>
      <c r="D59" s="110">
        <v>8407728</v>
      </c>
      <c r="E59" s="110">
        <v>8050671</v>
      </c>
      <c r="F59" s="110">
        <v>8354769</v>
      </c>
      <c r="G59" s="110">
        <v>8738048</v>
      </c>
      <c r="H59" s="110">
        <v>8686512</v>
      </c>
      <c r="I59" s="110">
        <v>8128927.6666666698</v>
      </c>
      <c r="J59" s="110">
        <v>8002874</v>
      </c>
      <c r="K59" s="110">
        <v>7689000</v>
      </c>
      <c r="L59" s="110">
        <v>8029592</v>
      </c>
      <c r="M59" s="110">
        <v>9671489</v>
      </c>
      <c r="N59" s="267">
        <v>9007459</v>
      </c>
      <c r="P59" s="17" t="s">
        <v>77</v>
      </c>
      <c r="Q59" s="17"/>
      <c r="R59" s="17"/>
      <c r="Y59" s="1">
        <v>38261</v>
      </c>
      <c r="Z59" s="67">
        <f>GETPIVOTDATA("Sum of # fish2",$A$2,"Month","Oct","Year",2004)</f>
        <v>6012754.666666667</v>
      </c>
      <c r="AA59" s="80">
        <f>GETPIVOTDATA("0.4*(# Caligus/ farm)",$A$2,"Month","Oct","Year",2004)</f>
        <v>648501.81066666672</v>
      </c>
      <c r="AB59" s="80">
        <f>GETPIVOTDATA("Sum of # Female L.salmonis",$A$2,"Month","Oct","Year",2004)</f>
        <v>7234110.1766666658</v>
      </c>
      <c r="AC59" s="80"/>
      <c r="AD59" s="80"/>
      <c r="AE59" s="122"/>
      <c r="AF59" s="80"/>
      <c r="AG59" s="80">
        <f t="shared" si="4"/>
        <v>7234110.1766666658</v>
      </c>
      <c r="AH59" s="80"/>
      <c r="AI59" s="80"/>
      <c r="AJ59" s="279">
        <v>16</v>
      </c>
      <c r="AK59" s="68">
        <v>11</v>
      </c>
      <c r="AL59" s="68">
        <v>5</v>
      </c>
      <c r="AM59" s="68"/>
      <c r="AN59" s="67">
        <f t="shared" si="0"/>
        <v>0</v>
      </c>
    </row>
    <row r="60" spans="1:65">
      <c r="A60" s="62"/>
      <c r="B60" s="268" t="s">
        <v>389</v>
      </c>
      <c r="C60" s="266">
        <v>15</v>
      </c>
      <c r="D60" s="110">
        <v>14</v>
      </c>
      <c r="E60" s="110">
        <v>14</v>
      </c>
      <c r="F60" s="110">
        <v>14</v>
      </c>
      <c r="G60" s="110">
        <v>15</v>
      </c>
      <c r="H60" s="110">
        <v>14</v>
      </c>
      <c r="I60" s="110">
        <v>13</v>
      </c>
      <c r="J60" s="110">
        <v>15</v>
      </c>
      <c r="K60" s="110">
        <v>15</v>
      </c>
      <c r="L60" s="110">
        <v>17</v>
      </c>
      <c r="M60" s="110">
        <v>18</v>
      </c>
      <c r="N60" s="267">
        <v>18</v>
      </c>
      <c r="P60" s="17" t="s">
        <v>78</v>
      </c>
      <c r="Q60" s="17"/>
      <c r="R60" s="17"/>
      <c r="Y60" s="1">
        <v>38292</v>
      </c>
      <c r="Z60" s="67">
        <f>GETPIVOTDATA("Sum of # fish2",$A$2,"Month","Nov","Year",2004)</f>
        <v>7055181.166666667</v>
      </c>
      <c r="AA60" s="80">
        <f>GETPIVOTDATA("0.4*(# Caligus/ farm)",$A$2,"Month","Nov","Year",2004)</f>
        <v>643241.83599999989</v>
      </c>
      <c r="AB60" s="80">
        <f>GETPIVOTDATA("Sum of # Female L.salmonis",$A$2,"Month","Nov","Year",2004)</f>
        <v>9814626.8416666687</v>
      </c>
      <c r="AC60" s="80"/>
      <c r="AD60" s="80"/>
      <c r="AE60" s="122"/>
      <c r="AF60" s="80"/>
      <c r="AG60" s="80">
        <f t="shared" si="4"/>
        <v>9814626.8416666687</v>
      </c>
      <c r="AH60" s="80"/>
      <c r="AI60" s="80"/>
      <c r="AJ60" s="279">
        <v>16</v>
      </c>
      <c r="AK60" s="68">
        <v>13</v>
      </c>
      <c r="AL60" s="53">
        <v>3</v>
      </c>
      <c r="AN60" s="67">
        <f t="shared" si="0"/>
        <v>0</v>
      </c>
    </row>
    <row r="61" spans="1:65">
      <c r="A61" s="62"/>
      <c r="B61" s="268" t="s">
        <v>391</v>
      </c>
      <c r="C61" s="266">
        <v>3240935.7600000002</v>
      </c>
      <c r="D61" s="110">
        <v>1979576.7378640999</v>
      </c>
      <c r="E61" s="110">
        <v>1044197.7799999999</v>
      </c>
      <c r="F61" s="110">
        <v>687060.39000000013</v>
      </c>
      <c r="G61" s="110">
        <v>1065387.3566666667</v>
      </c>
      <c r="H61" s="110">
        <v>255776.09000000003</v>
      </c>
      <c r="I61" s="110">
        <v>392528.27000000014</v>
      </c>
      <c r="J61" s="110">
        <v>619569.72</v>
      </c>
      <c r="K61" s="110">
        <v>1070930</v>
      </c>
      <c r="L61" s="110">
        <v>2260550</v>
      </c>
      <c r="M61" s="110">
        <v>3257350.79</v>
      </c>
      <c r="N61" s="267">
        <v>2776703.06</v>
      </c>
      <c r="P61" s="133" t="s">
        <v>99</v>
      </c>
      <c r="Q61" s="133"/>
      <c r="R61" s="133"/>
      <c r="Y61" s="1">
        <v>38322</v>
      </c>
      <c r="Z61" s="67">
        <f>GETPIVOTDATA("Sum of # fish2",$A$2,"Month","Dec","Year",2004)</f>
        <v>6774366.666666667</v>
      </c>
      <c r="AA61" s="80">
        <f>GETPIVOTDATA("0.4*(# Caligus/ farm)",$A$2,"Month","Dec","Year",2004)</f>
        <v>2648749.5533333337</v>
      </c>
      <c r="AB61" s="80">
        <f>GETPIVOTDATA("Sum of # Female L.salmonis",$A$2,"Month","Dec","Year",2004)</f>
        <v>11387084.806666667</v>
      </c>
      <c r="AC61" s="80"/>
      <c r="AD61" s="80"/>
      <c r="AE61" s="122"/>
      <c r="AF61" s="80"/>
      <c r="AG61" s="80">
        <f t="shared" si="4"/>
        <v>11387084.806666667</v>
      </c>
      <c r="AH61" s="80"/>
      <c r="AI61" s="80"/>
      <c r="AJ61" s="279">
        <v>16</v>
      </c>
      <c r="AK61" s="68">
        <v>12</v>
      </c>
      <c r="AL61" s="53">
        <v>4</v>
      </c>
      <c r="AN61" s="67">
        <f t="shared" si="0"/>
        <v>0</v>
      </c>
    </row>
    <row r="62" spans="1:65">
      <c r="A62" s="62"/>
      <c r="B62" s="268" t="s">
        <v>393</v>
      </c>
      <c r="C62" s="266">
        <v>4</v>
      </c>
      <c r="D62" s="110">
        <v>1</v>
      </c>
      <c r="E62" s="110">
        <v>2</v>
      </c>
      <c r="F62" s="110"/>
      <c r="G62" s="110">
        <v>1</v>
      </c>
      <c r="H62" s="110"/>
      <c r="I62" s="110"/>
      <c r="J62" s="110"/>
      <c r="K62" s="110"/>
      <c r="L62" s="110"/>
      <c r="M62" s="110">
        <v>1</v>
      </c>
      <c r="N62" s="267">
        <v>2</v>
      </c>
      <c r="P62" s="17" t="s">
        <v>79</v>
      </c>
      <c r="Q62" s="17"/>
      <c r="R62" s="17"/>
      <c r="Y62" s="518">
        <v>38353</v>
      </c>
      <c r="Z62" s="67">
        <f>GETPIVOTDATA("Sum of # fish2",$A$2,"Month","Jan","Year",2005)</f>
        <v>7115204</v>
      </c>
      <c r="AA62" s="80">
        <f>GETPIVOTDATA("0.4*(# Caligus/ farm)",$A$2,"Month","Jan","Year",2005)</f>
        <v>3407130.6440000003</v>
      </c>
      <c r="AB62" s="80">
        <f>GETPIVOTDATA("Sum of # Female L.salmonis",$A$2,"Month","Jan","Year",2005)</f>
        <v>12855494.609999999</v>
      </c>
      <c r="AC62" s="80"/>
      <c r="AD62" s="80"/>
      <c r="AE62" s="122"/>
      <c r="AF62" s="80"/>
      <c r="AG62" s="80">
        <f t="shared" si="4"/>
        <v>12855494.609999999</v>
      </c>
      <c r="AH62" s="80"/>
      <c r="AI62" s="80"/>
      <c r="AJ62" s="279">
        <v>17</v>
      </c>
      <c r="AK62" s="68">
        <v>16</v>
      </c>
      <c r="AL62" s="53">
        <v>1</v>
      </c>
      <c r="AN62" s="67">
        <f t="shared" si="0"/>
        <v>0</v>
      </c>
    </row>
    <row r="63" spans="1:65">
      <c r="A63" s="62"/>
      <c r="B63" s="268" t="s">
        <v>396</v>
      </c>
      <c r="C63" s="266">
        <v>992989.51600000018</v>
      </c>
      <c r="D63" s="110">
        <v>428349.46331424004</v>
      </c>
      <c r="E63" s="110">
        <v>313612.13200000004</v>
      </c>
      <c r="F63" s="110">
        <v>405143.02</v>
      </c>
      <c r="G63" s="110">
        <v>406960.49466666672</v>
      </c>
      <c r="H63" s="110">
        <v>344758.48933333339</v>
      </c>
      <c r="I63" s="110">
        <v>177929.584</v>
      </c>
      <c r="J63" s="110">
        <v>124549.92000000001</v>
      </c>
      <c r="K63" s="110">
        <v>191584</v>
      </c>
      <c r="L63" s="110">
        <v>597832</v>
      </c>
      <c r="M63" s="110">
        <v>894658.20799999998</v>
      </c>
      <c r="N63" s="267">
        <v>1387613.8666666667</v>
      </c>
      <c r="P63" s="133" t="s">
        <v>103</v>
      </c>
      <c r="Q63" s="133"/>
      <c r="R63" s="133"/>
      <c r="Y63" s="1">
        <v>38384</v>
      </c>
      <c r="Z63" s="67">
        <f>GETPIVOTDATA("Sum of # fish2",$A$2,"Month","Feb","Year",2005)</f>
        <v>7056518.5</v>
      </c>
      <c r="AA63" s="80">
        <f>GETPIVOTDATA("0.4*(# Caligus/ farm)",$A$2,"Month","Feb","Year",2005)</f>
        <v>1588715.41</v>
      </c>
      <c r="AB63" s="80">
        <f>GETPIVOTDATA("Sum of # Female L.salmonis",$A$2,"Month","Feb","Year",2005)</f>
        <v>9477603.3200000003</v>
      </c>
      <c r="AC63" s="80"/>
      <c r="AD63" s="80"/>
      <c r="AE63" s="122"/>
      <c r="AF63" s="80"/>
      <c r="AG63" s="80">
        <f t="shared" si="4"/>
        <v>9477603.3200000003</v>
      </c>
      <c r="AH63" s="80"/>
      <c r="AI63" s="80"/>
      <c r="AJ63" s="279">
        <v>16</v>
      </c>
      <c r="AK63" s="68">
        <v>14</v>
      </c>
      <c r="AL63" s="53">
        <v>2</v>
      </c>
      <c r="AN63" s="67">
        <f t="shared" si="0"/>
        <v>0</v>
      </c>
    </row>
    <row r="64" spans="1:65">
      <c r="A64" s="22">
        <v>2009</v>
      </c>
      <c r="B64" s="22" t="s">
        <v>57</v>
      </c>
      <c r="C64" s="33">
        <v>16</v>
      </c>
      <c r="D64" s="34">
        <v>17</v>
      </c>
      <c r="E64" s="34">
        <v>16</v>
      </c>
      <c r="F64" s="34">
        <v>14</v>
      </c>
      <c r="G64" s="34">
        <v>14</v>
      </c>
      <c r="H64" s="34">
        <v>15</v>
      </c>
      <c r="I64" s="34">
        <v>16</v>
      </c>
      <c r="J64" s="34">
        <v>15</v>
      </c>
      <c r="K64" s="34">
        <v>14</v>
      </c>
      <c r="L64" s="34">
        <v>15</v>
      </c>
      <c r="M64" s="34">
        <v>16</v>
      </c>
      <c r="N64" s="41">
        <v>15</v>
      </c>
      <c r="P64" s="261" t="s">
        <v>75</v>
      </c>
      <c r="Q64" s="261"/>
      <c r="R64" s="261"/>
      <c r="S64" s="104"/>
      <c r="T64" s="104"/>
      <c r="U64" s="104"/>
      <c r="V64" s="104"/>
      <c r="W64" s="104"/>
      <c r="Y64" s="1">
        <v>38412</v>
      </c>
      <c r="Z64" s="67">
        <f>GETPIVOTDATA("Sum of # fish2",$A$2,"Month","Mar","Year",2005)</f>
        <v>7285092</v>
      </c>
      <c r="AA64" s="80">
        <f>GETPIVOTDATA("0.4*(# Caligus/ farm)",$A$2,"Month","Mar","Year",2005)</f>
        <v>1334964.5920000002</v>
      </c>
      <c r="AB64" s="80">
        <f>GETPIVOTDATA("Sum of # Female L.salmonis",$A$2,"Month","Mar","Year",2005)</f>
        <v>4019714.8800000004</v>
      </c>
      <c r="AC64" s="80"/>
      <c r="AD64" s="80"/>
      <c r="AE64" s="122"/>
      <c r="AF64" s="80"/>
      <c r="AG64" s="539">
        <f t="shared" si="4"/>
        <v>4019714.8800000004</v>
      </c>
      <c r="AH64" s="80"/>
      <c r="AI64" s="80"/>
      <c r="AJ64" s="279">
        <v>16</v>
      </c>
      <c r="AK64" s="68">
        <v>11</v>
      </c>
      <c r="AL64" s="53">
        <v>5</v>
      </c>
      <c r="AN64" s="67">
        <f t="shared" si="0"/>
        <v>0</v>
      </c>
    </row>
    <row r="65" spans="1:40">
      <c r="A65" s="25"/>
      <c r="B65" s="29" t="s">
        <v>59</v>
      </c>
      <c r="C65" s="35">
        <v>8710070</v>
      </c>
      <c r="D65" s="21">
        <v>7527976</v>
      </c>
      <c r="E65" s="21">
        <v>7886678</v>
      </c>
      <c r="F65" s="21">
        <v>7679793</v>
      </c>
      <c r="G65" s="21">
        <v>7654344</v>
      </c>
      <c r="H65" s="21">
        <v>7854787</v>
      </c>
      <c r="I65" s="21">
        <v>7249443.5</v>
      </c>
      <c r="J65" s="21">
        <v>7069885</v>
      </c>
      <c r="K65" s="21">
        <v>6388277.5</v>
      </c>
      <c r="L65" s="21">
        <v>6692139</v>
      </c>
      <c r="M65" s="21">
        <v>6850801</v>
      </c>
      <c r="N65" s="39">
        <v>6649783.5</v>
      </c>
      <c r="P65" s="261" t="s">
        <v>77</v>
      </c>
      <c r="Q65" s="261"/>
      <c r="R65" s="261"/>
      <c r="S65" s="104"/>
      <c r="T65" s="104"/>
      <c r="U65" s="104"/>
      <c r="V65" s="104"/>
      <c r="W65" s="104"/>
      <c r="Y65" s="1">
        <v>38443</v>
      </c>
      <c r="Z65" s="67">
        <f>GETPIVOTDATA("Sum of # fish2",$A$2,"Month","Apr","Year",2005)</f>
        <v>8081256</v>
      </c>
      <c r="AA65" s="80">
        <f>GETPIVOTDATA("0.4*(# Caligus/ farm)",$A$2,"Month","Apr","Year",2005)</f>
        <v>1339560.4600000002</v>
      </c>
      <c r="AB65" s="80">
        <f>GETPIVOTDATA("Sum of # Female L.salmonis",$A$2,"Month","Apr","Year",2005)</f>
        <v>4261532.12</v>
      </c>
      <c r="AC65" s="80"/>
      <c r="AD65" s="80"/>
      <c r="AE65" s="122"/>
      <c r="AF65" s="80"/>
      <c r="AG65" s="80">
        <f t="shared" si="4"/>
        <v>4261532.12</v>
      </c>
      <c r="AH65" s="80"/>
      <c r="AI65" s="80"/>
      <c r="AJ65" s="279">
        <v>18</v>
      </c>
      <c r="AK65" s="68">
        <v>13</v>
      </c>
      <c r="AL65" s="53">
        <v>5</v>
      </c>
      <c r="AN65" s="67">
        <f t="shared" si="0"/>
        <v>0</v>
      </c>
    </row>
    <row r="66" spans="1:40">
      <c r="A66" s="25"/>
      <c r="B66" s="29" t="s">
        <v>389</v>
      </c>
      <c r="C66" s="35">
        <v>16</v>
      </c>
      <c r="D66" s="21">
        <v>17</v>
      </c>
      <c r="E66" s="21">
        <v>16</v>
      </c>
      <c r="F66" s="21">
        <v>14</v>
      </c>
      <c r="G66" s="21">
        <v>14</v>
      </c>
      <c r="H66" s="21">
        <v>15</v>
      </c>
      <c r="I66" s="21">
        <v>15</v>
      </c>
      <c r="J66" s="21">
        <v>14</v>
      </c>
      <c r="K66" s="21">
        <v>14</v>
      </c>
      <c r="L66" s="21">
        <v>15</v>
      </c>
      <c r="M66" s="21">
        <v>16</v>
      </c>
      <c r="N66" s="39">
        <v>15</v>
      </c>
      <c r="P66" s="261" t="s">
        <v>78</v>
      </c>
      <c r="Q66" s="261"/>
      <c r="R66" s="261"/>
      <c r="S66" s="104"/>
      <c r="T66" s="104"/>
      <c r="U66" s="104"/>
      <c r="V66" s="104"/>
      <c r="W66" s="104"/>
      <c r="Y66" s="1">
        <v>38473</v>
      </c>
      <c r="Z66" s="67">
        <f>GETPIVOTDATA("Sum of # fish2",$A$2,"Month","May","Year",2005)</f>
        <v>7945966</v>
      </c>
      <c r="AA66" s="80">
        <f>GETPIVOTDATA("0.4*(# Caligus/ farm)",$A$2,"Month","May","Year",2005)</f>
        <v>1354257.7600000002</v>
      </c>
      <c r="AB66" s="80">
        <f>GETPIVOTDATA("Sum of # Female L.salmonis",$A$2,"Month","May","Year",2005)</f>
        <v>5584506.9500000002</v>
      </c>
      <c r="AC66" s="80"/>
      <c r="AD66" s="80"/>
      <c r="AE66" s="122"/>
      <c r="AF66" s="80"/>
      <c r="AG66" s="80">
        <f t="shared" si="4"/>
        <v>5584506.9500000002</v>
      </c>
      <c r="AH66" s="80"/>
      <c r="AI66" s="80"/>
      <c r="AJ66" s="279">
        <v>17</v>
      </c>
      <c r="AK66" s="68">
        <v>14</v>
      </c>
      <c r="AL66" s="53">
        <v>3</v>
      </c>
      <c r="AN66" s="67">
        <f t="shared" si="0"/>
        <v>0</v>
      </c>
    </row>
    <row r="67" spans="1:40">
      <c r="A67" s="25"/>
      <c r="B67" s="29" t="s">
        <v>391</v>
      </c>
      <c r="C67" s="35">
        <v>2643099.6216666666</v>
      </c>
      <c r="D67" s="21">
        <v>1345063.4305323332</v>
      </c>
      <c r="E67" s="21">
        <v>609381.82499999995</v>
      </c>
      <c r="F67" s="21">
        <v>164499.79499999998</v>
      </c>
      <c r="G67" s="21">
        <v>203466.09980620001</v>
      </c>
      <c r="H67" s="21">
        <v>282099.40999999997</v>
      </c>
      <c r="I67" s="21">
        <v>249311.48666666663</v>
      </c>
      <c r="J67" s="21">
        <v>456682.11904761905</v>
      </c>
      <c r="K67" s="21">
        <v>2384425.875</v>
      </c>
      <c r="L67" s="21">
        <v>6682651.8500000006</v>
      </c>
      <c r="M67" s="21">
        <v>7460789.2750000004</v>
      </c>
      <c r="N67" s="39">
        <v>4756834.6949999994</v>
      </c>
      <c r="P67" s="262" t="s">
        <v>99</v>
      </c>
      <c r="Q67" s="262"/>
      <c r="R67" s="262"/>
      <c r="S67" s="104"/>
      <c r="T67" s="104"/>
      <c r="U67" s="104"/>
      <c r="V67" s="104"/>
      <c r="W67" s="104"/>
      <c r="Y67" s="1">
        <v>38504</v>
      </c>
      <c r="Z67" s="67">
        <f>GETPIVOTDATA("Sum of # fish2",$A$2,"Month","Jun","Year",2005)</f>
        <v>7788166</v>
      </c>
      <c r="AA67" s="80">
        <f>GETPIVOTDATA("0.4*(# Caligus/ farm)",$A$2,"Month","Jun","Year",2005)</f>
        <v>990761.88400000008</v>
      </c>
      <c r="AB67" s="80">
        <f>GETPIVOTDATA("Sum of # Female L.salmonis",$A$2,"Month","Jun","Year",2005)</f>
        <v>4787828.3899999997</v>
      </c>
      <c r="AC67" s="80"/>
      <c r="AD67" s="80"/>
      <c r="AE67" s="122"/>
      <c r="AF67" s="80"/>
      <c r="AG67" s="80">
        <f t="shared" si="4"/>
        <v>4787828.3899999997</v>
      </c>
      <c r="AH67" s="80"/>
      <c r="AI67" s="80"/>
      <c r="AJ67" s="279">
        <v>15</v>
      </c>
      <c r="AK67" s="68">
        <v>13</v>
      </c>
      <c r="AL67" s="53">
        <v>2</v>
      </c>
      <c r="AN67" s="67">
        <f t="shared" si="0"/>
        <v>0</v>
      </c>
    </row>
    <row r="68" spans="1:40">
      <c r="A68" s="25"/>
      <c r="B68" s="29" t="s">
        <v>393</v>
      </c>
      <c r="C68" s="35">
        <v>4</v>
      </c>
      <c r="D68" s="21">
        <v>4</v>
      </c>
      <c r="E68" s="21"/>
      <c r="F68" s="21">
        <v>1</v>
      </c>
      <c r="G68" s="21"/>
      <c r="H68" s="21"/>
      <c r="I68" s="21"/>
      <c r="J68" s="21"/>
      <c r="K68" s="21"/>
      <c r="L68" s="21"/>
      <c r="M68" s="21">
        <v>5</v>
      </c>
      <c r="N68" s="39">
        <v>3</v>
      </c>
      <c r="P68" s="261" t="s">
        <v>79</v>
      </c>
      <c r="Q68" s="261"/>
      <c r="R68" s="261"/>
      <c r="S68" s="104"/>
      <c r="T68" s="104"/>
      <c r="U68" s="104"/>
      <c r="V68" s="104"/>
      <c r="W68" s="104"/>
      <c r="Y68" s="1">
        <v>38534</v>
      </c>
      <c r="Z68" s="67">
        <f>GETPIVOTDATA("Sum of # fish2",$A$2,"Month","Jul","Year",2005)</f>
        <v>7724650</v>
      </c>
      <c r="AA68" s="80">
        <f>GETPIVOTDATA("0.4*(# Caligus/ farm)",$A$2,"Month","Jul","Year",2005)</f>
        <v>555276.20799999998</v>
      </c>
      <c r="AB68" s="80">
        <f>GETPIVOTDATA("Sum of # Female L.salmonis",$A$2,"Month","Jul","Year",2005)</f>
        <v>3839359.7900000005</v>
      </c>
      <c r="AC68" s="80"/>
      <c r="AD68" s="80"/>
      <c r="AE68" s="122"/>
      <c r="AF68" s="80"/>
      <c r="AG68" s="80">
        <f t="shared" si="4"/>
        <v>3839359.7900000005</v>
      </c>
      <c r="AH68" s="80"/>
      <c r="AI68" s="80"/>
      <c r="AJ68" s="279">
        <v>15</v>
      </c>
      <c r="AK68" s="68">
        <v>14</v>
      </c>
      <c r="AL68" s="53">
        <v>1</v>
      </c>
      <c r="AN68" s="67">
        <f t="shared" si="0"/>
        <v>0</v>
      </c>
    </row>
    <row r="69" spans="1:40">
      <c r="A69" s="25"/>
      <c r="B69" s="29" t="s">
        <v>396</v>
      </c>
      <c r="C69" s="35">
        <v>981485.1673333334</v>
      </c>
      <c r="D69" s="21">
        <v>970593.66029418656</v>
      </c>
      <c r="E69" s="21">
        <v>674655.00133333332</v>
      </c>
      <c r="F69" s="21">
        <v>241267.19200000001</v>
      </c>
      <c r="G69" s="21">
        <v>731167.37342776009</v>
      </c>
      <c r="H69" s="21">
        <v>827031.57199999993</v>
      </c>
      <c r="I69" s="21">
        <v>601895.40433333348</v>
      </c>
      <c r="J69" s="21">
        <v>274430.73133333336</v>
      </c>
      <c r="K69" s="21">
        <v>241438.70333333328</v>
      </c>
      <c r="L69" s="21">
        <v>347087.24099999998</v>
      </c>
      <c r="M69" s="21">
        <v>1793663.5872000002</v>
      </c>
      <c r="N69" s="39">
        <v>823914.09533333336</v>
      </c>
      <c r="P69" s="262" t="s">
        <v>103</v>
      </c>
      <c r="Q69" s="262"/>
      <c r="R69" s="262"/>
      <c r="S69" s="104"/>
      <c r="T69" s="104"/>
      <c r="U69" s="104"/>
      <c r="V69" s="104"/>
      <c r="W69" s="104"/>
      <c r="Y69" s="1">
        <v>38565</v>
      </c>
      <c r="Z69" s="67">
        <f>GETPIVOTDATA("Sum of # fish2",$A$2,"Month","Aug","Year",2005)</f>
        <v>7466011.5666666664</v>
      </c>
      <c r="AA69" s="80">
        <f>GETPIVOTDATA("0.4*(# Caligus/ farm)",$A$2,"Month","Aug","Year",2005)</f>
        <v>440214.408</v>
      </c>
      <c r="AB69" s="80">
        <f>GETPIVOTDATA("Sum of # Female L.salmonis",$A$2,"Month","Aug","Year",2005)</f>
        <v>3265018.3603333333</v>
      </c>
      <c r="AC69" s="80"/>
      <c r="AD69" s="80"/>
      <c r="AE69" s="122"/>
      <c r="AF69" s="80"/>
      <c r="AG69" s="80">
        <f t="shared" si="4"/>
        <v>3265018.3603333333</v>
      </c>
      <c r="AH69" s="80"/>
      <c r="AI69" s="80"/>
      <c r="AJ69" s="279">
        <v>15</v>
      </c>
      <c r="AK69" s="68">
        <v>12</v>
      </c>
      <c r="AL69" s="53">
        <v>3</v>
      </c>
      <c r="AN69" s="67">
        <f t="shared" ref="AN69:AN121" si="5">AJ69-AK69-AL69</f>
        <v>0</v>
      </c>
    </row>
    <row r="70" spans="1:40">
      <c r="A70" s="22" t="s">
        <v>58</v>
      </c>
      <c r="B70" s="23"/>
      <c r="C70" s="33">
        <v>150</v>
      </c>
      <c r="D70" s="34">
        <v>153</v>
      </c>
      <c r="E70" s="34">
        <v>157</v>
      </c>
      <c r="F70" s="34">
        <v>157</v>
      </c>
      <c r="G70" s="34">
        <v>154</v>
      </c>
      <c r="H70" s="34">
        <v>147</v>
      </c>
      <c r="I70" s="34">
        <v>146</v>
      </c>
      <c r="J70" s="34">
        <v>146</v>
      </c>
      <c r="K70" s="34">
        <v>148</v>
      </c>
      <c r="L70" s="34">
        <v>146</v>
      </c>
      <c r="M70" s="34">
        <v>152</v>
      </c>
      <c r="N70" s="41">
        <v>160</v>
      </c>
      <c r="Y70" s="1">
        <v>38596</v>
      </c>
      <c r="Z70" s="67">
        <f>GETPIVOTDATA("Sum of # fish2",$A$2,"Month","Sep","Year",2005)</f>
        <v>7232483.7666666675</v>
      </c>
      <c r="AA70" s="80">
        <f>GETPIVOTDATA("0.4*(# Caligus/ farm)",$A$2,"Month","Sep","Year",2005)</f>
        <v>662503.39786666667</v>
      </c>
      <c r="AB70" s="80">
        <f>GETPIVOTDATA("Sum of # Female L.salmonis",$A$2,"Month","Sep","Year",2005)</f>
        <v>11693330.765333334</v>
      </c>
      <c r="AC70" s="80"/>
      <c r="AD70" s="80"/>
      <c r="AE70" s="122"/>
      <c r="AF70" s="80"/>
      <c r="AG70" s="80">
        <f t="shared" si="4"/>
        <v>11693330.765333334</v>
      </c>
      <c r="AH70" s="80"/>
      <c r="AI70" s="80"/>
      <c r="AJ70" s="279">
        <v>16</v>
      </c>
      <c r="AK70" s="68">
        <v>13</v>
      </c>
      <c r="AL70" s="53">
        <v>3</v>
      </c>
      <c r="AN70" s="67">
        <f t="shared" si="5"/>
        <v>0</v>
      </c>
    </row>
    <row r="71" spans="1:40">
      <c r="A71" s="22" t="s">
        <v>60</v>
      </c>
      <c r="B71" s="23"/>
      <c r="C71" s="33">
        <v>70013064.566666663</v>
      </c>
      <c r="D71" s="34">
        <v>70304384.599999994</v>
      </c>
      <c r="E71" s="34">
        <v>70769604</v>
      </c>
      <c r="F71" s="34">
        <v>77578712</v>
      </c>
      <c r="G71" s="34">
        <v>78854824</v>
      </c>
      <c r="H71" s="34">
        <v>75713290</v>
      </c>
      <c r="I71" s="34">
        <v>73287092.666666672</v>
      </c>
      <c r="J71" s="34">
        <v>69772178.233333334</v>
      </c>
      <c r="K71" s="34">
        <v>65557743.057142861</v>
      </c>
      <c r="L71" s="34">
        <v>64259713.071428575</v>
      </c>
      <c r="M71" s="34">
        <v>69980913.085714281</v>
      </c>
      <c r="N71" s="41">
        <v>72173321.599999994</v>
      </c>
      <c r="Y71" s="1">
        <v>38626</v>
      </c>
      <c r="Z71" s="67">
        <f>GETPIVOTDATA("Sum of # fish2",$A$2,"Month","Oct","Year",2005)</f>
        <v>6464195.9666666668</v>
      </c>
      <c r="AA71" s="80">
        <f>GETPIVOTDATA("0.4*(# Caligus/ farm)",$A$2,"Month","Oct","Year",2005)</f>
        <v>1917804.2836</v>
      </c>
      <c r="AB71" s="80">
        <f>GETPIVOTDATA("Sum of # Female L.salmonis",$A$2,"Month","Oct","Year",2005)</f>
        <v>14397434.524333334</v>
      </c>
      <c r="AC71" s="80"/>
      <c r="AD71" s="80"/>
      <c r="AE71" s="122"/>
      <c r="AF71" s="80"/>
      <c r="AG71" s="80">
        <f t="shared" si="4"/>
        <v>14397434.524333334</v>
      </c>
      <c r="AH71" s="80"/>
      <c r="AI71" s="80"/>
      <c r="AJ71" s="279">
        <v>15</v>
      </c>
      <c r="AK71" s="68">
        <v>11</v>
      </c>
      <c r="AL71" s="53">
        <v>4</v>
      </c>
      <c r="AN71" s="67">
        <f t="shared" si="5"/>
        <v>0</v>
      </c>
    </row>
    <row r="72" spans="1:40">
      <c r="A72" s="22" t="s">
        <v>390</v>
      </c>
      <c r="B72" s="23"/>
      <c r="C72" s="33">
        <v>117</v>
      </c>
      <c r="D72" s="34">
        <v>117</v>
      </c>
      <c r="E72" s="34">
        <v>119</v>
      </c>
      <c r="F72" s="34">
        <v>123</v>
      </c>
      <c r="G72" s="34">
        <v>122</v>
      </c>
      <c r="H72" s="34">
        <v>117</v>
      </c>
      <c r="I72" s="34">
        <v>118</v>
      </c>
      <c r="J72" s="34">
        <v>117</v>
      </c>
      <c r="K72" s="34">
        <v>117</v>
      </c>
      <c r="L72" s="34">
        <v>114</v>
      </c>
      <c r="M72" s="34">
        <v>120</v>
      </c>
      <c r="N72" s="41">
        <v>128</v>
      </c>
      <c r="Y72" s="1">
        <v>38657</v>
      </c>
      <c r="Z72" s="67">
        <f>GETPIVOTDATA("Sum of # fish2",$A$2,"Month","Nov","Year",2005)</f>
        <v>6202676.166666667</v>
      </c>
      <c r="AA72" s="80">
        <f>GETPIVOTDATA("0.4*(# Caligus/ farm)",$A$2,"Month","Nov","Year",2005)</f>
        <v>1362779.5133333334</v>
      </c>
      <c r="AB72" s="80">
        <f>GETPIVOTDATA("Sum of # Female L.salmonis",$A$2,"Month","Nov","Year",2005)</f>
        <v>13008241.190000003</v>
      </c>
      <c r="AC72" s="80"/>
      <c r="AD72" s="80"/>
      <c r="AE72" s="122"/>
      <c r="AF72" s="80"/>
      <c r="AG72" s="80">
        <f t="shared" si="4"/>
        <v>13008241.190000003</v>
      </c>
      <c r="AH72" s="80"/>
      <c r="AI72" s="80"/>
      <c r="AJ72" s="279">
        <v>14</v>
      </c>
      <c r="AK72" s="68">
        <v>13</v>
      </c>
      <c r="AL72" s="53">
        <v>1</v>
      </c>
      <c r="AN72" s="67">
        <f t="shared" si="5"/>
        <v>0</v>
      </c>
    </row>
    <row r="73" spans="1:40">
      <c r="A73" s="22" t="s">
        <v>392</v>
      </c>
      <c r="B73" s="23"/>
      <c r="C73" s="33">
        <v>64729570.204400159</v>
      </c>
      <c r="D73" s="34">
        <v>51874196.672034882</v>
      </c>
      <c r="E73" s="34">
        <v>37156405.759666666</v>
      </c>
      <c r="F73" s="34">
        <v>41925828.94833333</v>
      </c>
      <c r="G73" s="34">
        <v>63192894.599306174</v>
      </c>
      <c r="H73" s="34">
        <v>50175090.792525269</v>
      </c>
      <c r="I73" s="34">
        <v>40832893.897499986</v>
      </c>
      <c r="J73" s="34">
        <v>28442159.199871317</v>
      </c>
      <c r="K73" s="34">
        <v>39990328.880214304</v>
      </c>
      <c r="L73" s="34">
        <v>58626414.200829588</v>
      </c>
      <c r="M73" s="34">
        <v>69512793.366677925</v>
      </c>
      <c r="N73" s="41">
        <v>78021552.913629636</v>
      </c>
      <c r="Y73" s="518">
        <v>38687</v>
      </c>
      <c r="Z73" s="67">
        <f>GETPIVOTDATA("Sum of # fish2",$A$2,"Month","Dec","Year",2005)</f>
        <v>7615074.3666666672</v>
      </c>
      <c r="AA73" s="80">
        <f>GETPIVOTDATA("0.4*(# Caligus/ farm)",$A$2,"Month","Dec","Year",2005)</f>
        <v>1617680.1710666667</v>
      </c>
      <c r="AB73" s="80">
        <f>GETPIVOTDATA("Sum of # Female L.salmonis",$A$2,"Month","Dec","Year",2005)</f>
        <v>19400530.884</v>
      </c>
      <c r="AC73" s="80"/>
      <c r="AD73" s="80"/>
      <c r="AE73" s="122"/>
      <c r="AF73" s="80"/>
      <c r="AG73" s="80">
        <f t="shared" si="4"/>
        <v>19400530.884</v>
      </c>
      <c r="AH73" s="80"/>
      <c r="AI73" s="80"/>
      <c r="AJ73" s="279">
        <v>16</v>
      </c>
      <c r="AK73" s="68">
        <v>12</v>
      </c>
      <c r="AL73" s="53">
        <v>4</v>
      </c>
      <c r="AN73" s="67">
        <f t="shared" si="5"/>
        <v>0</v>
      </c>
    </row>
    <row r="74" spans="1:40">
      <c r="A74" s="22" t="s">
        <v>394</v>
      </c>
      <c r="B74" s="23"/>
      <c r="C74" s="33">
        <v>25</v>
      </c>
      <c r="D74" s="34">
        <v>16</v>
      </c>
      <c r="E74" s="34">
        <v>10</v>
      </c>
      <c r="F74" s="34">
        <v>7</v>
      </c>
      <c r="G74" s="34">
        <v>17</v>
      </c>
      <c r="H74" s="34">
        <v>7</v>
      </c>
      <c r="I74" s="34">
        <v>3</v>
      </c>
      <c r="J74" s="34">
        <v>2</v>
      </c>
      <c r="K74" s="34"/>
      <c r="L74" s="34">
        <v>2</v>
      </c>
      <c r="M74" s="34">
        <v>11</v>
      </c>
      <c r="N74" s="41">
        <v>11</v>
      </c>
      <c r="Y74" s="1">
        <v>38718</v>
      </c>
      <c r="Z74" s="67">
        <f>GETPIVOTDATA("Sum of # fish2",$A$2,"Month","Jan","Year",2006)</f>
        <v>8169320.5666666664</v>
      </c>
      <c r="AA74" s="80">
        <f>GETPIVOTDATA("0.4*(# Caligus/ farm)",$A$2,"Month","Jan","Year",2006)</f>
        <v>1132089.7861333333</v>
      </c>
      <c r="AB74" s="80">
        <f>GETPIVOTDATA("Sum of # Female L.salmonis",$A$2,"Month","Jan","Year",2006)</f>
        <v>10756920.745000001</v>
      </c>
      <c r="AC74" s="80"/>
      <c r="AD74" s="80"/>
      <c r="AE74" s="122"/>
      <c r="AF74" s="80"/>
      <c r="AG74" s="80">
        <f t="shared" si="4"/>
        <v>10756920.745000001</v>
      </c>
      <c r="AH74" s="80"/>
      <c r="AI74" s="80"/>
      <c r="AJ74" s="279">
        <v>16</v>
      </c>
      <c r="AK74" s="68">
        <v>14</v>
      </c>
      <c r="AL74" s="53">
        <v>2</v>
      </c>
      <c r="AN74" s="67">
        <f t="shared" si="5"/>
        <v>0</v>
      </c>
    </row>
    <row r="75" spans="1:40">
      <c r="A75" s="30" t="s">
        <v>397</v>
      </c>
      <c r="B75" s="32"/>
      <c r="C75" s="36">
        <v>11003099.249870308</v>
      </c>
      <c r="D75" s="37">
        <v>6513254.0711017596</v>
      </c>
      <c r="E75" s="37">
        <v>7592621.4046666613</v>
      </c>
      <c r="F75" s="37">
        <v>9313276.0819999985</v>
      </c>
      <c r="G75" s="37">
        <v>12084032.612094425</v>
      </c>
      <c r="H75" s="37">
        <v>9311615.2989898957</v>
      </c>
      <c r="I75" s="37">
        <v>6186382.9213333316</v>
      </c>
      <c r="J75" s="37">
        <v>5635683.3868788928</v>
      </c>
      <c r="K75" s="37">
        <v>5004952.594485715</v>
      </c>
      <c r="L75" s="37">
        <v>7867448.3916456141</v>
      </c>
      <c r="M75" s="37">
        <v>10941310.463669216</v>
      </c>
      <c r="N75" s="40">
        <v>12979401.347614825</v>
      </c>
      <c r="Y75" s="1">
        <v>38749</v>
      </c>
      <c r="Z75" s="67">
        <f>GETPIVOTDATA("Sum of # fish2",$A$2,"Month","Feb","Year",2006)</f>
        <v>8152547.0999999996</v>
      </c>
      <c r="AA75" s="80">
        <f>GETPIVOTDATA("0.4*(# Caligus/ farm)",$A$2,"Month","Feb","Year",2006)</f>
        <v>652910.73399999994</v>
      </c>
      <c r="AB75" s="80">
        <f>GETPIVOTDATA("Sum of # Female L.salmonis",$A$2,"Month","Feb","Year",2006)</f>
        <v>12242287.097000001</v>
      </c>
      <c r="AC75" s="80"/>
      <c r="AD75" s="80"/>
      <c r="AE75" s="122"/>
      <c r="AF75" s="80"/>
      <c r="AG75" s="80">
        <f t="shared" si="4"/>
        <v>12242287.097000001</v>
      </c>
      <c r="AH75" s="80"/>
      <c r="AI75" s="80"/>
      <c r="AJ75" s="279">
        <v>15</v>
      </c>
      <c r="AK75" s="68">
        <v>13</v>
      </c>
      <c r="AL75" s="53">
        <v>2</v>
      </c>
      <c r="AN75" s="67">
        <f t="shared" si="5"/>
        <v>0</v>
      </c>
    </row>
    <row r="76" spans="1:40">
      <c r="Y76" s="1">
        <v>38777</v>
      </c>
      <c r="Z76" s="67">
        <f>GETPIVOTDATA("Sum of # fish2",$A$2,"Month","Mar","Year",2006)</f>
        <v>8028610</v>
      </c>
      <c r="AA76" s="80">
        <f>GETPIVOTDATA("0.4*(# Caligus/ farm)",$A$2,"Month","Mar","Year",2006)</f>
        <v>559602.66400000011</v>
      </c>
      <c r="AB76" s="80">
        <f>GETPIVOTDATA("Sum of # Female L.salmonis",$A$2,"Month","Mar","Year",2006)</f>
        <v>4490380.3600000013</v>
      </c>
      <c r="AC76" s="80"/>
      <c r="AD76" s="80"/>
      <c r="AE76" s="122"/>
      <c r="AF76" s="80"/>
      <c r="AG76" s="539">
        <f t="shared" si="4"/>
        <v>4490380.3600000013</v>
      </c>
      <c r="AH76" s="80"/>
      <c r="AI76" s="80"/>
      <c r="AJ76" s="279">
        <v>16</v>
      </c>
      <c r="AK76" s="68">
        <v>15</v>
      </c>
      <c r="AL76" s="53">
        <v>1</v>
      </c>
      <c r="AN76" s="67">
        <f t="shared" si="5"/>
        <v>0</v>
      </c>
    </row>
    <row r="77" spans="1:40">
      <c r="Y77" s="1">
        <v>38808</v>
      </c>
      <c r="Z77" s="67">
        <f>GETPIVOTDATA("Sum of # fish2",$A$2,"Month","Apr","Year",2006)</f>
        <v>8443100</v>
      </c>
      <c r="AA77" s="80">
        <f>GETPIVOTDATA("0.4*(# Caligus/ farm)",$A$2,"Month","Apr","Year",2006)</f>
        <v>466674.69999999995</v>
      </c>
      <c r="AB77" s="80">
        <f>GETPIVOTDATA("Sum of # Female L.salmonis",$A$2,"Month","Apr","Year",2006)</f>
        <v>1095941.2899999998</v>
      </c>
      <c r="AC77" s="80"/>
      <c r="AD77" s="80"/>
      <c r="AE77" s="122"/>
      <c r="AF77" s="80"/>
      <c r="AG77" s="80">
        <f t="shared" si="4"/>
        <v>1095941.2899999998</v>
      </c>
      <c r="AH77" s="80"/>
      <c r="AI77" s="80"/>
      <c r="AJ77" s="279">
        <v>15</v>
      </c>
      <c r="AK77" s="68">
        <v>14</v>
      </c>
      <c r="AL77" s="53">
        <v>1</v>
      </c>
      <c r="AN77" s="67">
        <f t="shared" si="5"/>
        <v>0</v>
      </c>
    </row>
    <row r="78" spans="1:40">
      <c r="Y78" s="1">
        <v>38838</v>
      </c>
      <c r="Z78" s="67">
        <f>GETPIVOTDATA("Sum of # fish2",$A$2,"Month","May","Year",2006)</f>
        <v>8207003</v>
      </c>
      <c r="AA78" s="80">
        <f>GETPIVOTDATA("0.4*(# Caligus/ farm)",$A$2,"Month","May","Year",2006)</f>
        <v>686560.58</v>
      </c>
      <c r="AB78" s="80">
        <f>GETPIVOTDATA("Sum of # Female L.salmonis",$A$2,"Month","May","Year",2006)</f>
        <v>2178553.17</v>
      </c>
      <c r="AC78" s="80"/>
      <c r="AD78" s="80"/>
      <c r="AE78" s="122"/>
      <c r="AF78" s="80"/>
      <c r="AG78" s="80">
        <f t="shared" si="4"/>
        <v>2178553.17</v>
      </c>
      <c r="AH78" s="80"/>
      <c r="AI78" s="80"/>
      <c r="AJ78" s="279">
        <v>15</v>
      </c>
      <c r="AK78" s="68">
        <v>13</v>
      </c>
      <c r="AL78" s="53">
        <v>2</v>
      </c>
      <c r="AN78" s="67">
        <f t="shared" si="5"/>
        <v>0</v>
      </c>
    </row>
    <row r="79" spans="1:40">
      <c r="A79" t="s">
        <v>398</v>
      </c>
      <c r="Y79" s="1">
        <v>38869</v>
      </c>
      <c r="Z79" s="67">
        <f>GETPIVOTDATA("Sum of # fish2",$A$2,"Month","Jun","Year",2006)</f>
        <v>6845594</v>
      </c>
      <c r="AA79" s="80">
        <f>GETPIVOTDATA("0.4*(# Caligus/ farm)",$A$2,"Month","Jun","Year",2006)</f>
        <v>121485.66000000002</v>
      </c>
      <c r="AB79" s="80">
        <f>GETPIVOTDATA("Sum of # Female L.salmonis",$A$2,"Month","Jun","Year",2006)</f>
        <v>1146587.6000000001</v>
      </c>
      <c r="AC79" s="80"/>
      <c r="AD79" s="80"/>
      <c r="AE79" s="122"/>
      <c r="AF79" s="80"/>
      <c r="AG79" s="80">
        <f t="shared" si="4"/>
        <v>1146587.6000000001</v>
      </c>
      <c r="AH79" s="80"/>
      <c r="AI79" s="80"/>
      <c r="AJ79" s="279">
        <v>13</v>
      </c>
      <c r="AK79" s="68">
        <v>10</v>
      </c>
      <c r="AL79" s="53">
        <v>3</v>
      </c>
      <c r="AN79" s="67">
        <f t="shared" si="5"/>
        <v>0</v>
      </c>
    </row>
    <row r="80" spans="1:40">
      <c r="Y80" s="1">
        <v>38899</v>
      </c>
      <c r="Z80" s="67">
        <f>GETPIVOTDATA("Sum of # fish2",$A$2,"Month","Jul","Year",2006)</f>
        <v>6571258</v>
      </c>
      <c r="AA80" s="80">
        <f>GETPIVOTDATA("0.4*(# Caligus/ farm)",$A$2,"Month","Jul","Year",2006)</f>
        <v>451301.99599999998</v>
      </c>
      <c r="AB80" s="80">
        <f>GETPIVOTDATA("Sum of # Female L.salmonis",$A$2,"Month","Jul","Year",2006)</f>
        <v>929823.09000000008</v>
      </c>
      <c r="AC80" s="80"/>
      <c r="AD80" s="80"/>
      <c r="AE80" s="122"/>
      <c r="AF80" s="80"/>
      <c r="AG80" s="80">
        <f t="shared" si="4"/>
        <v>929823.09000000008</v>
      </c>
      <c r="AH80" s="80"/>
      <c r="AI80" s="80"/>
      <c r="AJ80" s="279">
        <v>13</v>
      </c>
      <c r="AK80" s="68">
        <v>12</v>
      </c>
      <c r="AL80" s="53">
        <v>1</v>
      </c>
      <c r="AN80" s="67">
        <f t="shared" si="5"/>
        <v>0</v>
      </c>
    </row>
    <row r="81" spans="1:40">
      <c r="D81" s="58" t="s">
        <v>107</v>
      </c>
      <c r="E81" s="57"/>
      <c r="F81" s="58" t="s">
        <v>107</v>
      </c>
      <c r="G81" s="57"/>
      <c r="H81" s="58" t="s">
        <v>107</v>
      </c>
      <c r="I81" s="57"/>
      <c r="J81" s="58" t="s">
        <v>107</v>
      </c>
      <c r="K81" s="57"/>
      <c r="L81" s="58" t="s">
        <v>107</v>
      </c>
      <c r="M81" s="57"/>
      <c r="N81" s="58" t="s">
        <v>107</v>
      </c>
      <c r="Y81" s="1">
        <v>38930</v>
      </c>
      <c r="Z81" s="67">
        <f>GETPIVOTDATA("Sum of # fish2",$A$2,"Month","Aug","Year",2006)</f>
        <v>6073312</v>
      </c>
      <c r="AA81" s="80">
        <f>GETPIVOTDATA("0.4*(# Caligus/ farm)",$A$2,"Month","Aug","Year",2006)</f>
        <v>461063.73154556006</v>
      </c>
      <c r="AB81" s="80">
        <f>GETPIVOTDATA("Sum of # Female L.salmonis",$A$2,"Month","Aug","Year",2006)</f>
        <v>1498006.9338237001</v>
      </c>
      <c r="AC81" s="80"/>
      <c r="AD81" s="80"/>
      <c r="AE81" s="122"/>
      <c r="AF81" s="80"/>
      <c r="AG81" s="80">
        <f t="shared" si="4"/>
        <v>1498006.9338237001</v>
      </c>
      <c r="AH81" s="80"/>
      <c r="AI81" s="80"/>
      <c r="AJ81" s="279">
        <v>14</v>
      </c>
      <c r="AK81" s="68">
        <v>11</v>
      </c>
      <c r="AL81" s="53">
        <v>3</v>
      </c>
      <c r="AN81" s="67">
        <f t="shared" si="5"/>
        <v>0</v>
      </c>
    </row>
    <row r="82" spans="1:40">
      <c r="C82" s="50" t="s">
        <v>129</v>
      </c>
      <c r="D82" s="18"/>
      <c r="E82" s="50" t="s">
        <v>130</v>
      </c>
      <c r="F82" s="18"/>
      <c r="G82" s="50" t="s">
        <v>66</v>
      </c>
      <c r="H82" s="18"/>
      <c r="I82" s="50" t="s">
        <v>131</v>
      </c>
      <c r="J82" s="18"/>
      <c r="K82" s="50" t="s">
        <v>132</v>
      </c>
      <c r="L82" s="18"/>
      <c r="M82" s="18" t="s">
        <v>133</v>
      </c>
      <c r="N82" s="18"/>
      <c r="Y82" s="1">
        <v>38961</v>
      </c>
      <c r="Z82" s="67">
        <f>GETPIVOTDATA("Sum of # fish2",$A$2,"Month","Sep","Year",2006)</f>
        <v>5661657</v>
      </c>
      <c r="AA82" s="80">
        <f>GETPIVOTDATA("0.4*(# Caligus/ farm)",$A$2,"Month","Sep","Year",2006)</f>
        <v>1069591.548</v>
      </c>
      <c r="AB82" s="80">
        <f>GETPIVOTDATA("Sum of # Female L.salmonis",$A$2,"Month","Sep","Year",2006)</f>
        <v>2135421.38</v>
      </c>
      <c r="AC82" s="80"/>
      <c r="AD82" s="80"/>
      <c r="AE82" s="122"/>
      <c r="AF82" s="80"/>
      <c r="AG82" s="80">
        <f t="shared" ref="AG82:AG121" si="6">AB82+AF82</f>
        <v>2135421.38</v>
      </c>
      <c r="AH82" s="80"/>
      <c r="AI82" s="80"/>
      <c r="AJ82" s="279">
        <v>16</v>
      </c>
      <c r="AK82" s="68">
        <v>10</v>
      </c>
      <c r="AL82" s="53">
        <v>6</v>
      </c>
      <c r="AN82" s="67">
        <f t="shared" si="5"/>
        <v>0</v>
      </c>
    </row>
    <row r="83" spans="1:40">
      <c r="C83" s="13">
        <v>3951350.8000000003</v>
      </c>
      <c r="E83" s="13">
        <v>3602071</v>
      </c>
      <c r="G83" s="13">
        <v>3871428.7499999995</v>
      </c>
      <c r="H83" s="21"/>
      <c r="I83" s="21">
        <v>2744403.69</v>
      </c>
      <c r="J83" s="21"/>
      <c r="K83" s="21">
        <v>2048696.8617066001</v>
      </c>
      <c r="M83" s="13">
        <v>889140</v>
      </c>
      <c r="Y83" s="1">
        <v>38991</v>
      </c>
      <c r="Z83" s="67">
        <f>GETPIVOTDATA("Sum of # fish2",$A$2,"Month","Oct","Year",2006)</f>
        <v>5720244</v>
      </c>
      <c r="AA83" s="80">
        <f>GETPIVOTDATA("0.4*(# Caligus/ farm)",$A$2,"Month","Oct","Year",2006)</f>
        <v>1542208.6280000003</v>
      </c>
      <c r="AB83" s="80">
        <f>GETPIVOTDATA("Sum of # Female L.salmonis",$A$2,"Month","Oct","Year",2006)</f>
        <v>5187348.7500000019</v>
      </c>
      <c r="AC83" s="80"/>
      <c r="AD83" s="80"/>
      <c r="AE83" s="122"/>
      <c r="AF83" s="80"/>
      <c r="AG83" s="80">
        <f t="shared" si="6"/>
        <v>5187348.7500000019</v>
      </c>
      <c r="AH83" s="80"/>
      <c r="AI83" s="80"/>
      <c r="AJ83" s="279">
        <v>13</v>
      </c>
      <c r="AK83" s="68">
        <v>10</v>
      </c>
      <c r="AL83" s="53">
        <v>3</v>
      </c>
      <c r="AN83" s="67">
        <f t="shared" si="5"/>
        <v>0</v>
      </c>
    </row>
    <row r="84" spans="1:40">
      <c r="C84" s="13">
        <v>1709499.5</v>
      </c>
      <c r="E84" s="13">
        <v>1147330.8</v>
      </c>
      <c r="G84" s="13">
        <v>1960973.45</v>
      </c>
      <c r="H84" s="21"/>
      <c r="I84" s="21">
        <v>2530363.725000001</v>
      </c>
      <c r="J84" s="21"/>
      <c r="K84" s="21">
        <v>872900</v>
      </c>
      <c r="M84" s="13">
        <v>633335.67000000004</v>
      </c>
      <c r="Y84" s="1">
        <v>39022</v>
      </c>
      <c r="Z84" s="67">
        <f>GETPIVOTDATA("Sum of # fish2",$A$2,"Month","Nov","Year",2006)</f>
        <v>7155633</v>
      </c>
      <c r="AA84" s="80">
        <f>GETPIVOTDATA("0.4*(# Caligus/ farm)",$A$2,"Month","Nov","Year",2006)</f>
        <v>940004.71781720011</v>
      </c>
      <c r="AB84" s="80">
        <f>GETPIVOTDATA("Sum of # Female L.salmonis",$A$2,"Month","Nov","Year",2006)</f>
        <v>4952986.9097182006</v>
      </c>
      <c r="AC84" s="80"/>
      <c r="AD84" s="80"/>
      <c r="AE84" s="122"/>
      <c r="AF84" s="80"/>
      <c r="AG84" s="80">
        <f t="shared" si="6"/>
        <v>4952986.9097182006</v>
      </c>
      <c r="AH84" s="80"/>
      <c r="AI84" s="80"/>
      <c r="AJ84" s="279">
        <v>14</v>
      </c>
      <c r="AK84" s="68">
        <v>11</v>
      </c>
      <c r="AL84" s="53">
        <v>3</v>
      </c>
      <c r="AN84" s="67">
        <f t="shared" si="5"/>
        <v>0</v>
      </c>
    </row>
    <row r="85" spans="1:40">
      <c r="A85" s="20" t="s">
        <v>85</v>
      </c>
      <c r="C85" s="13">
        <v>1410488.7999999998</v>
      </c>
      <c r="D85" s="21">
        <f>SUM(C83:C85)</f>
        <v>7071339.1000000006</v>
      </c>
      <c r="E85" s="13">
        <v>1030528.35</v>
      </c>
      <c r="F85" s="21">
        <f>SUM(E83:E85)</f>
        <v>5779930.1499999994</v>
      </c>
      <c r="G85" s="13">
        <v>1815000</v>
      </c>
      <c r="H85" s="21">
        <f>SUM(G83:G85)</f>
        <v>7647402.1999999993</v>
      </c>
      <c r="I85" s="21">
        <v>2479315</v>
      </c>
      <c r="J85" s="21">
        <f>SUM(I83:I85)</f>
        <v>7754082.415000001</v>
      </c>
      <c r="K85" s="21">
        <v>731424.30532259995</v>
      </c>
      <c r="L85" s="21">
        <f>SUM(K83:K85)</f>
        <v>3653021.1670292001</v>
      </c>
      <c r="M85" s="13">
        <v>525863.94999999995</v>
      </c>
      <c r="N85" s="21">
        <f>SUM(M83:M85)</f>
        <v>2048339.6199999999</v>
      </c>
      <c r="Y85" s="518">
        <v>39052</v>
      </c>
      <c r="Z85" s="67">
        <f>GETPIVOTDATA("Sum of # fish2",$A$2,"Month","Dec","Year",2006)</f>
        <v>7040708</v>
      </c>
      <c r="AA85" s="80">
        <f>GETPIVOTDATA("0.4*(# Caligus/ farm)",$A$2,"Month","Dec","Year",2006)</f>
        <v>752399.09600000002</v>
      </c>
      <c r="AB85" s="80">
        <f>GETPIVOTDATA("Sum of # Female L.salmonis",$A$2,"Month","Dec","Year",2006)</f>
        <v>6244425.5800000001</v>
      </c>
      <c r="AC85" s="80"/>
      <c r="AD85" s="80"/>
      <c r="AE85" s="122"/>
      <c r="AF85" s="80"/>
      <c r="AG85" s="80">
        <f t="shared" si="6"/>
        <v>6244425.5800000001</v>
      </c>
      <c r="AH85" s="80"/>
      <c r="AI85" s="80"/>
      <c r="AJ85" s="279">
        <v>15</v>
      </c>
      <c r="AK85" s="68">
        <v>12</v>
      </c>
      <c r="AL85" s="53">
        <v>3</v>
      </c>
      <c r="AN85" s="67">
        <f t="shared" si="5"/>
        <v>0</v>
      </c>
    </row>
    <row r="86" spans="1:40">
      <c r="A86" s="20" t="s">
        <v>63</v>
      </c>
      <c r="C86" s="13">
        <v>910000</v>
      </c>
      <c r="D86" s="21">
        <f>SUM(C83:C86)</f>
        <v>7981339.1000000006</v>
      </c>
      <c r="E86" s="13">
        <v>533687.02</v>
      </c>
      <c r="F86" s="21">
        <f>SUM(E83:E86)</f>
        <v>6313617.1699999999</v>
      </c>
      <c r="G86" s="13">
        <v>1665000</v>
      </c>
      <c r="H86" s="21">
        <f>SUM(G83:G86)</f>
        <v>9312402.1999999993</v>
      </c>
      <c r="I86" s="21">
        <v>834520.77999999991</v>
      </c>
      <c r="J86" s="21">
        <f>SUM(I83:I86)</f>
        <v>8588603.1950000003</v>
      </c>
      <c r="K86" s="21">
        <v>719451</v>
      </c>
      <c r="L86" s="21">
        <f>SUM(K83:K86)</f>
        <v>4372472.1670292001</v>
      </c>
      <c r="M86" s="13">
        <v>371476.41000000003</v>
      </c>
      <c r="N86" s="21">
        <f>SUM(M83:M86)</f>
        <v>2419816.0299999998</v>
      </c>
      <c r="S86" s="20"/>
      <c r="Y86" s="1">
        <v>39083</v>
      </c>
      <c r="Z86" s="67">
        <f>GETPIVOTDATA("Sum of # fish2",$A$2,"Month","Jan","Year",2007)</f>
        <v>6651357</v>
      </c>
      <c r="AA86" s="80">
        <f>GETPIVOTDATA("0.4*(# Caligus/ farm)",$A$2,"Month","Jan","Year",2007)</f>
        <v>670601.27240363997</v>
      </c>
      <c r="AB86" s="80">
        <f>GETPIVOTDATA("Sum of # Female L.salmonis",$A$2,"Month","Jan","Year",2007)</f>
        <v>5551754.5977334995</v>
      </c>
      <c r="AC86" s="80"/>
      <c r="AD86" s="80"/>
      <c r="AE86" s="122"/>
      <c r="AF86" s="80"/>
      <c r="AG86" s="80">
        <f t="shared" si="6"/>
        <v>5551754.5977334995</v>
      </c>
      <c r="AH86" s="80"/>
      <c r="AI86" s="80"/>
      <c r="AJ86" s="279">
        <v>15</v>
      </c>
      <c r="AK86" s="68">
        <v>13</v>
      </c>
      <c r="AL86" s="53">
        <v>2</v>
      </c>
      <c r="AN86" s="67">
        <f t="shared" si="5"/>
        <v>0</v>
      </c>
    </row>
    <row r="87" spans="1:40">
      <c r="A87" s="20" t="s">
        <v>86</v>
      </c>
      <c r="C87" s="13">
        <v>862836</v>
      </c>
      <c r="D87" s="21">
        <f>SUM(C83:C87)</f>
        <v>8844175.1000000015</v>
      </c>
      <c r="E87" s="13">
        <v>430273.24</v>
      </c>
      <c r="F87" s="21">
        <f>SUM(E83:E87)</f>
        <v>6743890.4100000001</v>
      </c>
      <c r="G87" s="13">
        <v>1518990.1500000001</v>
      </c>
      <c r="H87" s="21">
        <f>SUM(G83:G87)</f>
        <v>10831392.35</v>
      </c>
      <c r="I87" s="21">
        <v>816620</v>
      </c>
      <c r="J87" s="21">
        <f>SUM(I83:I87)</f>
        <v>9405223.1950000003</v>
      </c>
      <c r="K87" s="21">
        <v>395561.83070430002</v>
      </c>
      <c r="L87" s="21">
        <f>SUM(K83:K87)</f>
        <v>4768033.9977334999</v>
      </c>
      <c r="M87" s="13">
        <v>217774.72</v>
      </c>
      <c r="N87" s="21">
        <f>SUM(M83:M87)</f>
        <v>2637590.75</v>
      </c>
      <c r="Y87" s="1">
        <v>39114</v>
      </c>
      <c r="Z87" s="67">
        <f>GETPIVOTDATA("Sum of # fish2",$A$2,"Month","Feb","Year",2007)</f>
        <v>7876384</v>
      </c>
      <c r="AA87" s="80">
        <f>GETPIVOTDATA("0.4*(# Caligus/ farm)",$A$2,"Month","Feb","Year",2007)</f>
        <v>406327.84266666672</v>
      </c>
      <c r="AB87" s="80">
        <f>GETPIVOTDATA("Sum of # Female L.salmonis",$A$2,"Month","Feb","Year",2007)</f>
        <v>2915054.32</v>
      </c>
      <c r="AC87" s="80"/>
      <c r="AD87" s="80"/>
      <c r="AE87" s="122"/>
      <c r="AF87" s="80"/>
      <c r="AG87" s="80">
        <f t="shared" si="6"/>
        <v>2915054.32</v>
      </c>
      <c r="AH87" s="80"/>
      <c r="AI87" s="80"/>
      <c r="AJ87" s="279">
        <v>16</v>
      </c>
      <c r="AK87" s="68">
        <v>13</v>
      </c>
      <c r="AL87" s="53">
        <v>3</v>
      </c>
      <c r="AN87" s="67">
        <f t="shared" si="5"/>
        <v>0</v>
      </c>
    </row>
    <row r="88" spans="1:40">
      <c r="A88" s="20" t="s">
        <v>190</v>
      </c>
      <c r="C88" s="13">
        <v>605730.36</v>
      </c>
      <c r="D88" s="21">
        <f>SUM(C83:C88)</f>
        <v>9449905.4600000009</v>
      </c>
      <c r="E88" s="13">
        <v>409987.5</v>
      </c>
      <c r="F88" s="21">
        <f>SUM(E83:E88)</f>
        <v>7153877.9100000001</v>
      </c>
      <c r="G88" s="13">
        <v>745497.61</v>
      </c>
      <c r="H88" s="21">
        <f>SUM(G83:G88)</f>
        <v>11576889.959999999</v>
      </c>
      <c r="I88" s="21">
        <v>548885.12</v>
      </c>
      <c r="J88" s="21">
        <f>SUM(I83:I88)</f>
        <v>9954108.3149999995</v>
      </c>
      <c r="K88" s="21">
        <v>333833.5</v>
      </c>
      <c r="L88" s="21">
        <f>SUM(K83:K88)</f>
        <v>5101867.4977334999</v>
      </c>
      <c r="M88" s="13">
        <v>207015.74</v>
      </c>
      <c r="N88" s="21">
        <f>SUM(M83:M88)</f>
        <v>2844606.49</v>
      </c>
      <c r="Y88" s="1">
        <v>39142</v>
      </c>
      <c r="Z88" s="67">
        <f>GETPIVOTDATA("Sum of # fish2",$A$2,"Month","Mar","Year",2007)</f>
        <v>7855247</v>
      </c>
      <c r="AA88" s="80">
        <f>GETPIVOTDATA("0.4*(# Caligus/ farm)",$A$2,"Month","Mar","Year",2007)</f>
        <v>399969.72933333338</v>
      </c>
      <c r="AB88" s="80">
        <f>GETPIVOTDATA("Sum of # Female L.salmonis",$A$2,"Month","Mar","Year",2007)</f>
        <v>2310171.0400000005</v>
      </c>
      <c r="AC88" s="80"/>
      <c r="AD88" s="80"/>
      <c r="AE88" s="122"/>
      <c r="AF88" s="80"/>
      <c r="AG88" s="539">
        <f t="shared" si="6"/>
        <v>2310171.0400000005</v>
      </c>
      <c r="AH88" s="80"/>
      <c r="AI88" s="80"/>
      <c r="AJ88" s="279">
        <v>17</v>
      </c>
      <c r="AK88" s="68">
        <v>14</v>
      </c>
      <c r="AL88" s="53">
        <v>3</v>
      </c>
      <c r="AN88" s="67">
        <f t="shared" si="5"/>
        <v>0</v>
      </c>
    </row>
    <row r="89" spans="1:40">
      <c r="A89" s="20" t="s">
        <v>194</v>
      </c>
      <c r="C89" s="13">
        <v>513918</v>
      </c>
      <c r="D89" s="21">
        <f>SUM(C83:C89)</f>
        <v>9963823.4600000009</v>
      </c>
      <c r="E89" s="13">
        <v>293013</v>
      </c>
      <c r="F89" s="21">
        <f>SUM(E83:E89)</f>
        <v>7446890.9100000001</v>
      </c>
      <c r="G89" s="13">
        <v>435779.39</v>
      </c>
      <c r="H89" s="21">
        <f>SUM(G83:G89)</f>
        <v>12012669.35</v>
      </c>
      <c r="I89" s="21">
        <v>456000</v>
      </c>
      <c r="J89" s="21">
        <f>SUM(I83:I89)</f>
        <v>10410108.314999999</v>
      </c>
      <c r="K89" s="21">
        <v>138302.65</v>
      </c>
      <c r="L89" s="21">
        <f>SUM(K83:K89)</f>
        <v>5240170.1477335002</v>
      </c>
      <c r="M89" s="13">
        <v>144180.96</v>
      </c>
      <c r="N89" s="21">
        <f>SUM(M83:M89)</f>
        <v>2988787.45</v>
      </c>
      <c r="Y89" s="1">
        <v>39173</v>
      </c>
      <c r="Z89" s="67">
        <f>GETPIVOTDATA("Sum of # fish2",$A$2,"Month","Apr","Year",2007)</f>
        <v>8242716</v>
      </c>
      <c r="AA89" s="80">
        <f>GETPIVOTDATA("0.4*(# Caligus/ farm)",$A$2,"Month","Apr","Year",2007)</f>
        <v>896274.02533333318</v>
      </c>
      <c r="AB89" s="80">
        <f>GETPIVOTDATA("Sum of # Female L.salmonis",$A$2,"Month","Apr","Year",2007)</f>
        <v>1442069.35</v>
      </c>
      <c r="AC89" s="80"/>
      <c r="AD89" s="80"/>
      <c r="AE89" s="122"/>
      <c r="AF89" s="80"/>
      <c r="AG89" s="80">
        <f t="shared" si="6"/>
        <v>1442069.35</v>
      </c>
      <c r="AH89" s="80"/>
      <c r="AI89" s="80"/>
      <c r="AJ89" s="279">
        <v>16</v>
      </c>
      <c r="AK89" s="68">
        <v>13</v>
      </c>
      <c r="AL89" s="53">
        <v>3</v>
      </c>
      <c r="AN89" s="67">
        <f t="shared" si="5"/>
        <v>0</v>
      </c>
    </row>
    <row r="90" spans="1:40">
      <c r="C90" s="13">
        <v>344410.2</v>
      </c>
      <c r="E90" s="13">
        <v>163890</v>
      </c>
      <c r="G90" s="13">
        <v>314306.55</v>
      </c>
      <c r="I90" s="21">
        <v>96200</v>
      </c>
      <c r="K90" s="21">
        <v>130874.75</v>
      </c>
      <c r="M90" s="13">
        <v>96731.19</v>
      </c>
      <c r="Y90" s="1">
        <v>39203</v>
      </c>
      <c r="Z90" s="67">
        <f>GETPIVOTDATA("Sum of # fish2",$A$2,"Month","May","Year",2007)</f>
        <v>8612604</v>
      </c>
      <c r="AA90" s="80">
        <f>GETPIVOTDATA("0.4*(# Caligus/ farm)",$A$2,"Month","May","Year",2007)</f>
        <v>561076.13600000006</v>
      </c>
      <c r="AB90" s="80">
        <f>GETPIVOTDATA("Sum of # Female L.salmonis",$A$2,"Month","May","Year",2007)</f>
        <v>715525.04999999993</v>
      </c>
      <c r="AC90" s="80"/>
      <c r="AD90" s="80"/>
      <c r="AE90" s="122"/>
      <c r="AF90" s="80"/>
      <c r="AG90" s="80">
        <f t="shared" si="6"/>
        <v>715525.04999999993</v>
      </c>
      <c r="AH90" s="80"/>
      <c r="AI90" s="80"/>
      <c r="AJ90" s="279">
        <v>16</v>
      </c>
      <c r="AK90" s="68">
        <v>12</v>
      </c>
      <c r="AL90" s="53">
        <v>4</v>
      </c>
      <c r="AN90" s="67">
        <f t="shared" si="5"/>
        <v>0</v>
      </c>
    </row>
    <row r="91" spans="1:40">
      <c r="C91" s="13">
        <v>188727.625</v>
      </c>
      <c r="E91" s="13">
        <v>149730</v>
      </c>
      <c r="G91" s="13">
        <v>139620.35</v>
      </c>
      <c r="I91" s="21">
        <v>73700</v>
      </c>
      <c r="K91" s="21">
        <v>60677.200000000004</v>
      </c>
      <c r="M91" s="13">
        <v>84810</v>
      </c>
      <c r="Y91" s="1">
        <v>39234</v>
      </c>
      <c r="Z91" s="67">
        <f>GETPIVOTDATA("Sum of # fish2",$A$2,"Month","Jun","Year",2007)</f>
        <v>8402932</v>
      </c>
      <c r="AA91" s="80">
        <f>GETPIVOTDATA("0.4*(# Caligus/ farm)",$A$2,"Month","Jun","Year",2007)</f>
        <v>936161.01466666686</v>
      </c>
      <c r="AB91" s="80">
        <f>GETPIVOTDATA("Sum of # Female L.salmonis",$A$2,"Month","Jun","Year",2007)</f>
        <v>417098.88</v>
      </c>
      <c r="AC91" s="80"/>
      <c r="AD91" s="80"/>
      <c r="AE91" s="122"/>
      <c r="AF91" s="80"/>
      <c r="AG91" s="80">
        <f t="shared" si="6"/>
        <v>417098.88</v>
      </c>
      <c r="AH91" s="80"/>
      <c r="AI91" s="80"/>
      <c r="AJ91" s="279">
        <v>14</v>
      </c>
      <c r="AK91" s="68">
        <v>12</v>
      </c>
      <c r="AL91" s="53">
        <v>2</v>
      </c>
      <c r="AN91" s="67">
        <f t="shared" si="5"/>
        <v>0</v>
      </c>
    </row>
    <row r="92" spans="1:40">
      <c r="C92" s="13">
        <v>57870.8</v>
      </c>
      <c r="E92" s="13">
        <v>99580</v>
      </c>
      <c r="G92" s="13">
        <v>135000</v>
      </c>
      <c r="I92" s="21">
        <v>70000</v>
      </c>
      <c r="K92" s="21">
        <v>55112.5</v>
      </c>
      <c r="M92" s="13">
        <v>41948.340000000004</v>
      </c>
      <c r="Y92" s="1">
        <v>39264</v>
      </c>
      <c r="Z92" s="67">
        <f>GETPIVOTDATA("Sum of # fish2",$A$2,"Month","Jul","Year",2007)</f>
        <v>8178464</v>
      </c>
      <c r="AA92" s="80">
        <f>GETPIVOTDATA("0.4*(# Caligus/ farm)",$A$2,"Month","Jul","Year",2007)</f>
        <v>741541.69200000004</v>
      </c>
      <c r="AB92" s="80">
        <f>GETPIVOTDATA("Sum of # Female L.salmonis",$A$2,"Month","Jul","Year",2007)</f>
        <v>656322.75000000012</v>
      </c>
      <c r="AC92" s="80"/>
      <c r="AD92" s="80"/>
      <c r="AE92" s="122"/>
      <c r="AF92" s="80"/>
      <c r="AG92" s="80">
        <f t="shared" si="6"/>
        <v>656322.75000000012</v>
      </c>
      <c r="AH92" s="80"/>
      <c r="AI92" s="80"/>
      <c r="AJ92" s="279">
        <v>15</v>
      </c>
      <c r="AK92" s="68">
        <v>13</v>
      </c>
      <c r="AL92" s="53">
        <v>2</v>
      </c>
      <c r="AN92" s="67">
        <f t="shared" si="5"/>
        <v>0</v>
      </c>
    </row>
    <row r="93" spans="1:40">
      <c r="C93" s="13">
        <v>6820.0000000000009</v>
      </c>
      <c r="E93" s="13">
        <v>83415.45</v>
      </c>
      <c r="G93" s="13">
        <v>99000</v>
      </c>
      <c r="I93" s="21">
        <v>64000</v>
      </c>
      <c r="K93" s="21">
        <v>41925</v>
      </c>
      <c r="M93" s="13">
        <v>27092.98</v>
      </c>
      <c r="Y93" s="1">
        <v>39295</v>
      </c>
      <c r="Z93" s="67">
        <f>GETPIVOTDATA("Sum of # fish2",$A$2,"Month","Aug","Year",2007)</f>
        <v>7835119</v>
      </c>
      <c r="AA93" s="80">
        <f>GETPIVOTDATA("0.4*(# Caligus/ farm)",$A$2,"Month","Aug","Year",2007)</f>
        <v>322317.26</v>
      </c>
      <c r="AB93" s="80">
        <f>GETPIVOTDATA("Sum of # Female L.salmonis",$A$2,"Month","Aug","Year",2007)</f>
        <v>760278.28</v>
      </c>
      <c r="AC93" s="80"/>
      <c r="AD93" s="80"/>
      <c r="AE93" s="122"/>
      <c r="AF93" s="80"/>
      <c r="AG93" s="80">
        <f t="shared" si="6"/>
        <v>760278.28</v>
      </c>
      <c r="AH93" s="80"/>
      <c r="AI93" s="80"/>
      <c r="AJ93" s="279">
        <v>15</v>
      </c>
      <c r="AK93" s="68">
        <v>13</v>
      </c>
      <c r="AL93" s="53">
        <v>2</v>
      </c>
      <c r="AN93" s="67">
        <f t="shared" si="5"/>
        <v>0</v>
      </c>
    </row>
    <row r="94" spans="1:40">
      <c r="C94" s="13">
        <v>0</v>
      </c>
      <c r="E94" s="13">
        <v>33853</v>
      </c>
      <c r="G94" s="13">
        <v>97200</v>
      </c>
      <c r="I94" s="21">
        <v>27300</v>
      </c>
      <c r="K94" s="21">
        <v>13306.439999999999</v>
      </c>
      <c r="M94" s="13">
        <v>1565.8000000000002</v>
      </c>
      <c r="Y94" s="1">
        <v>39326</v>
      </c>
      <c r="Z94" s="67">
        <f>GETPIVOTDATA("Sum of # fish2",$A$2,"Month","Sep","Year",2007)</f>
        <v>7755833</v>
      </c>
      <c r="AA94" s="80">
        <f>GETPIVOTDATA("0.4*(# Caligus/ farm)",$A$2,"Month","Sep","Year",2007)</f>
        <v>105927.41200000001</v>
      </c>
      <c r="AB94" s="80">
        <f>GETPIVOTDATA("Sum of # Female L.salmonis",$A$2,"Month","Sep","Year",2007)</f>
        <v>2177330.54</v>
      </c>
      <c r="AC94" s="80"/>
      <c r="AD94" s="80"/>
      <c r="AE94" s="122"/>
      <c r="AF94" s="80"/>
      <c r="AG94" s="80">
        <f t="shared" si="6"/>
        <v>2177330.54</v>
      </c>
      <c r="AH94" s="80"/>
      <c r="AI94" s="80"/>
      <c r="AJ94" s="279">
        <v>16</v>
      </c>
      <c r="AK94" s="68">
        <v>15</v>
      </c>
      <c r="AL94" s="53">
        <v>1</v>
      </c>
      <c r="AN94" s="67">
        <f t="shared" si="5"/>
        <v>0</v>
      </c>
    </row>
    <row r="95" spans="1:40">
      <c r="C95" s="21"/>
      <c r="E95" s="13">
        <v>19920</v>
      </c>
      <c r="G95" s="13">
        <v>25000</v>
      </c>
      <c r="I95" s="21">
        <v>10868.13</v>
      </c>
      <c r="K95" s="21">
        <v>0</v>
      </c>
      <c r="M95" s="13">
        <v>0</v>
      </c>
      <c r="P95" s="50" t="s">
        <v>143</v>
      </c>
      <c r="Q95" s="50"/>
      <c r="R95" s="50"/>
      <c r="Y95" s="1">
        <v>39356</v>
      </c>
      <c r="Z95" s="67">
        <f>GETPIVOTDATA("Sum of # fish2",$A$2,"Month","Oct","Year",2007)</f>
        <v>7287696</v>
      </c>
      <c r="AA95" s="80">
        <f>GETPIVOTDATA("0.4*(# Caligus/ farm)",$A$2,"Month","Oct","Year",2007)</f>
        <v>205939.35200000001</v>
      </c>
      <c r="AB95" s="80">
        <f>GETPIVOTDATA("Sum of # Female L.salmonis",$A$2,"Month","Oct","Year",2007)</f>
        <v>2439590.4099999997</v>
      </c>
      <c r="AC95" s="80"/>
      <c r="AD95" s="80"/>
      <c r="AE95" s="122"/>
      <c r="AF95" s="80"/>
      <c r="AG95" s="80">
        <f t="shared" si="6"/>
        <v>2439590.4099999997</v>
      </c>
      <c r="AH95" s="80"/>
      <c r="AI95" s="80"/>
      <c r="AJ95" s="279">
        <v>15</v>
      </c>
      <c r="AK95" s="68">
        <v>15</v>
      </c>
      <c r="AL95" s="53">
        <v>0</v>
      </c>
      <c r="AN95" s="67">
        <f t="shared" si="5"/>
        <v>0</v>
      </c>
    </row>
    <row r="96" spans="1:40">
      <c r="C96" s="21"/>
      <c r="E96" s="13">
        <v>14600</v>
      </c>
      <c r="G96" s="13">
        <v>14900</v>
      </c>
      <c r="I96" s="21">
        <v>4744.3</v>
      </c>
      <c r="K96" s="21">
        <v>0</v>
      </c>
      <c r="M96" s="13">
        <v>0</v>
      </c>
      <c r="P96" s="87" t="s">
        <v>107</v>
      </c>
      <c r="Q96" s="87"/>
      <c r="R96" s="87"/>
      <c r="V96" s="55"/>
      <c r="W96" s="55" t="s">
        <v>187</v>
      </c>
      <c r="Y96" s="1">
        <v>39387</v>
      </c>
      <c r="Z96" s="67">
        <f>GETPIVOTDATA("Sum of # fish2",$A$2,"Month","Nov","Year",2007)</f>
        <v>7372702</v>
      </c>
      <c r="AA96" s="80">
        <f>GETPIVOTDATA("0.4*(# Caligus/ farm)",$A$2,"Month","Nov","Year",2007)</f>
        <v>409809.72000000009</v>
      </c>
      <c r="AB96" s="80">
        <f>GETPIVOTDATA("Sum of # Female L.salmonis",$A$2,"Month","Nov","Year",2007)</f>
        <v>2491994.7000000002</v>
      </c>
      <c r="AC96" s="80"/>
      <c r="AD96" s="80"/>
      <c r="AE96" s="122"/>
      <c r="AF96" s="80"/>
      <c r="AG96" s="80">
        <f t="shared" si="6"/>
        <v>2491994.7000000002</v>
      </c>
      <c r="AH96" s="80"/>
      <c r="AI96" s="80"/>
      <c r="AJ96" s="279">
        <v>16</v>
      </c>
      <c r="AK96" s="68">
        <v>14</v>
      </c>
      <c r="AL96" s="53">
        <v>2</v>
      </c>
      <c r="AN96" s="67">
        <f t="shared" si="5"/>
        <v>0</v>
      </c>
    </row>
    <row r="97" spans="1:40">
      <c r="C97" s="21"/>
      <c r="E97" s="13">
        <v>0</v>
      </c>
      <c r="G97" s="13">
        <v>12398.36</v>
      </c>
      <c r="I97" s="21">
        <v>0</v>
      </c>
      <c r="K97" s="21">
        <v>0</v>
      </c>
      <c r="M97" s="13">
        <v>0</v>
      </c>
      <c r="O97" s="20"/>
      <c r="P97" s="272" t="s">
        <v>91</v>
      </c>
      <c r="Q97" s="537" t="s">
        <v>806</v>
      </c>
      <c r="R97" s="537" t="s">
        <v>807</v>
      </c>
      <c r="V97" s="272" t="s">
        <v>186</v>
      </c>
      <c r="W97" s="142"/>
      <c r="Y97" s="518">
        <v>39417</v>
      </c>
      <c r="Z97" s="67">
        <f>GETPIVOTDATA("Sum of # fish2",$A$2,"Month","Dec","Year",2007)</f>
        <v>8768442</v>
      </c>
      <c r="AA97" s="80">
        <f>GETPIVOTDATA("0.4*(# Caligus/ farm)",$A$2,"Month","Dec","Year",2007)</f>
        <v>573522.41200000013</v>
      </c>
      <c r="AB97" s="80">
        <f>GETPIVOTDATA("Sum of # Female L.salmonis",$A$2,"Month","Dec","Year",2007)</f>
        <v>3565428.61</v>
      </c>
      <c r="AC97" s="80"/>
      <c r="AD97" s="80"/>
      <c r="AE97" s="122"/>
      <c r="AF97" s="80"/>
      <c r="AG97" s="80">
        <f t="shared" si="6"/>
        <v>3565428.61</v>
      </c>
      <c r="AH97" s="80"/>
      <c r="AI97" s="80"/>
      <c r="AJ97" s="279">
        <v>17</v>
      </c>
      <c r="AK97" s="68">
        <v>14</v>
      </c>
      <c r="AL97" s="53">
        <v>3</v>
      </c>
      <c r="AN97" s="67">
        <f t="shared" si="5"/>
        <v>0</v>
      </c>
    </row>
    <row r="98" spans="1:40">
      <c r="A98" s="20" t="s">
        <v>64</v>
      </c>
      <c r="C98" s="21"/>
      <c r="D98" s="21">
        <f>SUM(C83:C96)</f>
        <v>10561652.085000001</v>
      </c>
      <c r="E98" s="13">
        <v>0</v>
      </c>
      <c r="F98" s="21">
        <f>SUM(E83:E98)</f>
        <v>8011879.3600000003</v>
      </c>
      <c r="G98" s="13">
        <v>5400</v>
      </c>
      <c r="H98" s="21">
        <f>SUM(G83:G99)</f>
        <v>12855494.609999999</v>
      </c>
      <c r="I98" s="21">
        <v>0</v>
      </c>
      <c r="J98" s="21">
        <f>SUM(I83:I97)</f>
        <v>10756920.745000001</v>
      </c>
      <c r="K98" s="21"/>
      <c r="L98" s="21">
        <f>SUM(K83:K98)</f>
        <v>5542066.0377335008</v>
      </c>
      <c r="M98" s="21"/>
      <c r="N98" s="21">
        <f>SUM(M83:M98)</f>
        <v>3240935.76</v>
      </c>
      <c r="O98" s="21"/>
      <c r="P98" s="88">
        <f>AVERAGE(D98,F98,H98,J98,L98,N98)</f>
        <v>8494824.7662889156</v>
      </c>
      <c r="Q98" s="88"/>
      <c r="R98" s="88"/>
      <c r="S98" s="20"/>
      <c r="V98" s="71" t="s">
        <v>34</v>
      </c>
      <c r="W98" s="71" t="s">
        <v>107</v>
      </c>
      <c r="Y98" s="1">
        <v>39448</v>
      </c>
      <c r="Z98" s="67">
        <f>GETPIVOTDATA("Sum of # fish2",$A$2,"Month","Jan","Year",2008)</f>
        <v>9091826</v>
      </c>
      <c r="AA98" s="80">
        <f>GETPIVOTDATA("0.4*(# Caligus/ farm)",$A$2,"Month","Jan","Year",2008)</f>
        <v>992989.51600000018</v>
      </c>
      <c r="AB98" s="80">
        <f>GETPIVOTDATA("Sum of # Female L.salmonis",$A$2,"Month","Jan","Year",2008)</f>
        <v>3240935.7600000002</v>
      </c>
      <c r="AC98" s="80"/>
      <c r="AD98" s="80"/>
      <c r="AE98" s="122"/>
      <c r="AF98" s="80"/>
      <c r="AG98" s="80">
        <f t="shared" si="6"/>
        <v>3240935.7600000002</v>
      </c>
      <c r="AH98" s="80"/>
      <c r="AI98" s="80"/>
      <c r="AJ98" s="279">
        <v>15</v>
      </c>
      <c r="AK98" s="68">
        <v>14</v>
      </c>
      <c r="AL98" s="53">
        <v>1</v>
      </c>
      <c r="AN98" s="67">
        <f t="shared" si="5"/>
        <v>0</v>
      </c>
    </row>
    <row r="99" spans="1:40">
      <c r="A99" s="20" t="s">
        <v>83</v>
      </c>
      <c r="C99" s="21"/>
      <c r="D99" s="135">
        <f>D85/D98</f>
        <v>0.66952963826965528</v>
      </c>
      <c r="E99" s="13"/>
      <c r="F99" s="135">
        <f>F85/F98</f>
        <v>0.7214200177372615</v>
      </c>
      <c r="G99" s="13">
        <v>0</v>
      </c>
      <c r="H99" s="135">
        <f>H85/H98</f>
        <v>0.59487420997798546</v>
      </c>
      <c r="I99" s="21"/>
      <c r="J99" s="135">
        <f>J85/J98</f>
        <v>0.72084591853149327</v>
      </c>
      <c r="K99" s="21"/>
      <c r="L99" s="135">
        <f>L85/L98</f>
        <v>0.65914428701451389</v>
      </c>
      <c r="M99" s="21"/>
      <c r="N99" s="135">
        <f>N85/N98</f>
        <v>0.6320210493774181</v>
      </c>
      <c r="O99" s="44"/>
      <c r="P99" s="89">
        <f>AVERAGE(D99,F99,H99,J99,L99,N99)</f>
        <v>0.66630585348472127</v>
      </c>
      <c r="Q99" s="89">
        <f>MIN(D99,F99,H99,J99,L99,N99)</f>
        <v>0.59487420997798546</v>
      </c>
      <c r="R99" s="89">
        <f>MAX(D99,F99,H99,J99,L99,N99)</f>
        <v>0.7214200177372615</v>
      </c>
      <c r="S99" s="20"/>
      <c r="T99" s="20" t="s">
        <v>83</v>
      </c>
      <c r="V99" s="55" t="s">
        <v>44</v>
      </c>
      <c r="W99" s="70">
        <f>P99</f>
        <v>0.66630585348472127</v>
      </c>
      <c r="Y99" s="1">
        <v>39479</v>
      </c>
      <c r="Z99" s="67">
        <f>GETPIVOTDATA("Sum of # fish2",$A$2,"Month","Feb","Year",2008)</f>
        <v>8407728</v>
      </c>
      <c r="AA99" s="80">
        <f>GETPIVOTDATA("0.4*(# Caligus/ farm)",$A$2,"Month","Feb","Year",2008)</f>
        <v>428349.46331424004</v>
      </c>
      <c r="AB99" s="80">
        <f>GETPIVOTDATA("Sum of # Female L.salmonis",$A$2,"Month","Feb","Year",2008)</f>
        <v>1979576.7378640999</v>
      </c>
      <c r="AC99" s="80"/>
      <c r="AD99" s="80"/>
      <c r="AE99" s="122"/>
      <c r="AF99" s="80"/>
      <c r="AG99" s="80">
        <f t="shared" si="6"/>
        <v>1979576.7378640999</v>
      </c>
      <c r="AH99" s="80"/>
      <c r="AI99" s="80"/>
      <c r="AJ99" s="279">
        <v>14</v>
      </c>
      <c r="AK99" s="68">
        <v>11</v>
      </c>
      <c r="AL99" s="53">
        <v>3</v>
      </c>
      <c r="AN99" s="67">
        <f t="shared" si="5"/>
        <v>0</v>
      </c>
    </row>
    <row r="100" spans="1:40">
      <c r="A100" s="20" t="s">
        <v>65</v>
      </c>
      <c r="C100" s="21"/>
      <c r="D100" s="44">
        <f>D86/D98</f>
        <v>0.75569040106285601</v>
      </c>
      <c r="E100" s="13"/>
      <c r="F100" s="44">
        <f>F86/F98</f>
        <v>0.78803198179958611</v>
      </c>
      <c r="G100" s="13"/>
      <c r="H100" s="44">
        <f>H86/H98</f>
        <v>0.72439081361802227</v>
      </c>
      <c r="I100" s="21"/>
      <c r="J100" s="44">
        <f>J86/J98</f>
        <v>0.79842581335296425</v>
      </c>
      <c r="K100" s="21"/>
      <c r="L100" s="44">
        <f>L86/L98</f>
        <v>0.78896067590298491</v>
      </c>
      <c r="M100" s="21"/>
      <c r="N100" s="44">
        <f>N86/N98</f>
        <v>0.74664115835483269</v>
      </c>
      <c r="O100" s="44"/>
      <c r="P100" s="89">
        <f>AVERAGE(D100,F100,H100,J100,L100,N100)</f>
        <v>0.76702347401520787</v>
      </c>
      <c r="Q100" s="89">
        <f t="shared" ref="Q100:Q103" si="7">MIN(D100,F100,H100,J100,L100,N100)</f>
        <v>0.72439081361802227</v>
      </c>
      <c r="R100" s="89">
        <f t="shared" ref="R100:R103" si="8">MAX(D100,F100,H100,J100,L100,N100)</f>
        <v>0.79842581335296425</v>
      </c>
      <c r="S100" s="20"/>
      <c r="T100" s="20" t="s">
        <v>65</v>
      </c>
      <c r="V100" s="55" t="s">
        <v>45</v>
      </c>
      <c r="W100" s="70">
        <f>P123</f>
        <v>0.60280127422220653</v>
      </c>
      <c r="Y100" s="1">
        <v>39508</v>
      </c>
      <c r="Z100" s="67">
        <f>GETPIVOTDATA("Sum of # fish2",$A$2,"Month","Mar","Year",2008)</f>
        <v>8050671</v>
      </c>
      <c r="AA100" s="80">
        <f>GETPIVOTDATA("0.4*(# Caligus/ farm)",$A$2,"Month","Mar","Year",2008)</f>
        <v>313612.13200000004</v>
      </c>
      <c r="AB100" s="80">
        <f>GETPIVOTDATA("Sum of # Female L.salmonis",$A$2,"Month","Mar","Year",2008)</f>
        <v>1044197.7799999999</v>
      </c>
      <c r="AC100" s="80"/>
      <c r="AD100" s="80"/>
      <c r="AE100" s="122"/>
      <c r="AF100" s="80"/>
      <c r="AG100" s="539">
        <f t="shared" si="6"/>
        <v>1044197.7799999999</v>
      </c>
      <c r="AH100" s="80"/>
      <c r="AI100" s="80"/>
      <c r="AJ100" s="279">
        <v>14</v>
      </c>
      <c r="AK100" s="68">
        <v>14</v>
      </c>
      <c r="AL100" s="53">
        <v>0</v>
      </c>
      <c r="AN100" s="67">
        <f t="shared" si="5"/>
        <v>0</v>
      </c>
    </row>
    <row r="101" spans="1:40">
      <c r="A101" s="20" t="s">
        <v>82</v>
      </c>
      <c r="C101" s="21"/>
      <c r="D101" s="44">
        <f>D87/D98</f>
        <v>0.83738557460728935</v>
      </c>
      <c r="F101" s="44">
        <f>F87/F98</f>
        <v>0.84173639004968737</v>
      </c>
      <c r="G101" s="13"/>
      <c r="H101" s="44">
        <f>H87/H98</f>
        <v>0.8425496395583647</v>
      </c>
      <c r="I101" s="21"/>
      <c r="J101" s="44">
        <f>J87/J98</f>
        <v>0.87434159067981487</v>
      </c>
      <c r="K101" s="21"/>
      <c r="L101" s="44">
        <f>L87/L98</f>
        <v>0.86033511063744894</v>
      </c>
      <c r="M101" s="21"/>
      <c r="N101" s="44">
        <f>N87/N98</f>
        <v>0.81383617119272988</v>
      </c>
      <c r="O101" s="44"/>
      <c r="P101" s="89">
        <f>AVERAGE(D101,F101,H101,J101,L101,N101)</f>
        <v>0.84503074612088902</v>
      </c>
      <c r="Q101" s="89">
        <f t="shared" si="7"/>
        <v>0.81383617119272988</v>
      </c>
      <c r="R101" s="89">
        <f t="shared" si="8"/>
        <v>0.87434159067981487</v>
      </c>
      <c r="S101" s="20"/>
      <c r="T101" s="20" t="s">
        <v>82</v>
      </c>
      <c r="V101" s="55" t="s">
        <v>46</v>
      </c>
      <c r="W101" s="70">
        <f>P147</f>
        <v>0.64720042804727773</v>
      </c>
      <c r="Y101" s="1">
        <v>39539</v>
      </c>
      <c r="Z101" s="67">
        <f>GETPIVOTDATA("Sum of # fish2",$A$2,"Month","Apr","Year",2008)</f>
        <v>8354769</v>
      </c>
      <c r="AA101" s="80">
        <f>GETPIVOTDATA("0.4*(# Caligus/ farm)",$A$2,"Month","Apr","Year",2008)</f>
        <v>405143.02</v>
      </c>
      <c r="AB101" s="80">
        <f>GETPIVOTDATA("Sum of # Female L.salmonis",$A$2,"Month","Apr","Year",2008)</f>
        <v>687060.39000000013</v>
      </c>
      <c r="AC101" s="80"/>
      <c r="AD101" s="80"/>
      <c r="AE101" s="122"/>
      <c r="AF101" s="80"/>
      <c r="AG101" s="80">
        <f t="shared" si="6"/>
        <v>687060.39000000013</v>
      </c>
      <c r="AH101" s="80"/>
      <c r="AI101" s="80"/>
      <c r="AJ101" s="279">
        <v>14</v>
      </c>
      <c r="AK101" s="68">
        <v>13</v>
      </c>
      <c r="AL101" s="53">
        <v>1</v>
      </c>
      <c r="AN101" s="67">
        <f t="shared" si="5"/>
        <v>0</v>
      </c>
    </row>
    <row r="102" spans="1:40">
      <c r="A102" s="20" t="s">
        <v>191</v>
      </c>
      <c r="D102" s="44">
        <f>D88/D98</f>
        <v>0.89473743160135544</v>
      </c>
      <c r="F102" s="44">
        <f>F88/F98</f>
        <v>0.89290884055448383</v>
      </c>
      <c r="G102" s="21"/>
      <c r="H102" s="44">
        <f>H88/H98</f>
        <v>0.90054022122140653</v>
      </c>
      <c r="I102" s="21"/>
      <c r="J102" s="44">
        <f>J88/J98</f>
        <v>0.92536782142109186</v>
      </c>
      <c r="K102" s="21"/>
      <c r="L102" s="44">
        <f>L88/L98</f>
        <v>0.9205714011700904</v>
      </c>
      <c r="N102" s="44">
        <f>N88/N98</f>
        <v>0.87771146997372151</v>
      </c>
      <c r="P102" s="89">
        <f>AVERAGE(D102,F102,H102,J102,L102)</f>
        <v>0.90682514319368557</v>
      </c>
      <c r="Q102" s="89">
        <f t="shared" si="7"/>
        <v>0.87771146997372151</v>
      </c>
      <c r="R102" s="89">
        <f t="shared" si="8"/>
        <v>0.92536782142109186</v>
      </c>
      <c r="T102" s="20" t="s">
        <v>191</v>
      </c>
      <c r="V102" s="55" t="s">
        <v>47</v>
      </c>
      <c r="W102" s="70">
        <f>P171</f>
        <v>0.69563320818157848</v>
      </c>
      <c r="Y102" s="1">
        <v>39569</v>
      </c>
      <c r="Z102" s="67">
        <f>GETPIVOTDATA("Sum of # fish2",$A$2,"Month","May","Year",2008)</f>
        <v>8738048</v>
      </c>
      <c r="AA102" s="80">
        <f>GETPIVOTDATA("0.4*(# Caligus/ farm)",$A$2,"Month","May","Year",2008)</f>
        <v>406960.49466666672</v>
      </c>
      <c r="AB102" s="80">
        <f>GETPIVOTDATA("Sum of # Female L.salmonis",$A$2,"Month","May","Year",2008)</f>
        <v>1065387.3566666667</v>
      </c>
      <c r="AC102" s="80"/>
      <c r="AD102" s="80"/>
      <c r="AE102" s="122"/>
      <c r="AF102" s="80"/>
      <c r="AG102" s="80">
        <f t="shared" si="6"/>
        <v>1065387.3566666667</v>
      </c>
      <c r="AH102" s="80"/>
      <c r="AI102" s="80"/>
      <c r="AJ102" s="279">
        <v>15</v>
      </c>
      <c r="AK102" s="68">
        <v>13</v>
      </c>
      <c r="AL102" s="53">
        <v>2</v>
      </c>
      <c r="AN102" s="67">
        <f t="shared" si="5"/>
        <v>0</v>
      </c>
    </row>
    <row r="103" spans="1:40">
      <c r="A103" s="20" t="s">
        <v>193</v>
      </c>
      <c r="D103" s="44">
        <f>D89/D98</f>
        <v>0.94339629631910948</v>
      </c>
      <c r="F103" s="44">
        <f>F89/F98</f>
        <v>0.92948115858798952</v>
      </c>
      <c r="G103" s="21"/>
      <c r="H103" s="44">
        <f>H89/H98</f>
        <v>0.93443851943709855</v>
      </c>
      <c r="I103" s="21"/>
      <c r="J103" s="44">
        <f>J89/J98</f>
        <v>0.96775913495865384</v>
      </c>
      <c r="K103" s="21"/>
      <c r="L103" s="44">
        <f>L89/L98</f>
        <v>0.94552647190695249</v>
      </c>
      <c r="N103" s="44">
        <f>N89/N98</f>
        <v>0.92219891763605966</v>
      </c>
      <c r="P103" s="89">
        <f>AVERAGE(D103,F103,H103,J103,L103)</f>
        <v>0.9441203162419608</v>
      </c>
      <c r="Q103" s="89">
        <f t="shared" si="7"/>
        <v>0.92219891763605966</v>
      </c>
      <c r="R103" s="89">
        <f t="shared" si="8"/>
        <v>0.96775913495865384</v>
      </c>
      <c r="T103" s="20" t="s">
        <v>193</v>
      </c>
      <c r="V103" s="55" t="s">
        <v>48</v>
      </c>
      <c r="W103" s="70">
        <f>P194</f>
        <v>0.70395333921042813</v>
      </c>
      <c r="Y103" s="1">
        <v>39600</v>
      </c>
      <c r="Z103" s="67">
        <f>GETPIVOTDATA("Sum of # fish2",$A$2,"Month","Jun","Year",2008)</f>
        <v>8686512</v>
      </c>
      <c r="AA103" s="80">
        <f>GETPIVOTDATA("0.4*(# Caligus/ farm)",$A$2,"Month","Jun","Year",2008)</f>
        <v>344758.48933333339</v>
      </c>
      <c r="AB103" s="80">
        <f>GETPIVOTDATA("Sum of # Female L.salmonis",$A$2,"Month","Jun","Year",2008)</f>
        <v>255776.09000000003</v>
      </c>
      <c r="AC103" s="80"/>
      <c r="AD103" s="80"/>
      <c r="AE103" s="122"/>
      <c r="AF103" s="80"/>
      <c r="AG103" s="80">
        <f t="shared" si="6"/>
        <v>255776.09000000003</v>
      </c>
      <c r="AH103" s="80"/>
      <c r="AI103" s="80"/>
      <c r="AJ103" s="279">
        <v>14</v>
      </c>
      <c r="AK103" s="68">
        <v>14</v>
      </c>
      <c r="AL103" s="53">
        <v>0</v>
      </c>
      <c r="AN103" s="67">
        <f t="shared" si="5"/>
        <v>0</v>
      </c>
    </row>
    <row r="104" spans="1:40">
      <c r="V104" s="55" t="s">
        <v>49</v>
      </c>
      <c r="W104" s="70">
        <f>P218</f>
        <v>0.67565633368485833</v>
      </c>
      <c r="Y104" s="1">
        <v>39630</v>
      </c>
      <c r="Z104" s="67">
        <f>GETPIVOTDATA("Sum of # fish2",$A$2,"Month","Jul","Year",2008)</f>
        <v>8128927.6666666698</v>
      </c>
      <c r="AA104" s="80">
        <f>GETPIVOTDATA("0.4*(# Caligus/ farm)",$A$2,"Month","Jul","Year",2008)</f>
        <v>177929.584</v>
      </c>
      <c r="AB104" s="80">
        <f>GETPIVOTDATA("Sum of # Female L.salmonis",$A$2,"Month","Jul","Year",2008)</f>
        <v>392528.27000000014</v>
      </c>
      <c r="AC104" s="80"/>
      <c r="AD104" s="80"/>
      <c r="AE104" s="122"/>
      <c r="AF104" s="80"/>
      <c r="AG104" s="80">
        <f t="shared" si="6"/>
        <v>392528.27000000014</v>
      </c>
      <c r="AH104" s="80"/>
      <c r="AI104" s="80"/>
      <c r="AJ104" s="68">
        <v>13</v>
      </c>
      <c r="AK104" s="279">
        <v>12</v>
      </c>
      <c r="AL104" s="67">
        <v>1</v>
      </c>
      <c r="AN104" s="67">
        <f t="shared" si="5"/>
        <v>0</v>
      </c>
    </row>
    <row r="105" spans="1:40">
      <c r="D105" s="58" t="s">
        <v>107</v>
      </c>
      <c r="E105" s="57"/>
      <c r="F105" s="58" t="s">
        <v>107</v>
      </c>
      <c r="G105" s="57"/>
      <c r="H105" s="58" t="s">
        <v>107</v>
      </c>
      <c r="I105" s="57"/>
      <c r="J105" s="58" t="s">
        <v>107</v>
      </c>
      <c r="K105" s="57"/>
      <c r="L105" s="58" t="s">
        <v>107</v>
      </c>
      <c r="M105" s="57"/>
      <c r="N105" s="58" t="s">
        <v>107</v>
      </c>
      <c r="V105" s="55" t="s">
        <v>50</v>
      </c>
      <c r="W105" s="70">
        <f>P242</f>
        <v>0.71156278353320424</v>
      </c>
      <c r="Y105" s="1">
        <v>39661</v>
      </c>
      <c r="Z105" s="67">
        <f>GETPIVOTDATA("Sum of # fish2",$A$2,"Month","Aug","Year",2008)</f>
        <v>8002874</v>
      </c>
      <c r="AA105" s="80">
        <f>GETPIVOTDATA("0.4*(# Caligus/ farm)",$A$2,"Month","Aug","Year",2008)</f>
        <v>124549.92000000001</v>
      </c>
      <c r="AB105" s="80">
        <f>GETPIVOTDATA("Sum of # Female L.salmonis",$A$2,"Month","Aug","Year",2008)</f>
        <v>619569.72</v>
      </c>
      <c r="AC105" s="80"/>
      <c r="AD105" s="80"/>
      <c r="AE105" s="122"/>
      <c r="AF105" s="80"/>
      <c r="AG105" s="80">
        <f t="shared" si="6"/>
        <v>619569.72</v>
      </c>
      <c r="AH105" s="80"/>
      <c r="AI105" s="80"/>
      <c r="AJ105" s="68">
        <v>15</v>
      </c>
      <c r="AK105" s="279">
        <v>13</v>
      </c>
      <c r="AL105" s="67">
        <v>2</v>
      </c>
      <c r="AN105" s="67">
        <f t="shared" si="5"/>
        <v>0</v>
      </c>
    </row>
    <row r="106" spans="1:40">
      <c r="C106" s="50" t="s">
        <v>159</v>
      </c>
      <c r="D106" s="18"/>
      <c r="E106" s="50" t="s">
        <v>160</v>
      </c>
      <c r="F106" s="18"/>
      <c r="G106" s="50" t="s">
        <v>161</v>
      </c>
      <c r="H106" s="18"/>
      <c r="I106" s="50" t="s">
        <v>162</v>
      </c>
      <c r="J106" s="18"/>
      <c r="K106" s="50" t="s">
        <v>163</v>
      </c>
      <c r="L106" s="18"/>
      <c r="M106" s="18" t="s">
        <v>164</v>
      </c>
      <c r="N106" s="18"/>
      <c r="V106" s="55" t="s">
        <v>51</v>
      </c>
      <c r="W106" s="70">
        <f>P267</f>
        <v>0.74846987008796162</v>
      </c>
      <c r="Y106" s="1">
        <v>39692</v>
      </c>
      <c r="Z106" s="67">
        <f>GETPIVOTDATA("Sum of # fish2",$A$2,"Month","Sep","Year",2008)</f>
        <v>7689000</v>
      </c>
      <c r="AA106" s="80">
        <f>GETPIVOTDATA("0.4*(# Caligus/ farm)",$A$2,"Month","Sep","Year",2008)</f>
        <v>191584</v>
      </c>
      <c r="AB106" s="80">
        <f>GETPIVOTDATA("Sum of # Female L.salmonis",$A$2,"Month","Sep","Year",2008)</f>
        <v>1070930</v>
      </c>
      <c r="AC106" s="80"/>
      <c r="AD106" s="80"/>
      <c r="AE106" s="122"/>
      <c r="AF106" s="80"/>
      <c r="AG106" s="80">
        <f t="shared" si="6"/>
        <v>1070930</v>
      </c>
      <c r="AH106" s="80"/>
      <c r="AI106" s="80"/>
      <c r="AJ106" s="68">
        <v>15</v>
      </c>
      <c r="AK106" s="68">
        <v>15</v>
      </c>
      <c r="AL106" s="53">
        <v>0</v>
      </c>
      <c r="AN106" s="67">
        <f t="shared" si="5"/>
        <v>0</v>
      </c>
    </row>
    <row r="107" spans="1:40">
      <c r="C107" s="13">
        <v>1997874</v>
      </c>
      <c r="E107" s="13">
        <v>1049910</v>
      </c>
      <c r="G107" s="13">
        <v>2896236</v>
      </c>
      <c r="H107" s="21"/>
      <c r="I107" s="13">
        <v>5261190.3269999996</v>
      </c>
      <c r="J107" s="21"/>
      <c r="K107" s="13">
        <v>957960</v>
      </c>
      <c r="M107" s="13">
        <v>341160.16500000004</v>
      </c>
      <c r="V107" s="55" t="s">
        <v>52</v>
      </c>
      <c r="W107" s="70">
        <f>P291</f>
        <v>0.75936376362899904</v>
      </c>
      <c r="Y107" s="1">
        <v>39722</v>
      </c>
      <c r="Z107" s="67">
        <f>GETPIVOTDATA("Sum of # fish2",$A$2,"Month","Oct","Year",2008)</f>
        <v>8029592</v>
      </c>
      <c r="AA107" s="80">
        <f>GETPIVOTDATA("0.4*(# Caligus/ farm)",$A$2,"Month","Oct","Year",2008)</f>
        <v>597832</v>
      </c>
      <c r="AB107" s="80">
        <f>GETPIVOTDATA("Sum of # Female L.salmonis",$A$2,"Month","Oct","Year",2008)</f>
        <v>2260550</v>
      </c>
      <c r="AC107" s="80"/>
      <c r="AD107" s="80"/>
      <c r="AE107" s="122"/>
      <c r="AF107" s="80"/>
      <c r="AG107" s="80">
        <f t="shared" si="6"/>
        <v>2260550</v>
      </c>
      <c r="AH107" s="80"/>
      <c r="AI107" s="80"/>
      <c r="AJ107" s="68">
        <v>16</v>
      </c>
      <c r="AK107" s="68">
        <v>14</v>
      </c>
      <c r="AL107" s="53">
        <v>2</v>
      </c>
      <c r="AN107" s="67">
        <f t="shared" si="5"/>
        <v>0</v>
      </c>
    </row>
    <row r="108" spans="1:40">
      <c r="C108" s="13">
        <v>1490095.4</v>
      </c>
      <c r="E108" s="13">
        <v>722933.9</v>
      </c>
      <c r="G108" s="13">
        <v>1620000</v>
      </c>
      <c r="H108" s="21"/>
      <c r="I108" s="13">
        <v>2000000</v>
      </c>
      <c r="J108" s="21"/>
      <c r="K108" s="13">
        <v>456349.82</v>
      </c>
      <c r="M108" s="13">
        <v>339000</v>
      </c>
      <c r="V108" s="55" t="s">
        <v>53</v>
      </c>
      <c r="W108" s="70">
        <f>P315</f>
        <v>0.71027589385727963</v>
      </c>
      <c r="Y108" s="518">
        <v>39753</v>
      </c>
      <c r="Z108" s="67">
        <f>GETPIVOTDATA("Sum of # fish2",$A$2,"Month","Nov","Year",2008)</f>
        <v>9671489</v>
      </c>
      <c r="AA108" s="80">
        <f>GETPIVOTDATA("0.4*(# Caligus/ farm)",$A$2,"Month","Nov","Year",2008)</f>
        <v>894658.20799999998</v>
      </c>
      <c r="AB108" s="80">
        <f>GETPIVOTDATA("Sum of # Female L.salmonis",$A$2,"Month","Nov","Year",2008)</f>
        <v>3257350.79</v>
      </c>
      <c r="AC108" s="80"/>
      <c r="AD108" s="80"/>
      <c r="AE108" s="122"/>
      <c r="AF108" s="80"/>
      <c r="AG108" s="80">
        <f t="shared" si="6"/>
        <v>3257350.79</v>
      </c>
      <c r="AH108" s="80"/>
      <c r="AI108" s="80"/>
      <c r="AJ108" s="68">
        <v>17</v>
      </c>
      <c r="AK108" s="68">
        <v>15</v>
      </c>
      <c r="AL108" s="53">
        <v>2</v>
      </c>
      <c r="AN108" s="67">
        <f t="shared" si="5"/>
        <v>0</v>
      </c>
    </row>
    <row r="109" spans="1:40">
      <c r="A109" s="20" t="s">
        <v>85</v>
      </c>
      <c r="C109" s="13">
        <v>1348200</v>
      </c>
      <c r="D109" s="21">
        <f>SUM(C107:C109)</f>
        <v>4836169.4000000004</v>
      </c>
      <c r="E109" s="13">
        <v>628537.59999999998</v>
      </c>
      <c r="F109" s="21">
        <f>SUM(E107:E109)</f>
        <v>2401381.5</v>
      </c>
      <c r="G109" s="13">
        <v>1600000</v>
      </c>
      <c r="H109" s="21">
        <f>SUM(G107:G109)</f>
        <v>6116236</v>
      </c>
      <c r="I109" s="13">
        <v>1850563.6400000001</v>
      </c>
      <c r="J109" s="21">
        <f>SUM(I107:I109)</f>
        <v>9111753.9670000002</v>
      </c>
      <c r="K109" s="13">
        <v>361631.34</v>
      </c>
      <c r="L109" s="21">
        <f>SUM(K107:K109)</f>
        <v>1775941.1600000001</v>
      </c>
      <c r="M109" s="13">
        <v>330225.56446330005</v>
      </c>
      <c r="N109" s="21">
        <f>SUM(M107:M109)</f>
        <v>1010385.7294633001</v>
      </c>
      <c r="V109" s="55" t="s">
        <v>54</v>
      </c>
      <c r="W109" s="70">
        <f>P338</f>
        <v>0.68753862015790457</v>
      </c>
      <c r="Y109" s="1">
        <v>39783</v>
      </c>
      <c r="Z109" s="67">
        <f>GETPIVOTDATA("Sum of # fish2",$A$2,"Month","Dec","Year",2008)</f>
        <v>9007459</v>
      </c>
      <c r="AA109" s="80">
        <f>GETPIVOTDATA("0.4*(# Caligus/ farm)",$A$2,"Month","Dec","Year",2008)</f>
        <v>1387613.8666666667</v>
      </c>
      <c r="AB109" s="80">
        <f>GETPIVOTDATA("Sum of # Female L.salmonis",$A$2,"Month","Dec","Year",2008)</f>
        <v>2776703.06</v>
      </c>
      <c r="AC109" s="80"/>
      <c r="AD109" s="80"/>
      <c r="AE109" s="122"/>
      <c r="AF109" s="80"/>
      <c r="AG109" s="80">
        <f t="shared" si="6"/>
        <v>2776703.06</v>
      </c>
      <c r="AH109" s="80"/>
      <c r="AI109" s="80"/>
      <c r="AJ109" s="68">
        <v>17</v>
      </c>
      <c r="AK109" s="68">
        <v>12</v>
      </c>
      <c r="AL109" s="53">
        <v>5</v>
      </c>
      <c r="AN109" s="67">
        <f t="shared" si="5"/>
        <v>0</v>
      </c>
    </row>
    <row r="110" spans="1:40">
      <c r="A110" s="20" t="s">
        <v>63</v>
      </c>
      <c r="C110" s="13">
        <v>689891.20000000007</v>
      </c>
      <c r="D110" s="21">
        <f>SUM(C107:C110)</f>
        <v>5526060.6000000006</v>
      </c>
      <c r="E110" s="13">
        <v>484800</v>
      </c>
      <c r="F110" s="21">
        <f>SUM(E107:E110)</f>
        <v>2886181.5</v>
      </c>
      <c r="G110" s="13">
        <v>988310.64999999991</v>
      </c>
      <c r="H110" s="21">
        <f>SUM(G107:G110)</f>
        <v>7104546.6500000004</v>
      </c>
      <c r="I110" s="13">
        <v>980210</v>
      </c>
      <c r="J110" s="21">
        <f>SUM(I107:I110)</f>
        <v>10091963.967</v>
      </c>
      <c r="K110" s="13">
        <v>346794</v>
      </c>
      <c r="L110" s="21">
        <f>SUM(K107:K110)</f>
        <v>2122735.16</v>
      </c>
      <c r="M110" s="13">
        <v>279527.6934008</v>
      </c>
      <c r="N110" s="21">
        <f>SUM(M107:M110)</f>
        <v>1289913.4228641</v>
      </c>
      <c r="S110" s="20"/>
      <c r="V110" s="55" t="s">
        <v>55</v>
      </c>
      <c r="W110" s="70">
        <f>P361</f>
        <v>0.66453481832080552</v>
      </c>
      <c r="Y110" s="1">
        <v>39814</v>
      </c>
      <c r="Z110" s="67">
        <f>GETPIVOTDATA("Sum of # fish2",$A$2,"Month","Jan","Year",2009)</f>
        <v>8710070</v>
      </c>
      <c r="AA110" s="80">
        <f>GETPIVOTDATA("0.4*(# Caligus/ farm)",$A$2,"Month","Jan","Year",2009)</f>
        <v>981485.1673333334</v>
      </c>
      <c r="AB110" s="80">
        <f>GETPIVOTDATA("Sum of # Female L.salmonis",$A$2,"Month","Jan","Year",2009)</f>
        <v>2643099.6216666666</v>
      </c>
      <c r="AC110" s="80"/>
      <c r="AD110" s="80"/>
      <c r="AE110" s="122"/>
      <c r="AF110" s="80"/>
      <c r="AG110" s="80">
        <f t="shared" si="6"/>
        <v>2643099.6216666666</v>
      </c>
      <c r="AH110" s="80"/>
      <c r="AI110" s="80"/>
      <c r="AJ110" s="68">
        <f>GETPIVOTDATA("Count of # fish",$A$2,"Month","Jan","Year",2009)</f>
        <v>16</v>
      </c>
      <c r="AK110" s="68">
        <v>15</v>
      </c>
      <c r="AL110" s="53">
        <v>1</v>
      </c>
      <c r="AN110" s="67">
        <f t="shared" si="5"/>
        <v>0</v>
      </c>
    </row>
    <row r="111" spans="1:40">
      <c r="A111" s="20" t="s">
        <v>86</v>
      </c>
      <c r="C111" s="13">
        <v>570429</v>
      </c>
      <c r="D111" s="21">
        <f>SUM(C107:C111)</f>
        <v>6096489.6000000006</v>
      </c>
      <c r="E111" s="13">
        <v>390000</v>
      </c>
      <c r="F111" s="21">
        <f>SUM(E107:E111)</f>
        <v>3276181.5</v>
      </c>
      <c r="G111" s="13">
        <v>735000</v>
      </c>
      <c r="H111" s="21">
        <f>SUM(G107:G111)</f>
        <v>7839546.6500000004</v>
      </c>
      <c r="I111" s="13">
        <v>929099.99999999988</v>
      </c>
      <c r="J111" s="21">
        <f>SUM(I107:I111)</f>
        <v>11021063.967</v>
      </c>
      <c r="K111" s="13">
        <v>207043</v>
      </c>
      <c r="L111" s="21">
        <f>SUM(K107:K111)</f>
        <v>2329778.16</v>
      </c>
      <c r="M111" s="13">
        <v>169942.75</v>
      </c>
      <c r="N111" s="21">
        <f>SUM(M107:M111)</f>
        <v>1459856.1728641</v>
      </c>
      <c r="Y111" s="1">
        <v>39845</v>
      </c>
      <c r="Z111" s="67">
        <f>GETPIVOTDATA("Sum of # fish2",$A$2,"Month","Feb","Year",2009)</f>
        <v>7527976</v>
      </c>
      <c r="AA111" s="80">
        <f>GETPIVOTDATA("0.4*(# Caligus/ farm)",$A$2,"Month","Feb","Year",2009)</f>
        <v>970593.66029418656</v>
      </c>
      <c r="AB111" s="80">
        <f>GETPIVOTDATA("Sum of # Female L.salmonis",$A$2,"Month","Feb","Year",2009)</f>
        <v>1345063.4305323332</v>
      </c>
      <c r="AC111" s="80"/>
      <c r="AD111" s="80"/>
      <c r="AE111" s="122"/>
      <c r="AF111" s="80"/>
      <c r="AG111" s="80">
        <f t="shared" si="6"/>
        <v>1345063.4305323332</v>
      </c>
      <c r="AH111" s="80"/>
      <c r="AI111" s="80"/>
      <c r="AJ111" s="68">
        <f>GETPIVOTDATA("Count of # fish",$A$2,"Month","Feb","Year",2009)</f>
        <v>17</v>
      </c>
      <c r="AK111" s="68">
        <v>14</v>
      </c>
      <c r="AL111" s="53">
        <v>3</v>
      </c>
      <c r="AN111" s="67">
        <f t="shared" si="5"/>
        <v>0</v>
      </c>
    </row>
    <row r="112" spans="1:40">
      <c r="C112" s="13">
        <v>423284.44</v>
      </c>
      <c r="E112" s="13">
        <v>339689.39999999997</v>
      </c>
      <c r="G112" s="13">
        <v>539973.35</v>
      </c>
      <c r="I112" s="13">
        <v>472780</v>
      </c>
      <c r="K112" s="13">
        <v>177590.05000000002</v>
      </c>
      <c r="M112" s="13">
        <v>166036.79999999999</v>
      </c>
      <c r="Y112" s="1">
        <v>39873</v>
      </c>
      <c r="Z112" s="67">
        <f>GETPIVOTDATA("Sum of # fish2",$A$2,"Month","Mar","Year",2009)</f>
        <v>7886678</v>
      </c>
      <c r="AA112" s="80">
        <f>GETPIVOTDATA("0.4*(# Caligus/ farm)",$A$2,"Month","Mar","Year",2009)</f>
        <v>674655.00133333332</v>
      </c>
      <c r="AB112" s="80">
        <f>GETPIVOTDATA("Sum of # Female L.salmonis",$A$2,"Month","Mar","Year",2009)</f>
        <v>609381.82499999995</v>
      </c>
      <c r="AC112" s="80"/>
      <c r="AD112" s="80"/>
      <c r="AE112" s="122"/>
      <c r="AF112" s="80"/>
      <c r="AG112" s="539">
        <f t="shared" si="6"/>
        <v>609381.82499999995</v>
      </c>
      <c r="AH112" s="80"/>
      <c r="AI112" s="80"/>
      <c r="AJ112" s="68">
        <f>GETPIVOTDATA("Count of # fish",$A$2,"Month","Mar","Year",2009)</f>
        <v>16</v>
      </c>
      <c r="AK112" s="68">
        <v>14</v>
      </c>
      <c r="AL112" s="53">
        <v>2</v>
      </c>
      <c r="AN112" s="67">
        <f t="shared" si="5"/>
        <v>0</v>
      </c>
    </row>
    <row r="113" spans="1:40">
      <c r="C113" s="13">
        <v>378749.7</v>
      </c>
      <c r="E113" s="13">
        <v>336000</v>
      </c>
      <c r="G113" s="13">
        <v>369170</v>
      </c>
      <c r="I113" s="13">
        <v>299670</v>
      </c>
      <c r="K113" s="13">
        <v>84280.000000000015</v>
      </c>
      <c r="M113" s="13">
        <v>111374.14000000001</v>
      </c>
      <c r="Y113" s="1">
        <v>39904</v>
      </c>
      <c r="Z113" s="67">
        <f>GETPIVOTDATA("Sum of # fish2",$A$2,"Month","Apr","Year",2009)</f>
        <v>7679793</v>
      </c>
      <c r="AA113" s="80">
        <f>GETPIVOTDATA("0.4*(# Caligus/ farm)",$A$2,"Month","Apr","Year",2009)</f>
        <v>241267.19200000001</v>
      </c>
      <c r="AB113" s="80">
        <f>GETPIVOTDATA("Sum of # Female L.salmonis",$A$2,"Month","Apr","Year",2009)</f>
        <v>164499.79499999998</v>
      </c>
      <c r="AC113" s="80"/>
      <c r="AD113" s="80"/>
      <c r="AE113" s="122"/>
      <c r="AF113" s="80"/>
      <c r="AG113" s="80">
        <f t="shared" si="6"/>
        <v>164499.79499999998</v>
      </c>
      <c r="AH113" s="80"/>
      <c r="AI113" s="80"/>
      <c r="AJ113" s="68">
        <f>GETPIVOTDATA("Count of # fish",$A$2,"Month","Apr","Year",2009)</f>
        <v>14</v>
      </c>
      <c r="AK113" s="68">
        <v>14</v>
      </c>
      <c r="AL113" s="53">
        <v>0</v>
      </c>
      <c r="AN113" s="67">
        <f t="shared" si="5"/>
        <v>0</v>
      </c>
    </row>
    <row r="114" spans="1:40">
      <c r="C114" s="13">
        <v>262253.58750000002</v>
      </c>
      <c r="E114" s="13">
        <v>316750</v>
      </c>
      <c r="G114" s="13">
        <v>337560</v>
      </c>
      <c r="I114" s="13">
        <v>207200.00000000003</v>
      </c>
      <c r="K114" s="13">
        <v>72800</v>
      </c>
      <c r="M114" s="13">
        <v>89749.65</v>
      </c>
      <c r="Y114" s="1">
        <v>39934</v>
      </c>
      <c r="Z114" s="67">
        <f>GETPIVOTDATA("Sum of # fish2",$A$2,"Month","May","Year",2009)</f>
        <v>7654344</v>
      </c>
      <c r="AA114" s="80">
        <f>GETPIVOTDATA("0.4*(# Caligus/ farm)",$A$2,"Month","May","Year",2009)</f>
        <v>731167.37342776009</v>
      </c>
      <c r="AB114" s="80">
        <f>GETPIVOTDATA("Sum of # Female L.salmonis",$A$2,"Month","May","Year",2009)</f>
        <v>203466.09980620001</v>
      </c>
      <c r="AC114" s="80"/>
      <c r="AD114" s="80"/>
      <c r="AE114" s="122"/>
      <c r="AF114" s="80"/>
      <c r="AG114" s="80">
        <f t="shared" si="6"/>
        <v>203466.09980620001</v>
      </c>
      <c r="AH114" s="80"/>
      <c r="AI114" s="80"/>
      <c r="AJ114" s="68">
        <f>GETPIVOTDATA("Count of # fish",$A$2,"Month","May","Year",2009)</f>
        <v>14</v>
      </c>
      <c r="AK114" s="68">
        <v>14</v>
      </c>
      <c r="AL114" s="53">
        <v>0</v>
      </c>
      <c r="AN114" s="67">
        <f t="shared" si="5"/>
        <v>0</v>
      </c>
    </row>
    <row r="115" spans="1:40">
      <c r="C115" s="13">
        <v>232372.80000000002</v>
      </c>
      <c r="E115" s="13">
        <v>297000</v>
      </c>
      <c r="G115" s="13">
        <v>183680.00000000003</v>
      </c>
      <c r="I115" s="13">
        <v>127873.13</v>
      </c>
      <c r="K115" s="13">
        <v>72376.319999999992</v>
      </c>
      <c r="M115" s="13">
        <v>76800</v>
      </c>
      <c r="Y115" s="1">
        <v>39965</v>
      </c>
      <c r="Z115" s="67">
        <f>GETPIVOTDATA("Sum of # fish2",$A$2,"Month","Jun","Year",2009)</f>
        <v>7854787</v>
      </c>
      <c r="AA115" s="80">
        <f>GETPIVOTDATA("0.4*(# Caligus/ farm)",$A$2,"Month","Jun","Year",2009)</f>
        <v>827031.57199999993</v>
      </c>
      <c r="AB115" s="80">
        <f>GETPIVOTDATA("Sum of # Female L.salmonis",$A$2,"Month","Jun","Year",2009)</f>
        <v>282099.40999999997</v>
      </c>
      <c r="AC115" s="80"/>
      <c r="AD115" s="80"/>
      <c r="AE115" s="122"/>
      <c r="AF115" s="80"/>
      <c r="AG115" s="80">
        <f t="shared" si="6"/>
        <v>282099.40999999997</v>
      </c>
      <c r="AH115" s="80"/>
      <c r="AI115" s="80"/>
      <c r="AJ115" s="68">
        <f>GETPIVOTDATA("Count of # fish",$A$2,"Month","Jun","Year",2009)</f>
        <v>15</v>
      </c>
      <c r="AK115" s="68">
        <v>14</v>
      </c>
      <c r="AL115" s="53">
        <v>1</v>
      </c>
      <c r="AN115" s="67">
        <f t="shared" si="5"/>
        <v>0</v>
      </c>
    </row>
    <row r="116" spans="1:40">
      <c r="C116" s="13">
        <v>69138.875</v>
      </c>
      <c r="E116" s="13">
        <v>247000</v>
      </c>
      <c r="G116" s="13">
        <v>97050</v>
      </c>
      <c r="I116" s="13">
        <v>58500</v>
      </c>
      <c r="K116" s="13">
        <v>58038</v>
      </c>
      <c r="M116" s="13">
        <v>56945</v>
      </c>
      <c r="Y116" s="1">
        <v>39995</v>
      </c>
      <c r="Z116" s="67">
        <f>GETPIVOTDATA("Sum of # fish2",$A$2,"Month","Jul","Year",2009)</f>
        <v>7249443.5</v>
      </c>
      <c r="AA116" s="80">
        <f>GETPIVOTDATA("0.4*(# Caligus/ farm)",$A$2,"Month","Jul","Year",2009)</f>
        <v>601895.40433333348</v>
      </c>
      <c r="AB116" s="80">
        <f>GETPIVOTDATA("Sum of # Female L.salmonis",$A$2,"Month","Jul","Year",2009)</f>
        <v>249311.48666666663</v>
      </c>
      <c r="AC116" s="80"/>
      <c r="AD116" s="80"/>
      <c r="AE116" s="122"/>
      <c r="AF116" s="80"/>
      <c r="AG116" s="80">
        <f t="shared" si="6"/>
        <v>249311.48666666663</v>
      </c>
      <c r="AH116" s="80"/>
      <c r="AI116" s="80"/>
      <c r="AJ116" s="68">
        <f>GETPIVOTDATA("Count of # fish",$A$2,"Month","Jul","Year",2009)</f>
        <v>16</v>
      </c>
      <c r="AK116" s="68">
        <v>15</v>
      </c>
      <c r="AL116" s="53">
        <v>1</v>
      </c>
      <c r="AN116" s="67">
        <f t="shared" si="5"/>
        <v>0</v>
      </c>
    </row>
    <row r="117" spans="1:40">
      <c r="C117" s="13">
        <v>0</v>
      </c>
      <c r="E117" s="13">
        <v>229800</v>
      </c>
      <c r="G117" s="13">
        <v>72718.319999999992</v>
      </c>
      <c r="I117" s="13">
        <v>55199.999999999993</v>
      </c>
      <c r="K117" s="13">
        <v>44071.76</v>
      </c>
      <c r="M117" s="13">
        <v>15041.675000000001</v>
      </c>
      <c r="Y117" s="1">
        <v>40026</v>
      </c>
      <c r="Z117" s="67">
        <f>GETPIVOTDATA("Sum of # fish2",$A$2,"Month","Aug","Year",2009)</f>
        <v>7069885</v>
      </c>
      <c r="AA117" s="80">
        <f>GETPIVOTDATA("0.4*(# Caligus/ farm)",$A$2,"Month","Aug","Year",2009)</f>
        <v>274430.73133333336</v>
      </c>
      <c r="AB117" s="80">
        <f>GETPIVOTDATA("Sum of # Female L.salmonis",$A$2,"Month","Aug","Year",2009)</f>
        <v>456682.11904761905</v>
      </c>
      <c r="AC117" s="80"/>
      <c r="AD117" s="80"/>
      <c r="AE117" s="122"/>
      <c r="AF117" s="80"/>
      <c r="AG117" s="80">
        <f t="shared" si="6"/>
        <v>456682.11904761905</v>
      </c>
      <c r="AH117" s="80"/>
      <c r="AI117" s="80"/>
      <c r="AJ117" s="68">
        <f>GETPIVOTDATA("Count of # fish",$A$2,"Month","Aug","Year",2009)</f>
        <v>15</v>
      </c>
      <c r="AK117" s="68">
        <v>15</v>
      </c>
      <c r="AL117" s="53">
        <v>0</v>
      </c>
      <c r="AN117" s="67">
        <f t="shared" si="5"/>
        <v>0</v>
      </c>
    </row>
    <row r="118" spans="1:40">
      <c r="C118" s="13">
        <v>0</v>
      </c>
      <c r="E118" s="13">
        <v>124000</v>
      </c>
      <c r="G118" s="13">
        <v>13005</v>
      </c>
      <c r="I118" s="13">
        <v>0</v>
      </c>
      <c r="K118" s="13">
        <v>41861.68</v>
      </c>
      <c r="M118" s="13">
        <v>3773.3</v>
      </c>
      <c r="Y118" s="1">
        <v>40057</v>
      </c>
      <c r="Z118" s="67">
        <f>GETPIVOTDATA("Sum of # fish2",$A$2,"Month","Sep","Year",2009)</f>
        <v>6388277.5</v>
      </c>
      <c r="AA118" s="80">
        <f>GETPIVOTDATA("0.4*(# Caligus/ farm)",$A$2,"Month","Sep","Year",2009)</f>
        <v>241438.70333333328</v>
      </c>
      <c r="AB118" s="80">
        <f>GETPIVOTDATA("Sum of # Female L.salmonis",$A$2,"Month","Sep","Year",2009)</f>
        <v>2384425.875</v>
      </c>
      <c r="AC118" s="80"/>
      <c r="AD118" s="80"/>
      <c r="AE118" s="122"/>
      <c r="AF118" s="80"/>
      <c r="AG118" s="80">
        <f t="shared" si="6"/>
        <v>2384425.875</v>
      </c>
      <c r="AH118" s="80"/>
      <c r="AI118" s="80"/>
      <c r="AJ118" s="68">
        <f>GETPIVOTDATA("Count of # fish",$A$2,"Month","Sep","Year",2009)</f>
        <v>14</v>
      </c>
      <c r="AK118" s="68">
        <v>12</v>
      </c>
      <c r="AL118" s="53">
        <v>2</v>
      </c>
      <c r="AN118" s="67">
        <f t="shared" si="5"/>
        <v>0</v>
      </c>
    </row>
    <row r="119" spans="1:40">
      <c r="C119" s="13">
        <v>0</v>
      </c>
      <c r="E119" s="13">
        <v>60000</v>
      </c>
      <c r="G119" s="13">
        <v>10000</v>
      </c>
      <c r="I119" s="13">
        <v>0</v>
      </c>
      <c r="K119" s="13">
        <v>34258.350000000006</v>
      </c>
      <c r="M119" s="13">
        <v>0</v>
      </c>
      <c r="P119" s="50" t="s">
        <v>165</v>
      </c>
      <c r="Q119" s="50"/>
      <c r="R119" s="50"/>
      <c r="Y119" s="1">
        <v>40087</v>
      </c>
      <c r="Z119" s="67">
        <f>GETPIVOTDATA("Sum of # fish2",$A$2,"Month","Oct","Year",2009)</f>
        <v>6692139</v>
      </c>
      <c r="AA119" s="80">
        <f>GETPIVOTDATA("0.4*(# Caligus/ farm)",$A$2,"Month","Oct","Year",2009)</f>
        <v>347087.24099999998</v>
      </c>
      <c r="AB119" s="80">
        <f>GETPIVOTDATA("Sum of # Female L.salmonis",$A$2,"Month","Oct","Year",2009)</f>
        <v>6682651.8500000006</v>
      </c>
      <c r="AC119" s="80"/>
      <c r="AD119" s="80"/>
      <c r="AE119" s="122"/>
      <c r="AF119" s="80"/>
      <c r="AG119" s="80">
        <f t="shared" si="6"/>
        <v>6682651.8500000006</v>
      </c>
      <c r="AH119" s="80"/>
      <c r="AI119" s="80"/>
      <c r="AJ119" s="68">
        <f>GETPIVOTDATA("Count of # fish",$A$2,"Month","Oct","Year",2009)</f>
        <v>15</v>
      </c>
      <c r="AK119" s="68">
        <v>13</v>
      </c>
      <c r="AL119" s="53">
        <v>2</v>
      </c>
      <c r="AN119" s="67">
        <f t="shared" si="5"/>
        <v>0</v>
      </c>
    </row>
    <row r="120" spans="1:40">
      <c r="C120" s="13">
        <v>0</v>
      </c>
      <c r="E120" s="13">
        <v>0</v>
      </c>
      <c r="G120" s="13">
        <v>8500</v>
      </c>
      <c r="I120" s="13">
        <v>0</v>
      </c>
      <c r="K120" s="13">
        <v>0</v>
      </c>
      <c r="M120" s="13">
        <v>0</v>
      </c>
      <c r="P120" s="87" t="s">
        <v>107</v>
      </c>
      <c r="Q120" s="87"/>
      <c r="R120" s="87"/>
      <c r="Y120" s="518">
        <v>40118</v>
      </c>
      <c r="Z120" s="67">
        <f>GETPIVOTDATA("Sum of # fish2",$A$2,"Month","Nov","Year",2009)</f>
        <v>6850801</v>
      </c>
      <c r="AA120" s="80">
        <f>GETPIVOTDATA("0.4*(# Caligus/ farm)",$A$2,"Month","Nov","Year",2009)</f>
        <v>1793663.5872000002</v>
      </c>
      <c r="AB120" s="80">
        <f>GETPIVOTDATA("Sum of # Female L.salmonis",$A$2,"Month","Nov","Year",2009)</f>
        <v>7460789.2750000004</v>
      </c>
      <c r="AC120" s="80"/>
      <c r="AD120" s="80"/>
      <c r="AE120" s="122"/>
      <c r="AF120" s="80"/>
      <c r="AG120" s="80">
        <f t="shared" si="6"/>
        <v>7460789.2750000004</v>
      </c>
      <c r="AH120" s="80"/>
      <c r="AI120" s="80"/>
      <c r="AJ120" s="68">
        <f>GETPIVOTDATA("Count of # fish",$A$2,"Month","Nov","Year",2009)</f>
        <v>16</v>
      </c>
      <c r="AK120" s="68">
        <v>14</v>
      </c>
      <c r="AL120" s="53">
        <v>2</v>
      </c>
      <c r="AN120" s="67">
        <f t="shared" si="5"/>
        <v>0</v>
      </c>
    </row>
    <row r="121" spans="1:40">
      <c r="C121" s="13">
        <v>0</v>
      </c>
      <c r="E121" s="13">
        <v>0</v>
      </c>
      <c r="G121" s="13">
        <v>6400</v>
      </c>
      <c r="I121" s="13">
        <v>0</v>
      </c>
      <c r="K121" s="13">
        <v>0</v>
      </c>
      <c r="M121" s="13"/>
      <c r="O121" s="20"/>
      <c r="P121" s="272" t="s">
        <v>91</v>
      </c>
      <c r="Q121" s="537" t="s">
        <v>806</v>
      </c>
      <c r="R121" s="537" t="s">
        <v>807</v>
      </c>
      <c r="Y121" s="1">
        <v>40148</v>
      </c>
      <c r="Z121" s="67">
        <f>GETPIVOTDATA("Sum of # fish2",$A$2,"Month","Dec","Year",2009)</f>
        <v>6649783.5</v>
      </c>
      <c r="AA121" s="80">
        <f>GETPIVOTDATA("0.4*(# Caligus/ farm)",$A$2,"Month","Dec","Year",2009)</f>
        <v>823914.09533333336</v>
      </c>
      <c r="AB121" s="80">
        <f>GETPIVOTDATA("Sum of # Female L.salmonis",$A$2,"Month","Dec","Year",2009)</f>
        <v>4756834.6949999994</v>
      </c>
      <c r="AC121" s="80"/>
      <c r="AD121" s="80"/>
      <c r="AE121" s="122"/>
      <c r="AF121" s="80"/>
      <c r="AG121" s="80">
        <f t="shared" si="6"/>
        <v>4756834.6949999994</v>
      </c>
      <c r="AH121" s="80"/>
      <c r="AI121" s="80"/>
      <c r="AJ121" s="68">
        <f>GETPIVOTDATA("Count of # fish",$A$2,"Month","Dec","Year",2009)</f>
        <v>15</v>
      </c>
      <c r="AK121" s="68">
        <v>13</v>
      </c>
      <c r="AL121" s="53">
        <v>2</v>
      </c>
      <c r="AN121" s="67">
        <f t="shared" si="5"/>
        <v>0</v>
      </c>
    </row>
    <row r="122" spans="1:40">
      <c r="A122" s="20" t="s">
        <v>64</v>
      </c>
      <c r="C122" s="13"/>
      <c r="D122" s="21">
        <f>SUM(C107:C120)</f>
        <v>7462289.0025000013</v>
      </c>
      <c r="E122" s="13">
        <v>0</v>
      </c>
      <c r="F122" s="21">
        <f>SUM(E107:E122)</f>
        <v>5226420.9000000004</v>
      </c>
      <c r="G122" s="13">
        <v>0</v>
      </c>
      <c r="H122" s="21">
        <f>SUM(G107:G123)</f>
        <v>9477603.3200000003</v>
      </c>
      <c r="I122" s="13"/>
      <c r="J122" s="21">
        <f>SUM(I107:I121)</f>
        <v>12242287.097000001</v>
      </c>
      <c r="K122" s="13">
        <v>0</v>
      </c>
      <c r="L122" s="21">
        <f>SUM(K107:K122)</f>
        <v>2915054.32</v>
      </c>
      <c r="M122" s="13"/>
      <c r="N122" s="21">
        <f>SUM(M107:M122)</f>
        <v>1979576.7378640999</v>
      </c>
      <c r="O122" s="21"/>
      <c r="P122" s="88">
        <f>AVERAGE(D122,F122,H122,J122,L122,N122)</f>
        <v>6550538.5628940174</v>
      </c>
      <c r="Q122" s="88"/>
      <c r="R122" s="88"/>
      <c r="S122" s="20"/>
      <c r="Y122" s="53" t="s">
        <v>122</v>
      </c>
      <c r="Z122" s="67">
        <f>MIN(Z5:Z121)</f>
        <v>4715238</v>
      </c>
      <c r="AA122" s="67">
        <f>MIN(AA5:AA121)</f>
        <v>0</v>
      </c>
      <c r="AB122" s="67">
        <f>MIN(AB5:AB121)</f>
        <v>164499.79499999998</v>
      </c>
      <c r="AC122" s="67"/>
      <c r="AD122" s="67"/>
      <c r="AF122" s="53" t="s">
        <v>122</v>
      </c>
      <c r="AG122" s="67">
        <f>MIN(AG5:AG115)</f>
        <v>164499.79499999998</v>
      </c>
      <c r="AH122" s="67"/>
      <c r="AI122" s="67"/>
      <c r="AJ122" s="67">
        <f>MIN(AJ5:AJ115)</f>
        <v>11</v>
      </c>
      <c r="AK122" s="67">
        <f>MIN(AK5:AK115)</f>
        <v>0</v>
      </c>
      <c r="AL122" s="67">
        <f>MIN(AL5:AL115)</f>
        <v>0</v>
      </c>
    </row>
    <row r="123" spans="1:40">
      <c r="A123" s="20" t="s">
        <v>83</v>
      </c>
      <c r="C123" s="13"/>
      <c r="D123" s="135">
        <f>D109/D122</f>
        <v>0.64808122526208733</v>
      </c>
      <c r="E123" s="13">
        <v>0</v>
      </c>
      <c r="F123" s="135">
        <f>F109/F122</f>
        <v>0.4594695961054342</v>
      </c>
      <c r="G123" s="13"/>
      <c r="H123" s="135">
        <f>H109/H122</f>
        <v>0.64533572396866257</v>
      </c>
      <c r="I123" s="13"/>
      <c r="J123" s="135">
        <f>J109/J122</f>
        <v>0.74428527078350049</v>
      </c>
      <c r="K123" s="13"/>
      <c r="L123" s="135">
        <f>L109/L122</f>
        <v>0.60923089762526283</v>
      </c>
      <c r="M123" s="13"/>
      <c r="N123" s="135">
        <f>N109/N122</f>
        <v>0.51040493158829192</v>
      </c>
      <c r="O123" s="44"/>
      <c r="P123" s="89">
        <f>AVERAGE(D123,F123,H123,J123,L123,N123)</f>
        <v>0.60280127422220653</v>
      </c>
      <c r="Q123" s="89">
        <f t="shared" ref="Q123:Q125" si="9">MIN(D123,F123,H123,J123,L123,N123)</f>
        <v>0.4594695961054342</v>
      </c>
      <c r="R123" s="89">
        <f t="shared" ref="R123:R125" si="10">MAX(D123,F123,H123,J123,L123,N123)</f>
        <v>0.74428527078350049</v>
      </c>
      <c r="S123" s="20"/>
      <c r="T123" s="20" t="s">
        <v>83</v>
      </c>
      <c r="Y123" s="53" t="s">
        <v>123</v>
      </c>
      <c r="Z123" s="67">
        <f>MAX(Z5:Z121)</f>
        <v>9671489</v>
      </c>
      <c r="AA123" s="67">
        <f>MAX(AA5:AA121)</f>
        <v>4622348.1239999998</v>
      </c>
      <c r="AB123" s="67">
        <f>MAX(AB5:AB121)</f>
        <v>29528485.16</v>
      </c>
      <c r="AC123" s="67"/>
      <c r="AD123" s="67"/>
      <c r="AF123" s="53" t="s">
        <v>123</v>
      </c>
      <c r="AG123" s="67">
        <f>MAX(AG5:AG115)</f>
        <v>29528485.16</v>
      </c>
      <c r="AH123" s="67"/>
      <c r="AI123" s="67"/>
      <c r="AJ123" s="67">
        <f>MAX(AJ5:AJ115)</f>
        <v>18</v>
      </c>
      <c r="AK123" s="67">
        <f>MAX(AK5:AK115)</f>
        <v>16</v>
      </c>
      <c r="AL123" s="67">
        <f>MAX(AL5:AL115)</f>
        <v>6</v>
      </c>
    </row>
    <row r="124" spans="1:40">
      <c r="A124" s="20" t="s">
        <v>65</v>
      </c>
      <c r="C124" s="13"/>
      <c r="D124" s="44">
        <f>D110/D122</f>
        <v>0.74053157123084756</v>
      </c>
      <c r="E124" s="13"/>
      <c r="F124" s="44">
        <f>F110/F122</f>
        <v>0.55222905985241255</v>
      </c>
      <c r="G124" s="13"/>
      <c r="H124" s="44">
        <f>H110/H122</f>
        <v>0.74961426534994502</v>
      </c>
      <c r="I124" s="21"/>
      <c r="J124" s="44">
        <f>J110/J122</f>
        <v>0.82435282615395111</v>
      </c>
      <c r="K124" s="13"/>
      <c r="L124" s="44">
        <f>L110/L122</f>
        <v>0.72819746288638643</v>
      </c>
      <c r="M124" s="21"/>
      <c r="N124" s="44">
        <f>N110/N122</f>
        <v>0.65161071970156381</v>
      </c>
      <c r="O124" s="44"/>
      <c r="P124" s="89">
        <f>AVERAGE(D124,F124,H124,J124,L124,N124)</f>
        <v>0.70775598419585106</v>
      </c>
      <c r="Q124" s="89">
        <f t="shared" si="9"/>
        <v>0.55222905985241255</v>
      </c>
      <c r="R124" s="89">
        <f t="shared" si="10"/>
        <v>0.82435282615395111</v>
      </c>
      <c r="S124" s="20"/>
      <c r="T124" s="20" t="s">
        <v>65</v>
      </c>
      <c r="Y124" s="428" t="s">
        <v>257</v>
      </c>
      <c r="Z124" s="117">
        <f>Z123/Z122</f>
        <v>2.0511136447407319</v>
      </c>
      <c r="AA124" s="117" t="e">
        <f t="shared" ref="AA124:AB124" si="11">AA123/AA122</f>
        <v>#DIV/0!</v>
      </c>
      <c r="AB124" s="117">
        <f t="shared" si="11"/>
        <v>179.50469275660802</v>
      </c>
      <c r="AC124" s="117"/>
      <c r="AD124" s="117"/>
      <c r="AF124" s="428" t="s">
        <v>257</v>
      </c>
      <c r="AG124" s="117">
        <f t="shared" ref="AG124" si="12">AG123/AG122</f>
        <v>179.50469275660802</v>
      </c>
      <c r="AH124" s="117"/>
      <c r="AI124" s="117"/>
      <c r="AJ124" s="117"/>
      <c r="AK124" s="117"/>
      <c r="AL124" s="117"/>
    </row>
    <row r="125" spans="1:40">
      <c r="A125" s="20" t="s">
        <v>82</v>
      </c>
      <c r="C125" s="13"/>
      <c r="D125" s="44">
        <f>D111/D122</f>
        <v>0.81697312955281776</v>
      </c>
      <c r="F125" s="44">
        <f>F111/F122</f>
        <v>0.6268499155894619</v>
      </c>
      <c r="G125" s="13"/>
      <c r="H125" s="44">
        <f>H111/H122</f>
        <v>0.82716551698852914</v>
      </c>
      <c r="I125" s="21"/>
      <c r="J125" s="44">
        <f>J111/J122</f>
        <v>0.90024550802282166</v>
      </c>
      <c r="K125" s="13"/>
      <c r="L125" s="44">
        <f>L111/L122</f>
        <v>0.79922289749989983</v>
      </c>
      <c r="M125" s="21"/>
      <c r="N125" s="44">
        <f>N111/N122</f>
        <v>0.73745874304384795</v>
      </c>
      <c r="O125" s="44"/>
      <c r="P125" s="89">
        <f>AVERAGE(D125,F125,H125,J125,L125,N125)</f>
        <v>0.78465261844956302</v>
      </c>
      <c r="Q125" s="89">
        <f t="shared" si="9"/>
        <v>0.6268499155894619</v>
      </c>
      <c r="R125" s="89">
        <f t="shared" si="10"/>
        <v>0.90024550802282166</v>
      </c>
      <c r="S125" s="20"/>
      <c r="T125" s="20" t="s">
        <v>82</v>
      </c>
      <c r="Z125" s="100"/>
    </row>
    <row r="126" spans="1:40">
      <c r="C126" s="13"/>
      <c r="G126" s="21"/>
      <c r="H126" s="21"/>
      <c r="I126" s="21"/>
      <c r="J126" s="21"/>
      <c r="K126" s="13"/>
      <c r="M126" s="21"/>
      <c r="Z126" s="100"/>
    </row>
    <row r="128" spans="1:40">
      <c r="D128" s="58" t="s">
        <v>107</v>
      </c>
      <c r="E128" s="57"/>
      <c r="F128" s="58" t="s">
        <v>107</v>
      </c>
      <c r="G128" s="57"/>
      <c r="H128" s="58" t="s">
        <v>107</v>
      </c>
      <c r="I128" s="57"/>
      <c r="J128" s="58" t="s">
        <v>107</v>
      </c>
      <c r="K128" s="57"/>
      <c r="L128" s="58" t="s">
        <v>107</v>
      </c>
      <c r="M128" s="57"/>
      <c r="N128" s="58" t="s">
        <v>107</v>
      </c>
    </row>
    <row r="129" spans="1:19">
      <c r="C129" s="50" t="s">
        <v>166</v>
      </c>
      <c r="D129" s="18"/>
      <c r="E129" s="50" t="s">
        <v>167</v>
      </c>
      <c r="F129" s="18"/>
      <c r="G129" s="50" t="s">
        <v>168</v>
      </c>
      <c r="H129" s="18"/>
      <c r="I129" s="50" t="s">
        <v>169</v>
      </c>
      <c r="J129" s="18"/>
      <c r="K129" s="50" t="s">
        <v>170</v>
      </c>
      <c r="L129" s="18"/>
      <c r="M129" s="18" t="s">
        <v>171</v>
      </c>
      <c r="N129" s="18"/>
    </row>
    <row r="130" spans="1:19">
      <c r="C130" s="13">
        <v>1829795.85</v>
      </c>
      <c r="E130" s="13">
        <v>1163013.6000000001</v>
      </c>
      <c r="G130" s="13">
        <v>1000000</v>
      </c>
      <c r="H130" s="21"/>
      <c r="I130" s="13">
        <v>1528232.4000000001</v>
      </c>
      <c r="J130" s="21"/>
      <c r="K130" s="13">
        <v>444082.5</v>
      </c>
      <c r="M130" s="13">
        <v>451762.4</v>
      </c>
    </row>
    <row r="131" spans="1:19">
      <c r="A131" s="118" t="s">
        <v>271</v>
      </c>
      <c r="C131" s="13">
        <v>1503861.76</v>
      </c>
      <c r="D131" s="21">
        <f>C130+C131</f>
        <v>3333657.6100000003</v>
      </c>
      <c r="E131" s="13">
        <v>1065880</v>
      </c>
      <c r="F131" s="21">
        <f>E130+E131</f>
        <v>2228893.6</v>
      </c>
      <c r="G131" s="13">
        <v>616398.85</v>
      </c>
      <c r="H131" s="21">
        <f>G130+G131</f>
        <v>1616398.85</v>
      </c>
      <c r="I131" s="13">
        <v>1285504.5</v>
      </c>
      <c r="J131" s="21">
        <f>I130+I131</f>
        <v>2813736.9000000004</v>
      </c>
      <c r="K131" s="13">
        <v>416372</v>
      </c>
      <c r="L131" s="21">
        <f>K130+K131</f>
        <v>860454.5</v>
      </c>
      <c r="M131" s="13">
        <v>179638.5</v>
      </c>
      <c r="N131" s="21">
        <f>M130+M131</f>
        <v>631400.9</v>
      </c>
    </row>
    <row r="132" spans="1:19">
      <c r="A132" s="20" t="s">
        <v>85</v>
      </c>
      <c r="C132" s="13">
        <v>870000</v>
      </c>
      <c r="D132" s="21">
        <f>SUM(C130:C132)</f>
        <v>4203657.6100000003</v>
      </c>
      <c r="E132" s="13">
        <v>765089</v>
      </c>
      <c r="F132" s="21">
        <f>SUM(E130:E132)</f>
        <v>2993982.6</v>
      </c>
      <c r="G132" s="13">
        <v>569776.56000000006</v>
      </c>
      <c r="H132" s="21">
        <f>SUM(G130:G132)</f>
        <v>2186175.41</v>
      </c>
      <c r="I132" s="13">
        <v>489541.53</v>
      </c>
      <c r="J132" s="21">
        <f>SUM(I130:I132)</f>
        <v>3303278.4300000006</v>
      </c>
      <c r="K132" s="13">
        <v>267052.24000000005</v>
      </c>
      <c r="L132" s="21">
        <f>SUM(K130:K132)</f>
        <v>1127506.74</v>
      </c>
      <c r="M132" s="13">
        <v>110980</v>
      </c>
      <c r="N132" s="21">
        <f>SUM(M130:M132)</f>
        <v>742380.9</v>
      </c>
    </row>
    <row r="133" spans="1:19">
      <c r="A133" s="20" t="s">
        <v>63</v>
      </c>
      <c r="C133" s="13">
        <v>256864.9</v>
      </c>
      <c r="D133" s="21">
        <f>SUM(C130:C133)</f>
        <v>4460522.5100000007</v>
      </c>
      <c r="E133" s="13">
        <v>679378.79999999993</v>
      </c>
      <c r="F133" s="21">
        <f>SUM(E130:E133)</f>
        <v>3673361.4</v>
      </c>
      <c r="G133" s="13">
        <v>539760</v>
      </c>
      <c r="H133" s="21">
        <f>SUM(G130:G133)</f>
        <v>2725935.41</v>
      </c>
      <c r="I133" s="13">
        <v>480249.32</v>
      </c>
      <c r="J133" s="21">
        <f>SUM(I130:I133)</f>
        <v>3783527.7500000005</v>
      </c>
      <c r="K133" s="13">
        <v>265713.3</v>
      </c>
      <c r="L133" s="21">
        <f>SUM(K130:K133)</f>
        <v>1393220.04</v>
      </c>
      <c r="M133" s="13">
        <v>105373.8</v>
      </c>
      <c r="N133" s="21">
        <f>SUM(M130:M133)</f>
        <v>847754.70000000007</v>
      </c>
      <c r="S133" s="20"/>
    </row>
    <row r="134" spans="1:19">
      <c r="A134" s="20" t="s">
        <v>86</v>
      </c>
      <c r="C134" s="13">
        <v>113850.8</v>
      </c>
      <c r="D134" s="21">
        <f>SUM(C130:C134)</f>
        <v>4574373.3100000005</v>
      </c>
      <c r="E134" s="13">
        <v>605343</v>
      </c>
      <c r="F134" s="21">
        <f>SUM(E130:E134)</f>
        <v>4278704.4000000004</v>
      </c>
      <c r="G134" s="13">
        <v>332709.85000000003</v>
      </c>
      <c r="H134" s="21">
        <f>SUM(G130:G134)</f>
        <v>3058645.2600000002</v>
      </c>
      <c r="I134" s="13">
        <v>276185.76</v>
      </c>
      <c r="J134" s="21">
        <f>SUM(I130:I134)</f>
        <v>4059713.5100000007</v>
      </c>
      <c r="K134" s="13">
        <v>215582.1</v>
      </c>
      <c r="L134" s="21">
        <f>SUM(K130:K134)</f>
        <v>1608802.1400000001</v>
      </c>
      <c r="M134" s="13">
        <v>49161.36</v>
      </c>
      <c r="N134" s="21">
        <f>SUM(M130:M134)</f>
        <v>896916.06</v>
      </c>
    </row>
    <row r="135" spans="1:19">
      <c r="C135" s="13">
        <v>113184.59999999999</v>
      </c>
      <c r="E135" s="13">
        <v>593474.4</v>
      </c>
      <c r="G135" s="13">
        <v>183915</v>
      </c>
      <c r="I135" s="13">
        <v>143297.34999999998</v>
      </c>
      <c r="K135" s="13">
        <v>148358</v>
      </c>
      <c r="M135" s="13">
        <v>29460.350000000002</v>
      </c>
    </row>
    <row r="136" spans="1:19">
      <c r="C136" s="13">
        <v>87167.178</v>
      </c>
      <c r="E136" s="13">
        <v>248827</v>
      </c>
      <c r="G136" s="13">
        <v>176539.77000000002</v>
      </c>
      <c r="I136" s="13">
        <v>121164.95000000001</v>
      </c>
      <c r="K136" s="13">
        <v>127120.00000000001</v>
      </c>
      <c r="M136" s="13">
        <v>27663.550000000003</v>
      </c>
    </row>
    <row r="137" spans="1:19">
      <c r="C137" s="13">
        <v>52952.4</v>
      </c>
      <c r="E137" s="13">
        <v>185137.5</v>
      </c>
      <c r="G137" s="13">
        <v>109800.28000000001</v>
      </c>
      <c r="I137" s="13">
        <v>66671.850000000006</v>
      </c>
      <c r="K137" s="13">
        <v>107610.20999999999</v>
      </c>
      <c r="M137" s="13">
        <v>26230</v>
      </c>
    </row>
    <row r="138" spans="1:19">
      <c r="C138" s="13">
        <v>21547.300000000003</v>
      </c>
      <c r="E138" s="13">
        <v>110255</v>
      </c>
      <c r="G138" s="13">
        <v>93240.62000000001</v>
      </c>
      <c r="I138" s="13">
        <v>34752.69</v>
      </c>
      <c r="K138" s="13">
        <v>103775.58</v>
      </c>
      <c r="M138" s="13">
        <v>23892.82</v>
      </c>
    </row>
    <row r="139" spans="1:19">
      <c r="C139" s="13">
        <v>0</v>
      </c>
      <c r="E139" s="13">
        <v>83971.6</v>
      </c>
      <c r="G139" s="13">
        <v>89538.8</v>
      </c>
      <c r="I139" s="13">
        <v>31632.800000000003</v>
      </c>
      <c r="K139" s="13">
        <v>100319.21</v>
      </c>
      <c r="M139" s="13">
        <v>20386.53</v>
      </c>
    </row>
    <row r="140" spans="1:19">
      <c r="C140" s="13">
        <v>0</v>
      </c>
      <c r="E140" s="13">
        <v>41460.300000000003</v>
      </c>
      <c r="G140" s="13">
        <v>78012.959999999992</v>
      </c>
      <c r="I140" s="13">
        <v>13294.24</v>
      </c>
      <c r="K140" s="13">
        <v>77839.02</v>
      </c>
      <c r="M140" s="13">
        <v>19648.469999999998</v>
      </c>
    </row>
    <row r="141" spans="1:19">
      <c r="C141" s="13">
        <v>0</v>
      </c>
      <c r="E141" s="13">
        <v>15132.400000000001</v>
      </c>
      <c r="G141" s="13">
        <v>75000</v>
      </c>
      <c r="I141" s="13">
        <v>12462.2</v>
      </c>
      <c r="K141" s="13">
        <v>17171.579999999998</v>
      </c>
      <c r="M141" s="13">
        <v>0</v>
      </c>
    </row>
    <row r="142" spans="1:19">
      <c r="C142" s="13">
        <v>0</v>
      </c>
      <c r="E142" s="13">
        <v>10000</v>
      </c>
      <c r="G142" s="13">
        <v>65500</v>
      </c>
      <c r="I142" s="13">
        <v>6008.0999999999995</v>
      </c>
      <c r="K142" s="13">
        <v>16339.5</v>
      </c>
      <c r="M142" s="13">
        <v>0</v>
      </c>
      <c r="P142" s="50" t="s">
        <v>178</v>
      </c>
      <c r="Q142" s="50"/>
      <c r="R142" s="50"/>
    </row>
    <row r="143" spans="1:19">
      <c r="C143" s="13">
        <v>0</v>
      </c>
      <c r="E143" s="13">
        <v>0</v>
      </c>
      <c r="G143" s="13">
        <v>59123.840000000004</v>
      </c>
      <c r="I143" s="13">
        <v>1382.6699999999998</v>
      </c>
      <c r="K143" s="13">
        <v>2835.8</v>
      </c>
      <c r="M143" s="13">
        <v>0</v>
      </c>
      <c r="P143" s="87" t="s">
        <v>107</v>
      </c>
      <c r="Q143" s="87"/>
      <c r="R143" s="87"/>
    </row>
    <row r="144" spans="1:19">
      <c r="C144" s="13">
        <v>0</v>
      </c>
      <c r="E144" s="13">
        <v>0</v>
      </c>
      <c r="G144" s="13">
        <v>26508.2</v>
      </c>
      <c r="I144" s="13">
        <v>0</v>
      </c>
      <c r="K144" s="13">
        <v>0</v>
      </c>
      <c r="M144" s="13"/>
      <c r="O144" s="20"/>
      <c r="P144" s="272" t="s">
        <v>91</v>
      </c>
      <c r="Q144" s="537" t="s">
        <v>806</v>
      </c>
      <c r="R144" s="537" t="s">
        <v>807</v>
      </c>
    </row>
    <row r="145" spans="1:26">
      <c r="A145" s="20" t="s">
        <v>64</v>
      </c>
      <c r="C145" s="13"/>
      <c r="D145" s="21">
        <f>SUM(C130:C143)</f>
        <v>4849224.7880000006</v>
      </c>
      <c r="E145" s="13">
        <v>0</v>
      </c>
      <c r="F145" s="21">
        <f>SUM(E130:E145)</f>
        <v>5566962.6000000006</v>
      </c>
      <c r="G145" s="13">
        <v>3890.15</v>
      </c>
      <c r="H145" s="21">
        <f>SUM(G130:G147)</f>
        <v>4019714.88</v>
      </c>
      <c r="I145" s="13">
        <v>0</v>
      </c>
      <c r="J145" s="21">
        <f>SUM(I130:I144)</f>
        <v>4490380.3600000003</v>
      </c>
      <c r="K145" s="13">
        <v>0</v>
      </c>
      <c r="L145" s="21">
        <f>SUM(K130:K145)</f>
        <v>2310171.04</v>
      </c>
      <c r="M145" s="13"/>
      <c r="N145" s="21">
        <f>SUM(M130:M145)</f>
        <v>1044197.78</v>
      </c>
      <c r="O145" s="21"/>
      <c r="P145" s="88">
        <f>AVERAGE(D145,F145,H145,J145,L145,N145)</f>
        <v>3713441.9079999998</v>
      </c>
      <c r="Q145" s="88"/>
      <c r="R145" s="88"/>
      <c r="S145" s="20"/>
    </row>
    <row r="146" spans="1:26">
      <c r="A146" s="118" t="s">
        <v>270</v>
      </c>
      <c r="C146" s="13"/>
      <c r="D146" s="44">
        <f>D131/D145</f>
        <v>0.68746196675591187</v>
      </c>
      <c r="E146" s="13"/>
      <c r="F146" s="44">
        <f>F131/F145</f>
        <v>0.40037876309785159</v>
      </c>
      <c r="G146" s="13"/>
      <c r="H146" s="44">
        <f>H131/H145</f>
        <v>0.4021177865232074</v>
      </c>
      <c r="I146" s="13"/>
      <c r="J146" s="44">
        <f>J131/J145</f>
        <v>0.62661437883181903</v>
      </c>
      <c r="K146" s="13"/>
      <c r="L146" s="44">
        <f>L131/L145</f>
        <v>0.372463547114676</v>
      </c>
      <c r="M146" s="13"/>
      <c r="N146" s="44">
        <f>N131/N145</f>
        <v>0.60467558166997826</v>
      </c>
      <c r="O146" s="21"/>
      <c r="P146" s="89">
        <f>AVERAGE(D146,F146,H146,J146,L146,N146)</f>
        <v>0.5156186706655741</v>
      </c>
      <c r="Q146" s="89">
        <f t="shared" ref="Q146:Q149" si="13">MIN(D146,F146,H146,J146,L146,N146)</f>
        <v>0.372463547114676</v>
      </c>
      <c r="R146" s="89">
        <f t="shared" ref="R146:R149" si="14">MAX(D146,F146,H146,J146,L146,N146)</f>
        <v>0.68746196675591187</v>
      </c>
      <c r="S146" s="20"/>
    </row>
    <row r="147" spans="1:26">
      <c r="A147" s="20" t="s">
        <v>83</v>
      </c>
      <c r="C147" s="13"/>
      <c r="D147" s="135">
        <f>D132/D145</f>
        <v>0.86687208652452341</v>
      </c>
      <c r="E147" s="13">
        <v>0</v>
      </c>
      <c r="F147" s="135">
        <f>F132/F145</f>
        <v>0.53781259460949127</v>
      </c>
      <c r="G147" s="13"/>
      <c r="H147" s="135">
        <f>H132/H145</f>
        <v>0.54386330256338977</v>
      </c>
      <c r="I147" s="13"/>
      <c r="J147" s="135">
        <f>J132/J145</f>
        <v>0.73563443743549606</v>
      </c>
      <c r="K147" s="13">
        <v>0</v>
      </c>
      <c r="L147" s="135">
        <f>L132/L145</f>
        <v>0.48806201812658856</v>
      </c>
      <c r="M147" s="13"/>
      <c r="N147" s="135">
        <f>N132/N145</f>
        <v>0.71095812902417777</v>
      </c>
      <c r="O147" s="44"/>
      <c r="P147" s="89">
        <f>AVERAGE(D147,F147,H147,J147,L147,N147)</f>
        <v>0.64720042804727773</v>
      </c>
      <c r="Q147" s="89">
        <f t="shared" si="13"/>
        <v>0.48806201812658856</v>
      </c>
      <c r="R147" s="89">
        <f t="shared" si="14"/>
        <v>0.86687208652452341</v>
      </c>
      <c r="S147" s="20"/>
      <c r="T147" s="20" t="s">
        <v>83</v>
      </c>
    </row>
    <row r="148" spans="1:26">
      <c r="A148" s="20" t="s">
        <v>65</v>
      </c>
      <c r="C148" s="13"/>
      <c r="D148" s="44">
        <f>D133/D145</f>
        <v>0.91984238821803199</v>
      </c>
      <c r="E148" s="13"/>
      <c r="F148" s="44">
        <f>F133/F145</f>
        <v>0.65985020269401473</v>
      </c>
      <c r="G148" s="13"/>
      <c r="H148" s="44">
        <f>H133/H145</f>
        <v>0.67814148300985966</v>
      </c>
      <c r="I148" s="13"/>
      <c r="J148" s="44">
        <f>J133/J145</f>
        <v>0.84258513681901104</v>
      </c>
      <c r="K148" s="13"/>
      <c r="L148" s="44">
        <f>L133/L145</f>
        <v>0.60308090434723827</v>
      </c>
      <c r="M148" s="21"/>
      <c r="N148" s="44">
        <f>N133/N145</f>
        <v>0.81187177011619394</v>
      </c>
      <c r="O148" s="44"/>
      <c r="P148" s="89">
        <f>AVERAGE(D148,F148,H148,J148,L148,N148)</f>
        <v>0.75256198086739146</v>
      </c>
      <c r="Q148" s="89">
        <f t="shared" si="13"/>
        <v>0.60308090434723827</v>
      </c>
      <c r="R148" s="89">
        <f t="shared" si="14"/>
        <v>0.91984238821803199</v>
      </c>
      <c r="S148" s="20"/>
      <c r="T148" s="20" t="s">
        <v>65</v>
      </c>
      <c r="Z148" s="100"/>
    </row>
    <row r="149" spans="1:26">
      <c r="A149" s="20" t="s">
        <v>82</v>
      </c>
      <c r="C149" s="13"/>
      <c r="D149" s="44">
        <f>D134/D145</f>
        <v>0.94332053265912652</v>
      </c>
      <c r="E149" s="21"/>
      <c r="F149" s="44">
        <f>F134/F145</f>
        <v>0.76858867347159832</v>
      </c>
      <c r="G149" s="13"/>
      <c r="H149" s="44">
        <f>H134/H145</f>
        <v>0.76091099774718363</v>
      </c>
      <c r="I149" s="13"/>
      <c r="J149" s="44">
        <f>J134/J145</f>
        <v>0.90409123159446569</v>
      </c>
      <c r="K149" s="13"/>
      <c r="L149" s="44">
        <f>L134/L145</f>
        <v>0.6963995791411185</v>
      </c>
      <c r="M149" s="21"/>
      <c r="N149" s="44">
        <f>N134/N145</f>
        <v>0.85895227626321902</v>
      </c>
      <c r="O149" s="44"/>
      <c r="P149" s="89">
        <f>AVERAGE(D149,F149,H149,J149,L149,N149)</f>
        <v>0.8220438818127852</v>
      </c>
      <c r="Q149" s="89">
        <f t="shared" si="13"/>
        <v>0.6963995791411185</v>
      </c>
      <c r="R149" s="89">
        <f t="shared" si="14"/>
        <v>0.94332053265912652</v>
      </c>
      <c r="S149" s="20"/>
      <c r="T149" s="20" t="s">
        <v>82</v>
      </c>
      <c r="Z149" s="100"/>
    </row>
    <row r="150" spans="1:26">
      <c r="C150" s="21"/>
      <c r="G150" s="21"/>
      <c r="H150" s="21"/>
      <c r="I150" s="21"/>
      <c r="J150" s="21"/>
      <c r="K150" s="13"/>
      <c r="M150" s="21"/>
      <c r="Z150" s="100"/>
    </row>
    <row r="152" spans="1:26">
      <c r="D152" s="58" t="s">
        <v>107</v>
      </c>
      <c r="E152" s="57"/>
      <c r="F152" s="58" t="s">
        <v>107</v>
      </c>
      <c r="G152" s="57"/>
      <c r="H152" s="58" t="s">
        <v>107</v>
      </c>
      <c r="I152" s="57"/>
      <c r="J152" s="58" t="s">
        <v>107</v>
      </c>
      <c r="K152" s="57"/>
      <c r="L152" s="58" t="s">
        <v>107</v>
      </c>
      <c r="M152" s="57"/>
      <c r="N152" s="58" t="s">
        <v>107</v>
      </c>
    </row>
    <row r="153" spans="1:26">
      <c r="C153" s="20" t="s">
        <v>84</v>
      </c>
      <c r="E153" s="20" t="s">
        <v>87</v>
      </c>
      <c r="G153" s="20" t="s">
        <v>88</v>
      </c>
      <c r="I153" s="20" t="s">
        <v>89</v>
      </c>
      <c r="K153" s="20" t="s">
        <v>90</v>
      </c>
      <c r="M153" t="s">
        <v>104</v>
      </c>
    </row>
    <row r="154" spans="1:26">
      <c r="C154" s="13">
        <v>646180.20000000007</v>
      </c>
      <c r="D154" s="21"/>
      <c r="E154" s="21">
        <v>2570654.85</v>
      </c>
      <c r="F154" s="21"/>
      <c r="G154" s="21">
        <v>1093001.08</v>
      </c>
      <c r="H154" s="21"/>
      <c r="I154" s="21">
        <v>437034.6</v>
      </c>
      <c r="J154" s="21"/>
      <c r="K154" s="21">
        <v>479750</v>
      </c>
      <c r="M154" s="21">
        <v>388988.60000000003</v>
      </c>
    </row>
    <row r="155" spans="1:26">
      <c r="A155" s="118" t="s">
        <v>271</v>
      </c>
      <c r="C155" s="13">
        <v>214392.19999999998</v>
      </c>
      <c r="D155" s="21">
        <f>C154+C155</f>
        <v>860572.4</v>
      </c>
      <c r="E155" s="21">
        <v>1426064.8599999999</v>
      </c>
      <c r="F155" s="21">
        <f>E154+E155</f>
        <v>3996719.71</v>
      </c>
      <c r="G155" s="21">
        <v>960000</v>
      </c>
      <c r="H155" s="21">
        <f>G154+G155</f>
        <v>2053001.08</v>
      </c>
      <c r="I155" s="21">
        <v>236401.19999999998</v>
      </c>
      <c r="J155" s="21">
        <f>I154+I155</f>
        <v>673435.79999999993</v>
      </c>
      <c r="K155" s="21">
        <v>201729</v>
      </c>
      <c r="L155" s="21">
        <f>K154+K155</f>
        <v>681479</v>
      </c>
      <c r="M155" s="21">
        <v>164520.72</v>
      </c>
      <c r="N155" s="21">
        <f>M154+M155</f>
        <v>553509.32000000007</v>
      </c>
    </row>
    <row r="156" spans="1:26">
      <c r="A156" s="20" t="s">
        <v>85</v>
      </c>
      <c r="C156" s="13">
        <v>154911.58000000002</v>
      </c>
      <c r="D156" s="21">
        <f>SUM(C154:C156)</f>
        <v>1015483.98</v>
      </c>
      <c r="E156" s="21">
        <v>1105127.6499999999</v>
      </c>
      <c r="F156" s="21">
        <f>SUM(E154:E156)</f>
        <v>5101847.3599999994</v>
      </c>
      <c r="G156" s="21">
        <v>762770.62</v>
      </c>
      <c r="H156" s="21">
        <f>SUM(G154:G156)</f>
        <v>2815771.7</v>
      </c>
      <c r="I156" s="21">
        <v>110664.32000000001</v>
      </c>
      <c r="J156" s="21">
        <f>SUM(I154:I156)</f>
        <v>784100.11999999988</v>
      </c>
      <c r="K156" s="21">
        <v>183870</v>
      </c>
      <c r="L156" s="21">
        <f>SUM(K154:K156)</f>
        <v>865349</v>
      </c>
      <c r="M156" s="21">
        <v>33005.840000000004</v>
      </c>
      <c r="N156" s="21">
        <f>SUM(M154:M156)</f>
        <v>586515.16</v>
      </c>
    </row>
    <row r="157" spans="1:26">
      <c r="A157" s="20" t="s">
        <v>63</v>
      </c>
      <c r="C157" s="13">
        <v>101475.45</v>
      </c>
      <c r="D157" s="21">
        <f>SUM(C154:C157)</f>
        <v>1116959.43</v>
      </c>
      <c r="E157" s="21">
        <v>875681.1</v>
      </c>
      <c r="F157" s="21">
        <f>SUM(E154:E157)</f>
        <v>5977528.459999999</v>
      </c>
      <c r="G157" s="21">
        <v>565444.13</v>
      </c>
      <c r="H157" s="21">
        <f>SUM(G154:G157)</f>
        <v>3381215.83</v>
      </c>
      <c r="I157" s="21">
        <v>93108.400000000009</v>
      </c>
      <c r="J157" s="21">
        <f>SUM(I154:I157)</f>
        <v>877208.5199999999</v>
      </c>
      <c r="K157" s="21">
        <v>178667.85</v>
      </c>
      <c r="L157" s="21">
        <f>SUM(K154:K157)</f>
        <v>1044016.85</v>
      </c>
      <c r="M157" s="21">
        <v>28218.15</v>
      </c>
      <c r="N157" s="21">
        <f>SUM(M154:M157)</f>
        <v>614733.31000000006</v>
      </c>
    </row>
    <row r="158" spans="1:26">
      <c r="A158" s="20" t="s">
        <v>86</v>
      </c>
      <c r="C158" s="13">
        <v>95496.3</v>
      </c>
      <c r="D158" s="21">
        <f>SUM(C154:C158)</f>
        <v>1212455.73</v>
      </c>
      <c r="E158" s="21">
        <v>618443.80000000005</v>
      </c>
      <c r="F158" s="21">
        <f>SUM(E154:E158)</f>
        <v>6595972.2599999988</v>
      </c>
      <c r="G158" s="21">
        <v>267462.26999999996</v>
      </c>
      <c r="H158" s="21">
        <f>SUM(G154:G158)</f>
        <v>3648678.1</v>
      </c>
      <c r="I158" s="21">
        <v>63426.06</v>
      </c>
      <c r="J158" s="21">
        <f>SUM(I154:I158)</f>
        <v>940634.57999999984</v>
      </c>
      <c r="K158" s="21">
        <v>177194.4</v>
      </c>
      <c r="L158" s="21">
        <f>SUM(K154:K158)</f>
        <v>1221211.25</v>
      </c>
      <c r="M158" s="21">
        <v>23711.66</v>
      </c>
      <c r="N158" s="21">
        <f>SUM(M154:M158)</f>
        <v>638444.97000000009</v>
      </c>
    </row>
    <row r="159" spans="1:26">
      <c r="A159" s="20" t="s">
        <v>190</v>
      </c>
      <c r="C159" s="13">
        <v>56791.3</v>
      </c>
      <c r="D159" s="21">
        <f>SUM(C154:C159)</f>
        <v>1269247.03</v>
      </c>
      <c r="E159" s="21">
        <v>612415.48</v>
      </c>
      <c r="F159" s="21">
        <f>SUM(E154:E159)</f>
        <v>7208387.7399999984</v>
      </c>
      <c r="G159" s="21">
        <v>160833.25</v>
      </c>
      <c r="H159" s="21">
        <f>SUM(G154:G159)</f>
        <v>3809511.35</v>
      </c>
      <c r="I159" s="21">
        <v>58691.200000000004</v>
      </c>
      <c r="J159" s="21">
        <f>SUM(I154:I159)</f>
        <v>999325.7799999998</v>
      </c>
      <c r="K159" s="21">
        <v>174889.5</v>
      </c>
      <c r="L159" s="21">
        <f>SUM(K154:K159)</f>
        <v>1396100.75</v>
      </c>
      <c r="M159" s="21">
        <v>21334.2</v>
      </c>
      <c r="N159" s="21">
        <f>SUM(M154:M159)</f>
        <v>659779.17000000004</v>
      </c>
    </row>
    <row r="160" spans="1:26">
      <c r="A160" t="s">
        <v>194</v>
      </c>
      <c r="C160" s="13">
        <v>43989.25</v>
      </c>
      <c r="D160" s="21">
        <f>SUM(C154:C160)</f>
        <v>1313236.28</v>
      </c>
      <c r="E160" s="21">
        <v>449933.42000000004</v>
      </c>
      <c r="F160" s="21">
        <f>SUM(E154:E160)</f>
        <v>7658321.1599999983</v>
      </c>
      <c r="G160" s="21">
        <v>146703.29999999999</v>
      </c>
      <c r="H160" s="21">
        <f>SUM(G154:G160)</f>
        <v>3956214.65</v>
      </c>
      <c r="I160" s="21">
        <v>43944.479999999996</v>
      </c>
      <c r="J160" s="21">
        <f>SUM(I154:I160)</f>
        <v>1043270.2599999998</v>
      </c>
      <c r="K160" s="21">
        <v>146993.4</v>
      </c>
      <c r="L160" s="21">
        <f>SUM(K154:K160)</f>
        <v>1543094.15</v>
      </c>
      <c r="M160" s="21">
        <v>12283.66</v>
      </c>
      <c r="N160" s="21">
        <f>SUM(M154:M160)</f>
        <v>672062.83000000007</v>
      </c>
    </row>
    <row r="161" spans="1:26">
      <c r="C161" s="13">
        <v>30801.119999999999</v>
      </c>
      <c r="E161" s="21">
        <v>97419</v>
      </c>
      <c r="G161" s="21">
        <v>93238.2</v>
      </c>
      <c r="I161" s="21">
        <v>35420.07</v>
      </c>
      <c r="K161" s="21">
        <v>12475.199999999999</v>
      </c>
      <c r="M161" s="21">
        <v>11054.66</v>
      </c>
    </row>
    <row r="162" spans="1:26">
      <c r="C162" s="13">
        <v>23472.2</v>
      </c>
      <c r="E162" s="21">
        <v>74186.86</v>
      </c>
      <c r="G162" s="21">
        <v>57203.1</v>
      </c>
      <c r="I162" s="21">
        <v>11850.66</v>
      </c>
      <c r="K162" s="21">
        <v>0</v>
      </c>
      <c r="M162" s="21">
        <v>3942.9</v>
      </c>
    </row>
    <row r="163" spans="1:26">
      <c r="C163" s="13">
        <v>3475.4549999999999</v>
      </c>
      <c r="E163" s="21">
        <v>24619.16</v>
      </c>
      <c r="G163" s="21">
        <v>34000</v>
      </c>
      <c r="I163" s="21">
        <v>4002.9</v>
      </c>
      <c r="K163" s="21">
        <v>0</v>
      </c>
      <c r="M163" s="21">
        <v>0</v>
      </c>
    </row>
    <row r="164" spans="1:26">
      <c r="C164" s="13">
        <v>0</v>
      </c>
      <c r="E164" s="21">
        <v>13388.16</v>
      </c>
      <c r="G164" s="21">
        <v>31100</v>
      </c>
      <c r="I164" s="21">
        <v>1397.4</v>
      </c>
      <c r="K164" s="21">
        <v>0</v>
      </c>
      <c r="M164" s="21">
        <v>0</v>
      </c>
    </row>
    <row r="165" spans="1:26">
      <c r="C165" s="13">
        <v>0</v>
      </c>
      <c r="E165" s="21">
        <v>8393.2000000000007</v>
      </c>
      <c r="G165" s="21">
        <v>26778.100000000002</v>
      </c>
      <c r="I165" s="21">
        <v>0</v>
      </c>
      <c r="K165" s="21">
        <v>0</v>
      </c>
      <c r="M165" s="21">
        <v>0</v>
      </c>
    </row>
    <row r="166" spans="1:26">
      <c r="C166" s="13">
        <v>0</v>
      </c>
      <c r="E166" s="21">
        <v>7023.2000000000007</v>
      </c>
      <c r="G166" s="21">
        <v>20430.599999999999</v>
      </c>
      <c r="I166" s="21">
        <v>0</v>
      </c>
      <c r="K166" s="21">
        <v>0</v>
      </c>
      <c r="M166" s="21">
        <v>0</v>
      </c>
      <c r="P166" s="50" t="s">
        <v>95</v>
      </c>
      <c r="Q166" s="50"/>
      <c r="R166" s="50"/>
    </row>
    <row r="167" spans="1:26">
      <c r="C167" s="13">
        <v>0</v>
      </c>
      <c r="E167" s="21">
        <v>2609.8100000000004</v>
      </c>
      <c r="G167" s="21">
        <v>19429.169999999998</v>
      </c>
      <c r="I167" s="21">
        <v>0</v>
      </c>
      <c r="K167" s="21">
        <v>0</v>
      </c>
      <c r="M167" s="21">
        <v>0</v>
      </c>
      <c r="P167" s="87" t="s">
        <v>107</v>
      </c>
      <c r="Q167" s="87"/>
      <c r="R167" s="87"/>
    </row>
    <row r="168" spans="1:26">
      <c r="C168" s="13">
        <v>0</v>
      </c>
      <c r="E168" s="21">
        <v>0</v>
      </c>
      <c r="G168" s="21">
        <v>16244.900000000001</v>
      </c>
      <c r="I168" s="21">
        <v>0</v>
      </c>
      <c r="K168" s="21">
        <v>0</v>
      </c>
      <c r="O168" s="20"/>
      <c r="P168" s="272" t="s">
        <v>91</v>
      </c>
      <c r="Q168" s="537" t="s">
        <v>806</v>
      </c>
      <c r="R168" s="537" t="s">
        <v>807</v>
      </c>
    </row>
    <row r="169" spans="1:26">
      <c r="A169" s="20" t="s">
        <v>64</v>
      </c>
      <c r="C169" s="13"/>
      <c r="D169" s="21">
        <f>SUM(C154:C168)</f>
        <v>1370985.0550000002</v>
      </c>
      <c r="E169" s="21">
        <v>0</v>
      </c>
      <c r="F169" s="21">
        <f>SUM(E154:E170)</f>
        <v>7885960.5499999989</v>
      </c>
      <c r="G169" s="21">
        <v>6893.4000000000005</v>
      </c>
      <c r="H169" s="21">
        <f>SUM(G154:G171)</f>
        <v>4261532.12</v>
      </c>
      <c r="I169" s="21"/>
      <c r="J169" s="21">
        <f>SUM(I154:I168)</f>
        <v>1095941.2899999996</v>
      </c>
      <c r="K169" s="21">
        <v>0</v>
      </c>
      <c r="L169" s="21">
        <f>SUM(K154:K169)</f>
        <v>1555569.3499999999</v>
      </c>
      <c r="N169" s="21">
        <f>SUM(M154:M169)</f>
        <v>687060.39000000013</v>
      </c>
      <c r="O169" s="21"/>
      <c r="P169" s="88">
        <f t="shared" ref="P169:P175" si="15">AVERAGE(D169,F169,H169,J169,L169, N169)</f>
        <v>2809508.1258333325</v>
      </c>
      <c r="Q169" s="88"/>
      <c r="R169" s="88"/>
    </row>
    <row r="170" spans="1:26">
      <c r="A170" s="118" t="s">
        <v>270</v>
      </c>
      <c r="C170" s="13"/>
      <c r="D170" s="136">
        <f>D155/D169</f>
        <v>0.62770370607723358</v>
      </c>
      <c r="E170" s="21">
        <v>0</v>
      </c>
      <c r="F170" s="136">
        <f>F155/F169</f>
        <v>0.5068145706105518</v>
      </c>
      <c r="G170" s="21">
        <v>0</v>
      </c>
      <c r="H170" s="136">
        <f>H155/H169</f>
        <v>0.48175187284520571</v>
      </c>
      <c r="I170" s="21"/>
      <c r="J170" s="136">
        <f>J155/J169</f>
        <v>0.61448163888414153</v>
      </c>
      <c r="K170" s="21"/>
      <c r="L170" s="136">
        <f>L155/L169</f>
        <v>0.43808975793975374</v>
      </c>
      <c r="N170" s="136">
        <f>N155/N169</f>
        <v>0.80561960499571217</v>
      </c>
      <c r="O170" s="21"/>
      <c r="P170" s="89">
        <f t="shared" si="15"/>
        <v>0.57907685855876645</v>
      </c>
      <c r="Q170" s="89">
        <f t="shared" ref="Q170:Q175" si="16">MIN(D170,F170,H170,J170,L170,N170)</f>
        <v>0.43808975793975374</v>
      </c>
      <c r="R170" s="89">
        <f t="shared" ref="R170:R175" si="17">MAX(D170,F170,H170,J170,L170,N170)</f>
        <v>0.80561960499571217</v>
      </c>
      <c r="T170" s="118" t="s">
        <v>270</v>
      </c>
    </row>
    <row r="171" spans="1:26">
      <c r="A171" s="20" t="s">
        <v>83</v>
      </c>
      <c r="C171" s="46"/>
      <c r="D171" s="135">
        <f>D156/D169</f>
        <v>0.74069660810416338</v>
      </c>
      <c r="F171" s="135">
        <f>F156/F169</f>
        <v>0.64695319329235046</v>
      </c>
      <c r="G171" s="21">
        <v>0</v>
      </c>
      <c r="H171" s="135">
        <f>H156/H169</f>
        <v>0.66074163486534987</v>
      </c>
      <c r="I171" s="21"/>
      <c r="J171" s="135">
        <f>J156/J169</f>
        <v>0.71545814283537046</v>
      </c>
      <c r="K171" s="21"/>
      <c r="L171" s="135">
        <f>L156/L169</f>
        <v>0.55629085260647493</v>
      </c>
      <c r="N171" s="135">
        <f>N156/N169</f>
        <v>0.85365881738576133</v>
      </c>
      <c r="O171" s="44"/>
      <c r="P171" s="89">
        <f t="shared" si="15"/>
        <v>0.69563320818157848</v>
      </c>
      <c r="Q171" s="89">
        <f t="shared" si="16"/>
        <v>0.55629085260647493</v>
      </c>
      <c r="R171" s="89">
        <f t="shared" si="17"/>
        <v>0.85365881738576133</v>
      </c>
      <c r="T171" s="20" t="s">
        <v>83</v>
      </c>
    </row>
    <row r="172" spans="1:26">
      <c r="A172" s="20" t="s">
        <v>65</v>
      </c>
      <c r="C172" s="13"/>
      <c r="D172" s="44">
        <f>D157/D169</f>
        <v>0.81471306045710312</v>
      </c>
      <c r="E172" s="21"/>
      <c r="F172" s="44">
        <f>F157/F169</f>
        <v>0.75799624181482872</v>
      </c>
      <c r="H172" s="44">
        <f>H157/H169</f>
        <v>0.79342727798095303</v>
      </c>
      <c r="I172" s="21"/>
      <c r="J172" s="44">
        <f>J157/J169</f>
        <v>0.80041561350426016</v>
      </c>
      <c r="K172" s="21"/>
      <c r="L172" s="44">
        <f>L157/L169</f>
        <v>0.67114773764345514</v>
      </c>
      <c r="N172" s="44">
        <f>N157/N169</f>
        <v>0.89472966124564379</v>
      </c>
      <c r="O172" s="44"/>
      <c r="P172" s="89">
        <f t="shared" si="15"/>
        <v>0.78873826544104064</v>
      </c>
      <c r="Q172" s="89">
        <f t="shared" si="16"/>
        <v>0.67114773764345514</v>
      </c>
      <c r="R172" s="89">
        <f t="shared" si="17"/>
        <v>0.89472966124564379</v>
      </c>
      <c r="T172" s="20" t="s">
        <v>65</v>
      </c>
      <c r="Z172" s="100"/>
    </row>
    <row r="173" spans="1:26">
      <c r="A173" s="20" t="s">
        <v>82</v>
      </c>
      <c r="C173" s="13"/>
      <c r="D173" s="44">
        <f>D158/D169</f>
        <v>0.88436830553196644</v>
      </c>
      <c r="E173" s="21"/>
      <c r="F173" s="44">
        <f>F158/F169</f>
        <v>0.83641963692045096</v>
      </c>
      <c r="G173" s="21"/>
      <c r="H173" s="44">
        <f>H158/H169</f>
        <v>0.85618927588887916</v>
      </c>
      <c r="I173" s="21"/>
      <c r="J173" s="44">
        <f>J158/J169</f>
        <v>0.85828920634973083</v>
      </c>
      <c r="K173" s="21"/>
      <c r="L173" s="44">
        <f>L158/L169</f>
        <v>0.7850574132230107</v>
      </c>
      <c r="N173" s="44">
        <f>N158/N169</f>
        <v>0.9292414164641335</v>
      </c>
      <c r="O173" s="44"/>
      <c r="P173" s="89">
        <f t="shared" si="15"/>
        <v>0.85826087572969534</v>
      </c>
      <c r="Q173" s="89">
        <f t="shared" si="16"/>
        <v>0.7850574132230107</v>
      </c>
      <c r="R173" s="89">
        <f t="shared" si="17"/>
        <v>0.9292414164641335</v>
      </c>
      <c r="T173" s="20" t="s">
        <v>82</v>
      </c>
      <c r="Z173" s="100"/>
    </row>
    <row r="174" spans="1:26">
      <c r="A174" s="20" t="s">
        <v>191</v>
      </c>
      <c r="C174" s="13"/>
      <c r="D174" s="44">
        <f>D159/D169</f>
        <v>0.92579202477156097</v>
      </c>
      <c r="E174" s="21"/>
      <c r="F174" s="44">
        <f>F159/F169</f>
        <v>0.91407859502923827</v>
      </c>
      <c r="G174" s="21"/>
      <c r="H174" s="44">
        <f>H159/H169</f>
        <v>0.89392998638245624</v>
      </c>
      <c r="I174" s="21"/>
      <c r="J174" s="44">
        <f>J159/J169</f>
        <v>0.91184244002705672</v>
      </c>
      <c r="K174" s="21"/>
      <c r="L174" s="44">
        <f>L159/L169</f>
        <v>0.89748538051357218</v>
      </c>
      <c r="N174" s="44">
        <f>N159/N169</f>
        <v>0.96029283539398902</v>
      </c>
      <c r="O174" s="44"/>
      <c r="P174" s="89">
        <f t="shared" si="15"/>
        <v>0.91723687701964562</v>
      </c>
      <c r="Q174" s="89">
        <f t="shared" si="16"/>
        <v>0.89392998638245624</v>
      </c>
      <c r="R174" s="89">
        <f t="shared" si="17"/>
        <v>0.96029283539398902</v>
      </c>
      <c r="T174" s="20" t="s">
        <v>191</v>
      </c>
      <c r="Z174" s="100"/>
    </row>
    <row r="175" spans="1:26">
      <c r="A175" s="118" t="s">
        <v>193</v>
      </c>
      <c r="C175" s="21"/>
      <c r="D175" s="44">
        <f>D160/D169</f>
        <v>0.95787789605044227</v>
      </c>
      <c r="E175" s="21"/>
      <c r="F175" s="44">
        <f>F160/F169</f>
        <v>0.97113358752473078</v>
      </c>
      <c r="G175" s="21"/>
      <c r="H175" s="44">
        <f>H160/H169</f>
        <v>0.92835499970372148</v>
      </c>
      <c r="I175" s="21"/>
      <c r="J175" s="44">
        <f>J160/J169</f>
        <v>0.95193991641650821</v>
      </c>
      <c r="K175" s="21"/>
      <c r="L175" s="44">
        <f>L160/L169</f>
        <v>0.99198029968898527</v>
      </c>
      <c r="N175" s="44">
        <f>N160/N169</f>
        <v>0.97817140935748015</v>
      </c>
      <c r="P175" s="89">
        <f t="shared" si="15"/>
        <v>0.96324301812364466</v>
      </c>
      <c r="Q175" s="89">
        <f t="shared" si="16"/>
        <v>0.92835499970372148</v>
      </c>
      <c r="R175" s="89">
        <f t="shared" si="17"/>
        <v>0.99198029968898527</v>
      </c>
      <c r="T175" s="118" t="s">
        <v>193</v>
      </c>
      <c r="Z175" s="100"/>
    </row>
    <row r="176" spans="1:26">
      <c r="D176" s="58" t="s">
        <v>107</v>
      </c>
      <c r="E176" s="57"/>
      <c r="F176" s="58" t="s">
        <v>107</v>
      </c>
      <c r="G176" s="57"/>
      <c r="H176" s="58" t="s">
        <v>107</v>
      </c>
      <c r="I176" s="57"/>
      <c r="J176" s="58" t="s">
        <v>107</v>
      </c>
      <c r="K176" s="57"/>
      <c r="L176" s="58" t="s">
        <v>107</v>
      </c>
      <c r="M176" s="57"/>
      <c r="N176" s="58" t="s">
        <v>107</v>
      </c>
      <c r="Z176" s="100"/>
    </row>
    <row r="177" spans="1:19">
      <c r="C177" s="50" t="s">
        <v>81</v>
      </c>
      <c r="E177" s="50" t="s">
        <v>62</v>
      </c>
      <c r="G177" s="20" t="s">
        <v>92</v>
      </c>
      <c r="I177" s="20" t="s">
        <v>93</v>
      </c>
      <c r="K177" s="20" t="s">
        <v>94</v>
      </c>
      <c r="M177" t="s">
        <v>105</v>
      </c>
    </row>
    <row r="178" spans="1:19">
      <c r="C178" s="13">
        <v>135937.48000000001</v>
      </c>
      <c r="E178" s="13">
        <v>12431575.25</v>
      </c>
      <c r="G178" s="13">
        <v>1378474.5799999998</v>
      </c>
      <c r="H178" s="21"/>
      <c r="I178" s="13">
        <v>896576.6399999999</v>
      </c>
      <c r="J178" s="21"/>
      <c r="K178" s="13">
        <v>141398.39999999999</v>
      </c>
      <c r="M178" s="13">
        <v>667546.68333333323</v>
      </c>
    </row>
    <row r="179" spans="1:19">
      <c r="C179" s="13">
        <v>111469.6</v>
      </c>
      <c r="E179" s="13">
        <v>6243877.1999999993</v>
      </c>
      <c r="G179" s="13">
        <v>1248242.94</v>
      </c>
      <c r="H179" s="21"/>
      <c r="I179" s="13">
        <v>469849.60000000003</v>
      </c>
      <c r="J179" s="21"/>
      <c r="K179" s="13">
        <v>133318.81</v>
      </c>
      <c r="M179" s="13">
        <v>145375.5</v>
      </c>
    </row>
    <row r="180" spans="1:19">
      <c r="A180" s="20" t="s">
        <v>85</v>
      </c>
      <c r="C180" s="13">
        <v>66948.400000000009</v>
      </c>
      <c r="D180" s="21">
        <f>SUM(C178:C180)</f>
        <v>314355.48000000004</v>
      </c>
      <c r="E180" s="13">
        <v>3773062.8</v>
      </c>
      <c r="F180" s="21">
        <f>SUM(E178:E180)</f>
        <v>22448515.25</v>
      </c>
      <c r="G180" s="13">
        <v>816817.12000000011</v>
      </c>
      <c r="H180" s="21">
        <f>SUM(G178:G180)</f>
        <v>3443534.6399999997</v>
      </c>
      <c r="I180" s="13">
        <v>258750</v>
      </c>
      <c r="J180" s="21">
        <f>SUM(I178:I180)</f>
        <v>1625176.24</v>
      </c>
      <c r="K180" s="13">
        <v>110179</v>
      </c>
      <c r="L180" s="21">
        <f>SUM(K178:K180)</f>
        <v>384896.20999999996</v>
      </c>
      <c r="M180" s="13">
        <v>82767.860000000015</v>
      </c>
      <c r="N180" s="21">
        <f>SUM(M178:M180)</f>
        <v>895690.04333333322</v>
      </c>
    </row>
    <row r="181" spans="1:19">
      <c r="A181" s="20" t="s">
        <v>63</v>
      </c>
      <c r="C181" s="13">
        <v>47276</v>
      </c>
      <c r="D181" s="21">
        <f>SUM(C178:C181)</f>
        <v>361631.48000000004</v>
      </c>
      <c r="E181" s="13">
        <v>2936220.6</v>
      </c>
      <c r="F181" s="21">
        <f>SUM(E178:E181)</f>
        <v>25384735.850000001</v>
      </c>
      <c r="G181" s="13">
        <v>780000</v>
      </c>
      <c r="H181" s="21">
        <f>SUM(G178:G181)</f>
        <v>4223534.6399999997</v>
      </c>
      <c r="I181" s="13">
        <v>184704.48</v>
      </c>
      <c r="J181" s="21">
        <f>SUM(I178:I181)</f>
        <v>1809880.72</v>
      </c>
      <c r="K181" s="13">
        <v>95414.27</v>
      </c>
      <c r="L181" s="21">
        <f>SUM(K178:K181)</f>
        <v>480310.48</v>
      </c>
      <c r="M181" s="13">
        <v>65971.96666666666</v>
      </c>
      <c r="N181" s="21">
        <f>SUM(M178:M181)</f>
        <v>961662.00999999989</v>
      </c>
      <c r="S181" s="20"/>
    </row>
    <row r="182" spans="1:19">
      <c r="A182" s="20" t="s">
        <v>86</v>
      </c>
      <c r="C182" s="13">
        <v>23050.902000000002</v>
      </c>
      <c r="D182" s="21">
        <f>SUM(C178:C182)</f>
        <v>384682.38200000004</v>
      </c>
      <c r="E182" s="13">
        <v>1061110.3999999999</v>
      </c>
      <c r="F182" s="21">
        <f>SUM(E178:E182)</f>
        <v>26445846.25</v>
      </c>
      <c r="G182" s="13">
        <v>363296.37</v>
      </c>
      <c r="H182" s="21">
        <f>SUM(G178:G182)</f>
        <v>4586831.01</v>
      </c>
      <c r="I182" s="13">
        <v>93376.960000000006</v>
      </c>
      <c r="J182" s="21">
        <f>SUM(I178:I182)</f>
        <v>1903257.68</v>
      </c>
      <c r="K182" s="13">
        <v>59248.350000000006</v>
      </c>
      <c r="L182" s="21">
        <f>SUM(K178:K182)</f>
        <v>539558.82999999996</v>
      </c>
      <c r="M182" s="13">
        <v>40059.51</v>
      </c>
      <c r="N182" s="21">
        <f>SUM(M178:M182)</f>
        <v>1001721.5199999999</v>
      </c>
    </row>
    <row r="183" spans="1:19">
      <c r="A183" s="20" t="s">
        <v>190</v>
      </c>
      <c r="C183" s="13">
        <v>19194.78</v>
      </c>
      <c r="D183" s="21">
        <f>SUM(C178:C183)</f>
        <v>403877.16200000001</v>
      </c>
      <c r="E183" s="13">
        <v>827675.55</v>
      </c>
      <c r="F183" s="21">
        <f>SUM(E178:E183)</f>
        <v>27273521.800000001</v>
      </c>
      <c r="G183" s="13">
        <v>351916.95</v>
      </c>
      <c r="H183" s="21">
        <f>SUM(G178:G183)</f>
        <v>4938747.96</v>
      </c>
      <c r="I183" s="13">
        <v>77467.61</v>
      </c>
      <c r="J183" s="21">
        <f>SUM(I178:I183)</f>
        <v>1980725.29</v>
      </c>
      <c r="K183" s="13">
        <v>52527.399999999994</v>
      </c>
      <c r="L183" s="21">
        <f>SUM(K178:K183)</f>
        <v>592086.23</v>
      </c>
      <c r="M183" s="13">
        <v>15447.52</v>
      </c>
      <c r="N183" s="21">
        <f>SUM(M178:M183)</f>
        <v>1017169.0399999999</v>
      </c>
    </row>
    <row r="184" spans="1:19">
      <c r="C184" s="13">
        <v>17922</v>
      </c>
      <c r="E184" s="13">
        <v>723762</v>
      </c>
      <c r="G184" s="13">
        <v>194781.3</v>
      </c>
      <c r="I184" s="13">
        <v>68334.64</v>
      </c>
      <c r="K184" s="13">
        <v>46946.720000000001</v>
      </c>
      <c r="M184" s="13">
        <v>13643.699999999999</v>
      </c>
    </row>
    <row r="185" spans="1:19">
      <c r="C185" s="13">
        <v>17546.16</v>
      </c>
      <c r="E185" s="13">
        <v>323916</v>
      </c>
      <c r="G185" s="13">
        <v>165237.44</v>
      </c>
      <c r="I185" s="13">
        <v>51236.01</v>
      </c>
      <c r="K185" s="13">
        <v>39336</v>
      </c>
      <c r="M185" s="13">
        <v>13082.460000000001</v>
      </c>
    </row>
    <row r="186" spans="1:19">
      <c r="C186" s="13">
        <v>6904.68</v>
      </c>
      <c r="E186" s="13">
        <v>200000</v>
      </c>
      <c r="G186" s="13">
        <v>104210.00000000001</v>
      </c>
      <c r="I186" s="13">
        <v>29340</v>
      </c>
      <c r="K186" s="13">
        <v>13560</v>
      </c>
      <c r="M186" s="13">
        <v>11052.06</v>
      </c>
    </row>
    <row r="187" spans="1:19">
      <c r="C187" s="13">
        <v>0</v>
      </c>
      <c r="E187" s="13">
        <v>165743.75</v>
      </c>
      <c r="G187" s="13">
        <v>67518.430000000008</v>
      </c>
      <c r="I187" s="13">
        <v>21794.01</v>
      </c>
      <c r="K187" s="13">
        <v>12717.5</v>
      </c>
      <c r="M187" s="13">
        <v>9377.7666666666664</v>
      </c>
    </row>
    <row r="188" spans="1:19">
      <c r="C188" s="13">
        <v>0</v>
      </c>
      <c r="E188" s="13">
        <v>66165.5</v>
      </c>
      <c r="G188" s="13">
        <v>43701.919999999998</v>
      </c>
      <c r="I188" s="13">
        <v>16838.25</v>
      </c>
      <c r="K188" s="13">
        <v>10878.6</v>
      </c>
      <c r="M188" s="13">
        <v>1062.33</v>
      </c>
    </row>
    <row r="189" spans="1:19">
      <c r="C189" s="13">
        <v>0</v>
      </c>
      <c r="E189" s="13">
        <v>54522.91</v>
      </c>
      <c r="G189" s="13">
        <v>26730.800000000003</v>
      </c>
      <c r="I189" s="13">
        <v>9623.5</v>
      </c>
      <c r="K189" s="13">
        <v>0</v>
      </c>
      <c r="M189" s="13">
        <v>0</v>
      </c>
    </row>
    <row r="190" spans="1:19">
      <c r="C190" s="13">
        <v>0</v>
      </c>
      <c r="E190" s="13">
        <v>33750</v>
      </c>
      <c r="G190" s="13">
        <v>24300</v>
      </c>
      <c r="I190" s="13">
        <v>661.47</v>
      </c>
      <c r="K190" s="13">
        <v>0</v>
      </c>
      <c r="M190" s="13">
        <v>0</v>
      </c>
      <c r="P190" s="50" t="s">
        <v>48</v>
      </c>
      <c r="Q190" s="50"/>
      <c r="R190" s="50"/>
    </row>
    <row r="191" spans="1:19">
      <c r="C191" s="13">
        <v>0</v>
      </c>
      <c r="E191" s="13">
        <v>7450.6</v>
      </c>
      <c r="G191" s="13">
        <v>10302.9</v>
      </c>
      <c r="I191" s="13">
        <v>0</v>
      </c>
      <c r="K191" s="13">
        <v>0</v>
      </c>
      <c r="M191" s="13">
        <v>0</v>
      </c>
      <c r="P191" s="87" t="s">
        <v>107</v>
      </c>
      <c r="Q191" s="87"/>
      <c r="R191" s="87"/>
    </row>
    <row r="192" spans="1:19">
      <c r="C192" s="13"/>
      <c r="E192" s="13">
        <v>4141.4000000000005</v>
      </c>
      <c r="G192" s="13">
        <v>8469.2000000000007</v>
      </c>
      <c r="I192" s="13">
        <v>0</v>
      </c>
      <c r="K192" s="13">
        <v>0</v>
      </c>
      <c r="M192" s="13">
        <v>0</v>
      </c>
      <c r="O192" s="20"/>
      <c r="P192" s="272" t="s">
        <v>91</v>
      </c>
      <c r="Q192" s="537" t="s">
        <v>806</v>
      </c>
      <c r="R192" s="537" t="s">
        <v>807</v>
      </c>
    </row>
    <row r="193" spans="1:26">
      <c r="A193" s="20" t="s">
        <v>64</v>
      </c>
      <c r="C193" s="13"/>
      <c r="D193" s="21">
        <f>SUM(C178:C191)</f>
        <v>446250.00199999998</v>
      </c>
      <c r="E193" s="13">
        <v>0</v>
      </c>
      <c r="F193" s="21">
        <f>SUM(E178:E193)</f>
        <v>28852973.960000001</v>
      </c>
      <c r="G193" s="13">
        <v>507</v>
      </c>
      <c r="H193" s="21">
        <f>SUM(G178:G194)</f>
        <v>5584506.9500000002</v>
      </c>
      <c r="I193" s="13"/>
      <c r="J193" s="21">
        <f>SUM(I178:I192)</f>
        <v>2178553.17</v>
      </c>
      <c r="K193" s="13">
        <v>0</v>
      </c>
      <c r="L193" s="21">
        <f>SUM(K178:K193)</f>
        <v>715525.04999999993</v>
      </c>
      <c r="M193" s="13"/>
      <c r="N193" s="21">
        <f>SUM(M178:M193)</f>
        <v>1065387.3566666665</v>
      </c>
      <c r="O193" s="21"/>
      <c r="P193" s="88">
        <f>AVERAGE(D193,F193,H193,J193,L193,N193)</f>
        <v>6473866.0814444451</v>
      </c>
      <c r="Q193" s="88"/>
      <c r="R193" s="88"/>
      <c r="S193" s="20"/>
    </row>
    <row r="194" spans="1:26">
      <c r="A194" s="20" t="s">
        <v>83</v>
      </c>
      <c r="C194" s="13"/>
      <c r="D194" s="135">
        <f>D180/D193</f>
        <v>0.70443804726302284</v>
      </c>
      <c r="E194" s="13"/>
      <c r="F194" s="135">
        <f>F180/F193</f>
        <v>0.7780312449289023</v>
      </c>
      <c r="G194" s="13">
        <v>0</v>
      </c>
      <c r="H194" s="135">
        <f>H180/H193</f>
        <v>0.61662285871091982</v>
      </c>
      <c r="I194" s="13"/>
      <c r="J194" s="135">
        <f>J180/J193</f>
        <v>0.7459887885132499</v>
      </c>
      <c r="K194" s="13"/>
      <c r="L194" s="135">
        <f>L180/L193</f>
        <v>0.53792136278107938</v>
      </c>
      <c r="M194" s="13"/>
      <c r="N194" s="135">
        <f>N180/N193</f>
        <v>0.84071773306539499</v>
      </c>
      <c r="O194" s="44"/>
      <c r="P194" s="89">
        <f>AVERAGE(D194,F194,H194,J194,L194,N194)</f>
        <v>0.70395333921042813</v>
      </c>
      <c r="Q194" s="89">
        <f t="shared" ref="Q194:Q197" si="18">MIN(D194,F194,H194,J194,L194,N194)</f>
        <v>0.53792136278107938</v>
      </c>
      <c r="R194" s="89">
        <f t="shared" ref="R194:R197" si="19">MAX(D194,F194,H194,J194,L194,N194)</f>
        <v>0.84071773306539499</v>
      </c>
      <c r="S194" s="20"/>
      <c r="T194" s="20" t="s">
        <v>83</v>
      </c>
    </row>
    <row r="195" spans="1:26">
      <c r="A195" s="20" t="s">
        <v>65</v>
      </c>
      <c r="C195" s="13"/>
      <c r="D195" s="44">
        <f>D181/D193</f>
        <v>0.81037866303471762</v>
      </c>
      <c r="E195" s="13"/>
      <c r="F195" s="44">
        <f>F181/F193</f>
        <v>0.87979616538634275</v>
      </c>
      <c r="G195" s="13"/>
      <c r="H195" s="136">
        <f>H181/H193</f>
        <v>0.756294992165781</v>
      </c>
      <c r="I195" s="13"/>
      <c r="J195" s="44">
        <f>J181/J193</f>
        <v>0.83077188334127283</v>
      </c>
      <c r="K195" s="13"/>
      <c r="L195" s="44">
        <f>L181/L193</f>
        <v>0.67126997161035806</v>
      </c>
      <c r="M195" s="13"/>
      <c r="N195" s="44">
        <f>N181/N193</f>
        <v>0.90264071934249579</v>
      </c>
      <c r="O195" s="44"/>
      <c r="P195" s="89">
        <f>AVERAGE(D195,F195,H195,J195,L195,N195)</f>
        <v>0.80852539914682808</v>
      </c>
      <c r="Q195" s="89">
        <f t="shared" si="18"/>
        <v>0.67126997161035806</v>
      </c>
      <c r="R195" s="89">
        <f t="shared" si="19"/>
        <v>0.90264071934249579</v>
      </c>
      <c r="S195" s="20"/>
      <c r="T195" s="20" t="s">
        <v>65</v>
      </c>
      <c r="Z195" s="100"/>
    </row>
    <row r="196" spans="1:26">
      <c r="A196" s="20" t="s">
        <v>82</v>
      </c>
      <c r="C196" s="13"/>
      <c r="D196" s="44">
        <f>D182/D193</f>
        <v>0.86203334515615326</v>
      </c>
      <c r="F196" s="44">
        <f>F182/F193</f>
        <v>0.91657263083739315</v>
      </c>
      <c r="G196" s="13"/>
      <c r="H196" s="44">
        <f>H182/H193</f>
        <v>0.82134932431232799</v>
      </c>
      <c r="I196" s="13"/>
      <c r="J196" s="44">
        <f>J182/J193</f>
        <v>0.87363379797611274</v>
      </c>
      <c r="K196" s="13"/>
      <c r="L196" s="44">
        <f>L182/L193</f>
        <v>0.75407399084071203</v>
      </c>
      <c r="M196" s="13"/>
      <c r="N196" s="44">
        <f>N182/N193</f>
        <v>0.94024160670926182</v>
      </c>
      <c r="O196" s="44"/>
      <c r="P196" s="89">
        <f>AVERAGE(D196,F196,H196,J196,L196,N196)</f>
        <v>0.86131744930532683</v>
      </c>
      <c r="Q196" s="89">
        <f t="shared" si="18"/>
        <v>0.75407399084071203</v>
      </c>
      <c r="R196" s="89">
        <f t="shared" si="19"/>
        <v>0.94024160670926182</v>
      </c>
      <c r="S196" s="20"/>
      <c r="T196" s="20" t="s">
        <v>82</v>
      </c>
      <c r="Z196" s="100"/>
    </row>
    <row r="197" spans="1:26">
      <c r="A197" s="20" t="s">
        <v>191</v>
      </c>
      <c r="D197" s="44">
        <f>D183/D193</f>
        <v>0.90504685756841752</v>
      </c>
      <c r="F197" s="44">
        <f>F183/F193</f>
        <v>0.94525860099587455</v>
      </c>
      <c r="G197" s="21"/>
      <c r="H197" s="44">
        <f>H183/H193</f>
        <v>0.88436597970390207</v>
      </c>
      <c r="I197" s="21"/>
      <c r="J197" s="44">
        <f>J183/J193</f>
        <v>0.90919299894801286</v>
      </c>
      <c r="K197" s="13"/>
      <c r="L197" s="44">
        <f>L183/L193</f>
        <v>0.82748497763984652</v>
      </c>
      <c r="N197" s="44">
        <f>N183/N193</f>
        <v>0.95474104665787496</v>
      </c>
      <c r="P197" s="89">
        <f>AVERAGE(D197,F197,H197,J197,L197,N197)</f>
        <v>0.90434841025232149</v>
      </c>
      <c r="Q197" s="89">
        <f t="shared" si="18"/>
        <v>0.82748497763984652</v>
      </c>
      <c r="R197" s="89">
        <f t="shared" si="19"/>
        <v>0.95474104665787496</v>
      </c>
      <c r="T197" s="20" t="s">
        <v>191</v>
      </c>
      <c r="Z197" s="100"/>
    </row>
    <row r="198" spans="1:26">
      <c r="Z198" s="100"/>
    </row>
    <row r="199" spans="1:26">
      <c r="D199" s="58" t="s">
        <v>107</v>
      </c>
      <c r="E199" s="57"/>
      <c r="F199" s="58" t="s">
        <v>107</v>
      </c>
      <c r="G199" s="57"/>
      <c r="H199" s="58" t="s">
        <v>107</v>
      </c>
      <c r="I199" s="57"/>
      <c r="J199" s="58" t="s">
        <v>107</v>
      </c>
      <c r="K199" s="57"/>
      <c r="L199" s="58" t="s">
        <v>107</v>
      </c>
      <c r="M199" s="57"/>
      <c r="N199" s="58" t="s">
        <v>107</v>
      </c>
    </row>
    <row r="200" spans="1:26">
      <c r="C200" s="50" t="s">
        <v>179</v>
      </c>
      <c r="E200" s="50" t="s">
        <v>180</v>
      </c>
      <c r="G200" s="20" t="s">
        <v>181</v>
      </c>
      <c r="I200" s="20" t="s">
        <v>182</v>
      </c>
      <c r="K200" s="20" t="s">
        <v>183</v>
      </c>
      <c r="M200" t="s">
        <v>184</v>
      </c>
    </row>
    <row r="201" spans="1:26">
      <c r="C201" s="13">
        <v>127212.12</v>
      </c>
      <c r="E201" s="13">
        <v>5346701.6000000006</v>
      </c>
      <c r="G201" s="13">
        <v>1388035.7</v>
      </c>
      <c r="H201" s="21"/>
      <c r="I201" s="13">
        <v>359540.04</v>
      </c>
      <c r="J201" s="21"/>
      <c r="K201" s="13">
        <v>88835</v>
      </c>
      <c r="M201" s="13">
        <v>134375.03333333335</v>
      </c>
    </row>
    <row r="202" spans="1:26">
      <c r="A202" s="20" t="s">
        <v>271</v>
      </c>
      <c r="C202" s="13">
        <v>66274.7</v>
      </c>
      <c r="D202" s="21">
        <f>C201+C202</f>
        <v>193486.82</v>
      </c>
      <c r="E202" s="13">
        <v>1875702.5999999999</v>
      </c>
      <c r="F202" s="21">
        <f>E201+E202</f>
        <v>7222404.2000000002</v>
      </c>
      <c r="G202" s="13">
        <v>1130395.3499999999</v>
      </c>
      <c r="H202" s="21">
        <f>G201+G202</f>
        <v>2518431.0499999998</v>
      </c>
      <c r="I202" s="13">
        <v>189867</v>
      </c>
      <c r="J202" s="21">
        <f>I201+I202</f>
        <v>549407.04</v>
      </c>
      <c r="K202" s="13">
        <v>82590.45</v>
      </c>
      <c r="L202" s="21">
        <f>K201+K202</f>
        <v>171425.45</v>
      </c>
      <c r="M202" s="13">
        <v>56400.3</v>
      </c>
      <c r="N202" s="21">
        <f>M201+M202</f>
        <v>190775.33333333337</v>
      </c>
    </row>
    <row r="203" spans="1:26">
      <c r="A203" s="20" t="s">
        <v>85</v>
      </c>
      <c r="C203" s="13">
        <v>46421.8</v>
      </c>
      <c r="D203" s="21">
        <f>SUM(C201:C203)</f>
        <v>239908.62</v>
      </c>
      <c r="E203" s="13">
        <v>1420575.95</v>
      </c>
      <c r="F203" s="21">
        <f>SUM(E201:E203)</f>
        <v>8642980.1500000004</v>
      </c>
      <c r="G203" s="13">
        <v>560000</v>
      </c>
      <c r="H203" s="21">
        <f>SUM(G201:G203)</f>
        <v>3078431.05</v>
      </c>
      <c r="I203" s="13">
        <v>140711.4</v>
      </c>
      <c r="J203" s="21">
        <f>SUM(I201:I203)</f>
        <v>690118.44000000006</v>
      </c>
      <c r="K203" s="13">
        <v>58113.200000000004</v>
      </c>
      <c r="L203" s="21">
        <f>SUM(K201:K203)</f>
        <v>229538.65000000002</v>
      </c>
      <c r="M203" s="13">
        <v>46961.760000000002</v>
      </c>
      <c r="N203" s="21">
        <f>SUM(M201:M203)</f>
        <v>237737.09333333338</v>
      </c>
    </row>
    <row r="204" spans="1:26">
      <c r="A204" s="20" t="s">
        <v>63</v>
      </c>
      <c r="C204" s="13">
        <v>34080.65</v>
      </c>
      <c r="D204" s="21">
        <f>SUM(C201:C204)</f>
        <v>273989.27</v>
      </c>
      <c r="E204" s="13">
        <v>1140700</v>
      </c>
      <c r="F204" s="21">
        <f>SUM(E201:E204)</f>
        <v>9783680.1500000004</v>
      </c>
      <c r="G204" s="13">
        <v>463302.84</v>
      </c>
      <c r="H204" s="21">
        <f>SUM(G201:G204)</f>
        <v>3541733.8899999997</v>
      </c>
      <c r="I204" s="13">
        <v>126260.2</v>
      </c>
      <c r="J204" s="21">
        <f>SUM(I201:I204)</f>
        <v>816378.64</v>
      </c>
      <c r="K204" s="13">
        <v>47309.68</v>
      </c>
      <c r="L204" s="21">
        <f>SUM(K201:K204)</f>
        <v>276848.33</v>
      </c>
      <c r="M204" s="13">
        <v>12270.02</v>
      </c>
      <c r="N204" s="21">
        <f>SUM(M201:M204)</f>
        <v>250007.11333333337</v>
      </c>
      <c r="S204" s="20"/>
    </row>
    <row r="205" spans="1:26">
      <c r="A205" s="20" t="s">
        <v>86</v>
      </c>
      <c r="C205" s="13">
        <v>28524</v>
      </c>
      <c r="D205" s="21">
        <f>SUM(C201:C205)</f>
        <v>302513.27</v>
      </c>
      <c r="E205" s="13">
        <v>796568.5</v>
      </c>
      <c r="F205" s="21">
        <f>SUM(E201:E205)</f>
        <v>10580248.65</v>
      </c>
      <c r="G205" s="13">
        <v>388088.39999999997</v>
      </c>
      <c r="H205" s="21">
        <f>SUM(G201:G205)</f>
        <v>3929822.2899999996</v>
      </c>
      <c r="I205" s="13">
        <v>105330.64000000001</v>
      </c>
      <c r="J205" s="21">
        <f>SUM(I201:I205)</f>
        <v>921709.28</v>
      </c>
      <c r="K205" s="13">
        <v>42759.360000000001</v>
      </c>
      <c r="L205" s="21">
        <f>SUM(K201:K205)</f>
        <v>319607.69</v>
      </c>
      <c r="M205" s="13">
        <v>3365.1666666666665</v>
      </c>
      <c r="N205" s="21">
        <f>SUM(M201:M205)</f>
        <v>253372.28000000003</v>
      </c>
    </row>
    <row r="206" spans="1:26">
      <c r="C206" s="13">
        <v>25182.1</v>
      </c>
      <c r="E206" s="13">
        <v>642697.60000000009</v>
      </c>
      <c r="G206" s="13">
        <v>242217.32</v>
      </c>
      <c r="I206" s="13">
        <v>81414.41</v>
      </c>
      <c r="K206" s="13">
        <v>40787.79</v>
      </c>
      <c r="M206" s="13">
        <v>1800.0500000000002</v>
      </c>
    </row>
    <row r="207" spans="1:26">
      <c r="A207" s="20" t="s">
        <v>194</v>
      </c>
      <c r="C207" s="13">
        <v>13679.625</v>
      </c>
      <c r="D207" s="21">
        <f>SUM(C201:C207)</f>
        <v>341374.995</v>
      </c>
      <c r="E207" s="13">
        <v>587732.4</v>
      </c>
      <c r="F207" s="21">
        <f>SUM(E201:E207)</f>
        <v>11810678.65</v>
      </c>
      <c r="G207" s="13">
        <v>231750</v>
      </c>
      <c r="H207" s="21">
        <f>SUM(G201:G207)</f>
        <v>4403789.6099999994</v>
      </c>
      <c r="I207" s="13">
        <v>45778.400000000001</v>
      </c>
      <c r="J207" s="21">
        <f>SUM(I201:I207)</f>
        <v>1048902.0900000001</v>
      </c>
      <c r="K207" s="13">
        <v>21600</v>
      </c>
      <c r="L207" s="21">
        <f>SUM(K201:K207)</f>
        <v>381995.48</v>
      </c>
      <c r="M207" s="13">
        <v>603.76</v>
      </c>
      <c r="N207" s="21">
        <f>SUM(M201:M207)</f>
        <v>255776.09000000003</v>
      </c>
    </row>
    <row r="208" spans="1:26">
      <c r="A208" s="20"/>
      <c r="C208" s="13">
        <v>8760.49</v>
      </c>
      <c r="E208" s="13">
        <v>510370.6</v>
      </c>
      <c r="G208" s="13">
        <v>108900</v>
      </c>
      <c r="I208" s="13">
        <v>36567</v>
      </c>
      <c r="K208" s="13">
        <v>11555.24</v>
      </c>
      <c r="M208" s="13">
        <v>0</v>
      </c>
    </row>
    <row r="209" spans="1:26">
      <c r="A209" s="20" t="s">
        <v>242</v>
      </c>
      <c r="C209" s="13">
        <v>1045.95</v>
      </c>
      <c r="D209" s="21">
        <f>SUM(C201:C209)</f>
        <v>351181.435</v>
      </c>
      <c r="E209" s="13">
        <v>417859</v>
      </c>
      <c r="F209" s="21">
        <f>SUM(E201:E209)</f>
        <v>12738908.25</v>
      </c>
      <c r="G209" s="13">
        <v>72000</v>
      </c>
      <c r="H209" s="21">
        <f>SUM(G201:G209)</f>
        <v>4584689.6099999994</v>
      </c>
      <c r="I209" s="13">
        <v>20346.170000000002</v>
      </c>
      <c r="J209" s="21">
        <f>SUM(I201:I209)</f>
        <v>1105815.26</v>
      </c>
      <c r="K209" s="13">
        <v>11496.380000000001</v>
      </c>
      <c r="L209" s="21">
        <f>SUM(K201:K209)</f>
        <v>405047.1</v>
      </c>
      <c r="M209" s="13">
        <v>0</v>
      </c>
      <c r="N209" s="21">
        <f>SUM(M201:M209)</f>
        <v>255776.09000000003</v>
      </c>
    </row>
    <row r="210" spans="1:26">
      <c r="C210" s="13">
        <v>0</v>
      </c>
      <c r="E210" s="13">
        <v>264100</v>
      </c>
      <c r="G210" s="13">
        <v>57192.659999999996</v>
      </c>
      <c r="I210" s="13">
        <v>19560</v>
      </c>
      <c r="K210" s="13">
        <v>11450.78</v>
      </c>
      <c r="M210" s="13">
        <v>0</v>
      </c>
    </row>
    <row r="211" spans="1:26">
      <c r="C211" s="13">
        <v>0</v>
      </c>
      <c r="E211" s="13">
        <v>188533.75</v>
      </c>
      <c r="G211" s="13">
        <v>54600</v>
      </c>
      <c r="I211" s="13">
        <v>11212.34</v>
      </c>
      <c r="K211" s="13">
        <v>601</v>
      </c>
      <c r="M211" s="13">
        <v>0</v>
      </c>
    </row>
    <row r="212" spans="1:26">
      <c r="C212" s="13">
        <v>0</v>
      </c>
      <c r="E212" s="13">
        <v>119410.79999999999</v>
      </c>
      <c r="G212" s="13">
        <v>45765.599999999999</v>
      </c>
      <c r="I212" s="13">
        <v>10000</v>
      </c>
      <c r="K212" s="13">
        <v>0</v>
      </c>
      <c r="M212" s="13">
        <v>0</v>
      </c>
    </row>
    <row r="213" spans="1:26">
      <c r="C213" s="13">
        <v>0</v>
      </c>
      <c r="E213" s="13">
        <v>54121.700000000004</v>
      </c>
      <c r="G213" s="13">
        <v>43580.520000000004</v>
      </c>
      <c r="I213" s="13">
        <v>0</v>
      </c>
      <c r="K213" s="13">
        <v>0</v>
      </c>
      <c r="M213" s="13">
        <v>0</v>
      </c>
      <c r="P213" s="50" t="s">
        <v>185</v>
      </c>
      <c r="Q213" s="50"/>
      <c r="R213" s="50"/>
    </row>
    <row r="214" spans="1:26">
      <c r="C214" s="13"/>
      <c r="E214" s="13">
        <v>10541.300000000001</v>
      </c>
      <c r="G214" s="13">
        <v>2000</v>
      </c>
      <c r="I214" s="13"/>
      <c r="K214" s="13">
        <v>0</v>
      </c>
      <c r="M214" s="13">
        <v>0</v>
      </c>
      <c r="P214" s="87" t="s">
        <v>107</v>
      </c>
      <c r="Q214" s="87"/>
      <c r="R214" s="87"/>
    </row>
    <row r="215" spans="1:26">
      <c r="C215" s="13"/>
      <c r="E215" s="13">
        <v>790.15000000000009</v>
      </c>
      <c r="G215" s="13">
        <v>0</v>
      </c>
      <c r="I215" s="13"/>
      <c r="K215" s="13"/>
      <c r="M215" s="13"/>
      <c r="O215" s="20"/>
      <c r="P215" s="272" t="s">
        <v>91</v>
      </c>
      <c r="Q215" s="537" t="s">
        <v>806</v>
      </c>
      <c r="R215" s="537" t="s">
        <v>807</v>
      </c>
    </row>
    <row r="216" spans="1:26">
      <c r="A216" s="20" t="s">
        <v>64</v>
      </c>
      <c r="C216" s="13"/>
      <c r="D216" s="21">
        <f>SUM(C201:C214)</f>
        <v>351181.435</v>
      </c>
      <c r="E216" s="13"/>
      <c r="F216" s="21">
        <f>SUM(E201:E216)</f>
        <v>13376405.950000001</v>
      </c>
      <c r="G216" s="13"/>
      <c r="H216" s="21">
        <f>SUM(G201:G218)</f>
        <v>4787828.3899999987</v>
      </c>
      <c r="I216" s="13"/>
      <c r="J216" s="21">
        <f>SUM(I201:I215)</f>
        <v>1146587.6000000001</v>
      </c>
      <c r="K216" s="13"/>
      <c r="L216" s="21">
        <f>SUM(K201:K216)</f>
        <v>417098.88</v>
      </c>
      <c r="M216" s="13"/>
      <c r="N216" s="21">
        <f>SUM(M201:M216)</f>
        <v>255776.09000000003</v>
      </c>
      <c r="O216" s="21"/>
      <c r="P216" s="88">
        <f>AVERAGE(D216,F216,H216,J216,L216,N216)</f>
        <v>3389146.3908333331</v>
      </c>
      <c r="Q216" s="88"/>
      <c r="R216" s="88"/>
      <c r="S216" s="20"/>
    </row>
    <row r="217" spans="1:26">
      <c r="A217" s="20" t="s">
        <v>270</v>
      </c>
      <c r="C217" s="13"/>
      <c r="D217" s="44">
        <f>D202/D216</f>
        <v>0.55095970548670947</v>
      </c>
      <c r="E217" s="13"/>
      <c r="F217" s="44">
        <f>F202/F216</f>
        <v>0.53993608051346553</v>
      </c>
      <c r="G217" s="13"/>
      <c r="H217" s="44">
        <f>H202/H216</f>
        <v>0.52600695865793146</v>
      </c>
      <c r="I217" s="13"/>
      <c r="J217" s="44">
        <f>J202/J216</f>
        <v>0.47916708675377268</v>
      </c>
      <c r="K217" s="13"/>
      <c r="L217" s="44">
        <f>L202/L216</f>
        <v>0.41099475021366638</v>
      </c>
      <c r="M217" s="13"/>
      <c r="N217" s="44">
        <f>N202/N216</f>
        <v>0.74586851856767911</v>
      </c>
      <c r="O217" s="21"/>
      <c r="P217" s="89">
        <f>AVERAGE(D217,F217,H217,J217,L217,N217)</f>
        <v>0.54215551669887074</v>
      </c>
      <c r="Q217" s="89">
        <f t="shared" ref="Q217:Q222" si="20">MIN(D217,F217,H217,J217,L217,N217)</f>
        <v>0.41099475021366638</v>
      </c>
      <c r="R217" s="89">
        <f t="shared" ref="R217:R222" si="21">MAX(D217,F217,H217,J217,L217,N217)</f>
        <v>0.74586851856767911</v>
      </c>
      <c r="S217" s="20"/>
      <c r="T217" s="20" t="s">
        <v>270</v>
      </c>
    </row>
    <row r="218" spans="1:26">
      <c r="A218" s="20" t="s">
        <v>83</v>
      </c>
      <c r="C218" s="13"/>
      <c r="D218" s="135">
        <f>D203/D216</f>
        <v>0.68314721705035464</v>
      </c>
      <c r="E218" s="13"/>
      <c r="F218" s="135">
        <f>F203/F216</f>
        <v>0.64613620297610652</v>
      </c>
      <c r="G218" s="13"/>
      <c r="H218" s="135">
        <f>H203/H216</f>
        <v>0.64297021514591102</v>
      </c>
      <c r="I218" s="13"/>
      <c r="J218" s="135">
        <f>J203/J216</f>
        <v>0.60188897908890693</v>
      </c>
      <c r="K218" s="13"/>
      <c r="L218" s="135">
        <f>L203/L216</f>
        <v>0.55032190448461527</v>
      </c>
      <c r="M218" s="13"/>
      <c r="N218" s="135">
        <f>N203/N216</f>
        <v>0.92947348336325475</v>
      </c>
      <c r="O218" s="44"/>
      <c r="P218" s="89">
        <f>AVERAGE(D218,F218,H218,J218,L218,N218)</f>
        <v>0.67565633368485833</v>
      </c>
      <c r="Q218" s="89">
        <f t="shared" si="20"/>
        <v>0.55032190448461527</v>
      </c>
      <c r="R218" s="89">
        <f t="shared" si="21"/>
        <v>0.92947348336325475</v>
      </c>
      <c r="S218" s="20"/>
      <c r="T218" s="20" t="s">
        <v>83</v>
      </c>
    </row>
    <row r="219" spans="1:26">
      <c r="A219" s="20" t="s">
        <v>65</v>
      </c>
      <c r="C219" s="13"/>
      <c r="D219" s="44">
        <f>D204/D216</f>
        <v>0.78019292221412562</v>
      </c>
      <c r="E219" s="13"/>
      <c r="F219" s="44">
        <f>F204/F216</f>
        <v>0.73141322015574739</v>
      </c>
      <c r="G219" s="13"/>
      <c r="H219" s="44">
        <f>H204/H216</f>
        <v>0.73973701676471337</v>
      </c>
      <c r="I219" s="13"/>
      <c r="J219" s="44">
        <f>J204/J216</f>
        <v>0.71200721166005976</v>
      </c>
      <c r="K219" s="13"/>
      <c r="L219" s="44">
        <f>L204/L216</f>
        <v>0.66374747877529672</v>
      </c>
      <c r="M219" s="13"/>
      <c r="N219" s="44">
        <f>N204/N216</f>
        <v>0.9774452073817117</v>
      </c>
      <c r="O219" s="44"/>
      <c r="P219" s="89">
        <f>AVERAGE(D219,F219,H219,J219,L219,N219)</f>
        <v>0.76742384282527565</v>
      </c>
      <c r="Q219" s="89">
        <f t="shared" si="20"/>
        <v>0.66374747877529672</v>
      </c>
      <c r="R219" s="89">
        <f t="shared" si="21"/>
        <v>0.9774452073817117</v>
      </c>
      <c r="S219" s="20"/>
      <c r="T219" s="20" t="s">
        <v>65</v>
      </c>
      <c r="Z219" s="100"/>
    </row>
    <row r="220" spans="1:26">
      <c r="A220" s="20" t="s">
        <v>82</v>
      </c>
      <c r="C220" s="13"/>
      <c r="D220" s="44">
        <f>D205/D216</f>
        <v>0.86141589460729895</v>
      </c>
      <c r="F220" s="44">
        <f>F205/F216</f>
        <v>0.79096348373009717</v>
      </c>
      <c r="G220" s="13"/>
      <c r="H220" s="44">
        <f>H205/H216</f>
        <v>0.82079430795973052</v>
      </c>
      <c r="I220" s="13"/>
      <c r="J220" s="44">
        <f>J205/J216</f>
        <v>0.80387166231345952</v>
      </c>
      <c r="K220" s="13"/>
      <c r="L220" s="44">
        <f>L205/L216</f>
        <v>0.76626360157092721</v>
      </c>
      <c r="M220" s="13"/>
      <c r="N220" s="44">
        <f>N205/N216</f>
        <v>0.99060189715152813</v>
      </c>
      <c r="O220" s="44"/>
      <c r="P220" s="89">
        <f>AVERAGE(D220,F220,H220,J220,L220,N220)</f>
        <v>0.8389851412221736</v>
      </c>
      <c r="Q220" s="89">
        <f t="shared" si="20"/>
        <v>0.76626360157092721</v>
      </c>
      <c r="R220" s="89">
        <f t="shared" si="21"/>
        <v>0.99060189715152813</v>
      </c>
      <c r="S220" s="20"/>
      <c r="T220" s="20" t="s">
        <v>82</v>
      </c>
      <c r="Z220" s="100"/>
    </row>
    <row r="221" spans="1:26">
      <c r="A221" s="20" t="s">
        <v>193</v>
      </c>
      <c r="D221" s="44">
        <f>D207/D216</f>
        <v>0.97207585873666702</v>
      </c>
      <c r="F221" s="44">
        <f>F207/F216</f>
        <v>0.88294858081815308</v>
      </c>
      <c r="G221" s="21"/>
      <c r="H221" s="44">
        <f>H207/H216</f>
        <v>0.91978852441701664</v>
      </c>
      <c r="I221" s="21"/>
      <c r="J221" s="44">
        <f>J207/J216</f>
        <v>0.91480327364433389</v>
      </c>
      <c r="K221" s="13"/>
      <c r="L221" s="44">
        <f>L207/L216</f>
        <v>0.91583914106889952</v>
      </c>
      <c r="N221" s="44">
        <f>N207/N216</f>
        <v>1</v>
      </c>
      <c r="P221" s="89">
        <f>AVERAGE(D221,F221,H221,J221,L221)</f>
        <v>0.92109107573701399</v>
      </c>
      <c r="Q221" s="89">
        <f t="shared" si="20"/>
        <v>0.88294858081815308</v>
      </c>
      <c r="R221" s="89">
        <f t="shared" si="21"/>
        <v>1</v>
      </c>
      <c r="T221" s="20" t="s">
        <v>193</v>
      </c>
      <c r="Z221" s="100"/>
    </row>
    <row r="222" spans="1:26">
      <c r="A222" s="20" t="s">
        <v>241</v>
      </c>
      <c r="D222" s="44">
        <f>D209/D216</f>
        <v>1</v>
      </c>
      <c r="F222" s="44">
        <f>F209/F216</f>
        <v>0.95234163030167296</v>
      </c>
      <c r="H222" s="44">
        <f>H209/H216</f>
        <v>0.95757183352179431</v>
      </c>
      <c r="J222" s="44">
        <f>J209/J216</f>
        <v>0.96444027477708627</v>
      </c>
      <c r="L222" s="44">
        <f>L209/L216</f>
        <v>0.97110570040370281</v>
      </c>
      <c r="N222" s="44">
        <f>N209/N216</f>
        <v>1</v>
      </c>
      <c r="P222" s="89">
        <f>AVERAGE(D222,F222,H222,J222,L222)</f>
        <v>0.9690918878008512</v>
      </c>
      <c r="Q222" s="89">
        <f t="shared" si="20"/>
        <v>0.95234163030167296</v>
      </c>
      <c r="R222" s="89">
        <f t="shared" si="21"/>
        <v>1</v>
      </c>
      <c r="T222" s="20" t="s">
        <v>241</v>
      </c>
      <c r="Z222" s="100"/>
    </row>
    <row r="223" spans="1:26">
      <c r="D223" s="58" t="s">
        <v>107</v>
      </c>
      <c r="E223" s="57"/>
      <c r="F223" s="58" t="s">
        <v>107</v>
      </c>
      <c r="G223" s="57"/>
      <c r="H223" s="58" t="s">
        <v>107</v>
      </c>
      <c r="I223" s="57"/>
      <c r="J223" s="58" t="s">
        <v>107</v>
      </c>
      <c r="K223" s="57"/>
      <c r="L223" s="58" t="s">
        <v>107</v>
      </c>
      <c r="M223" s="57"/>
      <c r="N223" s="58"/>
      <c r="Z223" s="100"/>
    </row>
    <row r="224" spans="1:26">
      <c r="C224" s="55" t="s">
        <v>134</v>
      </c>
      <c r="D224" s="53"/>
      <c r="E224" s="55" t="s">
        <v>135</v>
      </c>
      <c r="F224" s="53"/>
      <c r="G224" s="55" t="s">
        <v>136</v>
      </c>
      <c r="H224" s="53"/>
      <c r="I224" s="55" t="s">
        <v>137</v>
      </c>
      <c r="J224" s="53"/>
      <c r="K224" s="55" t="s">
        <v>138</v>
      </c>
      <c r="M224" s="134" t="s">
        <v>277</v>
      </c>
    </row>
    <row r="225" spans="1:19">
      <c r="C225" s="21">
        <v>481772.08999999997</v>
      </c>
      <c r="E225" s="21">
        <v>1771828.7999999998</v>
      </c>
      <c r="G225" s="21">
        <v>1271579.49</v>
      </c>
      <c r="H225" s="21"/>
      <c r="I225" s="21">
        <v>597520</v>
      </c>
      <c r="J225" s="21"/>
      <c r="K225" s="21">
        <v>240196.05000000002</v>
      </c>
      <c r="M225" s="21">
        <v>143750</v>
      </c>
    </row>
    <row r="226" spans="1:19">
      <c r="A226" s="20" t="s">
        <v>271</v>
      </c>
      <c r="C226" s="21">
        <v>111231</v>
      </c>
      <c r="D226" s="21">
        <f>SUM(C225:C226)</f>
        <v>593003.09</v>
      </c>
      <c r="E226" s="21">
        <v>924279.99999999988</v>
      </c>
      <c r="F226" s="21">
        <f>SUM(E225:E226)</f>
        <v>2696108.8</v>
      </c>
      <c r="G226" s="21">
        <v>494543.31</v>
      </c>
      <c r="H226" s="21">
        <f>SUM(G225:G226)</f>
        <v>1766122.8</v>
      </c>
      <c r="I226" s="21">
        <v>86502.39</v>
      </c>
      <c r="J226" s="21">
        <f>SUM(I225:I226)</f>
        <v>684022.39</v>
      </c>
      <c r="K226" s="21">
        <v>181541.25</v>
      </c>
      <c r="L226" s="21">
        <f>SUM(K225:K226)</f>
        <v>421737.30000000005</v>
      </c>
      <c r="M226" s="21">
        <v>75200</v>
      </c>
      <c r="N226" s="21">
        <f>SUM(M225:M226)</f>
        <v>218950</v>
      </c>
    </row>
    <row r="227" spans="1:19">
      <c r="A227" s="20" t="s">
        <v>85</v>
      </c>
      <c r="C227" s="21">
        <v>66274.7</v>
      </c>
      <c r="D227" s="21">
        <f>SUM(C225:C227)</f>
        <v>659277.78999999992</v>
      </c>
      <c r="E227" s="21">
        <v>875712.60000000009</v>
      </c>
      <c r="F227" s="21">
        <f>SUM(E225:E227)</f>
        <v>3571821.4</v>
      </c>
      <c r="G227" s="21">
        <v>400000</v>
      </c>
      <c r="H227" s="21">
        <f>SUM(G225:G227)</f>
        <v>2166122.7999999998</v>
      </c>
      <c r="I227" s="21">
        <v>68798.099999999991</v>
      </c>
      <c r="J227" s="21">
        <f>SUM(I225:I227)</f>
        <v>752820.49</v>
      </c>
      <c r="K227" s="21">
        <v>97231.5</v>
      </c>
      <c r="L227" s="21">
        <f>SUM(K225:K227)</f>
        <v>518968.80000000005</v>
      </c>
      <c r="M227" s="21">
        <v>46801.760000000002</v>
      </c>
      <c r="N227" s="21">
        <f>SUM(M225:M227)</f>
        <v>265751.76</v>
      </c>
    </row>
    <row r="228" spans="1:19">
      <c r="A228" s="20" t="s">
        <v>63</v>
      </c>
      <c r="C228">
        <v>65575.5</v>
      </c>
      <c r="D228" s="21">
        <f>SUM(C225:C228)</f>
        <v>724853.28999999992</v>
      </c>
      <c r="E228">
        <v>611960</v>
      </c>
      <c r="F228" s="21">
        <f>SUM(E225:E228)</f>
        <v>4183781.4</v>
      </c>
      <c r="G228" s="21">
        <v>300000</v>
      </c>
      <c r="H228" s="21">
        <f>SUM(G225:G228)</f>
        <v>2466122.7999999998</v>
      </c>
      <c r="I228" s="21">
        <v>41503.490000000005</v>
      </c>
      <c r="J228" s="21">
        <f>SUM(I225:I228)</f>
        <v>794323.98</v>
      </c>
      <c r="K228" s="21">
        <v>57354.200000000004</v>
      </c>
      <c r="L228" s="21">
        <f>SUM(K225:K228)</f>
        <v>576323</v>
      </c>
      <c r="M228" s="21">
        <v>39566.510000000097</v>
      </c>
      <c r="N228" s="21">
        <f>SUM(M225:M228)</f>
        <v>305318.27000000014</v>
      </c>
      <c r="S228" s="20"/>
    </row>
    <row r="229" spans="1:19">
      <c r="A229" s="20" t="s">
        <v>86</v>
      </c>
      <c r="C229" s="21">
        <v>55669.15</v>
      </c>
      <c r="D229" s="21">
        <f>SUM(C225:C229)</f>
        <v>780522.44</v>
      </c>
      <c r="E229" s="21">
        <v>455088.19999999995</v>
      </c>
      <c r="F229" s="21">
        <f>SUM(E225:E229)</f>
        <v>4638869.5999999996</v>
      </c>
      <c r="G229" s="21">
        <v>298981.09999999998</v>
      </c>
      <c r="H229" s="21">
        <f>SUM(G225:G229)</f>
        <v>2765103.9</v>
      </c>
      <c r="I229" s="21">
        <v>36544.300000000003</v>
      </c>
      <c r="J229" s="21">
        <f>SUM(I225:I229)</f>
        <v>830868.28</v>
      </c>
      <c r="K229" s="21">
        <v>38257.11</v>
      </c>
      <c r="L229" s="21">
        <f>SUM(K225:K229)</f>
        <v>614580.11</v>
      </c>
      <c r="M229" s="21">
        <v>33900</v>
      </c>
      <c r="N229" s="21">
        <f>SUM(M225:M229)</f>
        <v>339218.27000000014</v>
      </c>
    </row>
    <row r="230" spans="1:19">
      <c r="A230" s="20" t="s">
        <v>190</v>
      </c>
      <c r="C230" s="21">
        <v>53500</v>
      </c>
      <c r="D230" s="21">
        <f>SUM(C225:C230)</f>
        <v>834022.44</v>
      </c>
      <c r="E230" s="21">
        <v>297763.20000000001</v>
      </c>
      <c r="F230" s="21">
        <f>SUM(E225:E230)</f>
        <v>4936632.8</v>
      </c>
      <c r="G230" s="21">
        <v>245106.08000000002</v>
      </c>
      <c r="H230" s="21">
        <f>SUM(G225:G230)</f>
        <v>3010209.98</v>
      </c>
      <c r="I230" s="21">
        <v>20000</v>
      </c>
      <c r="J230" s="21">
        <f>SUM(I225:I230)</f>
        <v>850868.28</v>
      </c>
      <c r="K230" s="21">
        <v>12930</v>
      </c>
      <c r="L230" s="21">
        <f>SUM(K225:K230)</f>
        <v>627510.11</v>
      </c>
      <c r="M230" s="21">
        <v>27150</v>
      </c>
      <c r="N230" s="21">
        <f>SUM(M225:M230)</f>
        <v>366368.27000000014</v>
      </c>
    </row>
    <row r="231" spans="1:19">
      <c r="C231" s="21">
        <v>45742.5</v>
      </c>
      <c r="E231" s="21">
        <v>120349.79999999999</v>
      </c>
      <c r="G231" s="21">
        <v>219637.35</v>
      </c>
      <c r="I231" s="21">
        <v>19974.300000000003</v>
      </c>
      <c r="K231" s="21">
        <v>12347.64</v>
      </c>
      <c r="M231" s="21">
        <v>16770</v>
      </c>
    </row>
    <row r="232" spans="1:19">
      <c r="A232" s="20" t="s">
        <v>189</v>
      </c>
      <c r="C232" s="21">
        <v>13438.48</v>
      </c>
      <c r="D232" s="21">
        <f>SUM(C225:C232)</f>
        <v>893203.41999999993</v>
      </c>
      <c r="E232" s="21">
        <v>107150</v>
      </c>
      <c r="F232" s="21">
        <f>SUM(E225:E232)</f>
        <v>5164132.5999999996</v>
      </c>
      <c r="G232" s="21">
        <v>180046.66</v>
      </c>
      <c r="H232" s="21">
        <f>SUM(G225:G232)</f>
        <v>3409893.99</v>
      </c>
      <c r="I232" s="21">
        <v>19283.8</v>
      </c>
      <c r="J232" s="21">
        <f>SUM(I225:I232)</f>
        <v>890126.38000000012</v>
      </c>
      <c r="K232" s="21">
        <v>11565.800000000001</v>
      </c>
      <c r="L232" s="21">
        <f>SUM(K225:K232)</f>
        <v>651423.55000000005</v>
      </c>
      <c r="M232" s="21">
        <v>7920</v>
      </c>
      <c r="N232" s="21">
        <f>SUM(M225:M232)</f>
        <v>391058.27000000014</v>
      </c>
    </row>
    <row r="233" spans="1:19">
      <c r="C233" s="21">
        <v>3000</v>
      </c>
      <c r="E233" s="21">
        <v>65905.8</v>
      </c>
      <c r="G233" s="21">
        <v>132000</v>
      </c>
      <c r="I233" s="21">
        <v>16690.41</v>
      </c>
      <c r="K233" s="21">
        <v>3787.5</v>
      </c>
      <c r="M233" s="21">
        <v>1470.0000000000002</v>
      </c>
    </row>
    <row r="234" spans="1:19">
      <c r="C234" s="21">
        <v>1000</v>
      </c>
      <c r="E234" s="21">
        <v>35734</v>
      </c>
      <c r="G234" s="21">
        <v>85713</v>
      </c>
      <c r="I234" s="21">
        <v>11799.92</v>
      </c>
      <c r="K234" s="21">
        <v>1111.7</v>
      </c>
      <c r="M234" s="21">
        <v>0</v>
      </c>
    </row>
    <row r="235" spans="1:19">
      <c r="C235" s="21">
        <v>0</v>
      </c>
      <c r="E235" s="21">
        <v>18784</v>
      </c>
      <c r="G235" s="21">
        <v>70070</v>
      </c>
      <c r="I235" s="21">
        <v>11206.380000000001</v>
      </c>
      <c r="K235" s="21">
        <v>0</v>
      </c>
      <c r="M235" s="21">
        <v>0</v>
      </c>
    </row>
    <row r="236" spans="1:19">
      <c r="C236" s="21">
        <v>0</v>
      </c>
      <c r="E236" s="21">
        <v>2834.5</v>
      </c>
      <c r="G236" s="21">
        <v>23482.799999999999</v>
      </c>
      <c r="I236" s="21">
        <v>0</v>
      </c>
      <c r="K236" s="21">
        <v>0</v>
      </c>
      <c r="M236" s="21">
        <v>0</v>
      </c>
    </row>
    <row r="237" spans="1:19">
      <c r="C237" s="21">
        <v>0</v>
      </c>
      <c r="E237" s="21">
        <v>0</v>
      </c>
      <c r="G237" s="21">
        <v>3000</v>
      </c>
      <c r="I237" s="21">
        <v>0</v>
      </c>
      <c r="K237" s="21">
        <v>0</v>
      </c>
      <c r="M237" s="21">
        <v>0</v>
      </c>
      <c r="P237" s="50" t="s">
        <v>144</v>
      </c>
      <c r="Q237" s="50"/>
      <c r="R237" s="50"/>
    </row>
    <row r="238" spans="1:19">
      <c r="C238" s="21">
        <v>0</v>
      </c>
      <c r="E238">
        <v>0</v>
      </c>
      <c r="G238" s="21">
        <v>0</v>
      </c>
      <c r="I238" s="21"/>
      <c r="K238" s="21">
        <v>0</v>
      </c>
      <c r="M238" s="21"/>
      <c r="P238" s="87" t="s">
        <v>107</v>
      </c>
      <c r="Q238" s="87"/>
      <c r="R238" s="87"/>
    </row>
    <row r="239" spans="1:19">
      <c r="C239" s="21"/>
      <c r="E239" s="21">
        <v>0</v>
      </c>
      <c r="G239" s="21">
        <v>0</v>
      </c>
      <c r="I239" s="21"/>
      <c r="K239" s="21">
        <v>0</v>
      </c>
      <c r="M239" s="21"/>
      <c r="O239" s="20"/>
      <c r="P239" s="272" t="s">
        <v>91</v>
      </c>
      <c r="Q239" s="537" t="s">
        <v>806</v>
      </c>
      <c r="R239" s="537" t="s">
        <v>807</v>
      </c>
    </row>
    <row r="240" spans="1:19">
      <c r="A240" s="20" t="s">
        <v>64</v>
      </c>
      <c r="C240" s="21"/>
      <c r="D240" s="21">
        <f>SUM(C225:C238)</f>
        <v>897203.41999999993</v>
      </c>
      <c r="E240" s="21"/>
      <c r="F240" s="21">
        <f>SUM(E225:E240)</f>
        <v>5287390.8999999994</v>
      </c>
      <c r="G240" s="21"/>
      <c r="H240" s="21">
        <f>SUM(G225:G242)</f>
        <v>3724159.79</v>
      </c>
      <c r="I240" s="21"/>
      <c r="J240" s="21">
        <f>SUM(I225:I239)</f>
        <v>929823.0900000002</v>
      </c>
      <c r="K240" s="21"/>
      <c r="L240" s="21">
        <f>SUM(K225:K240)</f>
        <v>656322.75</v>
      </c>
      <c r="M240" s="21"/>
      <c r="N240" s="21">
        <f>SUM(M225:M240)</f>
        <v>392528.27000000014</v>
      </c>
      <c r="O240" s="21"/>
      <c r="P240" s="88">
        <f>AVERAGE(D240,F240,H240,J240,L240,N240)</f>
        <v>1981238.0366666664</v>
      </c>
      <c r="Q240" s="88"/>
      <c r="R240" s="88"/>
      <c r="S240" s="20"/>
    </row>
    <row r="241" spans="1:26">
      <c r="A241" s="20" t="s">
        <v>270</v>
      </c>
      <c r="C241" s="21"/>
      <c r="D241" s="44">
        <f>D226/D240</f>
        <v>0.66094608734326943</v>
      </c>
      <c r="E241" s="21"/>
      <c r="F241" s="44">
        <f>F226/F240</f>
        <v>0.50991289484573576</v>
      </c>
      <c r="G241" s="21"/>
      <c r="H241" s="44">
        <f>H226/H240</f>
        <v>0.47423389424437129</v>
      </c>
      <c r="I241" s="21"/>
      <c r="J241" s="44">
        <f>J226/J240</f>
        <v>0.73564788544883297</v>
      </c>
      <c r="K241" s="21"/>
      <c r="L241" s="44">
        <f>L226/L240</f>
        <v>0.64257608013740197</v>
      </c>
      <c r="M241" s="21"/>
      <c r="N241" s="44">
        <f>N226/N240</f>
        <v>0.55779421950933605</v>
      </c>
      <c r="O241" s="21"/>
      <c r="P241" s="89">
        <f>AVERAGE(D241,F241,H241,J241,L241,N241)</f>
        <v>0.5968518435881579</v>
      </c>
      <c r="Q241" s="89">
        <f t="shared" ref="Q241:Q246" si="22">MIN(D241,F241,H241,J241,L241,N241)</f>
        <v>0.47423389424437129</v>
      </c>
      <c r="R241" s="89">
        <f t="shared" ref="R241:R246" si="23">MAX(D241,F241,H241,J241,L241,N241)</f>
        <v>0.73564788544883297</v>
      </c>
      <c r="S241" s="20"/>
    </row>
    <row r="242" spans="1:26">
      <c r="A242" s="20" t="s">
        <v>83</v>
      </c>
      <c r="C242" s="21"/>
      <c r="D242" s="135">
        <f>D227/D240</f>
        <v>0.73481417402532856</v>
      </c>
      <c r="E242" s="49"/>
      <c r="F242" s="135">
        <f>F227/F240</f>
        <v>0.67553571649109589</v>
      </c>
      <c r="G242" s="49"/>
      <c r="H242" s="135">
        <f>H227/H240</f>
        <v>0.58164067122372309</v>
      </c>
      <c r="I242" s="49"/>
      <c r="J242" s="135">
        <f>J227/J240</f>
        <v>0.8096384119693133</v>
      </c>
      <c r="K242" s="49"/>
      <c r="L242" s="135">
        <f>L227/L240</f>
        <v>0.79072194282462405</v>
      </c>
      <c r="M242" s="49"/>
      <c r="N242" s="135">
        <f>N227/N240</f>
        <v>0.67702578466513996</v>
      </c>
      <c r="O242" s="44"/>
      <c r="P242" s="89">
        <f t="shared" ref="P242:P246" si="24">AVERAGE(D242,F242,H242,J242,L242,N242)</f>
        <v>0.71156278353320424</v>
      </c>
      <c r="Q242" s="89">
        <f t="shared" si="22"/>
        <v>0.58164067122372309</v>
      </c>
      <c r="R242" s="89">
        <f t="shared" si="23"/>
        <v>0.8096384119693133</v>
      </c>
      <c r="S242" s="20"/>
      <c r="T242" s="20" t="s">
        <v>83</v>
      </c>
    </row>
    <row r="243" spans="1:26">
      <c r="A243" s="20" t="s">
        <v>65</v>
      </c>
      <c r="C243" s="21"/>
      <c r="D243" s="44">
        <f>D228/D240</f>
        <v>0.80790295025848202</v>
      </c>
      <c r="E243" s="49"/>
      <c r="F243" s="44">
        <f>F228/F240</f>
        <v>0.79127522044946597</v>
      </c>
      <c r="G243" s="49"/>
      <c r="H243" s="44">
        <f>H228/H240</f>
        <v>0.66219575395823704</v>
      </c>
      <c r="I243" s="49"/>
      <c r="J243" s="44">
        <f>J228/J240</f>
        <v>0.85427431147144328</v>
      </c>
      <c r="K243" s="49"/>
      <c r="L243" s="44">
        <f>L228/L240</f>
        <v>0.87810913152103898</v>
      </c>
      <c r="M243" s="49"/>
      <c r="N243" s="44">
        <f>N228/N240</f>
        <v>0.77782491946376253</v>
      </c>
      <c r="O243" s="44"/>
      <c r="P243" s="89">
        <f t="shared" si="24"/>
        <v>0.79526371452040501</v>
      </c>
      <c r="Q243" s="89">
        <f t="shared" si="22"/>
        <v>0.66219575395823704</v>
      </c>
      <c r="R243" s="89">
        <f t="shared" si="23"/>
        <v>0.87810913152103898</v>
      </c>
      <c r="S243" s="20"/>
      <c r="T243" s="20" t="s">
        <v>65</v>
      </c>
      <c r="Z243" s="100"/>
    </row>
    <row r="244" spans="1:26">
      <c r="A244" s="20" t="s">
        <v>82</v>
      </c>
      <c r="C244" s="21"/>
      <c r="D244" s="44">
        <f>D229/D240</f>
        <v>0.8699503619814557</v>
      </c>
      <c r="E244" s="2"/>
      <c r="F244" s="44">
        <f>F229/F240</f>
        <v>0.87734568669776247</v>
      </c>
      <c r="G244" s="49"/>
      <c r="H244" s="44">
        <f>H229/H240</f>
        <v>0.74247724478009036</v>
      </c>
      <c r="I244" s="49"/>
      <c r="J244" s="44">
        <f>J229/J240</f>
        <v>0.89357673404303162</v>
      </c>
      <c r="K244" s="49"/>
      <c r="L244" s="44">
        <f>L229/L240</f>
        <v>0.93639921821999916</v>
      </c>
      <c r="M244" s="49"/>
      <c r="N244" s="44">
        <f>N229/N240</f>
        <v>0.8641881258641575</v>
      </c>
      <c r="O244" s="44"/>
      <c r="P244" s="89">
        <f t="shared" si="24"/>
        <v>0.86398956193108278</v>
      </c>
      <c r="Q244" s="89">
        <f t="shared" si="22"/>
        <v>0.74247724478009036</v>
      </c>
      <c r="R244" s="89">
        <f t="shared" si="23"/>
        <v>0.93639921821999916</v>
      </c>
      <c r="S244" s="20"/>
      <c r="T244" s="20" t="s">
        <v>82</v>
      </c>
      <c r="Z244" s="100"/>
    </row>
    <row r="245" spans="1:26">
      <c r="A245" s="20" t="s">
        <v>191</v>
      </c>
      <c r="D245" s="44">
        <f>D230/D240</f>
        <v>0.92958009455648305</v>
      </c>
      <c r="E245" s="2"/>
      <c r="F245" s="44">
        <f>F230/F240</f>
        <v>0.93366140188348856</v>
      </c>
      <c r="G245" s="49"/>
      <c r="H245" s="44">
        <f>H230/H240</f>
        <v>0.80829237995719838</v>
      </c>
      <c r="I245" s="49"/>
      <c r="J245" s="44">
        <f>J230/J240</f>
        <v>0.91508620204301427</v>
      </c>
      <c r="K245" s="49"/>
      <c r="L245" s="44">
        <f>L230/L240</f>
        <v>0.95609989140251495</v>
      </c>
      <c r="M245" s="2"/>
      <c r="N245" s="44">
        <f>N230/N240</f>
        <v>0.93335511860075715</v>
      </c>
      <c r="P245" s="89">
        <f t="shared" si="24"/>
        <v>0.9126791814072428</v>
      </c>
      <c r="Q245" s="89">
        <f t="shared" si="22"/>
        <v>0.80829237995719838</v>
      </c>
      <c r="R245" s="89">
        <f t="shared" si="23"/>
        <v>0.95609989140251495</v>
      </c>
      <c r="T245" s="20" t="s">
        <v>191</v>
      </c>
      <c r="Z245" s="100"/>
    </row>
    <row r="246" spans="1:26">
      <c r="A246" s="20" t="s">
        <v>188</v>
      </c>
      <c r="D246" s="44">
        <f>D232/D240</f>
        <v>0.99554170223738114</v>
      </c>
      <c r="E246" s="2"/>
      <c r="F246" s="44">
        <f>F232/F240</f>
        <v>0.97668825658416902</v>
      </c>
      <c r="G246" s="49"/>
      <c r="H246" s="44">
        <f>H232/H240</f>
        <v>0.91561430826790602</v>
      </c>
      <c r="I246" s="49"/>
      <c r="J246" s="44">
        <f>J232/J240</f>
        <v>0.95730724432752035</v>
      </c>
      <c r="K246" s="49"/>
      <c r="L246" s="44">
        <f>L232/L240</f>
        <v>0.9925353798874107</v>
      </c>
      <c r="M246" s="2"/>
      <c r="N246" s="44">
        <f>N232/N240</f>
        <v>0.99625504680210675</v>
      </c>
      <c r="P246" s="89">
        <f t="shared" si="24"/>
        <v>0.97232365635108231</v>
      </c>
      <c r="Q246" s="89">
        <f t="shared" si="22"/>
        <v>0.91561430826790602</v>
      </c>
      <c r="R246" s="89">
        <f t="shared" si="23"/>
        <v>0.99625504680210675</v>
      </c>
      <c r="T246" s="20" t="s">
        <v>188</v>
      </c>
      <c r="Z246" s="100"/>
    </row>
    <row r="247" spans="1:26">
      <c r="E247" s="2"/>
      <c r="G247" s="2"/>
      <c r="I247" s="2"/>
      <c r="K247" s="2"/>
      <c r="M247" s="2"/>
      <c r="Z247" s="100"/>
    </row>
    <row r="248" spans="1:26">
      <c r="D248" s="58" t="s">
        <v>107</v>
      </c>
      <c r="E248" s="109"/>
      <c r="F248" s="58" t="s">
        <v>107</v>
      </c>
      <c r="G248" s="109"/>
      <c r="H248" s="58" t="s">
        <v>107</v>
      </c>
      <c r="I248" s="109"/>
      <c r="J248" s="58" t="s">
        <v>107</v>
      </c>
      <c r="K248" s="109"/>
      <c r="L248" s="58" t="s">
        <v>107</v>
      </c>
      <c r="M248" s="109"/>
      <c r="N248" s="58"/>
    </row>
    <row r="249" spans="1:26">
      <c r="C249" s="55" t="s">
        <v>172</v>
      </c>
      <c r="D249" s="53"/>
      <c r="E249" s="137" t="s">
        <v>173</v>
      </c>
      <c r="F249" s="53"/>
      <c r="G249" s="137" t="s">
        <v>174</v>
      </c>
      <c r="H249" s="53"/>
      <c r="I249" s="137" t="s">
        <v>175</v>
      </c>
      <c r="J249" s="53"/>
      <c r="K249" s="137" t="s">
        <v>176</v>
      </c>
      <c r="M249" s="137" t="s">
        <v>278</v>
      </c>
      <c r="N249" s="53"/>
    </row>
    <row r="250" spans="1:26">
      <c r="C250" s="21">
        <v>271451.5</v>
      </c>
      <c r="E250" s="49">
        <v>2086232</v>
      </c>
      <c r="G250" s="49">
        <v>1499658.64</v>
      </c>
      <c r="H250" s="21"/>
      <c r="I250" s="49">
        <v>1077701.1842546</v>
      </c>
      <c r="J250" s="21"/>
      <c r="K250" s="49">
        <v>288383.7</v>
      </c>
      <c r="M250" s="49">
        <v>190364.72000000003</v>
      </c>
    </row>
    <row r="251" spans="1:26">
      <c r="A251" s="20" t="s">
        <v>271</v>
      </c>
      <c r="C251" s="21">
        <v>262125.5</v>
      </c>
      <c r="D251" s="21">
        <f>SUM(C250:C251)</f>
        <v>533577</v>
      </c>
      <c r="E251" s="49">
        <v>1590752.2</v>
      </c>
      <c r="F251" s="21">
        <f>SUM(E250:E251)</f>
        <v>3676984.2</v>
      </c>
      <c r="G251" s="49">
        <v>493202.25</v>
      </c>
      <c r="H251" s="21">
        <f>SUM(G250:G251)</f>
        <v>1992860.89</v>
      </c>
      <c r="I251" s="49">
        <v>110769.40000000001</v>
      </c>
      <c r="J251" s="21">
        <f>SUM(I250:I251)</f>
        <v>1188470.5842545999</v>
      </c>
      <c r="K251" s="49">
        <v>230690.46</v>
      </c>
      <c r="L251" s="21">
        <f>SUM(K250:K251)</f>
        <v>519074.16000000003</v>
      </c>
      <c r="M251" s="49">
        <v>160720.00000000003</v>
      </c>
      <c r="N251" s="21">
        <f>SUM(M250:M251)</f>
        <v>351084.72000000009</v>
      </c>
    </row>
    <row r="252" spans="1:26">
      <c r="A252" s="20" t="s">
        <v>85</v>
      </c>
      <c r="C252" s="21">
        <v>183006.53999999998</v>
      </c>
      <c r="D252" s="21">
        <f>SUM(C250:C252)</f>
        <v>716583.54</v>
      </c>
      <c r="E252" s="2">
        <v>1291235.5999999999</v>
      </c>
      <c r="F252" s="21">
        <f>SUM(E250:E252)</f>
        <v>4968219.8</v>
      </c>
      <c r="G252" s="49">
        <v>365700</v>
      </c>
      <c r="H252" s="21">
        <f>SUM(G250:G252)</f>
        <v>2358560.8899999997</v>
      </c>
      <c r="I252" s="49">
        <v>98054.099999999991</v>
      </c>
      <c r="J252" s="21">
        <f>SUM(I250:I252)</f>
        <v>1286524.6842546</v>
      </c>
      <c r="K252" s="49">
        <v>97093.46</v>
      </c>
      <c r="L252" s="21">
        <f>SUM(K250:K252)</f>
        <v>616167.62</v>
      </c>
      <c r="M252" s="49">
        <v>65040</v>
      </c>
      <c r="N252" s="21">
        <f>SUM(M250:M252)</f>
        <v>416124.72000000009</v>
      </c>
    </row>
    <row r="253" spans="1:26">
      <c r="A253" s="20" t="s">
        <v>63</v>
      </c>
      <c r="C253" s="21">
        <v>119984.92</v>
      </c>
      <c r="D253" s="21">
        <f>SUM(C250:C253)</f>
        <v>836568.46000000008</v>
      </c>
      <c r="E253" s="49">
        <v>493500</v>
      </c>
      <c r="F253" s="21">
        <f>SUM(E250:E253)</f>
        <v>5461719.7999999998</v>
      </c>
      <c r="G253" s="49">
        <v>225320</v>
      </c>
      <c r="H253" s="21">
        <f>SUM(G250:G253)</f>
        <v>2583880.8899999997</v>
      </c>
      <c r="I253" s="49">
        <v>47784.800000000003</v>
      </c>
      <c r="J253" s="21">
        <f>SUM(I250:I253)</f>
        <v>1334309.4842546</v>
      </c>
      <c r="K253" s="49">
        <v>38168.49</v>
      </c>
      <c r="L253" s="21">
        <f>SUM(K250:K253)</f>
        <v>654336.11</v>
      </c>
      <c r="M253" s="49">
        <v>60160</v>
      </c>
      <c r="N253" s="21">
        <f>SUM(M250:M253)</f>
        <v>476284.72000000009</v>
      </c>
      <c r="S253" s="20"/>
    </row>
    <row r="254" spans="1:26">
      <c r="A254" s="20" t="s">
        <v>86</v>
      </c>
      <c r="C254" s="21">
        <v>90771.200000000012</v>
      </c>
      <c r="D254" s="21">
        <f>SUM(C250:C254)</f>
        <v>927339.66000000015</v>
      </c>
      <c r="E254" s="49">
        <v>351480.24</v>
      </c>
      <c r="F254" s="21">
        <f>SUM(E250:E254)</f>
        <v>5813200.04</v>
      </c>
      <c r="G254" s="49">
        <v>212850</v>
      </c>
      <c r="H254" s="21">
        <f>SUM(G250:G254)</f>
        <v>2796730.8899999997</v>
      </c>
      <c r="I254" s="49">
        <v>46319.564805499998</v>
      </c>
      <c r="J254" s="21">
        <f>SUM(I250:I254)</f>
        <v>1380629.0490601</v>
      </c>
      <c r="K254" s="49">
        <v>34939.9</v>
      </c>
      <c r="L254" s="21">
        <f>SUM(K250:K254)</f>
        <v>689276.01</v>
      </c>
      <c r="M254" s="49">
        <v>56520</v>
      </c>
      <c r="N254" s="21">
        <f>SUM(M250:M254)</f>
        <v>532804.72000000009</v>
      </c>
    </row>
    <row r="255" spans="1:26">
      <c r="A255" s="20" t="s">
        <v>190</v>
      </c>
      <c r="C255" s="21">
        <v>66274.7</v>
      </c>
      <c r="D255" s="21">
        <f>SUM(C250:C255)</f>
        <v>993614.3600000001</v>
      </c>
      <c r="E255" s="49">
        <v>270000</v>
      </c>
      <c r="F255" s="21">
        <f>SUM(E250:E255)</f>
        <v>6083200.04</v>
      </c>
      <c r="G255" s="49">
        <v>169582.13999999998</v>
      </c>
      <c r="H255" s="21">
        <f>SUM(G250:G255)</f>
        <v>2966313.03</v>
      </c>
      <c r="I255" s="49">
        <v>31500</v>
      </c>
      <c r="J255" s="21">
        <f>SUM(I250:I255)</f>
        <v>1412129.0490601</v>
      </c>
      <c r="K255" s="49">
        <v>28174.350000000002</v>
      </c>
      <c r="L255" s="21">
        <f>SUM(K250:K255)</f>
        <v>717450.36</v>
      </c>
      <c r="M255" s="49">
        <v>40495</v>
      </c>
      <c r="N255" s="21">
        <f>SUM(M250:M255)</f>
        <v>573299.72000000009</v>
      </c>
    </row>
    <row r="256" spans="1:26">
      <c r="A256" s="20" t="s">
        <v>194</v>
      </c>
      <c r="C256" s="21">
        <v>63000</v>
      </c>
      <c r="D256" s="21">
        <f>SUM(C250:C256)</f>
        <v>1056614.3600000001</v>
      </c>
      <c r="E256" s="49">
        <v>214200</v>
      </c>
      <c r="F256" s="21">
        <f>SUM(E250:E256)</f>
        <v>6297400.04</v>
      </c>
      <c r="G256" s="49">
        <v>114000</v>
      </c>
      <c r="H256" s="21">
        <f>SUM(G250:G256)</f>
        <v>3080313.03</v>
      </c>
      <c r="I256" s="49">
        <v>27375</v>
      </c>
      <c r="J256" s="21">
        <f>SUM(I250:I256)</f>
        <v>1439504.0490601</v>
      </c>
      <c r="K256" s="49">
        <v>12780</v>
      </c>
      <c r="L256" s="21">
        <f>SUM(K250:K256)</f>
        <v>730230.36</v>
      </c>
      <c r="M256" s="49">
        <v>27000</v>
      </c>
      <c r="N256" s="21">
        <f>SUM(M250:M256)</f>
        <v>600299.72000000009</v>
      </c>
    </row>
    <row r="257" spans="1:26">
      <c r="C257" s="21">
        <v>17472.22</v>
      </c>
      <c r="E257" s="49">
        <v>81000</v>
      </c>
      <c r="G257" s="49">
        <v>72000</v>
      </c>
      <c r="I257" s="49">
        <v>22984.25</v>
      </c>
      <c r="K257" s="49">
        <v>12332.98</v>
      </c>
      <c r="M257" s="49">
        <v>16710</v>
      </c>
    </row>
    <row r="258" spans="1:26">
      <c r="C258" s="21">
        <v>13411.2</v>
      </c>
      <c r="E258" s="49">
        <v>48000</v>
      </c>
      <c r="G258" s="49">
        <v>40000</v>
      </c>
      <c r="I258" s="49">
        <v>17435.04</v>
      </c>
      <c r="K258" s="49">
        <v>11123.94</v>
      </c>
      <c r="M258" s="49">
        <v>2560</v>
      </c>
    </row>
    <row r="259" spans="1:26">
      <c r="C259" s="21">
        <v>1300</v>
      </c>
      <c r="E259" s="49">
        <v>41899.97</v>
      </c>
      <c r="G259" s="49">
        <v>16000</v>
      </c>
      <c r="I259" s="49">
        <v>9642.3947635999994</v>
      </c>
      <c r="K259" s="49">
        <v>6591</v>
      </c>
      <c r="M259" s="49">
        <v>0</v>
      </c>
    </row>
    <row r="260" spans="1:26">
      <c r="C260" s="21">
        <v>250</v>
      </c>
      <c r="E260" s="2">
        <v>36400</v>
      </c>
      <c r="G260" s="49">
        <v>10220</v>
      </c>
      <c r="I260" s="49">
        <v>7500</v>
      </c>
      <c r="K260" s="49">
        <v>0</v>
      </c>
      <c r="M260" s="49">
        <v>0</v>
      </c>
    </row>
    <row r="261" spans="1:26">
      <c r="C261" s="21">
        <v>0</v>
      </c>
      <c r="E261" s="49">
        <v>30000</v>
      </c>
      <c r="G261" s="49">
        <v>3380</v>
      </c>
      <c r="I261" s="49">
        <v>925</v>
      </c>
      <c r="K261" s="49">
        <v>0</v>
      </c>
      <c r="M261" s="49">
        <v>0</v>
      </c>
    </row>
    <row r="262" spans="1:26">
      <c r="C262" s="21"/>
      <c r="E262" s="49">
        <v>1000</v>
      </c>
      <c r="G262" s="49">
        <v>1295.46</v>
      </c>
      <c r="I262" s="49">
        <v>0</v>
      </c>
      <c r="K262" s="49">
        <v>0</v>
      </c>
      <c r="M262" s="49">
        <v>0</v>
      </c>
      <c r="P262" s="50" t="s">
        <v>177</v>
      </c>
      <c r="Q262" s="50"/>
      <c r="R262" s="50"/>
    </row>
    <row r="263" spans="1:26">
      <c r="E263" s="49">
        <v>0</v>
      </c>
      <c r="G263" s="49">
        <v>0</v>
      </c>
      <c r="I263" s="49">
        <v>0</v>
      </c>
      <c r="K263" s="49">
        <v>0</v>
      </c>
      <c r="M263" s="49">
        <v>0</v>
      </c>
      <c r="P263" s="87" t="s">
        <v>107</v>
      </c>
      <c r="Q263" s="87"/>
      <c r="R263" s="87"/>
    </row>
    <row r="264" spans="1:26">
      <c r="C264" s="21"/>
      <c r="E264" s="49">
        <v>0</v>
      </c>
      <c r="G264" s="49">
        <v>0</v>
      </c>
      <c r="I264" s="49"/>
      <c r="K264" s="49">
        <v>0</v>
      </c>
      <c r="M264" s="49">
        <v>0</v>
      </c>
      <c r="O264" s="20"/>
      <c r="P264" s="272" t="s">
        <v>91</v>
      </c>
      <c r="Q264" s="537" t="s">
        <v>806</v>
      </c>
      <c r="R264" s="537" t="s">
        <v>807</v>
      </c>
    </row>
    <row r="265" spans="1:26">
      <c r="A265" s="20" t="s">
        <v>64</v>
      </c>
      <c r="C265" s="21"/>
      <c r="D265" s="21">
        <f>SUM(C250:C263)</f>
        <v>1089047.78</v>
      </c>
      <c r="E265" s="49"/>
      <c r="F265" s="21">
        <f>SUM(E250:E265)</f>
        <v>6535700.0099999998</v>
      </c>
      <c r="G265" s="49"/>
      <c r="H265" s="21">
        <f>SUM(G250:G267)</f>
        <v>3223208.4899999998</v>
      </c>
      <c r="I265" s="49"/>
      <c r="J265" s="21">
        <f>SUM(I250:I264)</f>
        <v>1497990.7338237001</v>
      </c>
      <c r="K265" s="49"/>
      <c r="L265" s="21">
        <f>SUM(K250:K265)</f>
        <v>760278.27999999991</v>
      </c>
      <c r="M265" s="49"/>
      <c r="N265" s="21">
        <f>SUM(M250:M265)</f>
        <v>619569.72000000009</v>
      </c>
      <c r="O265" s="21"/>
      <c r="P265" s="88">
        <f>AVERAGE(D265,F265,H265,J265,L265,N265)</f>
        <v>2287632.50230395</v>
      </c>
      <c r="Q265" s="88"/>
      <c r="R265" s="88"/>
      <c r="S265" s="20"/>
    </row>
    <row r="266" spans="1:26">
      <c r="A266" s="20" t="s">
        <v>270</v>
      </c>
      <c r="C266" s="21"/>
      <c r="D266" s="44">
        <f>D251/D265</f>
        <v>0.48994820043616449</v>
      </c>
      <c r="E266" s="49"/>
      <c r="F266" s="44">
        <f>F251/F265</f>
        <v>0.56259990427559425</v>
      </c>
      <c r="G266" s="49"/>
      <c r="H266" s="44">
        <f>H251/H265</f>
        <v>0.61828482277297547</v>
      </c>
      <c r="I266" s="49"/>
      <c r="J266" s="44">
        <f>J251/J265</f>
        <v>0.79337645915937427</v>
      </c>
      <c r="K266" s="49"/>
      <c r="L266" s="44">
        <f>L251/L265</f>
        <v>0.68274232429736137</v>
      </c>
      <c r="M266" s="49"/>
      <c r="N266" s="44">
        <f>N251/N265</f>
        <v>0.56665893872282858</v>
      </c>
      <c r="O266" s="21"/>
      <c r="P266" s="89">
        <f>AVERAGE(D266,F266,H266,J266,L266,N266)</f>
        <v>0.61893510827738307</v>
      </c>
      <c r="Q266" s="89">
        <f t="shared" ref="Q266:Q270" si="25">MIN(D266,F266,H266,J266,L266,N266)</f>
        <v>0.48994820043616449</v>
      </c>
      <c r="R266" s="89">
        <f t="shared" ref="R266:R270" si="26">MAX(D266,F266,H266,J266,L266,N266)</f>
        <v>0.79337645915937427</v>
      </c>
      <c r="S266" s="20"/>
      <c r="T266" s="20" t="s">
        <v>270</v>
      </c>
    </row>
    <row r="267" spans="1:26">
      <c r="A267" s="20" t="s">
        <v>83</v>
      </c>
      <c r="C267" s="21"/>
      <c r="D267" s="135">
        <f>D252/D265</f>
        <v>0.65799091018761369</v>
      </c>
      <c r="E267" s="49"/>
      <c r="F267" s="135">
        <f>F252/F265</f>
        <v>0.76016643854496624</v>
      </c>
      <c r="G267" s="49"/>
      <c r="H267" s="135">
        <f>H252/H265</f>
        <v>0.73174319852948755</v>
      </c>
      <c r="I267" s="49"/>
      <c r="J267" s="135">
        <f>J252/J265</f>
        <v>0.85883353962455966</v>
      </c>
      <c r="K267" s="49"/>
      <c r="L267" s="135">
        <f>L252/L265</f>
        <v>0.81045011571289405</v>
      </c>
      <c r="M267" s="49"/>
      <c r="N267" s="135">
        <f>N252/N265</f>
        <v>0.67163501792824876</v>
      </c>
      <c r="O267" s="44"/>
      <c r="P267" s="89">
        <f t="shared" ref="P267:P270" si="27">AVERAGE(D267,F267,H267,J267,L267,N267)</f>
        <v>0.74846987008796162</v>
      </c>
      <c r="Q267" s="89">
        <f t="shared" si="25"/>
        <v>0.65799091018761369</v>
      </c>
      <c r="R267" s="89">
        <f t="shared" si="26"/>
        <v>0.85883353962455966</v>
      </c>
      <c r="S267" s="20"/>
      <c r="T267" s="20" t="s">
        <v>83</v>
      </c>
    </row>
    <row r="268" spans="1:26">
      <c r="A268" s="20" t="s">
        <v>65</v>
      </c>
      <c r="C268" s="21"/>
      <c r="D268" s="44">
        <f>D253/D265</f>
        <v>0.76816506618286307</v>
      </c>
      <c r="E268" s="49"/>
      <c r="F268" s="44">
        <f>F253/F265</f>
        <v>0.83567480019634499</v>
      </c>
      <c r="G268" s="49"/>
      <c r="H268" s="44">
        <f>H253/H265</f>
        <v>0.80164869818892781</v>
      </c>
      <c r="I268" s="49"/>
      <c r="J268" s="44">
        <f>J253/J265</f>
        <v>0.89073280236434105</v>
      </c>
      <c r="K268" s="49"/>
      <c r="L268" s="44">
        <f>L253/L265</f>
        <v>0.86065343074117551</v>
      </c>
      <c r="M268" s="49"/>
      <c r="N268" s="44">
        <f>N253/N265</f>
        <v>0.76873466314654637</v>
      </c>
      <c r="O268" s="44"/>
      <c r="P268" s="89">
        <f t="shared" si="27"/>
        <v>0.82093491013669995</v>
      </c>
      <c r="Q268" s="89">
        <f t="shared" si="25"/>
        <v>0.76816506618286307</v>
      </c>
      <c r="R268" s="89">
        <f t="shared" si="26"/>
        <v>0.89073280236434105</v>
      </c>
      <c r="S268" s="20"/>
      <c r="T268" s="20" t="s">
        <v>65</v>
      </c>
      <c r="Z268" s="100"/>
    </row>
    <row r="269" spans="1:26">
      <c r="A269" s="20" t="s">
        <v>82</v>
      </c>
      <c r="C269" s="21"/>
      <c r="D269" s="44">
        <f>D254/D265</f>
        <v>0.85151420996423144</v>
      </c>
      <c r="E269" s="2"/>
      <c r="F269" s="44">
        <f>F254/F265</f>
        <v>0.88945331503977643</v>
      </c>
      <c r="G269" s="49"/>
      <c r="H269" s="44">
        <f>H254/H265</f>
        <v>0.86768538202752121</v>
      </c>
      <c r="I269" s="49"/>
      <c r="J269" s="44">
        <f>J254/J265</f>
        <v>0.92165393142050467</v>
      </c>
      <c r="K269" s="49"/>
      <c r="L269" s="44">
        <f>L254/L265</f>
        <v>0.90661015595500127</v>
      </c>
      <c r="M269" s="49"/>
      <c r="N269" s="44">
        <f>N254/N265</f>
        <v>0.85995926334166239</v>
      </c>
      <c r="O269" s="44"/>
      <c r="P269" s="89">
        <f t="shared" si="27"/>
        <v>0.88281270962478287</v>
      </c>
      <c r="Q269" s="89">
        <f t="shared" si="25"/>
        <v>0.85151420996423144</v>
      </c>
      <c r="R269" s="89">
        <f t="shared" si="26"/>
        <v>0.92165393142050467</v>
      </c>
      <c r="S269" s="20"/>
      <c r="T269" s="20" t="s">
        <v>82</v>
      </c>
      <c r="Z269" s="100"/>
    </row>
    <row r="270" spans="1:26">
      <c r="A270" s="118" t="s">
        <v>191</v>
      </c>
      <c r="D270" s="44">
        <f>D255/D265</f>
        <v>0.91236985029251894</v>
      </c>
      <c r="E270" s="2"/>
      <c r="F270" s="44">
        <f>F255/F265</f>
        <v>0.9307648806849077</v>
      </c>
      <c r="G270" s="49"/>
      <c r="H270" s="44">
        <f>H255/H265</f>
        <v>0.92029821812736667</v>
      </c>
      <c r="I270" s="49"/>
      <c r="J270" s="44">
        <f>J255/J265</f>
        <v>0.94268209887758536</v>
      </c>
      <c r="K270" s="49"/>
      <c r="L270" s="44">
        <f>L255/L265</f>
        <v>0.94366810005410129</v>
      </c>
      <c r="M270" s="2"/>
      <c r="N270" s="44">
        <f>N255/N265</f>
        <v>0.92531913922455733</v>
      </c>
      <c r="P270" s="89">
        <f t="shared" si="27"/>
        <v>0.92918371454350623</v>
      </c>
      <c r="Q270" s="89">
        <f t="shared" si="25"/>
        <v>0.91236985029251894</v>
      </c>
      <c r="R270" s="89">
        <f t="shared" si="26"/>
        <v>0.94366810005410129</v>
      </c>
      <c r="T270" s="118" t="s">
        <v>191</v>
      </c>
      <c r="Z270" s="100"/>
    </row>
    <row r="271" spans="1:26">
      <c r="E271" s="2"/>
      <c r="G271" s="2"/>
      <c r="I271" s="2"/>
      <c r="K271" s="2"/>
      <c r="M271" s="2"/>
      <c r="P271" s="89"/>
      <c r="Q271" s="89"/>
      <c r="R271" s="89"/>
      <c r="Z271" s="100"/>
    </row>
    <row r="272" spans="1:26">
      <c r="D272" s="58" t="s">
        <v>107</v>
      </c>
      <c r="E272" s="109"/>
      <c r="F272" s="58" t="s">
        <v>107</v>
      </c>
      <c r="G272" s="109"/>
      <c r="H272" s="58" t="s">
        <v>107</v>
      </c>
      <c r="I272" s="109"/>
      <c r="J272" s="58" t="s">
        <v>107</v>
      </c>
      <c r="K272" s="109"/>
      <c r="L272" s="58" t="s">
        <v>107</v>
      </c>
      <c r="M272" s="109"/>
      <c r="N272" s="58"/>
    </row>
    <row r="273" spans="1:19">
      <c r="C273" s="55" t="s">
        <v>124</v>
      </c>
      <c r="D273" s="53"/>
      <c r="E273" s="137" t="s">
        <v>125</v>
      </c>
      <c r="F273" s="53"/>
      <c r="G273" s="137" t="s">
        <v>126</v>
      </c>
      <c r="H273" s="53"/>
      <c r="I273" s="137" t="s">
        <v>127</v>
      </c>
      <c r="J273" s="53"/>
      <c r="K273" s="137" t="s">
        <v>128</v>
      </c>
      <c r="M273" s="137" t="s">
        <v>279</v>
      </c>
      <c r="N273" s="53"/>
    </row>
    <row r="274" spans="1:19">
      <c r="C274" s="21">
        <v>1276600</v>
      </c>
      <c r="E274" s="49">
        <v>1784500</v>
      </c>
      <c r="G274" s="49">
        <v>4048655.4000000004</v>
      </c>
      <c r="H274" s="21"/>
      <c r="I274" s="49">
        <v>1014461.58</v>
      </c>
      <c r="J274" s="21"/>
      <c r="K274" s="49">
        <v>564181.47</v>
      </c>
      <c r="M274" s="49">
        <v>461720.00000000006</v>
      </c>
    </row>
    <row r="275" spans="1:19">
      <c r="A275" s="20" t="s">
        <v>271</v>
      </c>
      <c r="C275" s="21">
        <v>791077.56</v>
      </c>
      <c r="D275" s="21">
        <f>SUM(C274:C275)</f>
        <v>2067677.56</v>
      </c>
      <c r="E275" s="49">
        <v>1759433</v>
      </c>
      <c r="F275" s="21">
        <f>SUM(E274:E275)</f>
        <v>3543933</v>
      </c>
      <c r="G275" s="49">
        <v>3058908.22</v>
      </c>
      <c r="H275" s="21">
        <f>SUM(G274:G275)</f>
        <v>7107563.620000001</v>
      </c>
      <c r="I275" s="49">
        <v>307780</v>
      </c>
      <c r="J275" s="21">
        <f>SUM(I274:I275)</f>
        <v>1322241.58</v>
      </c>
      <c r="K275" s="49">
        <v>484175.67000000004</v>
      </c>
      <c r="L275" s="21">
        <f>SUM(K274:K275)</f>
        <v>1048357.14</v>
      </c>
      <c r="M275" s="49">
        <v>229200</v>
      </c>
      <c r="N275" s="21">
        <f>SUM(M274:M275)</f>
        <v>690920</v>
      </c>
    </row>
    <row r="276" spans="1:19">
      <c r="A276" s="20" t="s">
        <v>85</v>
      </c>
      <c r="C276" s="21">
        <v>601281</v>
      </c>
      <c r="D276" s="21">
        <f>SUM(C274:C276)</f>
        <v>2668958.56</v>
      </c>
      <c r="E276" s="2">
        <v>919099.99999999988</v>
      </c>
      <c r="F276" s="21">
        <f>SUM(E274:E276)</f>
        <v>4463033</v>
      </c>
      <c r="G276" s="49">
        <v>1331250</v>
      </c>
      <c r="H276" s="21">
        <f>SUM(G274:G276)</f>
        <v>8438813.620000001</v>
      </c>
      <c r="I276" s="49">
        <v>305555.60000000003</v>
      </c>
      <c r="J276" s="21">
        <f>SUM(I274:I276)</f>
        <v>1627797.1800000002</v>
      </c>
      <c r="K276" s="49">
        <v>467159.74</v>
      </c>
      <c r="L276" s="21">
        <f>SUM(K274:K276)</f>
        <v>1515516.88</v>
      </c>
      <c r="M276" s="49">
        <v>92000</v>
      </c>
      <c r="N276" s="21">
        <f>SUM(M274:M276)</f>
        <v>782920</v>
      </c>
    </row>
    <row r="277" spans="1:19">
      <c r="A277" s="20" t="s">
        <v>63</v>
      </c>
      <c r="C277" s="21">
        <v>196288.5</v>
      </c>
      <c r="D277" s="21">
        <f>SUM(C274:C277)</f>
        <v>2865247.06</v>
      </c>
      <c r="E277" s="49">
        <v>314703</v>
      </c>
      <c r="F277" s="21">
        <f>SUM(E274:E277)</f>
        <v>4777736</v>
      </c>
      <c r="G277" s="49">
        <v>1012650</v>
      </c>
      <c r="H277" s="21">
        <f>SUM(G274:G277)</f>
        <v>9451463.620000001</v>
      </c>
      <c r="I277" s="49">
        <v>221216</v>
      </c>
      <c r="J277" s="21">
        <f>SUM(I274:I277)</f>
        <v>1849013.1800000002</v>
      </c>
      <c r="K277" s="49">
        <v>449815.77999999997</v>
      </c>
      <c r="L277" s="21">
        <f>SUM(K274:K277)</f>
        <v>1965332.66</v>
      </c>
      <c r="M277" s="49">
        <v>75740</v>
      </c>
      <c r="N277" s="21">
        <f>SUM(M274:M277)</f>
        <v>858660</v>
      </c>
      <c r="S277" s="20"/>
    </row>
    <row r="278" spans="1:19">
      <c r="A278" s="20" t="s">
        <v>86</v>
      </c>
      <c r="C278" s="21">
        <v>114439.92000000001</v>
      </c>
      <c r="D278" s="21">
        <f>SUM(C274:C278)</f>
        <v>2979686.98</v>
      </c>
      <c r="E278" s="49">
        <v>305640.5</v>
      </c>
      <c r="F278" s="21">
        <f>SUM(E274:E278)</f>
        <v>5083376.5</v>
      </c>
      <c r="G278" s="49">
        <v>617728.71</v>
      </c>
      <c r="H278" s="21">
        <f>SUM(G274:G278)</f>
        <v>10069192.330000002</v>
      </c>
      <c r="I278" s="49">
        <v>59793</v>
      </c>
      <c r="J278" s="21">
        <f>SUM(I274:I278)</f>
        <v>1908806.1800000002</v>
      </c>
      <c r="K278" s="49">
        <v>74840.87</v>
      </c>
      <c r="L278" s="21">
        <f>SUM(K274:K278)</f>
        <v>2040173.5299999998</v>
      </c>
      <c r="M278" s="49">
        <v>62200</v>
      </c>
      <c r="N278" s="21">
        <f>SUM(M274:M278)</f>
        <v>920860</v>
      </c>
    </row>
    <row r="279" spans="1:19">
      <c r="A279" s="20" t="s">
        <v>190</v>
      </c>
      <c r="C279" s="21">
        <v>90632.5</v>
      </c>
      <c r="D279" s="21">
        <f>SUM(C274:C279)</f>
        <v>3070319.48</v>
      </c>
      <c r="E279" s="2">
        <v>239400</v>
      </c>
      <c r="F279" s="21">
        <f>SUM(E274:E279)</f>
        <v>5322776.5</v>
      </c>
      <c r="G279" s="49">
        <v>492155.44000000006</v>
      </c>
      <c r="H279" s="21">
        <f>SUM(G274:G279)</f>
        <v>10561347.770000001</v>
      </c>
      <c r="I279" s="49">
        <v>57670.8</v>
      </c>
      <c r="J279" s="21">
        <f>SUM(I274:I279)</f>
        <v>1966476.9800000002</v>
      </c>
      <c r="K279" s="49">
        <v>52529.840000000004</v>
      </c>
      <c r="L279" s="21">
        <f>SUM(K274:K279)</f>
        <v>2092703.3699999999</v>
      </c>
      <c r="M279" s="49">
        <v>51900</v>
      </c>
      <c r="N279" s="21">
        <f>SUM(M274:M279)</f>
        <v>972760</v>
      </c>
    </row>
    <row r="280" spans="1:19">
      <c r="A280" s="118" t="s">
        <v>194</v>
      </c>
      <c r="C280" s="21">
        <v>63000</v>
      </c>
      <c r="D280" s="21">
        <f>SUM(C274:C280)</f>
        <v>3133319.48</v>
      </c>
      <c r="E280" s="49">
        <v>200000</v>
      </c>
      <c r="F280" s="21">
        <f>SUM(E274:E280)</f>
        <v>5522776.5</v>
      </c>
      <c r="G280" s="49">
        <v>432480.00000000006</v>
      </c>
      <c r="H280" s="21">
        <f>SUM(G274:G280)</f>
        <v>10993827.770000001</v>
      </c>
      <c r="I280" s="49">
        <v>53050</v>
      </c>
      <c r="J280" s="21">
        <f>SUM(I274:I280)</f>
        <v>2019526.9800000002</v>
      </c>
      <c r="K280" s="49">
        <v>20438.579999999998</v>
      </c>
      <c r="L280" s="21">
        <f>SUM(K274:K280)</f>
        <v>2113141.9499999997</v>
      </c>
      <c r="M280" s="49">
        <v>45120</v>
      </c>
      <c r="N280" s="21">
        <f>SUM(M274:M280)</f>
        <v>1017880</v>
      </c>
    </row>
    <row r="281" spans="1:19">
      <c r="C281" s="21">
        <v>21822.95</v>
      </c>
      <c r="E281" s="49">
        <v>80102.200000000012</v>
      </c>
      <c r="G281" s="49">
        <v>234000</v>
      </c>
      <c r="I281" s="49">
        <v>36500</v>
      </c>
      <c r="K281" s="49">
        <v>18109.2</v>
      </c>
      <c r="M281" s="49">
        <v>26200</v>
      </c>
    </row>
    <row r="282" spans="1:19">
      <c r="C282" s="21">
        <v>18300</v>
      </c>
      <c r="E282" s="49">
        <v>52800</v>
      </c>
      <c r="G282" s="49">
        <v>102539</v>
      </c>
      <c r="I282" s="49">
        <v>17432.73</v>
      </c>
      <c r="K282" s="49">
        <v>16897.29</v>
      </c>
      <c r="M282" s="49">
        <v>13540</v>
      </c>
    </row>
    <row r="283" spans="1:19">
      <c r="C283" s="21">
        <v>0</v>
      </c>
      <c r="E283" s="49">
        <v>12500</v>
      </c>
      <c r="G283" s="49">
        <v>75000</v>
      </c>
      <c r="I283" s="49">
        <v>15512.650000000001</v>
      </c>
      <c r="K283" s="49">
        <v>10110</v>
      </c>
      <c r="M283" s="49">
        <v>12800</v>
      </c>
    </row>
    <row r="284" spans="1:19">
      <c r="C284" s="21">
        <v>0</v>
      </c>
      <c r="E284" s="49">
        <v>4000</v>
      </c>
      <c r="G284" s="49">
        <v>41920</v>
      </c>
      <c r="I284" s="49">
        <v>14451.119999999999</v>
      </c>
      <c r="K284" s="49">
        <v>9247.3799999999992</v>
      </c>
      <c r="M284" s="49">
        <v>510</v>
      </c>
    </row>
    <row r="285" spans="1:19">
      <c r="C285" s="21">
        <v>0</v>
      </c>
      <c r="E285" s="49">
        <v>0</v>
      </c>
      <c r="G285" s="49">
        <v>23400</v>
      </c>
      <c r="I285" s="49">
        <v>10360.000000000002</v>
      </c>
      <c r="K285" s="49">
        <v>9085.1999999999989</v>
      </c>
      <c r="M285" s="49">
        <v>0</v>
      </c>
    </row>
    <row r="286" spans="1:19">
      <c r="C286" s="21"/>
      <c r="E286" s="49">
        <v>0</v>
      </c>
      <c r="G286" s="49">
        <v>5690</v>
      </c>
      <c r="I286" s="49">
        <v>10069.5</v>
      </c>
      <c r="K286" s="49">
        <v>739.52</v>
      </c>
      <c r="M286" s="49">
        <v>0</v>
      </c>
      <c r="P286" s="50" t="s">
        <v>145</v>
      </c>
      <c r="Q286" s="50"/>
      <c r="R286" s="50"/>
    </row>
    <row r="287" spans="1:19">
      <c r="C287" s="21"/>
      <c r="E287" s="49">
        <v>0</v>
      </c>
      <c r="G287" s="49">
        <v>0</v>
      </c>
      <c r="I287" s="49">
        <v>1500</v>
      </c>
      <c r="K287" s="49">
        <v>0</v>
      </c>
      <c r="M287" s="49">
        <v>0</v>
      </c>
      <c r="P287" s="87" t="s">
        <v>107</v>
      </c>
      <c r="Q287" s="87"/>
      <c r="R287" s="87"/>
    </row>
    <row r="288" spans="1:19">
      <c r="C288" s="21"/>
      <c r="E288" s="49"/>
      <c r="G288" s="49">
        <v>0</v>
      </c>
      <c r="I288" s="49">
        <v>0</v>
      </c>
      <c r="K288" s="49">
        <v>0</v>
      </c>
      <c r="M288" s="49">
        <v>0</v>
      </c>
      <c r="O288" s="20"/>
      <c r="P288" s="272" t="s">
        <v>91</v>
      </c>
      <c r="Q288" s="537" t="s">
        <v>806</v>
      </c>
      <c r="R288" s="537" t="s">
        <v>807</v>
      </c>
    </row>
    <row r="289" spans="1:26">
      <c r="A289" s="20" t="s">
        <v>64</v>
      </c>
      <c r="C289" s="21"/>
      <c r="D289" s="21">
        <f>SUM(C274:C287)</f>
        <v>3173442.43</v>
      </c>
      <c r="E289" s="49"/>
      <c r="F289" s="21">
        <f>SUM(E274:E289)</f>
        <v>5672178.7000000002</v>
      </c>
      <c r="G289" s="49">
        <v>0</v>
      </c>
      <c r="H289" s="21">
        <f>SUM(G274:G291)</f>
        <v>11476376.770000001</v>
      </c>
      <c r="I289" s="49">
        <v>0</v>
      </c>
      <c r="J289" s="21">
        <f>SUM(I274:I288)</f>
        <v>2125352.98</v>
      </c>
      <c r="K289" s="49">
        <v>0</v>
      </c>
      <c r="L289" s="21">
        <f>SUM(K274:K289)</f>
        <v>2177330.54</v>
      </c>
      <c r="M289" s="49"/>
      <c r="N289" s="21">
        <f>SUM(M274:M289)</f>
        <v>1070930</v>
      </c>
      <c r="O289" s="21"/>
      <c r="P289" s="88">
        <f>AVERAGE(D289,F289,H289,J289,L289,N289)</f>
        <v>4282601.9033333333</v>
      </c>
      <c r="Q289" s="88"/>
      <c r="R289" s="88"/>
      <c r="S289" s="20"/>
    </row>
    <row r="290" spans="1:26">
      <c r="A290" s="20" t="s">
        <v>270</v>
      </c>
      <c r="C290" s="21"/>
      <c r="D290" s="44">
        <f>D275/D289</f>
        <v>0.65155666302728543</v>
      </c>
      <c r="E290" s="49"/>
      <c r="F290" s="44">
        <f>F275/F289</f>
        <v>0.62479219845453737</v>
      </c>
      <c r="G290" s="49"/>
      <c r="H290" s="44">
        <f>H275/H289</f>
        <v>0.61932121630754022</v>
      </c>
      <c r="I290" s="49"/>
      <c r="J290" s="44">
        <f>J275/J289</f>
        <v>0.6221279911819636</v>
      </c>
      <c r="K290" s="49"/>
      <c r="L290" s="44">
        <f>L275/L289</f>
        <v>0.48148736296143624</v>
      </c>
      <c r="M290" s="49"/>
      <c r="N290" s="44">
        <f>N275/N289</f>
        <v>0.64515888059910542</v>
      </c>
      <c r="O290" s="21"/>
      <c r="P290" s="89">
        <f>AVERAGE(D290,F290,H290,J290,L290,N290)</f>
        <v>0.60740738542197803</v>
      </c>
      <c r="Q290" s="89">
        <f t="shared" ref="Q290:Q295" si="28">MIN(D290,F290,H290,J290,L290,N290)</f>
        <v>0.48148736296143624</v>
      </c>
      <c r="R290" s="89">
        <f t="shared" ref="R290:R295" si="29">MAX(D290,F290,H290,J290,L290,N290)</f>
        <v>0.65155666302728543</v>
      </c>
      <c r="S290" s="20"/>
      <c r="T290" s="20" t="s">
        <v>270</v>
      </c>
    </row>
    <row r="291" spans="1:26">
      <c r="A291" s="20" t="s">
        <v>83</v>
      </c>
      <c r="D291" s="135">
        <f>D276/D289</f>
        <v>0.84102945582661792</v>
      </c>
      <c r="E291" s="49"/>
      <c r="F291" s="135">
        <f>F276/F289</f>
        <v>0.78682870128897731</v>
      </c>
      <c r="G291" s="49"/>
      <c r="H291" s="135">
        <f>H276/H289</f>
        <v>0.73532037062948397</v>
      </c>
      <c r="I291" s="49"/>
      <c r="J291" s="135">
        <f>J276/J289</f>
        <v>0.76589498088924512</v>
      </c>
      <c r="K291" s="49"/>
      <c r="L291" s="135">
        <f>L276/L289</f>
        <v>0.69604355064987045</v>
      </c>
      <c r="M291" s="49"/>
      <c r="N291" s="135">
        <f>N276/N289</f>
        <v>0.73106552248979861</v>
      </c>
      <c r="O291" s="44"/>
      <c r="P291" s="89">
        <f t="shared" ref="P291:P295" si="30">AVERAGE(D291,F291,H291,J291,L291,N291)</f>
        <v>0.75936376362899904</v>
      </c>
      <c r="Q291" s="89">
        <f t="shared" si="28"/>
        <v>0.69604355064987045</v>
      </c>
      <c r="R291" s="89">
        <f t="shared" si="29"/>
        <v>0.84102945582661792</v>
      </c>
      <c r="S291" s="20"/>
      <c r="T291" s="20" t="s">
        <v>83</v>
      </c>
    </row>
    <row r="292" spans="1:26">
      <c r="A292" s="20" t="s">
        <v>65</v>
      </c>
      <c r="C292" s="21"/>
      <c r="D292" s="44">
        <f>D277/D289</f>
        <v>0.90288294910079714</v>
      </c>
      <c r="E292" s="21"/>
      <c r="F292" s="44">
        <f>F277/F289</f>
        <v>0.84231055696464563</v>
      </c>
      <c r="G292" s="49"/>
      <c r="H292" s="44">
        <f>H277/H289</f>
        <v>0.82355814987764642</v>
      </c>
      <c r="I292" s="49"/>
      <c r="J292" s="44">
        <f>J277/J289</f>
        <v>0.86997933867907451</v>
      </c>
      <c r="K292" s="21"/>
      <c r="L292" s="44">
        <f>L277/L289</f>
        <v>0.90263403920288554</v>
      </c>
      <c r="M292" s="49"/>
      <c r="N292" s="44">
        <f>N277/N289</f>
        <v>0.80178909919415831</v>
      </c>
      <c r="O292" s="44"/>
      <c r="P292" s="89">
        <f t="shared" si="30"/>
        <v>0.85719235550320116</v>
      </c>
      <c r="Q292" s="89">
        <f t="shared" si="28"/>
        <v>0.80178909919415831</v>
      </c>
      <c r="R292" s="89">
        <f t="shared" si="29"/>
        <v>0.90288294910079714</v>
      </c>
      <c r="S292" s="20"/>
      <c r="T292" s="20" t="s">
        <v>65</v>
      </c>
      <c r="Z292" s="100"/>
    </row>
    <row r="293" spans="1:26">
      <c r="A293" s="20" t="s">
        <v>82</v>
      </c>
      <c r="C293" s="21"/>
      <c r="D293" s="44">
        <f>D278/D289</f>
        <v>0.93894470932626939</v>
      </c>
      <c r="F293" s="44">
        <f>F278/F289</f>
        <v>0.89619470204632301</v>
      </c>
      <c r="G293" s="49"/>
      <c r="H293" s="44">
        <f>H278/H289</f>
        <v>0.87738425914366358</v>
      </c>
      <c r="I293" s="49"/>
      <c r="J293" s="44">
        <f>J278/J289</f>
        <v>0.89811254787428307</v>
      </c>
      <c r="K293" s="21"/>
      <c r="L293" s="44">
        <f>L278/L289</f>
        <v>0.93700680375337031</v>
      </c>
      <c r="M293" s="49"/>
      <c r="N293" s="44">
        <f>N278/N289</f>
        <v>0.85986945925503999</v>
      </c>
      <c r="O293" s="44"/>
      <c r="P293" s="89">
        <f t="shared" si="30"/>
        <v>0.90125208023315817</v>
      </c>
      <c r="Q293" s="89">
        <f t="shared" si="28"/>
        <v>0.85986945925503999</v>
      </c>
      <c r="R293" s="89">
        <f t="shared" si="29"/>
        <v>0.93894470932626939</v>
      </c>
      <c r="S293" s="20"/>
      <c r="T293" s="20" t="s">
        <v>82</v>
      </c>
      <c r="Z293" s="100"/>
    </row>
    <row r="294" spans="1:26">
      <c r="A294" s="20" t="s">
        <v>191</v>
      </c>
      <c r="D294" s="44">
        <f>D279/D289</f>
        <v>0.96750438923197979</v>
      </c>
      <c r="F294" s="44">
        <f>F279/F289</f>
        <v>0.93840070659268893</v>
      </c>
      <c r="G294" s="49"/>
      <c r="H294" s="44">
        <f>H279/H289</f>
        <v>0.92026847686005342</v>
      </c>
      <c r="I294" s="49"/>
      <c r="J294" s="44">
        <f>J279/J289</f>
        <v>0.92524724057836272</v>
      </c>
      <c r="K294" s="21"/>
      <c r="L294" s="44">
        <f>L279/L289</f>
        <v>0.96113260322890615</v>
      </c>
      <c r="M294" s="2"/>
      <c r="N294" s="44">
        <f>N279/N289</f>
        <v>0.90833201049555057</v>
      </c>
      <c r="P294" s="89">
        <f t="shared" si="30"/>
        <v>0.93681423783125695</v>
      </c>
      <c r="Q294" s="89">
        <f t="shared" si="28"/>
        <v>0.90833201049555057</v>
      </c>
      <c r="R294" s="89">
        <f t="shared" si="29"/>
        <v>0.96750438923197979</v>
      </c>
      <c r="T294" s="20" t="s">
        <v>191</v>
      </c>
      <c r="Z294" s="100"/>
    </row>
    <row r="295" spans="1:26">
      <c r="A295" s="118" t="s">
        <v>193</v>
      </c>
      <c r="D295" s="44">
        <f>D280/D289</f>
        <v>0.98735664790364575</v>
      </c>
      <c r="F295" s="44">
        <f>F280/F289</f>
        <v>0.97366052659800717</v>
      </c>
      <c r="G295" s="2"/>
      <c r="H295" s="44">
        <f>H280/H289</f>
        <v>0.95795284438016925</v>
      </c>
      <c r="I295" s="2"/>
      <c r="J295" s="44">
        <f>J280/J289</f>
        <v>0.95020780030618734</v>
      </c>
      <c r="L295" s="44">
        <f>L280/L289</f>
        <v>0.97051959322629977</v>
      </c>
      <c r="M295" s="2"/>
      <c r="N295" s="44">
        <f>N280/N289</f>
        <v>0.9504636157358558</v>
      </c>
      <c r="P295" s="89">
        <f t="shared" si="30"/>
        <v>0.96502683802502753</v>
      </c>
      <c r="Q295" s="89">
        <f t="shared" si="28"/>
        <v>0.95020780030618734</v>
      </c>
      <c r="R295" s="89">
        <f t="shared" si="29"/>
        <v>0.98735664790364575</v>
      </c>
      <c r="Z295" s="100"/>
    </row>
    <row r="296" spans="1:26">
      <c r="D296" s="58" t="s">
        <v>107</v>
      </c>
      <c r="E296" s="57"/>
      <c r="F296" s="58" t="s">
        <v>107</v>
      </c>
      <c r="G296" s="109"/>
      <c r="H296" s="58" t="s">
        <v>107</v>
      </c>
      <c r="I296" s="109"/>
      <c r="J296" s="58" t="s">
        <v>107</v>
      </c>
      <c r="K296" s="57"/>
      <c r="L296" s="58" t="s">
        <v>107</v>
      </c>
      <c r="M296" s="109"/>
      <c r="N296" s="58"/>
    </row>
    <row r="297" spans="1:26">
      <c r="C297" s="55" t="s">
        <v>147</v>
      </c>
      <c r="D297" s="53"/>
      <c r="E297" s="55" t="s">
        <v>148</v>
      </c>
      <c r="F297" s="53"/>
      <c r="G297" s="137" t="s">
        <v>149</v>
      </c>
      <c r="H297" s="53"/>
      <c r="I297" s="137" t="s">
        <v>150</v>
      </c>
      <c r="J297" s="53"/>
      <c r="K297" s="55" t="s">
        <v>151</v>
      </c>
      <c r="M297" s="137" t="s">
        <v>280</v>
      </c>
      <c r="N297" s="53"/>
    </row>
    <row r="298" spans="1:26">
      <c r="C298" s="21">
        <v>2257920</v>
      </c>
      <c r="E298" s="21">
        <v>2572999.9999999995</v>
      </c>
      <c r="G298" s="49">
        <v>3552785.0300000003</v>
      </c>
      <c r="H298" s="21"/>
      <c r="I298" s="49">
        <v>1465366</v>
      </c>
      <c r="J298" s="21"/>
      <c r="K298" s="21">
        <v>672775.55999999994</v>
      </c>
      <c r="M298" s="49">
        <v>711900</v>
      </c>
    </row>
    <row r="299" spans="1:26">
      <c r="A299" s="118" t="s">
        <v>271</v>
      </c>
      <c r="C299" s="21">
        <v>1308000</v>
      </c>
      <c r="D299" s="21">
        <f>SUM(C298:C299)</f>
        <v>3565920</v>
      </c>
      <c r="E299" s="21">
        <v>1441000</v>
      </c>
      <c r="F299" s="21">
        <f>SUM(E298:E299)</f>
        <v>4013999.9999999995</v>
      </c>
      <c r="G299" s="49">
        <v>2566784.0700000003</v>
      </c>
      <c r="H299" s="21">
        <f>SUM(G298:G299)</f>
        <v>6119569.1000000006</v>
      </c>
      <c r="I299" s="49">
        <v>1370252.08</v>
      </c>
      <c r="J299" s="21">
        <f>SUM(I298:I299)</f>
        <v>2835618.08</v>
      </c>
      <c r="K299" s="21">
        <v>585153.44999999995</v>
      </c>
      <c r="L299" s="21">
        <f>SUM(K298:K299)</f>
        <v>1257929.0099999998</v>
      </c>
      <c r="M299" s="49">
        <v>387360</v>
      </c>
      <c r="N299" s="21">
        <f>SUM(M298:M299)</f>
        <v>1099260</v>
      </c>
    </row>
    <row r="300" spans="1:26">
      <c r="A300" s="20" t="s">
        <v>85</v>
      </c>
      <c r="C300" s="21">
        <v>1125118.4000000001</v>
      </c>
      <c r="D300" s="21">
        <f>SUM(C298:C300)</f>
        <v>4691038.4000000004</v>
      </c>
      <c r="E300" s="21">
        <v>1432634</v>
      </c>
      <c r="F300" s="21">
        <f>SUM(E298:E300)</f>
        <v>5446634</v>
      </c>
      <c r="G300" s="49">
        <v>2450000</v>
      </c>
      <c r="H300" s="21">
        <f>SUM(G298:G300)</f>
        <v>8569569.1000000015</v>
      </c>
      <c r="I300" s="49">
        <v>1286289.72</v>
      </c>
      <c r="J300" s="21">
        <f>SUM(I298:I300)</f>
        <v>4121907.8</v>
      </c>
      <c r="K300" s="21">
        <v>532832.39</v>
      </c>
      <c r="L300" s="21">
        <f>SUM(K298:K300)</f>
        <v>1790761.4</v>
      </c>
      <c r="M300" s="49">
        <v>331760</v>
      </c>
      <c r="N300" s="21">
        <f>SUM(M298:M300)</f>
        <v>1431020</v>
      </c>
    </row>
    <row r="301" spans="1:26">
      <c r="A301" s="20" t="s">
        <v>63</v>
      </c>
      <c r="C301" s="21">
        <v>607576.19999999995</v>
      </c>
      <c r="D301" s="21">
        <f>SUM(C298:C301)</f>
        <v>5298614.6000000006</v>
      </c>
      <c r="E301" s="21">
        <v>758000</v>
      </c>
      <c r="F301" s="21">
        <f>SUM(E298:E301)</f>
        <v>6204634</v>
      </c>
      <c r="G301" s="49">
        <v>1625400</v>
      </c>
      <c r="H301" s="21">
        <f>SUM(G298:G301)</f>
        <v>10194969.100000001</v>
      </c>
      <c r="I301" s="49">
        <v>679387.36</v>
      </c>
      <c r="J301" s="21">
        <f>SUM(I298:I301)</f>
        <v>4801295.16</v>
      </c>
      <c r="K301" s="21">
        <v>351675.8</v>
      </c>
      <c r="L301" s="21">
        <f>SUM(K298:K301)</f>
        <v>2142437.1999999997</v>
      </c>
      <c r="M301" s="49">
        <v>211500</v>
      </c>
      <c r="N301" s="21">
        <f>SUM(M298:M301)</f>
        <v>1642520</v>
      </c>
      <c r="S301" s="20"/>
    </row>
    <row r="302" spans="1:26">
      <c r="A302" s="20" t="s">
        <v>86</v>
      </c>
      <c r="C302" s="21">
        <v>452500</v>
      </c>
      <c r="D302" s="21">
        <f>SUM(C298:C302)</f>
        <v>5751114.6000000006</v>
      </c>
      <c r="E302" s="21">
        <v>600980</v>
      </c>
      <c r="F302" s="21">
        <f>SUM(E298:E302)</f>
        <v>6805614</v>
      </c>
      <c r="G302" s="49">
        <v>1100280</v>
      </c>
      <c r="H302" s="21">
        <f>SUM(G298:G302)</f>
        <v>11295249.100000001</v>
      </c>
      <c r="I302" s="49">
        <v>133539.15</v>
      </c>
      <c r="J302" s="21">
        <f>SUM(I298:I302)</f>
        <v>4934834.3100000005</v>
      </c>
      <c r="K302" s="21">
        <v>111018.20000000001</v>
      </c>
      <c r="L302" s="21">
        <f>SUM(K298:K302)</f>
        <v>2253455.4</v>
      </c>
      <c r="M302" s="49">
        <v>191250</v>
      </c>
      <c r="N302" s="21">
        <f>SUM(M298:M302)</f>
        <v>1833770</v>
      </c>
    </row>
    <row r="303" spans="1:26">
      <c r="C303" s="21">
        <v>180536.31</v>
      </c>
      <c r="E303" s="21">
        <v>150969.06</v>
      </c>
      <c r="G303" s="49">
        <v>854034.44</v>
      </c>
      <c r="I303" s="49">
        <v>74600</v>
      </c>
      <c r="K303" s="21">
        <v>67455.839999999997</v>
      </c>
      <c r="M303" s="49">
        <v>142830</v>
      </c>
    </row>
    <row r="304" spans="1:26">
      <c r="A304" s="20" t="s">
        <v>194</v>
      </c>
      <c r="C304" s="21">
        <v>108891.6</v>
      </c>
      <c r="D304" s="21">
        <f>SUM(C298:C304)</f>
        <v>6040542.5099999998</v>
      </c>
      <c r="E304" s="21">
        <v>143994.84</v>
      </c>
      <c r="F304" s="21">
        <f>SUM(E298:E304)</f>
        <v>7100577.8999999994</v>
      </c>
      <c r="G304" s="49">
        <v>617370.27</v>
      </c>
      <c r="H304" s="21">
        <f>SUM(G298:G304)</f>
        <v>12766653.810000001</v>
      </c>
      <c r="I304" s="49">
        <v>62265.600000000006</v>
      </c>
      <c r="J304" s="21">
        <f>SUM(I298:I304)</f>
        <v>5071699.91</v>
      </c>
      <c r="K304" s="21">
        <v>40192.320000000007</v>
      </c>
      <c r="L304" s="21">
        <f>SUM(K298:K304)</f>
        <v>2361103.5599999996</v>
      </c>
      <c r="M304" s="49">
        <v>141480</v>
      </c>
      <c r="N304" s="21">
        <f>SUM(M298:M304)</f>
        <v>2118080</v>
      </c>
    </row>
    <row r="305" spans="1:26">
      <c r="C305" s="21">
        <v>63000</v>
      </c>
      <c r="E305" s="21">
        <v>57643.6</v>
      </c>
      <c r="G305" s="49">
        <v>558206.39</v>
      </c>
      <c r="I305" s="49">
        <v>38289.230000000003</v>
      </c>
      <c r="K305" s="21">
        <v>32791.950000000004</v>
      </c>
      <c r="M305" s="49">
        <v>74800</v>
      </c>
    </row>
    <row r="306" spans="1:26">
      <c r="C306" s="21">
        <v>58278.710000000006</v>
      </c>
      <c r="E306" s="21">
        <v>39491.1</v>
      </c>
      <c r="G306" s="49">
        <v>473550</v>
      </c>
      <c r="I306" s="49">
        <v>29200</v>
      </c>
      <c r="K306" s="21">
        <v>20640</v>
      </c>
      <c r="M306" s="49">
        <v>33750</v>
      </c>
    </row>
    <row r="307" spans="1:26">
      <c r="C307" s="21">
        <v>35400</v>
      </c>
      <c r="E307" s="21">
        <v>18720</v>
      </c>
      <c r="G307" s="49">
        <v>307994.40000000002</v>
      </c>
      <c r="I307" s="49">
        <v>28661.15</v>
      </c>
      <c r="K307" s="21">
        <v>13620.52</v>
      </c>
      <c r="M307" s="49">
        <v>24900</v>
      </c>
    </row>
    <row r="308" spans="1:26">
      <c r="C308" s="21">
        <v>26163.21</v>
      </c>
      <c r="E308">
        <v>17854.29</v>
      </c>
      <c r="G308" s="49">
        <v>228649.22500000001</v>
      </c>
      <c r="I308" s="49">
        <v>19517.500000000004</v>
      </c>
      <c r="K308" s="21">
        <v>8914.7999999999993</v>
      </c>
      <c r="M308" s="49">
        <v>6460</v>
      </c>
    </row>
    <row r="309" spans="1:26">
      <c r="C309" s="21"/>
      <c r="E309" s="21">
        <v>17100</v>
      </c>
      <c r="G309" s="49">
        <v>35750</v>
      </c>
      <c r="I309" s="49">
        <v>0</v>
      </c>
      <c r="K309" s="21">
        <v>2519.5800000000004</v>
      </c>
      <c r="M309" s="49">
        <v>2560</v>
      </c>
    </row>
    <row r="310" spans="1:26">
      <c r="C310" s="21"/>
      <c r="E310" s="21">
        <v>0</v>
      </c>
      <c r="G310" s="49">
        <v>30000</v>
      </c>
      <c r="I310" s="49">
        <v>0</v>
      </c>
      <c r="K310" s="21">
        <v>0</v>
      </c>
      <c r="M310" s="49">
        <v>0</v>
      </c>
      <c r="P310" s="50" t="s">
        <v>152</v>
      </c>
      <c r="Q310" s="50"/>
      <c r="R310" s="50"/>
    </row>
    <row r="311" spans="1:26">
      <c r="C311" s="21"/>
      <c r="E311" s="21">
        <v>0</v>
      </c>
      <c r="G311" s="49">
        <v>0</v>
      </c>
      <c r="I311" s="49"/>
      <c r="K311" s="21">
        <v>0</v>
      </c>
      <c r="M311" s="49">
        <v>0</v>
      </c>
      <c r="P311" s="87" t="s">
        <v>107</v>
      </c>
      <c r="Q311" s="87"/>
      <c r="R311" s="87"/>
    </row>
    <row r="312" spans="1:26">
      <c r="C312" s="21"/>
      <c r="E312" s="21">
        <v>0</v>
      </c>
      <c r="G312" s="49">
        <v>0</v>
      </c>
      <c r="I312" s="49"/>
      <c r="K312" s="21">
        <v>0</v>
      </c>
      <c r="M312" s="49">
        <v>0</v>
      </c>
      <c r="O312" s="20"/>
      <c r="P312" s="272" t="s">
        <v>91</v>
      </c>
      <c r="Q312" s="537" t="s">
        <v>806</v>
      </c>
      <c r="R312" s="537" t="s">
        <v>807</v>
      </c>
    </row>
    <row r="313" spans="1:26">
      <c r="A313" s="20" t="s">
        <v>64</v>
      </c>
      <c r="C313" s="21"/>
      <c r="D313" s="21">
        <f>SUM(C298:C311)</f>
        <v>6223384.4299999997</v>
      </c>
      <c r="E313" s="21">
        <v>0</v>
      </c>
      <c r="F313" s="21">
        <f>SUM(E298:E313)</f>
        <v>7251386.8899999987</v>
      </c>
      <c r="G313" s="49"/>
      <c r="H313" s="21">
        <f>SUM(G298:G315)</f>
        <v>14400803.825000001</v>
      </c>
      <c r="I313" s="49"/>
      <c r="J313" s="21">
        <f>SUM(I298:I312)</f>
        <v>5187367.790000001</v>
      </c>
      <c r="K313" s="21"/>
      <c r="L313" s="21">
        <f>SUM(K298:K313)</f>
        <v>2439590.4099999997</v>
      </c>
      <c r="M313" s="49">
        <v>0</v>
      </c>
      <c r="N313" s="21">
        <f>SUM(M298:M313)</f>
        <v>2260550</v>
      </c>
      <c r="O313" s="21"/>
      <c r="P313" s="88">
        <f>AVERAGE(D313,F313,H313,J313,L313,N313)</f>
        <v>6293847.2241666662</v>
      </c>
      <c r="Q313" s="88"/>
      <c r="R313" s="88"/>
      <c r="S313" s="20"/>
    </row>
    <row r="314" spans="1:26">
      <c r="A314" s="118" t="s">
        <v>270</v>
      </c>
      <c r="C314" s="21"/>
      <c r="D314" s="136">
        <f>D299/D313</f>
        <v>0.57298726120957311</v>
      </c>
      <c r="E314" s="21"/>
      <c r="F314" s="136">
        <f>F299/F313</f>
        <v>0.55354928110862389</v>
      </c>
      <c r="G314" s="49"/>
      <c r="H314" s="136">
        <f>H299/H313</f>
        <v>0.4249463553816587</v>
      </c>
      <c r="I314" s="49"/>
      <c r="J314" s="136">
        <f>J299/J313</f>
        <v>0.54663910383728542</v>
      </c>
      <c r="K314" s="21"/>
      <c r="L314" s="136">
        <f>L299/L313</f>
        <v>0.51563123253956389</v>
      </c>
      <c r="M314" s="49"/>
      <c r="N314" s="136">
        <f>N299/N313</f>
        <v>0.4862798876379642</v>
      </c>
      <c r="O314" s="21"/>
      <c r="P314" s="89">
        <f>AVERAGE(D314,F314,H314,J314,L314,N314)</f>
        <v>0.51667218695244488</v>
      </c>
      <c r="Q314" s="89">
        <f t="shared" ref="Q314:Q318" si="31">MIN(D314,F314,H314,J314,L314,N314)</f>
        <v>0.4249463553816587</v>
      </c>
      <c r="R314" s="89">
        <f t="shared" ref="R314:R318" si="32">MAX(D314,F314,H314,J314,L314,N314)</f>
        <v>0.57298726120957311</v>
      </c>
      <c r="S314" s="20"/>
      <c r="T314" s="118" t="s">
        <v>270</v>
      </c>
    </row>
    <row r="315" spans="1:26">
      <c r="A315" s="20" t="s">
        <v>83</v>
      </c>
      <c r="D315" s="135">
        <f>D300/D313</f>
        <v>0.75377609285820713</v>
      </c>
      <c r="F315" s="135">
        <f>F300/F313</f>
        <v>0.75111617717035106</v>
      </c>
      <c r="G315" s="49"/>
      <c r="H315" s="135">
        <f>H300/H313</f>
        <v>0.5950757474470354</v>
      </c>
      <c r="I315" s="49"/>
      <c r="J315" s="135">
        <f>J300/J313</f>
        <v>0.79460488765536308</v>
      </c>
      <c r="K315" s="21"/>
      <c r="L315" s="135">
        <f>L300/L313</f>
        <v>0.73404182630804826</v>
      </c>
      <c r="M315" s="2">
        <v>0</v>
      </c>
      <c r="N315" s="135">
        <f>N300/N313</f>
        <v>0.63304063170467362</v>
      </c>
      <c r="O315" s="44"/>
      <c r="P315" s="89">
        <f>AVERAGE(D315,F315,H315,J315,L315,N315)</f>
        <v>0.71027589385727963</v>
      </c>
      <c r="Q315" s="89">
        <f t="shared" si="31"/>
        <v>0.5950757474470354</v>
      </c>
      <c r="R315" s="89">
        <f t="shared" si="32"/>
        <v>0.79460488765536308</v>
      </c>
      <c r="S315" s="20"/>
      <c r="T315" s="20" t="s">
        <v>83</v>
      </c>
    </row>
    <row r="316" spans="1:26">
      <c r="A316" s="20" t="s">
        <v>65</v>
      </c>
      <c r="C316" s="21"/>
      <c r="D316" s="44">
        <f>D301/D313</f>
        <v>0.85140403258038821</v>
      </c>
      <c r="E316" s="21"/>
      <c r="F316" s="44">
        <f>F301/F313</f>
        <v>0.85564790489340459</v>
      </c>
      <c r="G316" s="21"/>
      <c r="H316" s="44">
        <f>H301/H313</f>
        <v>0.70794444698297954</v>
      </c>
      <c r="I316" s="21"/>
      <c r="J316" s="44">
        <f>J301/J313</f>
        <v>0.92557446365298102</v>
      </c>
      <c r="K316" s="21"/>
      <c r="L316" s="44">
        <f>L301/L313</f>
        <v>0.87819545085029249</v>
      </c>
      <c r="M316" s="21"/>
      <c r="N316" s="44">
        <f>N301/N313</f>
        <v>0.72660193315785981</v>
      </c>
      <c r="O316" s="44"/>
      <c r="P316" s="89">
        <f t="shared" ref="P316:P318" si="33">AVERAGE(D316,F316,H316,J316,L316,N316)</f>
        <v>0.82422803868631755</v>
      </c>
      <c r="Q316" s="89">
        <f t="shared" si="31"/>
        <v>0.70794444698297954</v>
      </c>
      <c r="R316" s="89">
        <f t="shared" si="32"/>
        <v>0.92557446365298102</v>
      </c>
      <c r="S316" s="20"/>
      <c r="T316" s="20" t="s">
        <v>65</v>
      </c>
      <c r="Z316" s="100"/>
    </row>
    <row r="317" spans="1:26">
      <c r="A317" s="20" t="s">
        <v>82</v>
      </c>
      <c r="C317" s="21"/>
      <c r="D317" s="44">
        <f>D302/D313</f>
        <v>0.92411366591409505</v>
      </c>
      <c r="F317" s="44">
        <f>F302/F313</f>
        <v>0.93852584384723148</v>
      </c>
      <c r="G317" s="21"/>
      <c r="H317" s="44">
        <f>H302/H313</f>
        <v>0.78434851535101724</v>
      </c>
      <c r="I317" s="21"/>
      <c r="J317" s="44">
        <f>J302/J313</f>
        <v>0.95131760649653097</v>
      </c>
      <c r="K317" s="21"/>
      <c r="L317" s="44">
        <f>L302/L313</f>
        <v>0.92370235215017105</v>
      </c>
      <c r="M317" s="21"/>
      <c r="N317" s="44">
        <f>N302/N313</f>
        <v>0.81120523766340047</v>
      </c>
      <c r="O317" s="44"/>
      <c r="P317" s="89">
        <f t="shared" si="33"/>
        <v>0.88886887023707428</v>
      </c>
      <c r="Q317" s="89">
        <f t="shared" si="31"/>
        <v>0.78434851535101724</v>
      </c>
      <c r="R317" s="89">
        <f t="shared" si="32"/>
        <v>0.95131760649653097</v>
      </c>
      <c r="S317" s="20"/>
      <c r="T317" s="20" t="s">
        <v>82</v>
      </c>
      <c r="Z317" s="100"/>
    </row>
    <row r="318" spans="1:26">
      <c r="A318" s="20" t="s">
        <v>193</v>
      </c>
      <c r="D318" s="44">
        <f>D304/D313</f>
        <v>0.97062017909120235</v>
      </c>
      <c r="F318" s="44">
        <f>F304/F313</f>
        <v>0.97920273841574057</v>
      </c>
      <c r="G318" s="21"/>
      <c r="H318" s="44">
        <f>H304/H313</f>
        <v>0.88652369445078527</v>
      </c>
      <c r="I318" s="21"/>
      <c r="J318" s="44">
        <f>J304/J313</f>
        <v>0.97770200905688998</v>
      </c>
      <c r="K318" s="21"/>
      <c r="L318" s="44">
        <f>L304/L313</f>
        <v>0.9678278576279532</v>
      </c>
      <c r="M318" s="21"/>
      <c r="N318" s="44">
        <f>N304/N313</f>
        <v>0.93697551480834307</v>
      </c>
      <c r="P318" s="89">
        <f t="shared" si="33"/>
        <v>0.95314199890848572</v>
      </c>
      <c r="Q318" s="89">
        <f t="shared" si="31"/>
        <v>0.88652369445078527</v>
      </c>
      <c r="R318" s="89">
        <f t="shared" si="32"/>
        <v>0.97920273841574057</v>
      </c>
      <c r="T318" s="20" t="s">
        <v>193</v>
      </c>
      <c r="Z318" s="100"/>
    </row>
    <row r="319" spans="1:26">
      <c r="P319" s="89"/>
      <c r="Q319" s="89"/>
      <c r="R319" s="89"/>
      <c r="Z319" s="100"/>
    </row>
    <row r="320" spans="1:26">
      <c r="D320" s="58" t="s">
        <v>107</v>
      </c>
      <c r="E320" s="57"/>
      <c r="F320" s="58" t="s">
        <v>107</v>
      </c>
      <c r="G320" s="57"/>
      <c r="H320" s="58" t="s">
        <v>107</v>
      </c>
      <c r="I320" s="57"/>
      <c r="J320" s="58" t="s">
        <v>107</v>
      </c>
      <c r="K320" s="57"/>
      <c r="L320" s="58" t="s">
        <v>107</v>
      </c>
      <c r="M320" s="57"/>
      <c r="N320" s="58"/>
      <c r="P320" s="89"/>
      <c r="Q320" s="89"/>
      <c r="R320" s="89"/>
    </row>
    <row r="321" spans="1:19">
      <c r="C321" s="55" t="s">
        <v>153</v>
      </c>
      <c r="D321" s="53"/>
      <c r="E321" s="55" t="s">
        <v>154</v>
      </c>
      <c r="F321" s="53"/>
      <c r="G321" s="55" t="s">
        <v>155</v>
      </c>
      <c r="H321" s="53"/>
      <c r="I321" s="55" t="s">
        <v>156</v>
      </c>
      <c r="J321" s="53"/>
      <c r="K321" s="55" t="s">
        <v>157</v>
      </c>
      <c r="M321" s="134" t="s">
        <v>281</v>
      </c>
      <c r="N321" s="53"/>
    </row>
    <row r="322" spans="1:19">
      <c r="C322" s="21">
        <v>4208863.3600000003</v>
      </c>
      <c r="E322" s="21">
        <v>3361500</v>
      </c>
      <c r="G322" s="21">
        <v>2935055.7199999997</v>
      </c>
      <c r="H322" s="21"/>
      <c r="I322" s="21">
        <v>1559024.2750000001</v>
      </c>
      <c r="J322" s="21"/>
      <c r="K322" s="21">
        <v>726386.76</v>
      </c>
      <c r="M322" s="21">
        <v>973780</v>
      </c>
    </row>
    <row r="323" spans="1:19">
      <c r="C323" s="21">
        <v>1371300</v>
      </c>
      <c r="E323" s="21">
        <v>1548000</v>
      </c>
      <c r="G323" s="21">
        <v>2064000</v>
      </c>
      <c r="H323" s="21"/>
      <c r="I323" s="21">
        <v>1251915.1938024</v>
      </c>
      <c r="J323" s="21"/>
      <c r="K323" s="21">
        <v>650406.40000000002</v>
      </c>
      <c r="M323" s="21">
        <v>786480</v>
      </c>
    </row>
    <row r="324" spans="1:19">
      <c r="A324" s="20" t="s">
        <v>85</v>
      </c>
      <c r="C324" s="21">
        <v>1176500</v>
      </c>
      <c r="D324" s="21">
        <f>SUM(C322:C324)</f>
        <v>6756663.3600000003</v>
      </c>
      <c r="E324" s="21">
        <v>1429200</v>
      </c>
      <c r="F324" s="21">
        <f>SUM(E322:E324)</f>
        <v>6338700</v>
      </c>
      <c r="G324" s="21">
        <v>1959297.57</v>
      </c>
      <c r="H324" s="21">
        <f>SUM(G322:G324)</f>
        <v>6958353.29</v>
      </c>
      <c r="I324" s="21">
        <v>814904.87831820012</v>
      </c>
      <c r="J324" s="21">
        <f>SUM(I322:I324)</f>
        <v>3625844.3471205998</v>
      </c>
      <c r="K324" s="21">
        <v>440943.80000000005</v>
      </c>
      <c r="L324" s="21">
        <f>SUM(K322:K324)</f>
        <v>1817736.9600000002</v>
      </c>
      <c r="M324" s="21">
        <v>670680</v>
      </c>
      <c r="N324" s="21">
        <f>SUM(M322:M324)</f>
        <v>2430940</v>
      </c>
    </row>
    <row r="325" spans="1:19">
      <c r="A325" s="20" t="s">
        <v>63</v>
      </c>
      <c r="C325" s="21">
        <v>1121619</v>
      </c>
      <c r="D325" s="21">
        <f>SUM(C322:C325)</f>
        <v>7878282.3600000003</v>
      </c>
      <c r="E325" s="21">
        <v>1353409.9999999998</v>
      </c>
      <c r="F325" s="21">
        <f>SUM(E322:E325)</f>
        <v>7692110</v>
      </c>
      <c r="G325" s="21">
        <v>1602720</v>
      </c>
      <c r="H325" s="21">
        <f>SUM(G322:G325)</f>
        <v>8561073.2899999991</v>
      </c>
      <c r="I325" s="21">
        <v>726700</v>
      </c>
      <c r="J325" s="21">
        <f>SUM(I322:I325)</f>
        <v>4352544.3471205998</v>
      </c>
      <c r="K325" s="21">
        <v>316002.3</v>
      </c>
      <c r="L325" s="21">
        <f>SUM(K322:K325)</f>
        <v>2133739.2600000002</v>
      </c>
      <c r="M325" s="21">
        <v>225000</v>
      </c>
      <c r="N325" s="21">
        <f>SUM(M322:M325)</f>
        <v>2655940</v>
      </c>
      <c r="S325" s="20"/>
    </row>
    <row r="326" spans="1:19">
      <c r="A326" s="20" t="s">
        <v>86</v>
      </c>
      <c r="C326" s="21">
        <v>596386.75</v>
      </c>
      <c r="D326" s="21">
        <f>SUM(C322:C326)</f>
        <v>8474669.1099999994</v>
      </c>
      <c r="E326" s="21">
        <v>1240700</v>
      </c>
      <c r="F326" s="21">
        <f>SUM(E322:E326)</f>
        <v>8932810</v>
      </c>
      <c r="G326" s="21">
        <v>1339600</v>
      </c>
      <c r="H326" s="21">
        <f>SUM(G322:G326)</f>
        <v>9900673.2899999991</v>
      </c>
      <c r="I326" s="21">
        <v>209551.06511150001</v>
      </c>
      <c r="J326" s="21">
        <f>SUM(I322:I326)</f>
        <v>4562095.4122321</v>
      </c>
      <c r="K326" s="21">
        <v>201438.72</v>
      </c>
      <c r="L326" s="21">
        <f>SUM(K322:K326)</f>
        <v>2335177.9800000004</v>
      </c>
      <c r="M326" s="21">
        <v>185500</v>
      </c>
      <c r="N326" s="21">
        <f>SUM(M322:M326)</f>
        <v>2841440</v>
      </c>
    </row>
    <row r="327" spans="1:19">
      <c r="C327" s="21">
        <v>213577.92</v>
      </c>
      <c r="E327">
        <v>568253.49</v>
      </c>
      <c r="G327" s="21">
        <v>1013261.2</v>
      </c>
      <c r="I327" s="21">
        <v>135348.48066450001</v>
      </c>
      <c r="K327" s="21">
        <v>54473.599999999999</v>
      </c>
      <c r="M327" s="21">
        <v>91840</v>
      </c>
    </row>
    <row r="328" spans="1:19">
      <c r="A328" s="20" t="s">
        <v>194</v>
      </c>
      <c r="C328" s="21">
        <v>157500</v>
      </c>
      <c r="D328" s="21">
        <f>SUM(C322:C328)</f>
        <v>8845747.0299999993</v>
      </c>
      <c r="E328" s="21">
        <v>137811.24000000002</v>
      </c>
      <c r="F328" s="21">
        <f>SUM(E322:E328)</f>
        <v>9638874.7300000004</v>
      </c>
      <c r="G328" s="21">
        <v>709064</v>
      </c>
      <c r="H328" s="21">
        <f>SUM(G322:G328)</f>
        <v>11622998.489999998</v>
      </c>
      <c r="I328" s="21">
        <v>99600.000000000015</v>
      </c>
      <c r="J328" s="21">
        <f>SUM(I322:I328)</f>
        <v>4797043.8928966001</v>
      </c>
      <c r="K328" s="21">
        <v>52457.840000000004</v>
      </c>
      <c r="L328" s="21">
        <f>SUM(K322:K328)</f>
        <v>2442109.4200000004</v>
      </c>
      <c r="M328" s="21">
        <v>80880</v>
      </c>
      <c r="N328" s="21">
        <f>SUM(M322:M328)</f>
        <v>3014160</v>
      </c>
    </row>
    <row r="329" spans="1:19">
      <c r="C329" s="21">
        <v>99840</v>
      </c>
      <c r="E329" s="21">
        <v>45836.000000000007</v>
      </c>
      <c r="G329" s="21">
        <v>519989.38</v>
      </c>
      <c r="I329" s="21">
        <v>90814.516821600002</v>
      </c>
      <c r="K329" s="21">
        <v>17151.09</v>
      </c>
      <c r="M329" s="21">
        <v>75366.666666666657</v>
      </c>
    </row>
    <row r="330" spans="1:19">
      <c r="C330" s="21">
        <v>95814.84</v>
      </c>
      <c r="E330" s="21">
        <v>43772.4</v>
      </c>
      <c r="G330" s="21">
        <v>479700</v>
      </c>
      <c r="I330" s="21">
        <v>36500</v>
      </c>
      <c r="K330" s="21">
        <v>16817.25</v>
      </c>
      <c r="M330" s="21">
        <v>52400</v>
      </c>
    </row>
    <row r="331" spans="1:19">
      <c r="C331" s="21">
        <v>72383.61</v>
      </c>
      <c r="E331" s="21">
        <v>41423.97</v>
      </c>
      <c r="G331" s="21">
        <v>388597.5</v>
      </c>
      <c r="I331" s="21">
        <v>28675</v>
      </c>
      <c r="K331" s="21">
        <v>12003.26</v>
      </c>
      <c r="M331" s="21">
        <v>49620</v>
      </c>
    </row>
    <row r="332" spans="1:19">
      <c r="C332" s="21">
        <v>3685</v>
      </c>
      <c r="E332" s="21">
        <v>32500</v>
      </c>
      <c r="G332" s="21">
        <v>48100</v>
      </c>
      <c r="I332" s="21">
        <v>0</v>
      </c>
      <c r="K332" s="21">
        <v>2320.0800000000004</v>
      </c>
      <c r="M332" s="21">
        <v>19680</v>
      </c>
    </row>
    <row r="333" spans="1:19">
      <c r="C333" s="21">
        <v>0</v>
      </c>
      <c r="E333" s="21">
        <v>30458.15</v>
      </c>
      <c r="G333" s="21">
        <v>6800</v>
      </c>
      <c r="I333" s="21">
        <v>0</v>
      </c>
      <c r="K333" s="21">
        <v>1593.6</v>
      </c>
      <c r="M333" s="21">
        <v>19607.400000000001</v>
      </c>
    </row>
    <row r="334" spans="1:19">
      <c r="C334" s="21">
        <v>0</v>
      </c>
      <c r="E334" s="21">
        <v>8260</v>
      </c>
      <c r="G334" s="21">
        <v>0</v>
      </c>
      <c r="I334" s="21">
        <v>0</v>
      </c>
      <c r="K334" s="21">
        <v>0</v>
      </c>
      <c r="M334" s="21">
        <v>12433.39</v>
      </c>
      <c r="P334" s="50" t="s">
        <v>158</v>
      </c>
      <c r="Q334" s="50"/>
      <c r="R334" s="50"/>
    </row>
    <row r="335" spans="1:19">
      <c r="C335" s="21"/>
      <c r="E335">
        <v>3900</v>
      </c>
      <c r="G335" s="21">
        <v>0</v>
      </c>
      <c r="I335" s="21">
        <v>0</v>
      </c>
      <c r="K335" s="21">
        <v>0</v>
      </c>
      <c r="M335">
        <v>10983.333333333334</v>
      </c>
      <c r="P335" s="87" t="s">
        <v>107</v>
      </c>
      <c r="Q335" s="87"/>
      <c r="R335" s="87"/>
    </row>
    <row r="336" spans="1:19">
      <c r="C336" s="21"/>
      <c r="E336" s="21">
        <v>0</v>
      </c>
      <c r="G336" s="21"/>
      <c r="I336" s="21"/>
      <c r="K336" s="21">
        <v>0</v>
      </c>
      <c r="M336" s="21">
        <v>3100</v>
      </c>
      <c r="O336" s="20"/>
      <c r="P336" s="272" t="s">
        <v>91</v>
      </c>
      <c r="Q336" s="537" t="s">
        <v>806</v>
      </c>
      <c r="R336" s="537" t="s">
        <v>807</v>
      </c>
    </row>
    <row r="337" spans="1:26">
      <c r="A337" s="20" t="s">
        <v>64</v>
      </c>
      <c r="C337" s="21"/>
      <c r="D337" s="21">
        <f>SUM(C322:C335)</f>
        <v>9117470.4799999986</v>
      </c>
      <c r="E337">
        <v>0</v>
      </c>
      <c r="F337" s="21">
        <f>SUM(E322:E337)</f>
        <v>9845025.2500000019</v>
      </c>
      <c r="G337" s="21"/>
      <c r="H337" s="21">
        <f>SUM(G322:G338)</f>
        <v>13066185.369999999</v>
      </c>
      <c r="I337" s="21"/>
      <c r="J337" s="21">
        <f>SUM(I322:I336)</f>
        <v>4953033.4097181996</v>
      </c>
      <c r="K337" s="21">
        <v>0</v>
      </c>
      <c r="L337" s="21">
        <f>SUM(K322:K337)</f>
        <v>2491994.7000000002</v>
      </c>
      <c r="M337" s="21">
        <v>0</v>
      </c>
      <c r="N337" s="21">
        <f>SUM(M322:M337)</f>
        <v>3257350.79</v>
      </c>
      <c r="O337" s="21"/>
      <c r="P337" s="88">
        <f>AVERAGE(D337,F337,H337,J337,L337,N337)</f>
        <v>7121843.3332863674</v>
      </c>
      <c r="Q337" s="88"/>
      <c r="R337" s="88"/>
      <c r="S337" s="20"/>
    </row>
    <row r="338" spans="1:26">
      <c r="A338" s="20" t="s">
        <v>83</v>
      </c>
      <c r="C338" s="21"/>
      <c r="D338" s="135">
        <f>D324/D337</f>
        <v>0.7410677528182138</v>
      </c>
      <c r="E338" s="21"/>
      <c r="F338" s="135">
        <f>F324/F337</f>
        <v>0.643848018571613</v>
      </c>
      <c r="G338" s="21"/>
      <c r="H338" s="135">
        <f>H324/H337</f>
        <v>0.53254665328538808</v>
      </c>
      <c r="I338" s="21"/>
      <c r="J338" s="135">
        <f>J324/J337</f>
        <v>0.73204520284608587</v>
      </c>
      <c r="K338" s="21"/>
      <c r="L338" s="135">
        <f>L324/L337</f>
        <v>0.72943050801833564</v>
      </c>
      <c r="M338" s="21">
        <v>0</v>
      </c>
      <c r="N338" s="135">
        <f>N324/N337</f>
        <v>0.74629358540779089</v>
      </c>
      <c r="O338" s="44"/>
      <c r="P338" s="89">
        <f>AVERAGE(D338,F338,H338,J338,L338,N338)</f>
        <v>0.68753862015790457</v>
      </c>
      <c r="Q338" s="89">
        <f t="shared" ref="Q338:Q341" si="34">MIN(D338,F338,H338,J338,L338,N338)</f>
        <v>0.53254665328538808</v>
      </c>
      <c r="R338" s="89">
        <f t="shared" ref="R338:R341" si="35">MAX(D338,F338,H338,J338,L338,N338)</f>
        <v>0.74629358540779089</v>
      </c>
      <c r="S338" s="20"/>
      <c r="T338" s="20" t="s">
        <v>83</v>
      </c>
    </row>
    <row r="339" spans="1:26">
      <c r="A339" s="20" t="s">
        <v>65</v>
      </c>
      <c r="C339" s="21"/>
      <c r="D339" s="44">
        <f>D325/D337</f>
        <v>0.86408641270423958</v>
      </c>
      <c r="E339" s="21"/>
      <c r="F339" s="44">
        <f>F325/F337</f>
        <v>0.78131947909427646</v>
      </c>
      <c r="G339" s="21"/>
      <c r="H339" s="44">
        <f>H325/H337</f>
        <v>0.65520831425338943</v>
      </c>
      <c r="I339" s="21"/>
      <c r="J339" s="44">
        <f>J325/J337</f>
        <v>0.87876337328567211</v>
      </c>
      <c r="K339" s="21"/>
      <c r="L339" s="44">
        <f>L325/L337</f>
        <v>0.85623747915675752</v>
      </c>
      <c r="M339" s="21">
        <v>0</v>
      </c>
      <c r="N339" s="44">
        <f>N325/N337</f>
        <v>0.8153681231243749</v>
      </c>
      <c r="O339" s="44"/>
      <c r="P339" s="89">
        <f t="shared" ref="P339:P341" si="36">AVERAGE(D339,F339,H339,J339,L339,N339)</f>
        <v>0.80849719693645161</v>
      </c>
      <c r="Q339" s="89">
        <f t="shared" si="34"/>
        <v>0.65520831425338943</v>
      </c>
      <c r="R339" s="89">
        <f t="shared" si="35"/>
        <v>0.87876337328567211</v>
      </c>
      <c r="S339" s="20"/>
      <c r="T339" s="20" t="s">
        <v>65</v>
      </c>
      <c r="Z339" s="100"/>
    </row>
    <row r="340" spans="1:26">
      <c r="A340" s="20" t="s">
        <v>82</v>
      </c>
      <c r="C340" s="21"/>
      <c r="D340" s="44">
        <f>D326/D337</f>
        <v>0.92949783918576512</v>
      </c>
      <c r="E340" s="21"/>
      <c r="F340" s="44">
        <f>F326/F337</f>
        <v>0.90734251798897092</v>
      </c>
      <c r="G340" s="21"/>
      <c r="H340" s="44">
        <f>H326/H337</f>
        <v>0.75773249878514459</v>
      </c>
      <c r="I340" s="21"/>
      <c r="J340" s="44">
        <f>J326/J337</f>
        <v>0.92107099525736047</v>
      </c>
      <c r="K340" s="21"/>
      <c r="L340" s="44">
        <f>L326/L337</f>
        <v>0.9370718083790468</v>
      </c>
      <c r="M340" s="21"/>
      <c r="N340" s="44">
        <f>N326/N337</f>
        <v>0.87231624199738089</v>
      </c>
      <c r="O340" s="44"/>
      <c r="P340" s="89">
        <f t="shared" si="36"/>
        <v>0.88750531693227819</v>
      </c>
      <c r="Q340" s="89">
        <f t="shared" si="34"/>
        <v>0.75773249878514459</v>
      </c>
      <c r="R340" s="89">
        <f t="shared" si="35"/>
        <v>0.9370718083790468</v>
      </c>
      <c r="S340" s="20"/>
      <c r="T340" s="20" t="s">
        <v>82</v>
      </c>
      <c r="Z340" s="100"/>
    </row>
    <row r="341" spans="1:26">
      <c r="A341" s="20" t="s">
        <v>193</v>
      </c>
      <c r="D341" s="44">
        <f>D328/D337</f>
        <v>0.97019749604936489</v>
      </c>
      <c r="F341" s="44">
        <f>F328/F337</f>
        <v>0.97906043765606376</v>
      </c>
      <c r="G341" s="21"/>
      <c r="H341" s="44">
        <f>H328/H337</f>
        <v>0.88954795610710058</v>
      </c>
      <c r="I341" s="21"/>
      <c r="J341" s="44">
        <f>J328/J337</f>
        <v>0.96850626597520273</v>
      </c>
      <c r="K341" s="21"/>
      <c r="L341" s="44">
        <f>L328/L337</f>
        <v>0.9799817872806873</v>
      </c>
      <c r="M341" s="21"/>
      <c r="N341" s="44">
        <f>N328/N337</f>
        <v>0.92534092712808491</v>
      </c>
      <c r="P341" s="89">
        <f t="shared" si="36"/>
        <v>0.95210581169941744</v>
      </c>
      <c r="Q341" s="89">
        <f t="shared" si="34"/>
        <v>0.88954795610710058</v>
      </c>
      <c r="R341" s="89">
        <f t="shared" si="35"/>
        <v>0.9799817872806873</v>
      </c>
      <c r="T341" s="20" t="s">
        <v>193</v>
      </c>
      <c r="Z341" s="100"/>
    </row>
    <row r="342" spans="1:26">
      <c r="Z342" s="100"/>
    </row>
    <row r="343" spans="1:26">
      <c r="D343" s="58" t="s">
        <v>107</v>
      </c>
      <c r="E343" s="57"/>
      <c r="F343" s="58" t="s">
        <v>107</v>
      </c>
      <c r="G343" s="57"/>
      <c r="H343" s="58" t="s">
        <v>107</v>
      </c>
      <c r="I343" s="57"/>
      <c r="J343" s="58" t="s">
        <v>107</v>
      </c>
      <c r="K343" s="57"/>
      <c r="L343" s="58" t="s">
        <v>107</v>
      </c>
      <c r="M343" s="57"/>
      <c r="N343" s="58"/>
    </row>
    <row r="344" spans="1:26">
      <c r="C344" s="55" t="s">
        <v>67</v>
      </c>
      <c r="D344" s="53"/>
      <c r="E344" s="55" t="s">
        <v>139</v>
      </c>
      <c r="F344" s="53"/>
      <c r="G344" s="55" t="s">
        <v>140</v>
      </c>
      <c r="H344" s="53"/>
      <c r="I344" s="55" t="s">
        <v>141</v>
      </c>
      <c r="J344" s="53"/>
      <c r="K344" s="55" t="s">
        <v>142</v>
      </c>
      <c r="M344" s="134" t="s">
        <v>282</v>
      </c>
      <c r="N344" s="53"/>
    </row>
    <row r="345" spans="1:26">
      <c r="C345" s="21">
        <v>3988567.95</v>
      </c>
      <c r="E345" s="21">
        <v>3685200.0000000005</v>
      </c>
      <c r="G345" s="21">
        <v>5491031.8099999996</v>
      </c>
      <c r="H345" s="21"/>
      <c r="I345" s="21">
        <v>1498999.2</v>
      </c>
      <c r="J345" s="21"/>
      <c r="K345" s="21">
        <v>886455.58000000007</v>
      </c>
      <c r="M345" s="21">
        <v>1120833.3333333333</v>
      </c>
    </row>
    <row r="346" spans="1:26">
      <c r="C346" s="21">
        <v>1544862.42</v>
      </c>
      <c r="E346" s="21">
        <v>2324520</v>
      </c>
      <c r="G346" s="21">
        <v>5241099.5999999996</v>
      </c>
      <c r="H346" s="21"/>
      <c r="I346" s="21">
        <v>1316278.26</v>
      </c>
      <c r="J346" s="21"/>
      <c r="K346" s="21">
        <v>812511.48</v>
      </c>
      <c r="M346" s="21">
        <v>558000</v>
      </c>
    </row>
    <row r="347" spans="1:26">
      <c r="A347" s="20" t="s">
        <v>85</v>
      </c>
      <c r="C347" s="21">
        <v>1256337.5899999999</v>
      </c>
      <c r="D347" s="21">
        <f>SUM(C345:C347)</f>
        <v>6789767.96</v>
      </c>
      <c r="E347" s="21">
        <v>1386112.74</v>
      </c>
      <c r="F347" s="21">
        <f>SUM(E345:E347)</f>
        <v>7395832.7400000002</v>
      </c>
      <c r="G347" s="21">
        <v>2334900</v>
      </c>
      <c r="H347" s="21">
        <f>SUM(G345:G347)</f>
        <v>13067031.41</v>
      </c>
      <c r="I347" s="21">
        <v>1200990</v>
      </c>
      <c r="J347" s="21">
        <f>SUM(I345:I347)</f>
        <v>4016267.46</v>
      </c>
      <c r="K347" s="21">
        <v>675889.76</v>
      </c>
      <c r="L347" s="21">
        <f>SUM(K345:K347)</f>
        <v>2374856.8200000003</v>
      </c>
      <c r="M347" s="21">
        <v>224500</v>
      </c>
      <c r="N347" s="21">
        <f>SUM(M345:M347)</f>
        <v>1903333.3333333333</v>
      </c>
    </row>
    <row r="348" spans="1:26">
      <c r="A348" s="20" t="s">
        <v>63</v>
      </c>
      <c r="C348" s="21">
        <v>1186049.8</v>
      </c>
      <c r="D348" s="21">
        <f>SUM(C345:C348)</f>
        <v>7975817.7599999998</v>
      </c>
      <c r="E348">
        <v>1355120</v>
      </c>
      <c r="F348" s="21">
        <f>SUM(E345:E348)</f>
        <v>8750952.7400000002</v>
      </c>
      <c r="G348" s="21">
        <v>2175120</v>
      </c>
      <c r="H348" s="21">
        <f>SUM(G345:G348)</f>
        <v>15242151.41</v>
      </c>
      <c r="I348" s="21">
        <v>620002.94000000006</v>
      </c>
      <c r="J348" s="21">
        <f>SUM(I345:I348)</f>
        <v>4636270.4000000004</v>
      </c>
      <c r="K348" s="21">
        <v>460205.85</v>
      </c>
      <c r="L348" s="21">
        <f>SUM(K345:K348)</f>
        <v>2835062.6700000004</v>
      </c>
      <c r="M348" s="21">
        <v>134600</v>
      </c>
      <c r="N348" s="21">
        <f>SUM(M345:M348)</f>
        <v>2037933.3333333333</v>
      </c>
      <c r="S348" s="20"/>
    </row>
    <row r="349" spans="1:26">
      <c r="A349" s="20" t="s">
        <v>86</v>
      </c>
      <c r="C349" s="21">
        <v>1062760</v>
      </c>
      <c r="D349" s="21">
        <f>SUM(C345:C349)</f>
        <v>9038577.7599999998</v>
      </c>
      <c r="E349" s="21">
        <v>1254380</v>
      </c>
      <c r="F349" s="21">
        <f>SUM(E345:E349)</f>
        <v>10005332.74</v>
      </c>
      <c r="G349" s="21">
        <v>1809395</v>
      </c>
      <c r="H349" s="21">
        <f>SUM(G345:G349)</f>
        <v>17051546.41</v>
      </c>
      <c r="I349" s="21">
        <v>611847.04</v>
      </c>
      <c r="J349" s="21">
        <f>SUM(I345:I349)</f>
        <v>5248117.4400000004</v>
      </c>
      <c r="K349" s="21">
        <v>238209.65</v>
      </c>
      <c r="L349" s="21">
        <f>SUM(K345:K349)</f>
        <v>3073272.3200000003</v>
      </c>
      <c r="M349" s="21">
        <v>130500</v>
      </c>
      <c r="N349" s="21">
        <f>SUM(M345:M349)</f>
        <v>2168433.333333333</v>
      </c>
    </row>
    <row r="350" spans="1:26">
      <c r="A350" s="20" t="s">
        <v>190</v>
      </c>
      <c r="C350" s="21">
        <v>930648.6</v>
      </c>
      <c r="D350" s="21">
        <f>SUM(C345:C350)</f>
        <v>9969226.3599999994</v>
      </c>
      <c r="E350" s="21">
        <v>500000</v>
      </c>
      <c r="F350" s="21">
        <f>SUM(E345:E350)</f>
        <v>10505332.74</v>
      </c>
      <c r="G350" s="21">
        <v>891000.00000000012</v>
      </c>
      <c r="H350" s="21">
        <f>SUM(G345:G350)</f>
        <v>17942546.41</v>
      </c>
      <c r="I350" s="21">
        <v>360565.98</v>
      </c>
      <c r="J350" s="21">
        <f>SUM(I345:I350)</f>
        <v>5608683.4199999999</v>
      </c>
      <c r="K350" s="21">
        <v>151131.96000000002</v>
      </c>
      <c r="L350" s="21">
        <f>SUM(K345:K350)</f>
        <v>3224404.2800000003</v>
      </c>
      <c r="M350" s="21">
        <v>105800</v>
      </c>
      <c r="N350" s="21">
        <f>SUM(M345:M350)</f>
        <v>2274233.333333333</v>
      </c>
    </row>
    <row r="351" spans="1:26">
      <c r="A351" s="20" t="s">
        <v>194</v>
      </c>
      <c r="C351" s="21">
        <v>365596.62</v>
      </c>
      <c r="D351" s="21">
        <f>SUM(C345:C351)</f>
        <v>10334822.979999999</v>
      </c>
      <c r="E351" s="21">
        <v>365829.77999999997</v>
      </c>
      <c r="F351" s="21">
        <f>SUM(E345:E351)</f>
        <v>10871162.52</v>
      </c>
      <c r="G351" s="21">
        <v>779159.70000000007</v>
      </c>
      <c r="H351" s="21">
        <f>SUM(G345:G351)</f>
        <v>18721706.109999999</v>
      </c>
      <c r="I351" s="21">
        <v>264692.15999999997</v>
      </c>
      <c r="J351" s="21">
        <f>SUM(I345:I351)</f>
        <v>5873375.5800000001</v>
      </c>
      <c r="K351" s="21">
        <v>102349.6</v>
      </c>
      <c r="L351" s="21">
        <f>SUM(K345:K351)</f>
        <v>3326753.8800000004</v>
      </c>
      <c r="M351" s="21">
        <v>66966.666666666672</v>
      </c>
      <c r="N351" s="21">
        <f>SUM(M345:M351)</f>
        <v>2341199.9999999995</v>
      </c>
    </row>
    <row r="352" spans="1:26">
      <c r="C352" s="21">
        <v>207260.4</v>
      </c>
      <c r="E352" s="21">
        <v>218633</v>
      </c>
      <c r="G352" s="21">
        <v>600740</v>
      </c>
      <c r="I352" s="21">
        <v>240900</v>
      </c>
      <c r="K352" s="21">
        <v>59950.200000000004</v>
      </c>
      <c r="M352" s="21">
        <v>46034.16</v>
      </c>
    </row>
    <row r="353" spans="1:26">
      <c r="C353" s="21">
        <v>158054</v>
      </c>
      <c r="E353" s="21">
        <v>103813.72</v>
      </c>
      <c r="G353" s="21">
        <v>49252.5</v>
      </c>
      <c r="I353" s="21">
        <v>124600.00000000001</v>
      </c>
      <c r="K353" s="21">
        <v>56900.700000000004</v>
      </c>
      <c r="M353" s="21">
        <v>42000</v>
      </c>
    </row>
    <row r="354" spans="1:26">
      <c r="C354" s="21">
        <v>99705.06</v>
      </c>
      <c r="E354" s="21">
        <v>67500</v>
      </c>
      <c r="G354" s="21">
        <v>35000</v>
      </c>
      <c r="I354" s="21">
        <v>25140</v>
      </c>
      <c r="K354" s="21">
        <v>52443.44</v>
      </c>
      <c r="M354" s="21">
        <v>31200</v>
      </c>
    </row>
    <row r="355" spans="1:26">
      <c r="C355" s="21">
        <v>54205.5</v>
      </c>
      <c r="E355">
        <v>65000</v>
      </c>
      <c r="G355" s="21">
        <v>31200</v>
      </c>
      <c r="I355" s="21">
        <v>23310</v>
      </c>
      <c r="K355" s="21">
        <v>46260</v>
      </c>
      <c r="M355" s="21">
        <v>27573.33333333335</v>
      </c>
    </row>
    <row r="356" spans="1:26">
      <c r="C356" s="21">
        <v>33366.18</v>
      </c>
      <c r="E356">
        <v>52341.68</v>
      </c>
      <c r="G356" s="21">
        <v>27156</v>
      </c>
      <c r="I356" s="21">
        <v>0</v>
      </c>
      <c r="K356" s="21">
        <v>12001.52</v>
      </c>
      <c r="M356" s="21">
        <v>24512.9</v>
      </c>
    </row>
    <row r="357" spans="1:26">
      <c r="C357" s="21">
        <v>14600</v>
      </c>
      <c r="E357" s="21">
        <v>48648.32</v>
      </c>
      <c r="G357" s="21">
        <v>22200</v>
      </c>
      <c r="I357" s="21">
        <v>0</v>
      </c>
      <c r="K357" s="21">
        <v>8915.2000000000007</v>
      </c>
      <c r="M357" s="21">
        <v>23728.6</v>
      </c>
      <c r="P357" s="50" t="s">
        <v>146</v>
      </c>
      <c r="Q357" s="50"/>
      <c r="R357" s="50"/>
    </row>
    <row r="358" spans="1:26">
      <c r="C358" s="21">
        <v>6899.9999999999991</v>
      </c>
      <c r="E358" s="21">
        <v>1800</v>
      </c>
      <c r="G358" s="21">
        <v>7332.12</v>
      </c>
      <c r="I358" s="21">
        <v>0</v>
      </c>
      <c r="K358" s="21">
        <v>2203.67</v>
      </c>
      <c r="M358" s="21">
        <v>22546.666666666693</v>
      </c>
      <c r="P358" s="87" t="s">
        <v>107</v>
      </c>
      <c r="Q358" s="87"/>
      <c r="R358" s="87"/>
    </row>
    <row r="359" spans="1:26">
      <c r="C359" s="21">
        <v>0</v>
      </c>
      <c r="E359" s="21">
        <v>840</v>
      </c>
      <c r="G359" s="21">
        <v>0</v>
      </c>
      <c r="I359" s="21">
        <v>0</v>
      </c>
      <c r="K359" s="21">
        <v>0</v>
      </c>
      <c r="M359" s="21">
        <v>4350</v>
      </c>
      <c r="O359" s="20"/>
      <c r="P359" s="272" t="s">
        <v>91</v>
      </c>
      <c r="Q359" s="537" t="s">
        <v>806</v>
      </c>
      <c r="R359" s="537" t="s">
        <v>807</v>
      </c>
    </row>
    <row r="360" spans="1:26">
      <c r="A360" s="20" t="s">
        <v>64</v>
      </c>
      <c r="C360" s="21">
        <v>0</v>
      </c>
      <c r="D360" s="21">
        <f>SUM(C345:C358)</f>
        <v>10908914.119999999</v>
      </c>
      <c r="E360" s="21">
        <v>0</v>
      </c>
      <c r="F360" s="21">
        <f>SUM(E345:E360)</f>
        <v>11429739.24</v>
      </c>
      <c r="G360" s="21">
        <v>0</v>
      </c>
      <c r="H360" s="21">
        <f>SUM(G345:G361)</f>
        <v>19494586.73</v>
      </c>
      <c r="I360" s="21"/>
      <c r="J360" s="21">
        <f>SUM(I345:I359)</f>
        <v>6287325.5800000001</v>
      </c>
      <c r="K360" s="21">
        <v>0</v>
      </c>
      <c r="L360" s="21">
        <f>SUM(K345:K360)</f>
        <v>3565428.6100000008</v>
      </c>
      <c r="M360" s="21">
        <v>0</v>
      </c>
      <c r="N360" s="21">
        <f>SUM(M345:M360)</f>
        <v>2563145.6599999997</v>
      </c>
      <c r="O360" s="21"/>
      <c r="P360" s="88">
        <f>AVERAGE(D360,F360,H360,J360,L360,N360)</f>
        <v>9041523.3233333323</v>
      </c>
      <c r="Q360" s="88"/>
      <c r="R360" s="88"/>
      <c r="S360" s="20"/>
    </row>
    <row r="361" spans="1:26">
      <c r="A361" s="20" t="s">
        <v>83</v>
      </c>
      <c r="C361" s="21"/>
      <c r="D361" s="135">
        <f>D347/D360</f>
        <v>0.62240548282911956</v>
      </c>
      <c r="E361" s="21"/>
      <c r="F361" s="135">
        <f>F347/F360</f>
        <v>0.64706924494980866</v>
      </c>
      <c r="G361" s="21"/>
      <c r="H361" s="135">
        <f>H347/H360</f>
        <v>0.67029024985132368</v>
      </c>
      <c r="I361" s="21"/>
      <c r="J361" s="135">
        <f>J347/J360</f>
        <v>0.63878789302334804</v>
      </c>
      <c r="K361" s="21">
        <v>0</v>
      </c>
      <c r="L361" s="135">
        <f>L347/L360</f>
        <v>0.66607891498352001</v>
      </c>
      <c r="M361" s="21">
        <v>0</v>
      </c>
      <c r="N361" s="135">
        <f>N347/N360</f>
        <v>0.7425771242877135</v>
      </c>
      <c r="O361" s="44"/>
      <c r="P361" s="89">
        <f>AVERAGE(D361,F361,H361,J361,L361,N361)</f>
        <v>0.66453481832080552</v>
      </c>
      <c r="Q361" s="89">
        <f t="shared" ref="Q361:Q365" si="37">MIN(D361,F361,H361,J361,L361,N361)</f>
        <v>0.62240548282911956</v>
      </c>
      <c r="R361" s="89">
        <f t="shared" ref="R361:R365" si="38">MAX(D361,F361,H361,J361,L361,N361)</f>
        <v>0.7425771242877135</v>
      </c>
      <c r="S361" s="20"/>
      <c r="T361" s="20" t="s">
        <v>83</v>
      </c>
    </row>
    <row r="362" spans="1:26">
      <c r="A362" s="20" t="s">
        <v>65</v>
      </c>
      <c r="C362" s="21"/>
      <c r="D362" s="44">
        <f>D348/D360</f>
        <v>0.7311284764243795</v>
      </c>
      <c r="E362" s="21"/>
      <c r="F362" s="44">
        <f>F348/F360</f>
        <v>0.76563012998361279</v>
      </c>
      <c r="G362" s="21"/>
      <c r="H362" s="44">
        <f>H348/H360</f>
        <v>0.78186583902002005</v>
      </c>
      <c r="I362" s="21"/>
      <c r="J362" s="44">
        <f>J348/J360</f>
        <v>0.73739944607735752</v>
      </c>
      <c r="K362" s="21"/>
      <c r="L362" s="44">
        <f>L348/L360</f>
        <v>0.7951533967188309</v>
      </c>
      <c r="M362" s="21">
        <v>0</v>
      </c>
      <c r="N362" s="44">
        <f>N348/N360</f>
        <v>0.79509072197376929</v>
      </c>
      <c r="O362" s="44"/>
      <c r="P362" s="89">
        <f t="shared" ref="P362:P365" si="39">AVERAGE(D362,F362,H362,J362,L362,N362)</f>
        <v>0.76771133503299505</v>
      </c>
      <c r="Q362" s="89">
        <f t="shared" si="37"/>
        <v>0.7311284764243795</v>
      </c>
      <c r="R362" s="89">
        <f t="shared" si="38"/>
        <v>0.7951533967188309</v>
      </c>
      <c r="S362" s="20"/>
      <c r="T362" s="20" t="s">
        <v>65</v>
      </c>
      <c r="Z362" s="100"/>
    </row>
    <row r="363" spans="1:26">
      <c r="A363" s="20" t="s">
        <v>82</v>
      </c>
      <c r="C363" s="21"/>
      <c r="D363" s="44">
        <f>D349/D360</f>
        <v>0.82854972186727605</v>
      </c>
      <c r="E363" s="21"/>
      <c r="F363" s="44">
        <f>F349/F360</f>
        <v>0.8753771656473941</v>
      </c>
      <c r="G363" s="21"/>
      <c r="H363" s="44">
        <f>H349/H360</f>
        <v>0.87468109204693045</v>
      </c>
      <c r="I363" s="21"/>
      <c r="J363" s="44">
        <f>J349/J360</f>
        <v>0.83471380211234425</v>
      </c>
      <c r="K363" s="21"/>
      <c r="L363" s="44">
        <f>L349/L360</f>
        <v>0.86196434038262781</v>
      </c>
      <c r="M363" s="21"/>
      <c r="N363" s="44">
        <f>N349/N360</f>
        <v>0.84600472270207749</v>
      </c>
      <c r="O363" s="44"/>
      <c r="P363" s="89">
        <f t="shared" si="39"/>
        <v>0.85354847412644164</v>
      </c>
      <c r="Q363" s="89">
        <f t="shared" si="37"/>
        <v>0.82854972186727605</v>
      </c>
      <c r="R363" s="89">
        <f t="shared" si="38"/>
        <v>0.8753771656473941</v>
      </c>
      <c r="S363" s="20"/>
      <c r="T363" s="20" t="s">
        <v>82</v>
      </c>
      <c r="Z363" s="100"/>
    </row>
    <row r="364" spans="1:26">
      <c r="A364" s="20" t="s">
        <v>191</v>
      </c>
      <c r="C364" s="21"/>
      <c r="D364" s="44">
        <f>D350/D360</f>
        <v>0.91386055938627186</v>
      </c>
      <c r="E364" s="21"/>
      <c r="F364" s="44">
        <f>F350/F360</f>
        <v>0.91912269557603665</v>
      </c>
      <c r="G364" s="21"/>
      <c r="H364" s="44">
        <f>H350/H360</f>
        <v>0.92038608761007568</v>
      </c>
      <c r="I364" s="21"/>
      <c r="J364" s="44">
        <f>J350/J360</f>
        <v>0.8920618709235032</v>
      </c>
      <c r="K364" s="21"/>
      <c r="L364" s="44">
        <f>L350/L360</f>
        <v>0.90435250083439467</v>
      </c>
      <c r="M364" s="21"/>
      <c r="N364" s="44">
        <f>N350/N360</f>
        <v>0.88728212712395493</v>
      </c>
      <c r="O364" s="44"/>
      <c r="P364" s="89">
        <f t="shared" si="39"/>
        <v>0.90617764024237279</v>
      </c>
      <c r="Q364" s="89">
        <f t="shared" si="37"/>
        <v>0.88728212712395493</v>
      </c>
      <c r="R364" s="89">
        <f t="shared" si="38"/>
        <v>0.92038608761007568</v>
      </c>
      <c r="S364" s="20"/>
      <c r="T364" s="20" t="s">
        <v>191</v>
      </c>
      <c r="Z364" s="100"/>
    </row>
    <row r="365" spans="1:26">
      <c r="A365" s="20" t="s">
        <v>193</v>
      </c>
      <c r="D365" s="44">
        <f>D351/D360</f>
        <v>0.94737412599596116</v>
      </c>
      <c r="F365" s="44">
        <f>F351/F360</f>
        <v>0.95112953075559403</v>
      </c>
      <c r="G365" s="21"/>
      <c r="H365" s="44">
        <f>H351/H360</f>
        <v>0.96035409056347809</v>
      </c>
      <c r="I365" s="21"/>
      <c r="J365" s="44">
        <f>J351/J360</f>
        <v>0.93416119545061005</v>
      </c>
      <c r="K365" s="21"/>
      <c r="L365" s="44">
        <f>L351/L360</f>
        <v>0.93305861479582386</v>
      </c>
      <c r="N365" s="44">
        <f>N351/N360</f>
        <v>0.91340887743383259</v>
      </c>
      <c r="P365" s="89">
        <f t="shared" si="39"/>
        <v>0.93991440583255004</v>
      </c>
      <c r="Q365" s="89">
        <f t="shared" si="37"/>
        <v>0.91340887743383259</v>
      </c>
      <c r="R365" s="89">
        <f t="shared" si="38"/>
        <v>0.96035409056347809</v>
      </c>
      <c r="T365" s="20" t="s">
        <v>193</v>
      </c>
      <c r="Z365" s="100"/>
    </row>
    <row r="366" spans="1:26">
      <c r="P366" s="89"/>
      <c r="Q366" s="89"/>
      <c r="R366" s="89"/>
      <c r="Z366" s="100"/>
    </row>
    <row r="369" spans="1:19">
      <c r="A369" s="77" t="s">
        <v>108</v>
      </c>
      <c r="B369" s="78"/>
      <c r="C369" s="78"/>
      <c r="D369" s="21"/>
      <c r="E369" s="21"/>
    </row>
    <row r="370" spans="1:19">
      <c r="D370" s="58" t="s">
        <v>109</v>
      </c>
      <c r="E370" s="57"/>
      <c r="F370" s="58" t="s">
        <v>109</v>
      </c>
      <c r="G370" s="57"/>
      <c r="H370" s="58" t="s">
        <v>109</v>
      </c>
      <c r="I370" s="57"/>
      <c r="J370" s="58" t="s">
        <v>109</v>
      </c>
      <c r="K370" s="57"/>
      <c r="L370" s="58" t="s">
        <v>109</v>
      </c>
      <c r="M370" s="57"/>
      <c r="N370" s="58" t="s">
        <v>109</v>
      </c>
    </row>
    <row r="371" spans="1:19">
      <c r="C371" s="50" t="s">
        <v>129</v>
      </c>
      <c r="D371" s="18"/>
      <c r="E371" s="50" t="s">
        <v>130</v>
      </c>
      <c r="F371" s="18"/>
      <c r="G371" s="50" t="s">
        <v>66</v>
      </c>
      <c r="H371" s="18"/>
      <c r="I371" s="50" t="s">
        <v>131</v>
      </c>
      <c r="J371" s="18"/>
      <c r="K371" s="50" t="s">
        <v>132</v>
      </c>
      <c r="L371" s="18"/>
      <c r="M371" s="18" t="s">
        <v>133</v>
      </c>
      <c r="N371" s="18"/>
    </row>
    <row r="372" spans="1:19">
      <c r="C372" s="21">
        <v>137044.80000000002</v>
      </c>
      <c r="E372" s="21">
        <v>1786800.952</v>
      </c>
      <c r="G372" s="21">
        <v>992843.54399999999</v>
      </c>
      <c r="H372" s="21"/>
      <c r="I372" s="21">
        <v>444000</v>
      </c>
      <c r="J372" s="21"/>
      <c r="K372" s="21">
        <v>373360.65</v>
      </c>
      <c r="M372" s="21">
        <v>358694.56800000003</v>
      </c>
    </row>
    <row r="373" spans="1:19">
      <c r="C373" s="21">
        <v>65453.327999999994</v>
      </c>
      <c r="E373" s="21">
        <v>311040.40000000002</v>
      </c>
      <c r="G373" s="21">
        <v>955362.10000000009</v>
      </c>
      <c r="H373" s="21"/>
      <c r="I373" s="21">
        <v>157728</v>
      </c>
      <c r="J373" s="21"/>
      <c r="K373" s="21">
        <v>130838.64</v>
      </c>
      <c r="M373" s="21">
        <v>146302.09200000003</v>
      </c>
    </row>
    <row r="374" spans="1:19">
      <c r="A374" s="20" t="s">
        <v>85</v>
      </c>
      <c r="C374" s="21">
        <v>45921.360000000008</v>
      </c>
      <c r="D374" s="21">
        <f>SUM(C372:C374)</f>
        <v>248419.48800000004</v>
      </c>
      <c r="E374" s="21">
        <v>305834.21999999997</v>
      </c>
      <c r="F374" s="21">
        <f>SUM(E372:E374)</f>
        <v>2403675.5719999997</v>
      </c>
      <c r="G374" s="21">
        <v>495000</v>
      </c>
      <c r="H374" s="21">
        <f>SUM(G372:G374)</f>
        <v>2443205.6440000003</v>
      </c>
      <c r="I374" s="21">
        <v>136740</v>
      </c>
      <c r="J374" s="21">
        <f>SUM(I372:I374)</f>
        <v>738468</v>
      </c>
      <c r="K374" s="21">
        <v>48541.760000000009</v>
      </c>
      <c r="L374" s="21">
        <f>SUM(K372:K374)</f>
        <v>552741.05000000005</v>
      </c>
      <c r="M374" s="21">
        <v>118614.424</v>
      </c>
      <c r="N374" s="21">
        <f>SUM(M372:M374)</f>
        <v>623611.08400000003</v>
      </c>
    </row>
    <row r="375" spans="1:19">
      <c r="A375" s="20" t="s">
        <v>63</v>
      </c>
      <c r="C375" s="21">
        <v>36795.360000000001</v>
      </c>
      <c r="D375" s="21">
        <f>SUM(C372:C375)</f>
        <v>285214.84800000006</v>
      </c>
      <c r="E375" s="21">
        <v>199334.24</v>
      </c>
      <c r="F375" s="21">
        <f>SUM(E372:E375)</f>
        <v>2603009.8119999999</v>
      </c>
      <c r="G375" s="21">
        <v>410805.67599999998</v>
      </c>
      <c r="H375" s="21">
        <f>SUM(G372:G375)</f>
        <v>2854011.3200000003</v>
      </c>
      <c r="I375" s="21">
        <v>90872</v>
      </c>
      <c r="J375" s="21">
        <f>SUM(I372:I375)</f>
        <v>829340</v>
      </c>
      <c r="K375" s="21">
        <v>42450.532281720007</v>
      </c>
      <c r="L375" s="21">
        <f>SUM(K372:K375)</f>
        <v>595191.58228172001</v>
      </c>
      <c r="M375" s="21">
        <v>91184.640000000014</v>
      </c>
      <c r="N375" s="21">
        <f>SUM(M372:M375)</f>
        <v>714795.72400000005</v>
      </c>
      <c r="S375" s="20"/>
    </row>
    <row r="376" spans="1:19">
      <c r="A376" s="20" t="s">
        <v>86</v>
      </c>
      <c r="C376" s="21">
        <v>31620.800000000003</v>
      </c>
      <c r="D376" s="21">
        <f>SUM(C372:C376)</f>
        <v>316835.64800000004</v>
      </c>
      <c r="E376" s="21">
        <v>183840</v>
      </c>
      <c r="F376" s="21">
        <f>SUM(E372:E376)</f>
        <v>2786849.8119999999</v>
      </c>
      <c r="G376" s="21">
        <v>182000</v>
      </c>
      <c r="H376" s="21">
        <f>SUM(G372:G376)</f>
        <v>3036011.3200000003</v>
      </c>
      <c r="I376" s="21">
        <v>79596</v>
      </c>
      <c r="J376" s="21">
        <f>SUM(I372:I376)</f>
        <v>908936</v>
      </c>
      <c r="K376" s="21">
        <v>41054.516911520004</v>
      </c>
      <c r="L376" s="21">
        <f>SUM(K372:K376)</f>
        <v>636246.09919324005</v>
      </c>
      <c r="M376" s="21">
        <v>88690.776000000013</v>
      </c>
      <c r="N376" s="21">
        <f>SUM(M372:M376)</f>
        <v>803486.5</v>
      </c>
    </row>
    <row r="377" spans="1:19">
      <c r="A377" s="20" t="s">
        <v>190</v>
      </c>
      <c r="C377" s="21">
        <v>11697.760000000002</v>
      </c>
      <c r="D377" s="21">
        <f>SUM(C372:C377)</f>
        <v>328533.40800000005</v>
      </c>
      <c r="E377" s="21">
        <v>141035.70000000001</v>
      </c>
      <c r="F377" s="21">
        <f>SUM(E372:E377)</f>
        <v>2927885.5120000001</v>
      </c>
      <c r="G377" s="21">
        <v>160000</v>
      </c>
      <c r="H377" s="21">
        <f>SUM(G372:G377)</f>
        <v>3196011.3200000003</v>
      </c>
      <c r="I377" s="21">
        <v>65064.332000000009</v>
      </c>
      <c r="J377" s="21">
        <f>SUM(I372:I377)</f>
        <v>974000.33200000005</v>
      </c>
      <c r="K377" s="21">
        <v>9592.68</v>
      </c>
      <c r="L377" s="21">
        <f>SUM(K372:K377)</f>
        <v>645838.7791932401</v>
      </c>
      <c r="M377" s="21">
        <v>61488.9</v>
      </c>
      <c r="N377" s="21">
        <f>SUM(M372:M377)</f>
        <v>864975.4</v>
      </c>
    </row>
    <row r="378" spans="1:19">
      <c r="A378" s="20" t="s">
        <v>194</v>
      </c>
      <c r="C378" s="21">
        <v>8628.36</v>
      </c>
      <c r="D378" s="21">
        <f>SUM(C372:C378)</f>
        <v>337161.76800000004</v>
      </c>
      <c r="E378" s="21">
        <v>29760</v>
      </c>
      <c r="F378" s="21">
        <f>SUM(E372:E378)</f>
        <v>2957645.5120000001</v>
      </c>
      <c r="G378" s="21">
        <v>103666.02</v>
      </c>
      <c r="H378" s="21">
        <f>SUM(G372:G378)</f>
        <v>3299677.3400000003</v>
      </c>
      <c r="I378" s="21">
        <v>63617.476000000002</v>
      </c>
      <c r="J378" s="21">
        <f>SUM(I372:I378)</f>
        <v>1037617.8080000001</v>
      </c>
      <c r="K378" s="21">
        <v>8092.9252404000017</v>
      </c>
      <c r="L378" s="21">
        <f>SUM(K372:K378)</f>
        <v>653931.70443364012</v>
      </c>
      <c r="M378">
        <v>39943.700000000004</v>
      </c>
      <c r="N378" s="21">
        <f>SUM(M372:M378)</f>
        <v>904919.1</v>
      </c>
    </row>
    <row r="379" spans="1:19">
      <c r="C379" s="21">
        <v>93</v>
      </c>
      <c r="E379" s="21">
        <v>29301.300000000003</v>
      </c>
      <c r="G379" s="21">
        <v>39600</v>
      </c>
      <c r="I379" s="21">
        <v>52110.576000000001</v>
      </c>
      <c r="K379" s="21">
        <v>6508.3600000000006</v>
      </c>
      <c r="M379" s="21">
        <v>39322.080000000002</v>
      </c>
    </row>
    <row r="380" spans="1:19">
      <c r="C380" s="21">
        <v>0</v>
      </c>
      <c r="E380" s="21">
        <v>20172.2</v>
      </c>
      <c r="G380" s="21">
        <v>31220.016</v>
      </c>
      <c r="I380" s="21">
        <v>26000</v>
      </c>
      <c r="K380" s="21">
        <v>4988</v>
      </c>
      <c r="M380" s="21">
        <v>27312.335999999999</v>
      </c>
    </row>
    <row r="381" spans="1:19">
      <c r="C381" s="21">
        <v>0</v>
      </c>
      <c r="E381" s="21">
        <v>16996.000000000004</v>
      </c>
      <c r="G381" s="21">
        <v>23273.000000000004</v>
      </c>
      <c r="I381" s="21">
        <v>22800</v>
      </c>
      <c r="K381" s="21">
        <v>3674.1519699999999</v>
      </c>
      <c r="M381" s="21">
        <v>11368.000000000002</v>
      </c>
    </row>
    <row r="382" spans="1:19">
      <c r="C382" s="21">
        <v>0</v>
      </c>
      <c r="E382" s="21">
        <v>15570.884000000004</v>
      </c>
      <c r="G382" s="21">
        <v>7284.54</v>
      </c>
      <c r="I382" s="21">
        <v>0</v>
      </c>
      <c r="K382" s="21">
        <v>1450</v>
      </c>
      <c r="M382" s="21">
        <v>5140</v>
      </c>
    </row>
    <row r="383" spans="1:19">
      <c r="C383" s="21">
        <v>0</v>
      </c>
      <c r="E383">
        <v>14555.04</v>
      </c>
      <c r="G383" s="21">
        <v>6395.7479999999996</v>
      </c>
      <c r="I383" s="21">
        <v>0</v>
      </c>
      <c r="K383" s="21">
        <v>49.056000000000004</v>
      </c>
      <c r="M383" s="21">
        <v>4928</v>
      </c>
    </row>
    <row r="384" spans="1:19">
      <c r="C384" s="21"/>
      <c r="E384" s="21">
        <v>4529.192</v>
      </c>
      <c r="G384" s="21">
        <v>240</v>
      </c>
      <c r="I384" s="21">
        <v>0</v>
      </c>
      <c r="K384" s="21">
        <v>0</v>
      </c>
      <c r="M384" s="21">
        <v>0</v>
      </c>
      <c r="P384" s="50" t="s">
        <v>143</v>
      </c>
      <c r="Q384" s="50"/>
      <c r="R384" s="50"/>
    </row>
    <row r="385" spans="1:35">
      <c r="C385" s="21"/>
      <c r="E385" s="21">
        <v>0</v>
      </c>
      <c r="G385" s="21">
        <v>0</v>
      </c>
      <c r="I385" s="21">
        <v>0</v>
      </c>
      <c r="K385" s="21">
        <v>0</v>
      </c>
      <c r="M385" s="21">
        <v>0</v>
      </c>
      <c r="P385" s="87" t="s">
        <v>109</v>
      </c>
      <c r="Q385" s="87"/>
      <c r="R385" s="87"/>
      <c r="V385" s="55"/>
      <c r="W385" s="55" t="s">
        <v>187</v>
      </c>
    </row>
    <row r="386" spans="1:35">
      <c r="C386" s="21"/>
      <c r="E386" s="21">
        <v>0</v>
      </c>
      <c r="G386" s="21">
        <v>0</v>
      </c>
      <c r="I386" s="21">
        <v>0</v>
      </c>
      <c r="K386" s="21">
        <v>0</v>
      </c>
      <c r="M386" s="21">
        <v>0</v>
      </c>
      <c r="O386" s="20"/>
      <c r="P386" s="50" t="s">
        <v>91</v>
      </c>
      <c r="Q386" s="50"/>
      <c r="R386" s="50"/>
      <c r="V386" s="142" t="s">
        <v>186</v>
      </c>
      <c r="W386" s="142"/>
      <c r="AC386" s="119"/>
      <c r="AD386" s="119"/>
      <c r="AE386" s="65"/>
      <c r="AF386" s="100"/>
      <c r="AG386" s="55"/>
      <c r="AH386" s="134"/>
      <c r="AI386" s="134"/>
    </row>
    <row r="387" spans="1:35">
      <c r="A387" s="20" t="s">
        <v>64</v>
      </c>
      <c r="C387" s="21"/>
      <c r="D387" s="21">
        <f>SUM(C372:C385)</f>
        <v>337254.76800000004</v>
      </c>
      <c r="E387">
        <v>0</v>
      </c>
      <c r="F387" s="21">
        <f>SUM(E372:E387)</f>
        <v>3058770.128</v>
      </c>
      <c r="G387" s="21">
        <v>0</v>
      </c>
      <c r="H387" s="21">
        <f>SUM(G372:G388)</f>
        <v>3407690.6440000003</v>
      </c>
      <c r="I387" s="21">
        <v>0</v>
      </c>
      <c r="J387" s="21">
        <f>SUM(I372:I386)</f>
        <v>1138528.3840000001</v>
      </c>
      <c r="K387" s="21"/>
      <c r="L387" s="21">
        <f>SUM(K372:K387)</f>
        <v>670601.27240364009</v>
      </c>
      <c r="M387" s="21"/>
      <c r="N387" s="21">
        <f>SUM(M372:M387)</f>
        <v>992989.51599999995</v>
      </c>
      <c r="O387" s="21"/>
      <c r="P387" s="88">
        <f t="shared" ref="P387:P392" si="40">AVERAGE(D387,F387,H387,J387,L387,N387)</f>
        <v>1600972.4520672737</v>
      </c>
      <c r="Q387" s="88"/>
      <c r="R387" s="88"/>
      <c r="S387" s="20"/>
      <c r="V387" s="71" t="s">
        <v>34</v>
      </c>
      <c r="W387" s="71" t="s">
        <v>109</v>
      </c>
      <c r="AC387" s="82"/>
      <c r="AD387" s="82"/>
      <c r="AE387" s="82"/>
      <c r="AF387" s="82"/>
      <c r="AG387" s="82"/>
      <c r="AH387" s="461"/>
      <c r="AI387" s="461"/>
    </row>
    <row r="388" spans="1:35">
      <c r="A388" s="20" t="s">
        <v>83</v>
      </c>
      <c r="C388" s="21"/>
      <c r="D388" s="138">
        <f>D374/D387</f>
        <v>0.73659296048855272</v>
      </c>
      <c r="E388" s="21"/>
      <c r="F388" s="138">
        <f>F374/F387</f>
        <v>0.78583073307691187</v>
      </c>
      <c r="G388" s="21">
        <v>0</v>
      </c>
      <c r="H388" s="138">
        <f>H374/H387</f>
        <v>0.71696814624350036</v>
      </c>
      <c r="I388" s="21"/>
      <c r="J388" s="138">
        <f>J374/J387</f>
        <v>0.64861624038351595</v>
      </c>
      <c r="K388" s="21"/>
      <c r="L388" s="138">
        <f>L374/L387</f>
        <v>0.82424694486308836</v>
      </c>
      <c r="M388" s="21"/>
      <c r="N388" s="138">
        <f>N374/N387</f>
        <v>0.62801376444743862</v>
      </c>
      <c r="O388" s="44"/>
      <c r="P388" s="89">
        <f t="shared" si="40"/>
        <v>0.72337813158383468</v>
      </c>
      <c r="Q388" s="89"/>
      <c r="R388" s="89"/>
      <c r="S388" s="20"/>
      <c r="T388" s="20" t="s">
        <v>83</v>
      </c>
      <c r="V388" s="55" t="s">
        <v>44</v>
      </c>
      <c r="W388" s="70">
        <f>P388</f>
        <v>0.72337813158383468</v>
      </c>
      <c r="AC388" s="82"/>
      <c r="AD388" s="82"/>
      <c r="AE388" s="83"/>
      <c r="AF388" s="143"/>
      <c r="AG388" s="82"/>
      <c r="AH388" s="461"/>
      <c r="AI388" s="461"/>
    </row>
    <row r="389" spans="1:35">
      <c r="A389" s="20" t="s">
        <v>65</v>
      </c>
      <c r="C389" s="21"/>
      <c r="D389" s="44">
        <f>D375/D387</f>
        <v>0.84569552475533871</v>
      </c>
      <c r="E389" s="21"/>
      <c r="F389" s="44">
        <f>F375/F387</f>
        <v>0.85099883386856456</v>
      </c>
      <c r="G389" s="21"/>
      <c r="H389" s="44">
        <f>H375/H387</f>
        <v>0.83752066081031273</v>
      </c>
      <c r="I389" s="21"/>
      <c r="J389" s="44">
        <f>J375/J387</f>
        <v>0.72843155397344928</v>
      </c>
      <c r="K389" s="21"/>
      <c r="L389" s="44">
        <f>L375/L387</f>
        <v>0.88754913951828829</v>
      </c>
      <c r="M389" s="21"/>
      <c r="N389" s="44">
        <f>N375/N387</f>
        <v>0.71984216598717854</v>
      </c>
      <c r="O389" s="44"/>
      <c r="P389" s="89">
        <f t="shared" si="40"/>
        <v>0.81167297981885544</v>
      </c>
      <c r="Q389" s="89"/>
      <c r="R389" s="89"/>
      <c r="S389" s="20"/>
      <c r="T389" s="20" t="s">
        <v>65</v>
      </c>
      <c r="V389" s="55" t="s">
        <v>45</v>
      </c>
      <c r="W389" s="70">
        <f>P411</f>
        <v>0.68233752166801598</v>
      </c>
      <c r="Z389" s="100"/>
      <c r="AC389" s="271"/>
      <c r="AD389" s="271"/>
      <c r="AE389" s="270"/>
      <c r="AF389" s="144"/>
      <c r="AG389" s="59"/>
      <c r="AH389" s="59"/>
      <c r="AI389" s="59"/>
    </row>
    <row r="390" spans="1:35">
      <c r="A390" s="20" t="s">
        <v>82</v>
      </c>
      <c r="C390" s="21"/>
      <c r="D390" s="44">
        <f>D376/D387</f>
        <v>0.93945491083464827</v>
      </c>
      <c r="E390" s="21"/>
      <c r="F390" s="44">
        <f>F376/F387</f>
        <v>0.91110142161032637</v>
      </c>
      <c r="G390" s="21"/>
      <c r="H390" s="44">
        <f>H376/H387</f>
        <v>0.89092926476338918</v>
      </c>
      <c r="I390" s="21"/>
      <c r="J390" s="44">
        <f>J376/J387</f>
        <v>0.79834285448960751</v>
      </c>
      <c r="K390" s="21"/>
      <c r="L390" s="44">
        <f>L376/L387</f>
        <v>0.94876959733872768</v>
      </c>
      <c r="M390" s="21"/>
      <c r="N390" s="44">
        <f>N376/N387</f>
        <v>0.80915909690228793</v>
      </c>
      <c r="O390" s="44"/>
      <c r="P390" s="89">
        <f t="shared" si="40"/>
        <v>0.88295952432316449</v>
      </c>
      <c r="Q390" s="89"/>
      <c r="R390" s="89"/>
      <c r="S390" s="20"/>
      <c r="T390" s="20" t="s">
        <v>82</v>
      </c>
      <c r="V390" s="55" t="s">
        <v>46</v>
      </c>
      <c r="W390" s="70">
        <f>P435</f>
        <v>0.77801502314774373</v>
      </c>
      <c r="Z390" s="100"/>
      <c r="AC390" s="271"/>
      <c r="AD390" s="271"/>
      <c r="AE390" s="270"/>
      <c r="AF390" s="144"/>
      <c r="AG390" s="59"/>
      <c r="AH390" s="59"/>
      <c r="AI390" s="59"/>
    </row>
    <row r="391" spans="1:35">
      <c r="A391" s="20" t="s">
        <v>191</v>
      </c>
      <c r="C391" s="21"/>
      <c r="D391" s="44">
        <f>D377/D387</f>
        <v>0.97414014321659648</v>
      </c>
      <c r="F391" s="44">
        <f>F377/F387</f>
        <v>0.9572100515818821</v>
      </c>
      <c r="G391" s="21"/>
      <c r="H391" s="44">
        <f>H377/H387</f>
        <v>0.93788188362323655</v>
      </c>
      <c r="I391" s="21"/>
      <c r="J391" s="44">
        <f>J377/J387</f>
        <v>0.85549060145346367</v>
      </c>
      <c r="K391" s="21"/>
      <c r="L391" s="44">
        <f>L377/L387</f>
        <v>0.9630741929229516</v>
      </c>
      <c r="M391" s="21"/>
      <c r="N391" s="44">
        <f>N377/N387</f>
        <v>0.87108210717503698</v>
      </c>
      <c r="P391" s="89">
        <f t="shared" si="40"/>
        <v>0.92647982999552791</v>
      </c>
      <c r="Q391" s="89"/>
      <c r="R391" s="89"/>
      <c r="T391" s="20" t="s">
        <v>191</v>
      </c>
      <c r="V391" s="55" t="s">
        <v>47</v>
      </c>
      <c r="W391" s="70">
        <f>P458</f>
        <v>0.77196596743442447</v>
      </c>
      <c r="Z391" s="100"/>
      <c r="AC391" s="70"/>
      <c r="AD391" s="70"/>
    </row>
    <row r="392" spans="1:35">
      <c r="A392" s="20" t="s">
        <v>193</v>
      </c>
      <c r="D392" s="44">
        <f>D378/D387</f>
        <v>0.99972424407651372</v>
      </c>
      <c r="F392" s="44">
        <f>F378/F387</f>
        <v>0.96693945220848587</v>
      </c>
      <c r="H392" s="44">
        <f>H378/H387</f>
        <v>0.9683030781593448</v>
      </c>
      <c r="J392" s="44">
        <f>J378/J387</f>
        <v>0.91136753600690201</v>
      </c>
      <c r="L392" s="44">
        <f>L378/L387</f>
        <v>0.97514235559045226</v>
      </c>
      <c r="N392" s="44">
        <f>N378/N387</f>
        <v>0.91130780881275697</v>
      </c>
      <c r="P392" s="89">
        <f t="shared" si="40"/>
        <v>0.95546407914240927</v>
      </c>
      <c r="Q392" s="89"/>
      <c r="R392" s="89"/>
      <c r="V392" s="55" t="s">
        <v>48</v>
      </c>
      <c r="W392" s="70">
        <f>P481</f>
        <v>0.76508926398511223</v>
      </c>
      <c r="Z392" s="100"/>
      <c r="AC392" s="70"/>
      <c r="AD392" s="70"/>
    </row>
    <row r="393" spans="1:35">
      <c r="D393" s="58" t="s">
        <v>109</v>
      </c>
      <c r="E393" s="57"/>
      <c r="F393" s="58" t="s">
        <v>109</v>
      </c>
      <c r="G393" s="57"/>
      <c r="H393" s="58" t="s">
        <v>109</v>
      </c>
      <c r="I393" s="57"/>
      <c r="J393" s="58" t="s">
        <v>109</v>
      </c>
      <c r="K393" s="57"/>
      <c r="L393" s="58" t="s">
        <v>109</v>
      </c>
      <c r="M393" s="57"/>
      <c r="N393" s="58" t="s">
        <v>109</v>
      </c>
      <c r="V393" s="55" t="s">
        <v>49</v>
      </c>
      <c r="W393" s="70">
        <f>P504</f>
        <v>0.76041924237732006</v>
      </c>
      <c r="AC393" s="70"/>
      <c r="AD393" s="70"/>
    </row>
    <row r="394" spans="1:35">
      <c r="C394" s="50" t="s">
        <v>159</v>
      </c>
      <c r="D394" s="18"/>
      <c r="E394" s="50" t="s">
        <v>160</v>
      </c>
      <c r="F394" s="18"/>
      <c r="G394" s="50" t="s">
        <v>161</v>
      </c>
      <c r="H394" s="18"/>
      <c r="I394" s="50" t="s">
        <v>162</v>
      </c>
      <c r="J394" s="18"/>
      <c r="K394" s="50" t="s">
        <v>163</v>
      </c>
      <c r="L394" s="18"/>
      <c r="M394" s="18" t="s">
        <v>164</v>
      </c>
      <c r="N394" s="18"/>
      <c r="V394" s="55" t="s">
        <v>50</v>
      </c>
      <c r="W394" s="70">
        <f>P528</f>
        <v>0.8150486924531789</v>
      </c>
      <c r="AC394" s="70"/>
      <c r="AD394" s="70"/>
    </row>
    <row r="395" spans="1:35">
      <c r="C395" s="21">
        <v>41106.080000000009</v>
      </c>
      <c r="E395" s="21">
        <v>520800</v>
      </c>
      <c r="G395" s="21">
        <v>510000</v>
      </c>
      <c r="H395" s="21"/>
      <c r="I395" s="21">
        <v>212256</v>
      </c>
      <c r="J395" s="21"/>
      <c r="K395" s="21">
        <v>128426.66666666669</v>
      </c>
      <c r="M395" s="21">
        <v>155736.88</v>
      </c>
      <c r="V395" s="55" t="s">
        <v>51</v>
      </c>
      <c r="W395" s="70">
        <f>P553</f>
        <v>0.90997532485690913</v>
      </c>
      <c r="AC395" s="70"/>
      <c r="AD395" s="70"/>
    </row>
    <row r="396" spans="1:35">
      <c r="C396" s="21">
        <v>37752.396000000001</v>
      </c>
      <c r="E396" s="21">
        <v>265800</v>
      </c>
      <c r="G396" s="21">
        <v>447340.61</v>
      </c>
      <c r="H396" s="21"/>
      <c r="I396" s="21">
        <v>107360.944</v>
      </c>
      <c r="J396" s="21"/>
      <c r="K396" s="21">
        <v>71726.040000000008</v>
      </c>
      <c r="M396" s="21">
        <v>83766.34</v>
      </c>
      <c r="V396" s="55" t="s">
        <v>52</v>
      </c>
      <c r="W396" s="70">
        <f>P577</f>
        <v>0.87594673634892439</v>
      </c>
      <c r="AC396" s="70"/>
      <c r="AD396" s="70"/>
    </row>
    <row r="397" spans="1:35">
      <c r="A397" s="20" t="s">
        <v>85</v>
      </c>
      <c r="C397" s="21">
        <v>25680</v>
      </c>
      <c r="D397" s="21">
        <f>SUM(C395:C397)</f>
        <v>104538.47600000001</v>
      </c>
      <c r="E397" s="21">
        <v>121400</v>
      </c>
      <c r="F397" s="21">
        <f>SUM(E395:E397)</f>
        <v>908000</v>
      </c>
      <c r="G397" s="21">
        <v>278896.8</v>
      </c>
      <c r="H397" s="21">
        <f>SUM(G395:G397)</f>
        <v>1236237.4099999999</v>
      </c>
      <c r="I397" s="21">
        <v>90300</v>
      </c>
      <c r="J397" s="21">
        <f>SUM(I395:I397)</f>
        <v>409916.94400000002</v>
      </c>
      <c r="K397" s="21">
        <v>64734.880000000005</v>
      </c>
      <c r="L397" s="21">
        <f>SUM(K395:K397)</f>
        <v>264887.58666666667</v>
      </c>
      <c r="M397" s="21">
        <v>71706.111570640001</v>
      </c>
      <c r="N397" s="21">
        <f>SUM(M395:M397)</f>
        <v>311209.33157063997</v>
      </c>
      <c r="V397" s="55" t="s">
        <v>53</v>
      </c>
      <c r="W397" s="70">
        <f>P600</f>
        <v>0.78421787028061563</v>
      </c>
      <c r="AC397" s="70"/>
      <c r="AD397" s="70"/>
    </row>
    <row r="398" spans="1:35">
      <c r="A398" s="20" t="s">
        <v>63</v>
      </c>
      <c r="C398" s="21">
        <v>15487.108000000002</v>
      </c>
      <c r="D398" s="21">
        <f>SUM(C395:C398)</f>
        <v>120025.58400000002</v>
      </c>
      <c r="E398" s="21">
        <v>112264.48000000001</v>
      </c>
      <c r="F398" s="21">
        <f>SUM(E395:E398)</f>
        <v>1020264.48</v>
      </c>
      <c r="G398" s="21">
        <v>109200</v>
      </c>
      <c r="H398" s="21">
        <f>SUM(G395:G398)</f>
        <v>1345437.41</v>
      </c>
      <c r="I398" s="21">
        <v>54000</v>
      </c>
      <c r="J398" s="21">
        <f>SUM(I395:I398)</f>
        <v>463916.94400000002</v>
      </c>
      <c r="K398" s="21">
        <v>52809.65600000001</v>
      </c>
      <c r="L398" s="21">
        <f>SUM(K395:K398)</f>
        <v>317697.24266666669</v>
      </c>
      <c r="M398" s="21">
        <v>30735.15</v>
      </c>
      <c r="N398" s="21">
        <f>SUM(M395:M398)</f>
        <v>341944.48157064</v>
      </c>
      <c r="S398" s="20"/>
      <c r="V398" s="55" t="s">
        <v>54</v>
      </c>
      <c r="W398" s="70">
        <f>P623</f>
        <v>0.792025166623882</v>
      </c>
      <c r="AC398" s="70"/>
      <c r="AD398" s="70"/>
    </row>
    <row r="399" spans="1:35">
      <c r="A399" s="20" t="s">
        <v>86</v>
      </c>
      <c r="C399" s="21">
        <v>14774.85</v>
      </c>
      <c r="D399" s="21">
        <f>SUM(C395:C399)</f>
        <v>134800.43400000001</v>
      </c>
      <c r="E399" s="21">
        <v>99182.080000000002</v>
      </c>
      <c r="F399" s="21">
        <f>SUM(E395:E399)</f>
        <v>1119446.56</v>
      </c>
      <c r="G399" s="21">
        <v>99180</v>
      </c>
      <c r="H399" s="21">
        <f>SUM(G395:G399)</f>
        <v>1444617.41</v>
      </c>
      <c r="I399" s="21">
        <v>51149.252000000008</v>
      </c>
      <c r="J399" s="21">
        <f>SUM(I395:I399)</f>
        <v>515066.196</v>
      </c>
      <c r="K399" s="21">
        <v>38245.32</v>
      </c>
      <c r="L399" s="21">
        <f>SUM(K395:K399)</f>
        <v>355942.56266666669</v>
      </c>
      <c r="M399" s="21">
        <v>26574.318147999998</v>
      </c>
      <c r="N399" s="21">
        <f>SUM(M395:M399)</f>
        <v>368518.79971863999</v>
      </c>
      <c r="V399" s="55" t="s">
        <v>55</v>
      </c>
      <c r="W399" s="70">
        <f>P646</f>
        <v>0.72901944539829489</v>
      </c>
      <c r="AC399" s="70"/>
      <c r="AD399" s="70"/>
    </row>
    <row r="400" spans="1:35">
      <c r="C400" s="21">
        <v>10655.328000000001</v>
      </c>
      <c r="E400" s="21">
        <v>72800</v>
      </c>
      <c r="G400" s="21">
        <v>84000</v>
      </c>
      <c r="I400" s="21">
        <v>50320.000000000007</v>
      </c>
      <c r="K400" s="21">
        <v>23248.152000000002</v>
      </c>
      <c r="M400" s="21">
        <v>20964.544000000002</v>
      </c>
      <c r="AC400" s="70"/>
      <c r="AD400" s="70"/>
    </row>
    <row r="401" spans="1:26">
      <c r="C401" s="21">
        <v>5113.920000000001</v>
      </c>
      <c r="E401" s="21">
        <v>61280</v>
      </c>
      <c r="G401" s="21">
        <v>32000</v>
      </c>
      <c r="I401" s="21">
        <v>45600</v>
      </c>
      <c r="K401" s="21">
        <v>6538.2000000000007</v>
      </c>
      <c r="M401" s="21">
        <v>17952.542047440002</v>
      </c>
    </row>
    <row r="402" spans="1:26">
      <c r="C402" s="21">
        <v>3168.72</v>
      </c>
      <c r="E402" s="21">
        <v>45291.920000000006</v>
      </c>
      <c r="G402" s="21">
        <v>23400</v>
      </c>
      <c r="I402" s="21">
        <v>18751.2</v>
      </c>
      <c r="K402" s="21">
        <v>5776.5800000000008</v>
      </c>
      <c r="M402" s="21">
        <v>8112.9275481599998</v>
      </c>
    </row>
    <row r="403" spans="1:26">
      <c r="C403" s="21">
        <v>0</v>
      </c>
      <c r="E403" s="21">
        <v>43200</v>
      </c>
      <c r="G403" s="21">
        <v>5202</v>
      </c>
      <c r="I403" s="21">
        <v>13000</v>
      </c>
      <c r="K403" s="21">
        <v>5460</v>
      </c>
      <c r="M403" s="21">
        <v>6016.670000000001</v>
      </c>
    </row>
    <row r="404" spans="1:26">
      <c r="C404" s="21">
        <v>0</v>
      </c>
      <c r="E404" s="21">
        <v>31675</v>
      </c>
      <c r="G404" s="21">
        <v>0</v>
      </c>
      <c r="I404" s="21">
        <v>5304.5440000000008</v>
      </c>
      <c r="K404" s="21">
        <v>4825.0879999999997</v>
      </c>
      <c r="M404" s="21">
        <v>4520</v>
      </c>
    </row>
    <row r="405" spans="1:26">
      <c r="C405" s="21">
        <v>0</v>
      </c>
      <c r="E405" s="21">
        <v>30400</v>
      </c>
      <c r="G405" s="21">
        <v>0</v>
      </c>
      <c r="I405" s="21">
        <v>5088</v>
      </c>
      <c r="K405" s="21">
        <v>4257.6000000000004</v>
      </c>
      <c r="M405" s="21">
        <v>2263.98</v>
      </c>
    </row>
    <row r="406" spans="1:26">
      <c r="C406" s="21">
        <v>0</v>
      </c>
      <c r="E406" s="21">
        <v>24800</v>
      </c>
      <c r="G406" s="21">
        <v>0</v>
      </c>
      <c r="I406" s="21">
        <v>2080</v>
      </c>
      <c r="K406" s="21">
        <v>279.66000000000003</v>
      </c>
      <c r="M406" s="21">
        <v>0</v>
      </c>
    </row>
    <row r="407" spans="1:26">
      <c r="C407" s="21">
        <v>0</v>
      </c>
      <c r="E407" s="21">
        <v>7600</v>
      </c>
      <c r="G407" s="21">
        <v>0</v>
      </c>
      <c r="I407" s="21">
        <v>0</v>
      </c>
      <c r="K407" s="21">
        <v>0</v>
      </c>
      <c r="M407" s="21">
        <v>0</v>
      </c>
      <c r="P407" s="50" t="s">
        <v>165</v>
      </c>
      <c r="Q407" s="50"/>
      <c r="R407" s="50"/>
    </row>
    <row r="408" spans="1:26">
      <c r="C408" s="21">
        <v>0</v>
      </c>
      <c r="E408" s="21">
        <v>0</v>
      </c>
      <c r="G408" s="21">
        <v>0</v>
      </c>
      <c r="I408" s="21">
        <v>0</v>
      </c>
      <c r="K408" s="21">
        <v>0</v>
      </c>
      <c r="M408" s="21">
        <v>0</v>
      </c>
      <c r="P408" s="87" t="s">
        <v>109</v>
      </c>
      <c r="Q408" s="87"/>
      <c r="R408" s="87"/>
    </row>
    <row r="409" spans="1:26">
      <c r="C409" s="21">
        <v>0</v>
      </c>
      <c r="E409" s="21">
        <v>0</v>
      </c>
      <c r="G409" s="21">
        <v>0</v>
      </c>
      <c r="I409" s="21">
        <v>0</v>
      </c>
      <c r="K409" s="21">
        <v>0</v>
      </c>
      <c r="M409" s="21"/>
      <c r="O409" s="20"/>
      <c r="P409" s="50" t="s">
        <v>91</v>
      </c>
      <c r="Q409" s="50"/>
      <c r="R409" s="50"/>
    </row>
    <row r="410" spans="1:26">
      <c r="A410" s="20" t="s">
        <v>64</v>
      </c>
      <c r="C410" s="21"/>
      <c r="D410" s="21">
        <f>SUM(C395:C408)</f>
        <v>153738.40200000003</v>
      </c>
      <c r="E410" s="21">
        <v>0</v>
      </c>
      <c r="F410" s="21">
        <f>SUM(E395:E410)</f>
        <v>1436493.48</v>
      </c>
      <c r="G410" s="21">
        <v>0</v>
      </c>
      <c r="H410" s="21">
        <f>SUM(G395:G411)</f>
        <v>1589219.41</v>
      </c>
      <c r="I410" s="21"/>
      <c r="J410" s="21">
        <f>SUM(I395:I409)</f>
        <v>655209.93999999994</v>
      </c>
      <c r="K410" s="21">
        <v>0</v>
      </c>
      <c r="L410" s="21">
        <f>SUM(K395:K410)</f>
        <v>406327.84266666666</v>
      </c>
      <c r="M410" s="21"/>
      <c r="N410" s="21">
        <f>SUM(M395:M410)</f>
        <v>428349.46331423998</v>
      </c>
      <c r="O410" s="21"/>
      <c r="P410" s="88">
        <f>AVERAGE(D410,F410,H410,J410,L410,N410)</f>
        <v>778223.08966348448</v>
      </c>
      <c r="Q410" s="88"/>
      <c r="R410" s="88"/>
      <c r="S410" s="20"/>
    </row>
    <row r="411" spans="1:26">
      <c r="A411" s="20" t="s">
        <v>83</v>
      </c>
      <c r="C411" s="21"/>
      <c r="D411" s="138">
        <f>D397/D410</f>
        <v>0.67997634058925627</v>
      </c>
      <c r="E411" s="21">
        <v>0</v>
      </c>
      <c r="F411" s="138">
        <f>F397/F410</f>
        <v>0.63209475896820644</v>
      </c>
      <c r="G411" s="21"/>
      <c r="H411" s="138">
        <f>H397/H410</f>
        <v>0.7778896999502416</v>
      </c>
      <c r="I411" s="21"/>
      <c r="J411" s="138">
        <f>J397/J410</f>
        <v>0.62562687006854634</v>
      </c>
      <c r="K411" s="21"/>
      <c r="L411" s="138">
        <f>L397/L410</f>
        <v>0.65190606907036075</v>
      </c>
      <c r="M411" s="21"/>
      <c r="N411" s="138">
        <f>N397/N410</f>
        <v>0.72653139136148459</v>
      </c>
      <c r="O411" s="44"/>
      <c r="P411" s="89">
        <f>AVERAGE(D411,F411,H411,J411,L411,N411)</f>
        <v>0.68233752166801598</v>
      </c>
      <c r="Q411" s="89"/>
      <c r="R411" s="89"/>
      <c r="S411" s="20"/>
      <c r="T411" s="20" t="s">
        <v>83</v>
      </c>
    </row>
    <row r="412" spans="1:26">
      <c r="A412" s="20" t="s">
        <v>65</v>
      </c>
      <c r="C412" s="21"/>
      <c r="D412" s="44">
        <f>D398/D410</f>
        <v>0.78071309730408145</v>
      </c>
      <c r="E412" s="21"/>
      <c r="F412" s="44">
        <f>F398/F410</f>
        <v>0.71024650943768985</v>
      </c>
      <c r="G412" s="21"/>
      <c r="H412" s="44">
        <f>H398/H410</f>
        <v>0.84660267898439523</v>
      </c>
      <c r="I412" s="21"/>
      <c r="J412" s="44">
        <f>J398/J410</f>
        <v>0.70804320215288563</v>
      </c>
      <c r="K412" s="21"/>
      <c r="L412" s="44">
        <f>L398/L410</f>
        <v>0.78187416491488482</v>
      </c>
      <c r="M412" s="21"/>
      <c r="N412" s="44">
        <f>N398/N410</f>
        <v>0.79828390334596333</v>
      </c>
      <c r="O412" s="44"/>
      <c r="P412" s="89">
        <f>AVERAGE(D412,F412,H412,J412,L412,N412)</f>
        <v>0.77096059268998329</v>
      </c>
      <c r="Q412" s="89"/>
      <c r="R412" s="89"/>
      <c r="S412" s="20"/>
      <c r="T412" s="20" t="s">
        <v>65</v>
      </c>
      <c r="Z412" s="100"/>
    </row>
    <row r="413" spans="1:26">
      <c r="A413" s="20" t="s">
        <v>82</v>
      </c>
      <c r="C413" s="21"/>
      <c r="D413" s="44">
        <f>D399/D410</f>
        <v>0.87681693218067913</v>
      </c>
      <c r="E413" s="21"/>
      <c r="F413" s="44">
        <f>F399/F410</f>
        <v>0.77929108317289408</v>
      </c>
      <c r="G413" s="21"/>
      <c r="H413" s="44">
        <f>H399/H410</f>
        <v>0.90901067587640405</v>
      </c>
      <c r="I413" s="21"/>
      <c r="J413" s="44">
        <f>J399/J410</f>
        <v>0.7861086417583959</v>
      </c>
      <c r="K413" s="21"/>
      <c r="L413" s="44">
        <f>L399/L410</f>
        <v>0.87599845565755674</v>
      </c>
      <c r="M413" s="21"/>
      <c r="N413" s="44">
        <f>N399/N410</f>
        <v>0.86032277679846691</v>
      </c>
      <c r="O413" s="44"/>
      <c r="P413" s="89">
        <f>AVERAGE(D413,F413,H413,J413,L413,N413)</f>
        <v>0.84792476090739954</v>
      </c>
      <c r="Q413" s="89"/>
      <c r="R413" s="89"/>
      <c r="S413" s="20"/>
      <c r="T413" s="20" t="s">
        <v>82</v>
      </c>
      <c r="Z413" s="100"/>
    </row>
    <row r="414" spans="1:26">
      <c r="C414" s="21"/>
      <c r="G414" s="21"/>
      <c r="H414" s="21"/>
      <c r="I414" s="21"/>
      <c r="J414" s="21"/>
      <c r="K414" s="21"/>
      <c r="M414" s="21"/>
      <c r="Z414" s="100"/>
    </row>
    <row r="416" spans="1:26">
      <c r="D416" s="58" t="s">
        <v>109</v>
      </c>
      <c r="E416" s="57"/>
      <c r="F416" s="58" t="s">
        <v>109</v>
      </c>
      <c r="G416" s="57"/>
      <c r="H416" s="58" t="s">
        <v>109</v>
      </c>
      <c r="I416" s="57"/>
      <c r="J416" s="58" t="s">
        <v>109</v>
      </c>
      <c r="K416" s="57"/>
      <c r="L416" s="58" t="s">
        <v>109</v>
      </c>
      <c r="M416" s="57"/>
      <c r="N416" s="58" t="s">
        <v>109</v>
      </c>
    </row>
    <row r="417" spans="1:19">
      <c r="C417" s="50" t="s">
        <v>166</v>
      </c>
      <c r="D417" s="18"/>
      <c r="E417" s="50" t="s">
        <v>167</v>
      </c>
      <c r="F417" s="18"/>
      <c r="G417" s="50" t="s">
        <v>168</v>
      </c>
      <c r="H417" s="18"/>
      <c r="I417" s="50" t="s">
        <v>169</v>
      </c>
      <c r="J417" s="18"/>
      <c r="K417" s="50" t="s">
        <v>170</v>
      </c>
      <c r="L417" s="18"/>
      <c r="M417" s="18" t="s">
        <v>171</v>
      </c>
      <c r="N417" s="18"/>
    </row>
    <row r="418" spans="1:19">
      <c r="C418" s="21">
        <v>906842.22</v>
      </c>
      <c r="E418" s="21">
        <v>213176</v>
      </c>
      <c r="G418" s="21">
        <v>371387.36800000002</v>
      </c>
      <c r="H418" s="21"/>
      <c r="I418" s="21">
        <v>198739.24800000002</v>
      </c>
      <c r="J418" s="21"/>
      <c r="K418" s="21">
        <v>207249.29333333333</v>
      </c>
      <c r="M418" s="21">
        <v>184428.86000000002</v>
      </c>
    </row>
    <row r="419" spans="1:19">
      <c r="A419" s="118" t="s">
        <v>271</v>
      </c>
      <c r="C419" s="21">
        <v>579552.12</v>
      </c>
      <c r="D419" s="21">
        <f>C418+C419</f>
        <v>1486394.3399999999</v>
      </c>
      <c r="E419" s="21">
        <v>164700.96</v>
      </c>
      <c r="F419" s="21">
        <f>E418+E419</f>
        <v>377876.95999999996</v>
      </c>
      <c r="G419" s="21">
        <v>353861.23200000002</v>
      </c>
      <c r="H419" s="21">
        <f>G418+G419</f>
        <v>725248.60000000009</v>
      </c>
      <c r="I419" s="21">
        <v>125109.68400000001</v>
      </c>
      <c r="J419" s="21">
        <f>I418+I419</f>
        <v>323848.93200000003</v>
      </c>
      <c r="K419" s="21">
        <v>76300.639999999999</v>
      </c>
      <c r="L419" s="21">
        <f>K418+K419</f>
        <v>283549.93333333335</v>
      </c>
      <c r="M419" s="21">
        <v>53780.600000000006</v>
      </c>
      <c r="N419" s="21">
        <f>M418+M419</f>
        <v>238209.46000000002</v>
      </c>
    </row>
    <row r="420" spans="1:19">
      <c r="A420" s="20" t="s">
        <v>85</v>
      </c>
      <c r="C420" s="21">
        <v>184304.64000000001</v>
      </c>
      <c r="D420" s="21">
        <f>SUM(C418:C420)</f>
        <v>1670698.98</v>
      </c>
      <c r="E420" s="21">
        <v>153017.80000000002</v>
      </c>
      <c r="F420" s="21">
        <f>SUM(E418:E420)</f>
        <v>530894.76</v>
      </c>
      <c r="G420" s="21">
        <v>225246</v>
      </c>
      <c r="H420" s="21">
        <f>SUM(G418:G420)</f>
        <v>950494.60000000009</v>
      </c>
      <c r="I420" s="21">
        <v>117531.84000000003</v>
      </c>
      <c r="J420" s="21">
        <f>SUM(I418:I420)</f>
        <v>441380.77200000006</v>
      </c>
      <c r="K420" s="21">
        <v>42683.4</v>
      </c>
      <c r="L420" s="21">
        <f>SUM(K418:K420)</f>
        <v>326233.33333333337</v>
      </c>
      <c r="M420" s="21">
        <v>31612.14</v>
      </c>
      <c r="N420" s="21">
        <f>SUM(M418:M420)</f>
        <v>269821.60000000003</v>
      </c>
    </row>
    <row r="421" spans="1:19">
      <c r="A421" s="20" t="s">
        <v>63</v>
      </c>
      <c r="C421" s="21">
        <v>55219.923999999999</v>
      </c>
      <c r="D421" s="21">
        <f>SUM(C418:C421)</f>
        <v>1725918.9040000001</v>
      </c>
      <c r="E421" s="21">
        <v>121068.6</v>
      </c>
      <c r="F421" s="21">
        <f>SUM(E418:E421)</f>
        <v>651963.36</v>
      </c>
      <c r="G421" s="21">
        <v>160179.23200000002</v>
      </c>
      <c r="H421" s="21">
        <f>SUM(G418:G421)</f>
        <v>1110673.8320000002</v>
      </c>
      <c r="I421" s="21">
        <v>63393.344000000012</v>
      </c>
      <c r="J421" s="21">
        <f>SUM(I418:I421)</f>
        <v>504774.11600000004</v>
      </c>
      <c r="K421" s="21">
        <v>23604.520000000004</v>
      </c>
      <c r="L421" s="21">
        <f>SUM(K418:K421)</f>
        <v>349837.85333333339</v>
      </c>
      <c r="M421" s="21">
        <v>23838.800000000003</v>
      </c>
      <c r="N421" s="21">
        <f>SUM(M418:M421)</f>
        <v>293660.40000000002</v>
      </c>
      <c r="S421" s="20"/>
    </row>
    <row r="422" spans="1:19">
      <c r="A422" s="20" t="s">
        <v>86</v>
      </c>
      <c r="C422" s="21">
        <v>38831.760000000002</v>
      </c>
      <c r="D422" s="21">
        <f>SUM(C418:C422)</f>
        <v>1764750.6640000001</v>
      </c>
      <c r="E422" s="21">
        <v>59347.44</v>
      </c>
      <c r="F422" s="21">
        <f>SUM(E418:E422)</f>
        <v>711310.8</v>
      </c>
      <c r="G422" s="21">
        <v>112660</v>
      </c>
      <c r="H422" s="21">
        <f>SUM(G418:G422)</f>
        <v>1223333.8320000002</v>
      </c>
      <c r="I422" s="21">
        <v>16949.975999999999</v>
      </c>
      <c r="J422" s="21">
        <f>SUM(I418:I422)</f>
        <v>521724.09200000006</v>
      </c>
      <c r="K422" s="21">
        <v>18316.351999999999</v>
      </c>
      <c r="L422" s="21">
        <f>SUM(K418:K422)</f>
        <v>368154.2053333334</v>
      </c>
      <c r="M422" s="21">
        <v>11784.140000000001</v>
      </c>
      <c r="N422" s="21">
        <f>SUM(M418:M422)</f>
        <v>305444.54000000004</v>
      </c>
    </row>
    <row r="423" spans="1:19">
      <c r="C423" s="21">
        <v>28687.932000000001</v>
      </c>
      <c r="E423" s="21">
        <v>49370</v>
      </c>
      <c r="G423" s="21">
        <v>52704</v>
      </c>
      <c r="I423" s="21">
        <v>11507.740000000002</v>
      </c>
      <c r="K423" s="21">
        <v>16701.02</v>
      </c>
      <c r="M423" s="21">
        <v>5239.5920000000006</v>
      </c>
    </row>
    <row r="424" spans="1:19">
      <c r="C424" s="21">
        <v>25341.960000000003</v>
      </c>
      <c r="E424" s="21">
        <v>45291.920000000006</v>
      </c>
      <c r="G424" s="21">
        <v>32518.112000000001</v>
      </c>
      <c r="I424" s="21">
        <v>8389.5120000000006</v>
      </c>
      <c r="K424" s="21">
        <v>4612.2480000000005</v>
      </c>
      <c r="M424" s="21">
        <v>2928</v>
      </c>
    </row>
    <row r="425" spans="1:19">
      <c r="C425" s="21">
        <v>24175.520000000004</v>
      </c>
      <c r="E425" s="21">
        <v>26498.440000000002</v>
      </c>
      <c r="G425" s="21">
        <v>20000</v>
      </c>
      <c r="I425" s="21">
        <v>7374.2400000000016</v>
      </c>
      <c r="K425" s="21">
        <v>3899.6959999999999</v>
      </c>
      <c r="M425" s="21">
        <v>0</v>
      </c>
    </row>
    <row r="426" spans="1:19">
      <c r="C426" s="21">
        <v>24000</v>
      </c>
      <c r="E426" s="21">
        <v>20645.800000000003</v>
      </c>
      <c r="G426" s="21">
        <v>4287.9920000000002</v>
      </c>
      <c r="I426" s="21">
        <v>5701.880000000001</v>
      </c>
      <c r="K426" s="21">
        <v>2552.2200000000003</v>
      </c>
      <c r="M426" s="21">
        <v>0</v>
      </c>
    </row>
    <row r="427" spans="1:19">
      <c r="C427" s="21">
        <v>0</v>
      </c>
      <c r="E427" s="21">
        <v>18953.28</v>
      </c>
      <c r="G427" s="21">
        <v>2120.6560000000004</v>
      </c>
      <c r="I427" s="21">
        <v>3323.56</v>
      </c>
      <c r="K427" s="21">
        <v>2536.2600000000002</v>
      </c>
      <c r="M427" s="21">
        <v>0</v>
      </c>
    </row>
    <row r="428" spans="1:19">
      <c r="C428">
        <v>0</v>
      </c>
      <c r="E428" s="21">
        <v>9953.0800000000017</v>
      </c>
      <c r="G428" s="21">
        <v>0</v>
      </c>
      <c r="I428" s="21">
        <v>1581.6400000000003</v>
      </c>
      <c r="K428" s="21">
        <v>1514.0800000000002</v>
      </c>
      <c r="M428" s="21">
        <v>0</v>
      </c>
    </row>
    <row r="429" spans="1:19">
      <c r="C429" s="21">
        <v>0</v>
      </c>
      <c r="E429" s="21">
        <v>6052.9600000000009</v>
      </c>
      <c r="G429" s="21">
        <v>0</v>
      </c>
      <c r="I429" s="21">
        <v>0</v>
      </c>
      <c r="K429" s="21">
        <v>0</v>
      </c>
      <c r="M429" s="21">
        <v>0</v>
      </c>
    </row>
    <row r="430" spans="1:19">
      <c r="C430" s="21">
        <v>0</v>
      </c>
      <c r="E430">
        <v>2000</v>
      </c>
      <c r="G430" s="21">
        <v>0</v>
      </c>
      <c r="I430" s="21">
        <v>0</v>
      </c>
      <c r="K430" s="21">
        <v>0</v>
      </c>
      <c r="M430" s="21">
        <v>0</v>
      </c>
      <c r="P430" s="50" t="s">
        <v>178</v>
      </c>
      <c r="Q430" s="50"/>
      <c r="R430" s="50"/>
    </row>
    <row r="431" spans="1:19">
      <c r="C431" s="21">
        <v>0</v>
      </c>
      <c r="E431" s="21">
        <v>0</v>
      </c>
      <c r="G431" s="21">
        <v>0</v>
      </c>
      <c r="I431" s="21">
        <v>0</v>
      </c>
      <c r="K431" s="21">
        <v>0</v>
      </c>
      <c r="M431" s="21">
        <v>0</v>
      </c>
      <c r="P431" s="87" t="s">
        <v>109</v>
      </c>
      <c r="Q431" s="87"/>
      <c r="R431" s="87"/>
    </row>
    <row r="432" spans="1:19">
      <c r="C432" s="21">
        <v>0</v>
      </c>
      <c r="E432" s="21">
        <v>0</v>
      </c>
      <c r="G432" s="21">
        <v>0</v>
      </c>
      <c r="I432" s="21">
        <v>0</v>
      </c>
      <c r="K432" s="21">
        <v>0</v>
      </c>
      <c r="M432" s="21"/>
      <c r="O432" s="20"/>
      <c r="P432" s="50" t="s">
        <v>91</v>
      </c>
      <c r="Q432" s="50"/>
      <c r="R432" s="50"/>
    </row>
    <row r="433" spans="1:26">
      <c r="A433" s="20" t="s">
        <v>64</v>
      </c>
      <c r="C433" s="21"/>
      <c r="D433" s="21">
        <f>SUM(C418:C431)</f>
        <v>1866956.0760000001</v>
      </c>
      <c r="E433" s="21">
        <v>0</v>
      </c>
      <c r="F433" s="21">
        <f>SUM(E418:E433)</f>
        <v>890076.28000000014</v>
      </c>
      <c r="G433" s="21">
        <v>0</v>
      </c>
      <c r="H433" s="21">
        <f>SUM(G418:G435)</f>
        <v>1334964.5920000002</v>
      </c>
      <c r="I433" s="21">
        <v>0</v>
      </c>
      <c r="J433" s="21">
        <f>SUM(I418:I432)</f>
        <v>559602.66400000011</v>
      </c>
      <c r="K433" s="21">
        <v>0</v>
      </c>
      <c r="L433" s="21">
        <f>SUM(K418:K433)</f>
        <v>399969.72933333344</v>
      </c>
      <c r="M433" s="21"/>
      <c r="N433" s="21">
        <f>SUM(M418:M433)</f>
        <v>313612.13200000004</v>
      </c>
      <c r="O433" s="21"/>
      <c r="P433" s="88">
        <f>AVERAGE(D433,F433,H433,J433,L433,N433)</f>
        <v>894196.91222222243</v>
      </c>
      <c r="Q433" s="88"/>
      <c r="R433" s="88"/>
      <c r="S433" s="20"/>
    </row>
    <row r="434" spans="1:26">
      <c r="A434" s="118" t="s">
        <v>270</v>
      </c>
      <c r="C434" s="21"/>
      <c r="D434" s="44">
        <f>D419/D433</f>
        <v>0.79615924504482005</v>
      </c>
      <c r="E434">
        <v>0</v>
      </c>
      <c r="F434" s="44">
        <f>F419/F433</f>
        <v>0.4245444671326371</v>
      </c>
      <c r="G434" s="21"/>
      <c r="H434" s="44">
        <f>H419/H433</f>
        <v>0.54327178739134674</v>
      </c>
      <c r="I434" s="21"/>
      <c r="J434" s="44">
        <f>J419/J433</f>
        <v>0.57871227718101059</v>
      </c>
      <c r="K434" s="21">
        <v>0</v>
      </c>
      <c r="L434" s="44">
        <f>L419/L433</f>
        <v>0.70892848267780728</v>
      </c>
      <c r="M434" s="21"/>
      <c r="N434" s="44">
        <f>N419/N433</f>
        <v>0.75956710756330048</v>
      </c>
      <c r="O434" s="21"/>
      <c r="P434" s="89">
        <f>AVERAGE(D434,F434,H434,J434,L434,N434)</f>
        <v>0.63519722783182042</v>
      </c>
      <c r="Q434" s="89"/>
      <c r="R434" s="89"/>
      <c r="S434" s="20"/>
    </row>
    <row r="435" spans="1:26">
      <c r="A435" s="20" t="s">
        <v>83</v>
      </c>
      <c r="C435" s="21"/>
      <c r="D435" s="138">
        <f>D420/D433</f>
        <v>0.89487856810188815</v>
      </c>
      <c r="F435" s="138">
        <f>F420/F433</f>
        <v>0.59645984499216176</v>
      </c>
      <c r="G435" s="21"/>
      <c r="H435" s="138">
        <f>H420/H433</f>
        <v>0.71199985804567312</v>
      </c>
      <c r="I435" s="21"/>
      <c r="J435" s="138">
        <f>J420/J433</f>
        <v>0.78873958326974647</v>
      </c>
      <c r="L435" s="138">
        <f>L420/L433</f>
        <v>0.81564505863255365</v>
      </c>
      <c r="M435" s="21"/>
      <c r="N435" s="138">
        <f>N420/N433</f>
        <v>0.86036722584443892</v>
      </c>
      <c r="O435" s="44"/>
      <c r="P435" s="89">
        <f>AVERAGE(D435,F435,H435,J435,L435,N435)</f>
        <v>0.77801502314774373</v>
      </c>
      <c r="Q435" s="89"/>
      <c r="R435" s="89"/>
      <c r="S435" s="20"/>
      <c r="T435" s="20" t="s">
        <v>83</v>
      </c>
    </row>
    <row r="436" spans="1:26">
      <c r="A436" s="20" t="s">
        <v>65</v>
      </c>
      <c r="C436" s="21"/>
      <c r="D436" s="44">
        <f>D421/D433</f>
        <v>0.92445608452547223</v>
      </c>
      <c r="E436" s="21"/>
      <c r="F436" s="44">
        <f>F421/F433</f>
        <v>0.73248032179893607</v>
      </c>
      <c r="G436" s="21"/>
      <c r="H436" s="44">
        <f>H421/H433</f>
        <v>0.83198748390474164</v>
      </c>
      <c r="I436" s="21"/>
      <c r="J436" s="44">
        <f>J421/J433</f>
        <v>0.9020223606369393</v>
      </c>
      <c r="K436" s="21"/>
      <c r="L436" s="44">
        <f>L421/L433</f>
        <v>0.87466082474901419</v>
      </c>
      <c r="M436" s="21"/>
      <c r="N436" s="44">
        <f>N421/N433</f>
        <v>0.93638086679631383</v>
      </c>
      <c r="O436" s="44"/>
      <c r="P436" s="89">
        <f>AVERAGE(D436,F436,H436,J436,L436,N436)</f>
        <v>0.86699799040190284</v>
      </c>
      <c r="Q436" s="89"/>
      <c r="R436" s="89"/>
      <c r="S436" s="20"/>
      <c r="T436" s="20" t="s">
        <v>65</v>
      </c>
      <c r="Z436" s="100"/>
    </row>
    <row r="437" spans="1:26">
      <c r="A437" s="20" t="s">
        <v>82</v>
      </c>
      <c r="C437" s="21"/>
      <c r="D437" s="44">
        <f>D422/D433</f>
        <v>0.94525558832697465</v>
      </c>
      <c r="E437" s="21"/>
      <c r="F437" s="44">
        <f>F422/F433</f>
        <v>0.79915712392650207</v>
      </c>
      <c r="G437" s="21"/>
      <c r="H437" s="44">
        <f>H422/H433</f>
        <v>0.91637923532281973</v>
      </c>
      <c r="I437" s="21"/>
      <c r="J437" s="44">
        <f>J422/J433</f>
        <v>0.93231166605025306</v>
      </c>
      <c r="K437" s="21"/>
      <c r="L437" s="44">
        <f>L422/L433</f>
        <v>0.92045517031243862</v>
      </c>
      <c r="M437" s="21"/>
      <c r="N437" s="44">
        <f>N422/N433</f>
        <v>0.9739563901819972</v>
      </c>
      <c r="O437" s="44"/>
      <c r="P437" s="89">
        <f>AVERAGE(D437,F437,H437,J437,L437,N437)</f>
        <v>0.91458586235349759</v>
      </c>
      <c r="Q437" s="89"/>
      <c r="R437" s="89"/>
      <c r="S437" s="20"/>
      <c r="T437" s="20" t="s">
        <v>82</v>
      </c>
      <c r="Z437" s="100"/>
    </row>
    <row r="438" spans="1:26">
      <c r="C438" s="21"/>
      <c r="G438" s="21"/>
      <c r="H438" s="21"/>
      <c r="I438" s="21"/>
      <c r="J438" s="21"/>
      <c r="K438" s="21"/>
      <c r="M438" s="21"/>
      <c r="Z438" s="100"/>
    </row>
    <row r="440" spans="1:26">
      <c r="D440" s="58" t="s">
        <v>109</v>
      </c>
      <c r="E440" s="57"/>
      <c r="F440" s="58" t="s">
        <v>109</v>
      </c>
      <c r="G440" s="57"/>
      <c r="H440" s="58" t="s">
        <v>109</v>
      </c>
      <c r="I440" s="57"/>
      <c r="J440" s="58" t="s">
        <v>109</v>
      </c>
      <c r="K440" s="57"/>
      <c r="L440" s="58" t="s">
        <v>109</v>
      </c>
      <c r="M440" s="57"/>
      <c r="N440" s="58" t="s">
        <v>109</v>
      </c>
      <c r="P440" s="50" t="s">
        <v>192</v>
      </c>
      <c r="Q440" s="50"/>
      <c r="R440" s="50"/>
    </row>
    <row r="441" spans="1:26">
      <c r="C441" s="20" t="s">
        <v>84</v>
      </c>
      <c r="E441" s="20" t="s">
        <v>87</v>
      </c>
      <c r="G441" s="20" t="s">
        <v>88</v>
      </c>
      <c r="I441" s="20" t="s">
        <v>89</v>
      </c>
      <c r="K441" s="20" t="s">
        <v>90</v>
      </c>
      <c r="M441" t="s">
        <v>104</v>
      </c>
    </row>
    <row r="442" spans="1:26">
      <c r="C442" s="13">
        <v>635912.82000000007</v>
      </c>
      <c r="D442" s="21"/>
      <c r="E442" s="21">
        <v>483134.4</v>
      </c>
      <c r="F442" s="21"/>
      <c r="G442" s="21">
        <v>470992.34400000004</v>
      </c>
      <c r="H442" s="21"/>
      <c r="I442" s="21">
        <v>212690.17199999999</v>
      </c>
      <c r="J442" s="21"/>
      <c r="K442" s="21">
        <v>484388.39333333331</v>
      </c>
      <c r="M442" s="21">
        <v>174745.64800000002</v>
      </c>
    </row>
    <row r="443" spans="1:26">
      <c r="C443" s="13">
        <v>534779.28</v>
      </c>
      <c r="D443" s="21"/>
      <c r="E443" s="21">
        <v>194663.2</v>
      </c>
      <c r="F443" s="21"/>
      <c r="G443" s="21">
        <v>468346.42400000006</v>
      </c>
      <c r="H443" s="21"/>
      <c r="I443" s="21">
        <v>118793.44</v>
      </c>
      <c r="J443" s="21"/>
      <c r="K443" s="21">
        <v>161600</v>
      </c>
      <c r="M443" s="21">
        <v>101062.728</v>
      </c>
    </row>
    <row r="444" spans="1:26">
      <c r="A444" s="20" t="s">
        <v>85</v>
      </c>
      <c r="C444" s="13">
        <v>456127.2</v>
      </c>
      <c r="D444" s="21">
        <f>SUM(C442:C444)</f>
        <v>1626819.3</v>
      </c>
      <c r="E444" s="21">
        <v>192063.56400000001</v>
      </c>
      <c r="F444" s="21">
        <f>SUM(E442:E444)</f>
        <v>869861.16400000011</v>
      </c>
      <c r="G444" s="21">
        <v>109594.296</v>
      </c>
      <c r="H444" s="21">
        <f>SUM(G442:G444)</f>
        <v>1048933.0640000002</v>
      </c>
      <c r="I444" s="21">
        <v>46433.64</v>
      </c>
      <c r="J444" s="21">
        <f>SUM(I442:I444)</f>
        <v>377917.25199999998</v>
      </c>
      <c r="K444" s="21">
        <v>122511</v>
      </c>
      <c r="L444" s="21">
        <f>SUM(K442:K444)</f>
        <v>768499.39333333331</v>
      </c>
      <c r="M444" s="21">
        <v>71134.98</v>
      </c>
      <c r="N444" s="21">
        <f>SUM(M442:M444)</f>
        <v>346943.35600000003</v>
      </c>
    </row>
    <row r="445" spans="1:26">
      <c r="A445" s="20" t="s">
        <v>63</v>
      </c>
      <c r="C445" s="13">
        <v>261239.97999999998</v>
      </c>
      <c r="D445" s="21">
        <f>SUM(C442:C445)</f>
        <v>1888059.28</v>
      </c>
      <c r="E445" s="21">
        <v>142791.128</v>
      </c>
      <c r="F445" s="21">
        <f>SUM(E442:E445)</f>
        <v>1012652.2920000001</v>
      </c>
      <c r="G445" s="21">
        <v>94544</v>
      </c>
      <c r="H445" s="21">
        <f>SUM(G442:G445)</f>
        <v>1143477.0640000002</v>
      </c>
      <c r="I445" s="21">
        <v>37781.408000000003</v>
      </c>
      <c r="J445" s="21">
        <f>SUM(I442:I445)</f>
        <v>415698.66</v>
      </c>
      <c r="K445" s="21">
        <v>45862.080000000009</v>
      </c>
      <c r="L445" s="21">
        <f>SUM(K442:K445)</f>
        <v>814361.47333333327</v>
      </c>
      <c r="M445" s="21">
        <v>53684.76</v>
      </c>
      <c r="N445" s="21">
        <f>SUM(M442:M445)</f>
        <v>400628.11600000004</v>
      </c>
    </row>
    <row r="446" spans="1:26">
      <c r="A446" s="20" t="s">
        <v>86</v>
      </c>
      <c r="C446" s="13">
        <v>194081.36</v>
      </c>
      <c r="D446" s="21">
        <f>SUM(C442:C446)</f>
        <v>2082140.6400000001</v>
      </c>
      <c r="E446" s="21">
        <v>90530.984000000011</v>
      </c>
      <c r="F446" s="21">
        <f>SUM(E442:E446)</f>
        <v>1103183.2760000001</v>
      </c>
      <c r="G446" s="21">
        <v>82153.847999999998</v>
      </c>
      <c r="H446" s="21">
        <f>SUM(G442:G446)</f>
        <v>1225630.9120000002</v>
      </c>
      <c r="I446" s="21">
        <v>37243.360000000008</v>
      </c>
      <c r="J446" s="21">
        <f>SUM(I442:I446)</f>
        <v>452942.01999999996</v>
      </c>
      <c r="K446" s="21">
        <v>23623.56</v>
      </c>
      <c r="L446" s="21">
        <f>SUM(K442:K446)</f>
        <v>837985.03333333333</v>
      </c>
      <c r="M446" s="21">
        <v>4514.9040000000005</v>
      </c>
      <c r="N446" s="21">
        <f>SUM(M442:M446)</f>
        <v>405143.02</v>
      </c>
    </row>
    <row r="447" spans="1:26">
      <c r="A447" s="20" t="s">
        <v>190</v>
      </c>
      <c r="C447" s="13">
        <v>172382.568</v>
      </c>
      <c r="D447" s="21">
        <f>SUM(C442:C447)</f>
        <v>2254523.2080000001</v>
      </c>
      <c r="E447" s="21">
        <v>32372.448</v>
      </c>
      <c r="F447" s="21">
        <f>SUM(E442:E447)</f>
        <v>1135555.7240000002</v>
      </c>
      <c r="G447" s="21">
        <v>33816.608</v>
      </c>
      <c r="H447" s="21">
        <f>SUM(G442:G447)</f>
        <v>1259447.5200000003</v>
      </c>
      <c r="I447" s="21">
        <v>8456.8080000000009</v>
      </c>
      <c r="J447" s="21">
        <f>SUM(I442:I447)</f>
        <v>461398.82799999998</v>
      </c>
      <c r="K447" s="21">
        <v>23003</v>
      </c>
      <c r="L447" s="21">
        <f>SUM(K442:K447)</f>
        <v>860988.03333333333</v>
      </c>
      <c r="M447" s="21">
        <v>0</v>
      </c>
      <c r="N447" s="21">
        <f>SUM(M442:M447)</f>
        <v>405143.02</v>
      </c>
    </row>
    <row r="448" spans="1:26">
      <c r="C448" s="13">
        <v>103277.68000000001</v>
      </c>
      <c r="E448" s="21">
        <v>30958.424000000006</v>
      </c>
      <c r="G448" s="21">
        <v>33677.228000000003</v>
      </c>
      <c r="I448" s="21">
        <v>2929.6320000000001</v>
      </c>
      <c r="K448" s="21">
        <v>22882.880000000005</v>
      </c>
      <c r="M448" s="21">
        <v>0</v>
      </c>
    </row>
    <row r="449" spans="1:26">
      <c r="C449" s="13">
        <v>95529.852000000014</v>
      </c>
      <c r="E449" s="21">
        <v>23832.324000000001</v>
      </c>
      <c r="G449" s="21">
        <v>19200</v>
      </c>
      <c r="I449" s="21">
        <v>2346.2399999999998</v>
      </c>
      <c r="K449" s="21">
        <v>9877.760000000002</v>
      </c>
      <c r="M449" s="21">
        <v>0</v>
      </c>
    </row>
    <row r="450" spans="1:26">
      <c r="C450" s="13">
        <v>88104.160000000018</v>
      </c>
      <c r="E450" s="21">
        <v>21822.320000000003</v>
      </c>
      <c r="G450" s="21">
        <v>6564</v>
      </c>
      <c r="I450" s="21">
        <v>0</v>
      </c>
      <c r="K450" s="21">
        <v>1959.912</v>
      </c>
      <c r="M450" s="21">
        <v>0</v>
      </c>
    </row>
    <row r="451" spans="1:26">
      <c r="C451" s="46">
        <v>40920.04</v>
      </c>
      <c r="E451" s="21">
        <v>7611.6160000000009</v>
      </c>
      <c r="G451" s="21">
        <v>6426.7439999999997</v>
      </c>
      <c r="I451" s="21">
        <v>0</v>
      </c>
      <c r="K451" s="21">
        <v>565.44000000000005</v>
      </c>
      <c r="M451" s="21">
        <v>0</v>
      </c>
    </row>
    <row r="452" spans="1:26">
      <c r="C452" s="13">
        <v>17942.400000000001</v>
      </c>
      <c r="E452" s="21">
        <v>5195.68</v>
      </c>
      <c r="G452" s="21">
        <v>6196.648000000001</v>
      </c>
      <c r="I452" s="21">
        <v>0</v>
      </c>
      <c r="K452" s="21">
        <v>0</v>
      </c>
      <c r="M452" s="21">
        <v>0</v>
      </c>
    </row>
    <row r="453" spans="1:26">
      <c r="C453" s="13">
        <v>17595.7</v>
      </c>
      <c r="E453" s="21">
        <v>4509.2960000000003</v>
      </c>
      <c r="G453" s="21">
        <v>4143.920000000001</v>
      </c>
      <c r="I453" s="21">
        <v>0</v>
      </c>
      <c r="K453" s="21">
        <v>0</v>
      </c>
      <c r="M453" s="21">
        <v>0</v>
      </c>
    </row>
    <row r="454" spans="1:26">
      <c r="C454" s="13">
        <v>11545.420000000002</v>
      </c>
      <c r="E454" s="21">
        <v>745.66000000000008</v>
      </c>
      <c r="G454" s="21">
        <v>2542.3600000000006</v>
      </c>
      <c r="I454" s="21">
        <v>0</v>
      </c>
      <c r="K454" s="21">
        <v>0</v>
      </c>
      <c r="M454" s="21">
        <v>0</v>
      </c>
    </row>
    <row r="455" spans="1:26">
      <c r="C455" s="13">
        <v>2584.1759999999999</v>
      </c>
      <c r="E455" s="21">
        <v>0</v>
      </c>
      <c r="G455" s="21">
        <v>1362.0400000000002</v>
      </c>
      <c r="I455" s="21">
        <v>0</v>
      </c>
      <c r="K455" s="21">
        <v>0</v>
      </c>
      <c r="M455" s="21">
        <v>0</v>
      </c>
      <c r="P455" s="87" t="s">
        <v>109</v>
      </c>
      <c r="Q455" s="87"/>
      <c r="R455" s="87"/>
    </row>
    <row r="456" spans="1:26">
      <c r="C456" s="13">
        <v>0</v>
      </c>
      <c r="E456" s="21">
        <v>0</v>
      </c>
      <c r="G456" s="21">
        <v>0</v>
      </c>
      <c r="I456" s="21">
        <v>0</v>
      </c>
      <c r="K456" s="21">
        <v>0</v>
      </c>
      <c r="M456" s="21"/>
      <c r="O456" s="20"/>
      <c r="P456" s="50" t="s">
        <v>106</v>
      </c>
      <c r="Q456" s="50"/>
      <c r="R456" s="50"/>
    </row>
    <row r="457" spans="1:26">
      <c r="A457" s="20" t="s">
        <v>64</v>
      </c>
      <c r="C457" s="13"/>
      <c r="D457" s="21">
        <f>SUM(C442:C456)</f>
        <v>2632022.6360000004</v>
      </c>
      <c r="E457" s="21">
        <v>0</v>
      </c>
      <c r="F457" s="21">
        <f>SUM(E442:E458)</f>
        <v>1230231.0440000002</v>
      </c>
      <c r="G457" s="21">
        <v>0</v>
      </c>
      <c r="H457" s="21">
        <f>SUM(G442:G459)</f>
        <v>1339560.4600000002</v>
      </c>
      <c r="I457" s="21"/>
      <c r="J457" s="21">
        <f>SUM(I442:I456)</f>
        <v>466674.69999999995</v>
      </c>
      <c r="K457" s="21">
        <v>0</v>
      </c>
      <c r="L457" s="21">
        <f>SUM(K442:K457)</f>
        <v>896274.02533333329</v>
      </c>
      <c r="M457" s="21"/>
      <c r="N457" s="21">
        <f>SUM(M442:M457)</f>
        <v>405143.02</v>
      </c>
      <c r="O457" s="21"/>
      <c r="P457" s="88">
        <f>AVERAGE(D457,F457,H457,J457,L457, N457)</f>
        <v>1161650.9808888889</v>
      </c>
      <c r="Q457" s="88"/>
      <c r="R457" s="88"/>
      <c r="T457" s="20" t="s">
        <v>64</v>
      </c>
    </row>
    <row r="458" spans="1:26">
      <c r="A458" s="20" t="s">
        <v>83</v>
      </c>
      <c r="C458" s="13"/>
      <c r="D458" s="138">
        <f>D444/D457</f>
        <v>0.61808712347259609</v>
      </c>
      <c r="E458" s="21">
        <v>0</v>
      </c>
      <c r="F458" s="138">
        <f>F444/F457</f>
        <v>0.70707138162577532</v>
      </c>
      <c r="G458" s="21">
        <v>0</v>
      </c>
      <c r="H458" s="138">
        <f>H444/H457</f>
        <v>0.78304271835554184</v>
      </c>
      <c r="I458" s="21"/>
      <c r="J458" s="138">
        <f>J444/J457</f>
        <v>0.80980874257807423</v>
      </c>
      <c r="K458" s="21"/>
      <c r="L458" s="138">
        <f>L444/L457</f>
        <v>0.85743798393300608</v>
      </c>
      <c r="M458" s="21"/>
      <c r="N458" s="138">
        <f>N444/N457</f>
        <v>0.8563478546415535</v>
      </c>
      <c r="O458" s="44"/>
      <c r="P458" s="89">
        <f t="shared" ref="P458:P461" si="41">AVERAGE(D458,F458,H458,J458,L458, N458)</f>
        <v>0.77196596743442447</v>
      </c>
      <c r="Q458" s="89"/>
      <c r="R458" s="89"/>
      <c r="T458" s="20" t="s">
        <v>83</v>
      </c>
      <c r="Z458" s="100"/>
    </row>
    <row r="459" spans="1:26">
      <c r="A459" s="20" t="s">
        <v>65</v>
      </c>
      <c r="C459" s="13"/>
      <c r="D459" s="44">
        <f>D445/D457</f>
        <v>0.71734158140424131</v>
      </c>
      <c r="E459" s="21"/>
      <c r="F459" s="44">
        <f>F445/F457</f>
        <v>0.82313992720216211</v>
      </c>
      <c r="G459" s="21">
        <v>0</v>
      </c>
      <c r="H459" s="44">
        <f>H445/H457</f>
        <v>0.85362109299642963</v>
      </c>
      <c r="I459" s="21"/>
      <c r="J459" s="44">
        <f>J445/J457</f>
        <v>0.89076750893073919</v>
      </c>
      <c r="K459" s="21"/>
      <c r="L459" s="44">
        <f>L445/L457</f>
        <v>0.90860769174970135</v>
      </c>
      <c r="M459" s="21"/>
      <c r="N459" s="44">
        <f>N445/N457</f>
        <v>0.98885602422571672</v>
      </c>
      <c r="O459" s="44"/>
      <c r="P459" s="89">
        <f t="shared" si="41"/>
        <v>0.863722304418165</v>
      </c>
      <c r="Q459" s="89"/>
      <c r="R459" s="89"/>
      <c r="T459" s="20" t="s">
        <v>65</v>
      </c>
      <c r="Z459" s="100"/>
    </row>
    <row r="460" spans="1:26">
      <c r="A460" s="20" t="s">
        <v>82</v>
      </c>
      <c r="C460" s="13"/>
      <c r="D460" s="44">
        <f>D446/D457</f>
        <v>0.79108006577189627</v>
      </c>
      <c r="E460" s="21"/>
      <c r="F460" s="44">
        <f>F446/F457</f>
        <v>0.89672853028735622</v>
      </c>
      <c r="G460" s="21"/>
      <c r="H460" s="44">
        <f>H446/H457</f>
        <v>0.91495005160125442</v>
      </c>
      <c r="I460" s="21"/>
      <c r="J460" s="44">
        <f>J446/J457</f>
        <v>0.9705733351304453</v>
      </c>
      <c r="K460" s="21"/>
      <c r="L460" s="44">
        <f>L446/L457</f>
        <v>0.93496521113805375</v>
      </c>
      <c r="M460" s="21"/>
      <c r="N460" s="44">
        <f>N446/N457</f>
        <v>1</v>
      </c>
      <c r="O460" s="44"/>
      <c r="P460" s="89">
        <f t="shared" si="41"/>
        <v>0.91804953232150099</v>
      </c>
      <c r="Q460" s="89"/>
      <c r="R460" s="89"/>
      <c r="T460" s="20" t="s">
        <v>82</v>
      </c>
      <c r="Z460" s="100"/>
    </row>
    <row r="461" spans="1:26">
      <c r="A461" s="20" t="s">
        <v>191</v>
      </c>
      <c r="C461" s="13"/>
      <c r="D461" s="44">
        <f>D447/D457</f>
        <v>0.85657439915725697</v>
      </c>
      <c r="E461" s="21"/>
      <c r="F461" s="44">
        <f>F447/F457</f>
        <v>0.92304265084047088</v>
      </c>
      <c r="G461" s="21"/>
      <c r="H461" s="44">
        <f>H447/H457</f>
        <v>0.9401946068190159</v>
      </c>
      <c r="I461" s="21"/>
      <c r="J461" s="44">
        <f>J447/J457</f>
        <v>0.98869475461172429</v>
      </c>
      <c r="K461" s="21"/>
      <c r="L461" s="44">
        <f>L447/L457</f>
        <v>0.96063035299179089</v>
      </c>
      <c r="M461" s="21"/>
      <c r="N461" s="44">
        <f>N447/N457</f>
        <v>1</v>
      </c>
      <c r="O461" s="44"/>
      <c r="P461" s="89">
        <f t="shared" si="41"/>
        <v>0.94485612740337643</v>
      </c>
      <c r="Q461" s="89"/>
      <c r="R461" s="89"/>
      <c r="T461" s="20"/>
      <c r="Z461" s="100"/>
    </row>
    <row r="462" spans="1:26">
      <c r="C462" s="21"/>
      <c r="D462" s="21"/>
      <c r="E462" s="21"/>
      <c r="F462" s="21"/>
      <c r="G462" s="21"/>
      <c r="H462" s="21"/>
      <c r="I462" s="21"/>
      <c r="J462" s="21"/>
      <c r="K462" s="21"/>
      <c r="Z462" s="100"/>
    </row>
    <row r="463" spans="1:26">
      <c r="D463" s="58" t="s">
        <v>109</v>
      </c>
      <c r="E463" s="57"/>
      <c r="F463" s="58" t="s">
        <v>109</v>
      </c>
      <c r="G463" s="57"/>
      <c r="H463" s="58" t="s">
        <v>109</v>
      </c>
      <c r="I463" s="57"/>
      <c r="J463" s="58" t="s">
        <v>109</v>
      </c>
      <c r="K463" s="57"/>
      <c r="L463" s="58" t="s">
        <v>109</v>
      </c>
      <c r="M463" s="57"/>
      <c r="N463" s="58" t="s">
        <v>109</v>
      </c>
    </row>
    <row r="464" spans="1:26">
      <c r="C464" s="50" t="s">
        <v>81</v>
      </c>
      <c r="E464" s="50" t="s">
        <v>62</v>
      </c>
      <c r="G464" s="20" t="s">
        <v>92</v>
      </c>
      <c r="I464" s="20" t="s">
        <v>93</v>
      </c>
      <c r="K464" s="20" t="s">
        <v>94</v>
      </c>
      <c r="M464" t="s">
        <v>105</v>
      </c>
    </row>
    <row r="465" spans="1:18">
      <c r="C465" s="21">
        <v>996800</v>
      </c>
      <c r="E465" s="21">
        <v>795570</v>
      </c>
      <c r="G465" s="21">
        <v>677802.38400000008</v>
      </c>
      <c r="H465" s="21"/>
      <c r="I465" s="21">
        <v>414977.63199999998</v>
      </c>
      <c r="J465" s="21"/>
      <c r="K465" s="21">
        <v>204932.94000000003</v>
      </c>
      <c r="M465" s="21">
        <v>151443.42666666667</v>
      </c>
    </row>
    <row r="466" spans="1:18">
      <c r="C466" s="21">
        <v>888788.8</v>
      </c>
      <c r="E466" s="21">
        <v>336199.5</v>
      </c>
      <c r="G466" s="21">
        <v>213324</v>
      </c>
      <c r="H466" s="21"/>
      <c r="I466" s="21">
        <v>97568.767999999996</v>
      </c>
      <c r="J466" s="21"/>
      <c r="K466" s="21">
        <v>181694.94000000003</v>
      </c>
      <c r="M466" s="21">
        <v>110489.58000000002</v>
      </c>
    </row>
    <row r="467" spans="1:18">
      <c r="A467" s="20" t="s">
        <v>85</v>
      </c>
      <c r="C467" s="21">
        <v>789991.12000000011</v>
      </c>
      <c r="D467" s="21">
        <f>SUM(C465:C467)</f>
        <v>2675579.92</v>
      </c>
      <c r="E467" s="21">
        <v>323782.20400000003</v>
      </c>
      <c r="F467" s="21">
        <f>SUM(E465:E467)</f>
        <v>1455551.7039999999</v>
      </c>
      <c r="G467" s="21">
        <v>163363.42400000003</v>
      </c>
      <c r="H467" s="21">
        <f>SUM(G465:G467)</f>
        <v>1054489.8080000002</v>
      </c>
      <c r="I467" s="21">
        <v>88394.880000000005</v>
      </c>
      <c r="J467" s="21">
        <f>SUM(I465:I467)</f>
        <v>600941.28</v>
      </c>
      <c r="K467" s="21">
        <v>65426.928000000007</v>
      </c>
      <c r="L467" s="21">
        <f>SUM(K465:K467)</f>
        <v>452054.80800000008</v>
      </c>
      <c r="M467" s="21">
        <v>83727.744000000006</v>
      </c>
      <c r="N467" s="21">
        <f>SUM(M465:M467)</f>
        <v>345660.75066666666</v>
      </c>
    </row>
    <row r="468" spans="1:18">
      <c r="A468" s="20" t="s">
        <v>63</v>
      </c>
      <c r="C468" s="21">
        <v>570724.79200000002</v>
      </c>
      <c r="D468" s="21">
        <f>SUM(C465:C468)</f>
        <v>3246304.7119999998</v>
      </c>
      <c r="E468" s="21">
        <v>172030.30000000002</v>
      </c>
      <c r="F468" s="21">
        <f>SUM(E465:E468)</f>
        <v>1627582.004</v>
      </c>
      <c r="G468" s="21">
        <v>74205.216</v>
      </c>
      <c r="H468" s="21">
        <f>SUM(G465:G468)</f>
        <v>1128695.0240000002</v>
      </c>
      <c r="I468" s="21">
        <v>36940.896000000001</v>
      </c>
      <c r="J468" s="21">
        <f>SUM(I465:I468)</f>
        <v>637882.17599999998</v>
      </c>
      <c r="K468" s="21">
        <v>38724.576000000001</v>
      </c>
      <c r="L468" s="21">
        <f>SUM(K465:K468)</f>
        <v>490779.38400000008</v>
      </c>
      <c r="M468" s="21">
        <v>23647.960000000003</v>
      </c>
      <c r="N468" s="21">
        <f>SUM(M465:M468)</f>
        <v>369308.71066666668</v>
      </c>
    </row>
    <row r="469" spans="1:18">
      <c r="A469" s="20" t="s">
        <v>86</v>
      </c>
      <c r="C469" s="21">
        <v>339156.636</v>
      </c>
      <c r="D469" s="21">
        <f>SUM(C465:C469)</f>
        <v>3585461.3479999998</v>
      </c>
      <c r="E469" s="21">
        <v>168436.32</v>
      </c>
      <c r="F469" s="21">
        <f>SUM(E465:E469)</f>
        <v>1796018.324</v>
      </c>
      <c r="G469" s="21">
        <v>55767.635999999999</v>
      </c>
      <c r="H469" s="21">
        <f>SUM(G465:G469)</f>
        <v>1184462.6600000001</v>
      </c>
      <c r="I469" s="21">
        <v>18675.392000000003</v>
      </c>
      <c r="J469" s="21">
        <f>SUM(I465:I469)</f>
        <v>656557.56799999997</v>
      </c>
      <c r="K469" s="21">
        <v>27561.792000000001</v>
      </c>
      <c r="L469" s="21">
        <f>SUM(K465:K469)</f>
        <v>518341.17600000009</v>
      </c>
      <c r="M469" s="21">
        <v>16023.804000000002</v>
      </c>
      <c r="N469" s="21">
        <f>SUM(M465:M469)</f>
        <v>385332.51466666668</v>
      </c>
    </row>
    <row r="470" spans="1:18">
      <c r="C470" s="21">
        <v>314853.408</v>
      </c>
      <c r="E470" s="21">
        <v>110356.74000000002</v>
      </c>
      <c r="G470" s="21">
        <v>50257.208000000006</v>
      </c>
      <c r="I470" s="21">
        <v>8451.0120000000006</v>
      </c>
      <c r="K470" s="21">
        <v>19545.024000000001</v>
      </c>
      <c r="M470" s="21">
        <v>15079.306666666665</v>
      </c>
    </row>
    <row r="471" spans="1:18">
      <c r="C471" s="21">
        <v>242137.00799999997</v>
      </c>
      <c r="E471" s="21">
        <v>48372.600000000006</v>
      </c>
      <c r="G471" s="21">
        <v>50156.54800000001</v>
      </c>
      <c r="I471" s="21">
        <v>5868</v>
      </c>
      <c r="K471" s="21">
        <v>7042.0080000000007</v>
      </c>
      <c r="M471" s="21">
        <v>3715.7933333333335</v>
      </c>
    </row>
    <row r="472" spans="1:18">
      <c r="C472" s="21">
        <v>180661.5</v>
      </c>
      <c r="E472" s="21">
        <v>33224.700000000004</v>
      </c>
      <c r="G472" s="21">
        <v>30712.751999999997</v>
      </c>
      <c r="I472" s="21">
        <v>5855.5440000000008</v>
      </c>
      <c r="K472" s="21">
        <v>4603.72</v>
      </c>
      <c r="M472" s="21">
        <v>2832.8800000000006</v>
      </c>
    </row>
    <row r="473" spans="1:18">
      <c r="C473" s="21">
        <v>121603.20000000001</v>
      </c>
      <c r="E473" s="21">
        <v>28381.26</v>
      </c>
      <c r="G473" s="21">
        <v>16800</v>
      </c>
      <c r="I473" s="21">
        <v>5338.2560000000003</v>
      </c>
      <c r="K473" s="21">
        <v>4351.4400000000005</v>
      </c>
      <c r="M473" s="21">
        <v>0</v>
      </c>
    </row>
    <row r="474" spans="1:18">
      <c r="C474" s="21">
        <v>85446.416000000012</v>
      </c>
      <c r="E474" s="21">
        <v>27000</v>
      </c>
      <c r="G474" s="21">
        <v>13900.584000000001</v>
      </c>
      <c r="I474" s="21">
        <v>4490.2</v>
      </c>
      <c r="K474" s="21">
        <v>3366.4799999999996</v>
      </c>
      <c r="M474" s="21">
        <v>0</v>
      </c>
    </row>
    <row r="475" spans="1:18">
      <c r="C475" s="21">
        <v>63664.396000000001</v>
      </c>
      <c r="E475" s="21">
        <v>24125.4</v>
      </c>
      <c r="G475" s="21">
        <v>5194.1680000000006</v>
      </c>
      <c r="I475" s="21">
        <v>0</v>
      </c>
      <c r="K475" s="21">
        <v>3052.2000000000003</v>
      </c>
      <c r="M475" s="21">
        <v>0</v>
      </c>
    </row>
    <row r="476" spans="1:18">
      <c r="C476" s="21">
        <v>18519.400000000001</v>
      </c>
      <c r="E476" s="21">
        <v>2000</v>
      </c>
      <c r="G476" s="21">
        <v>1693.8400000000001</v>
      </c>
      <c r="I476" s="21">
        <v>0</v>
      </c>
      <c r="K476" s="21">
        <v>774.08800000000019</v>
      </c>
      <c r="M476" s="21">
        <v>0</v>
      </c>
    </row>
    <row r="477" spans="1:18">
      <c r="C477" s="21">
        <v>8589.9600000000009</v>
      </c>
      <c r="E477" s="21">
        <v>1490.1200000000001</v>
      </c>
      <c r="G477" s="21">
        <v>1080</v>
      </c>
      <c r="I477" s="21">
        <v>0</v>
      </c>
      <c r="K477" s="21">
        <v>0</v>
      </c>
      <c r="M477" s="21">
        <v>0</v>
      </c>
      <c r="P477" s="50" t="s">
        <v>48</v>
      </c>
      <c r="Q477" s="50"/>
      <c r="R477" s="50"/>
    </row>
    <row r="478" spans="1:18">
      <c r="C478" s="21">
        <v>1411.4880000000001</v>
      </c>
      <c r="E478" s="21">
        <v>414.1400000000001</v>
      </c>
      <c r="G478" s="21">
        <v>0</v>
      </c>
      <c r="I478" s="21">
        <v>0</v>
      </c>
      <c r="K478" s="21">
        <v>0</v>
      </c>
      <c r="M478" s="21">
        <v>0</v>
      </c>
      <c r="P478" s="87" t="s">
        <v>109</v>
      </c>
      <c r="Q478" s="87"/>
      <c r="R478" s="87"/>
    </row>
    <row r="479" spans="1:18">
      <c r="C479" s="21"/>
      <c r="E479" s="21">
        <v>0</v>
      </c>
      <c r="G479" s="21">
        <v>0</v>
      </c>
      <c r="I479" s="21">
        <v>0</v>
      </c>
      <c r="K479" s="21">
        <v>0</v>
      </c>
      <c r="M479" s="21">
        <v>0</v>
      </c>
      <c r="O479" s="20"/>
      <c r="P479" s="50" t="s">
        <v>91</v>
      </c>
      <c r="Q479" s="50"/>
      <c r="R479" s="50"/>
    </row>
    <row r="480" spans="1:18">
      <c r="A480" s="20" t="s">
        <v>64</v>
      </c>
      <c r="C480" s="21"/>
      <c r="D480" s="21">
        <f>SUM(C465:C478)</f>
        <v>4622348.1239999998</v>
      </c>
      <c r="E480" s="21">
        <v>0</v>
      </c>
      <c r="F480" s="21">
        <f>SUM(E465:E480)</f>
        <v>2071383.284</v>
      </c>
      <c r="G480" s="21">
        <v>0</v>
      </c>
      <c r="H480" s="21">
        <f>SUM(G465:G481)</f>
        <v>1354257.7600000005</v>
      </c>
      <c r="I480" s="21"/>
      <c r="J480" s="21">
        <f>SUM(I465:I479)</f>
        <v>686560.58</v>
      </c>
      <c r="K480" s="21">
        <v>0</v>
      </c>
      <c r="L480" s="21">
        <f>SUM(K465:K480)</f>
        <v>561076.13599999994</v>
      </c>
      <c r="M480" s="21"/>
      <c r="N480" s="21">
        <f>SUM(M465:M480)</f>
        <v>406960.49466666667</v>
      </c>
      <c r="O480" s="21"/>
      <c r="P480" s="88">
        <f>AVERAGE(D480,F480,H480,J480,L480,N480)</f>
        <v>1617097.7297777776</v>
      </c>
      <c r="Q480" s="88"/>
      <c r="R480" s="88"/>
    </row>
    <row r="481" spans="1:26">
      <c r="A481" s="20" t="s">
        <v>83</v>
      </c>
      <c r="C481" s="21"/>
      <c r="D481" s="138">
        <f>D467/D480</f>
        <v>0.57883565846283713</v>
      </c>
      <c r="E481" s="21"/>
      <c r="F481" s="138">
        <f>F467/F480</f>
        <v>0.70269549592445191</v>
      </c>
      <c r="G481" s="21">
        <v>0</v>
      </c>
      <c r="H481" s="138">
        <f>H467/H480</f>
        <v>0.77864778710959703</v>
      </c>
      <c r="I481" s="21"/>
      <c r="J481" s="138">
        <f>J467/J480</f>
        <v>0.87529243231529552</v>
      </c>
      <c r="K481" s="21"/>
      <c r="L481" s="138">
        <f>L467/L480</f>
        <v>0.80569245240542564</v>
      </c>
      <c r="M481" s="21"/>
      <c r="N481" s="138">
        <f>N467/N480</f>
        <v>0.84937175769306694</v>
      </c>
      <c r="O481" s="44"/>
      <c r="P481" s="89">
        <f>AVERAGE(D481,F481,H481,J481,L481,N481)</f>
        <v>0.76508926398511223</v>
      </c>
      <c r="Q481" s="89"/>
      <c r="R481" s="89"/>
      <c r="T481" s="20" t="s">
        <v>83</v>
      </c>
    </row>
    <row r="482" spans="1:26">
      <c r="A482" s="20" t="s">
        <v>65</v>
      </c>
      <c r="C482" s="21"/>
      <c r="D482" s="44">
        <f>D468/D480</f>
        <v>0.70230640897526653</v>
      </c>
      <c r="E482" s="21"/>
      <c r="F482" s="44">
        <f>F468/F480</f>
        <v>0.78574642200308498</v>
      </c>
      <c r="G482" s="21"/>
      <c r="H482" s="44">
        <f>H468/H480</f>
        <v>0.83344179914464722</v>
      </c>
      <c r="I482" s="21"/>
      <c r="J482" s="44">
        <f>J468/J480</f>
        <v>0.92909816639924192</v>
      </c>
      <c r="K482" s="21"/>
      <c r="L482" s="44">
        <f>L468/L480</f>
        <v>0.87471085029358675</v>
      </c>
      <c r="M482" s="21"/>
      <c r="N482" s="44">
        <f>N468/N480</f>
        <v>0.90748049382326457</v>
      </c>
      <c r="O482" s="44"/>
      <c r="P482" s="89">
        <f>AVERAGE(D482,F482,H482,J482,L482,N482)</f>
        <v>0.83879735677318201</v>
      </c>
      <c r="Q482" s="89"/>
      <c r="R482" s="89"/>
      <c r="T482" s="20" t="s">
        <v>65</v>
      </c>
      <c r="Z482" s="100"/>
    </row>
    <row r="483" spans="1:26">
      <c r="A483" s="20" t="s">
        <v>82</v>
      </c>
      <c r="D483" s="44">
        <f>D469/D480</f>
        <v>0.77567964415827717</v>
      </c>
      <c r="F483" s="44">
        <f>F469/F480</f>
        <v>0.86706228532063412</v>
      </c>
      <c r="G483" s="21"/>
      <c r="H483" s="44">
        <f>H469/H480</f>
        <v>0.87462128332201672</v>
      </c>
      <c r="I483" s="21"/>
      <c r="J483" s="44">
        <f>J469/J480</f>
        <v>0.95629954169521358</v>
      </c>
      <c r="K483" s="21"/>
      <c r="L483" s="44">
        <f>L469/L480</f>
        <v>0.92383393757456145</v>
      </c>
      <c r="M483" s="21"/>
      <c r="N483" s="44">
        <f>N469/N480</f>
        <v>0.94685484148107535</v>
      </c>
      <c r="O483" s="44"/>
      <c r="P483" s="89">
        <f>AVERAGE(D483,F483,H483,J483,L483,N483)</f>
        <v>0.89072525559196303</v>
      </c>
      <c r="Q483" s="89"/>
      <c r="R483" s="89"/>
      <c r="T483" s="20" t="s">
        <v>82</v>
      </c>
      <c r="Z483" s="100"/>
    </row>
    <row r="484" spans="1:26">
      <c r="G484" s="21"/>
      <c r="H484" s="21"/>
      <c r="I484" s="21"/>
      <c r="J484" s="21"/>
      <c r="K484" s="21"/>
      <c r="Z484" s="100"/>
    </row>
    <row r="485" spans="1:26">
      <c r="D485" s="58" t="s">
        <v>109</v>
      </c>
      <c r="E485" s="57"/>
      <c r="F485" s="58" t="s">
        <v>109</v>
      </c>
      <c r="G485" s="57"/>
      <c r="H485" s="58" t="s">
        <v>109</v>
      </c>
      <c r="I485" s="57"/>
      <c r="J485" s="58" t="s">
        <v>109</v>
      </c>
      <c r="K485" s="57"/>
      <c r="L485" s="58" t="s">
        <v>109</v>
      </c>
      <c r="M485" s="57"/>
      <c r="N485" s="58" t="s">
        <v>109</v>
      </c>
    </row>
    <row r="486" spans="1:26">
      <c r="C486" s="50" t="s">
        <v>179</v>
      </c>
      <c r="E486" s="50" t="s">
        <v>180</v>
      </c>
      <c r="G486" s="20" t="s">
        <v>181</v>
      </c>
      <c r="I486" s="20" t="s">
        <v>182</v>
      </c>
      <c r="K486" s="20" t="s">
        <v>183</v>
      </c>
      <c r="M486" t="s">
        <v>184</v>
      </c>
    </row>
    <row r="487" spans="1:26">
      <c r="C487" s="21">
        <v>1824660</v>
      </c>
      <c r="E487" s="21">
        <v>409501.82000000007</v>
      </c>
      <c r="G487" s="21">
        <v>503421.60000000003</v>
      </c>
      <c r="H487" s="21"/>
      <c r="I487" s="21">
        <v>60479.276000000005</v>
      </c>
      <c r="J487" s="21"/>
      <c r="K487" s="21">
        <v>378814.86400000006</v>
      </c>
      <c r="M487" s="21">
        <v>150324.54</v>
      </c>
    </row>
    <row r="488" spans="1:26">
      <c r="A488" s="20" t="s">
        <v>271</v>
      </c>
      <c r="C488" s="21">
        <v>687042.64000000013</v>
      </c>
      <c r="D488" s="21">
        <f>C487+C488</f>
        <v>2511702.64</v>
      </c>
      <c r="E488" s="21">
        <v>232845.84</v>
      </c>
      <c r="F488" s="21">
        <f>E487+E488</f>
        <v>642347.66</v>
      </c>
      <c r="G488" s="21">
        <v>150040</v>
      </c>
      <c r="H488" s="21">
        <f>G487+G488</f>
        <v>653461.60000000009</v>
      </c>
      <c r="I488" s="21">
        <v>32138.960000000006</v>
      </c>
      <c r="J488" s="21">
        <f>I487+I488</f>
        <v>92618.236000000004</v>
      </c>
      <c r="K488" s="21">
        <v>197123.66666666669</v>
      </c>
      <c r="L488" s="21">
        <f>K487+K488</f>
        <v>575938.5306666668</v>
      </c>
      <c r="M488" s="21">
        <v>42265.584000000003</v>
      </c>
      <c r="N488" s="21">
        <f>M487+M488</f>
        <v>192590.12400000001</v>
      </c>
    </row>
    <row r="489" spans="1:26">
      <c r="A489" s="20" t="s">
        <v>85</v>
      </c>
      <c r="C489" s="21">
        <v>570480</v>
      </c>
      <c r="D489" s="21">
        <f>SUM(C487:C489)</f>
        <v>3082182.64</v>
      </c>
      <c r="E489" s="21">
        <v>151540.75999999998</v>
      </c>
      <c r="F489" s="21">
        <f>SUM(E487:E489)</f>
        <v>793888.42</v>
      </c>
      <c r="G489" s="21">
        <v>125823.85200000001</v>
      </c>
      <c r="H489" s="21">
        <f>SUM(G487:G489)</f>
        <v>779285.45200000005</v>
      </c>
      <c r="I489" s="21">
        <v>11256.912</v>
      </c>
      <c r="J489" s="21">
        <f>SUM(I487:I489)</f>
        <v>103875.148</v>
      </c>
      <c r="K489" s="21">
        <v>171761.7</v>
      </c>
      <c r="L489" s="21">
        <f>SUM(K487:K489)</f>
        <v>747700.23066666676</v>
      </c>
      <c r="M489" s="21">
        <v>42232.153333333343</v>
      </c>
      <c r="N489" s="21">
        <f>SUM(M487:M489)</f>
        <v>234822.27733333336</v>
      </c>
    </row>
    <row r="490" spans="1:26">
      <c r="A490" s="20" t="s">
        <v>63</v>
      </c>
      <c r="C490" s="21">
        <v>503687.72000000003</v>
      </c>
      <c r="D490" s="21">
        <f>SUM(C487:C490)</f>
        <v>3585870.3600000003</v>
      </c>
      <c r="E490" s="21">
        <v>110768.32000000001</v>
      </c>
      <c r="F490" s="21">
        <f>SUM(E487:E490)</f>
        <v>904656.74</v>
      </c>
      <c r="G490" s="21">
        <v>58642.088000000003</v>
      </c>
      <c r="H490" s="21">
        <f>SUM(G487:G490)</f>
        <v>837927.54</v>
      </c>
      <c r="I490" s="21">
        <v>7824</v>
      </c>
      <c r="J490" s="21">
        <f>SUM(I487:I490)</f>
        <v>111699.148</v>
      </c>
      <c r="K490" s="21">
        <v>108767.44000000002</v>
      </c>
      <c r="L490" s="21">
        <f>SUM(K487:K490)</f>
        <v>856467.67066666682</v>
      </c>
      <c r="M490" s="21">
        <v>36962.080000000009</v>
      </c>
      <c r="N490" s="21">
        <f>SUM(M487:M490)</f>
        <v>271784.35733333335</v>
      </c>
      <c r="S490" s="20"/>
    </row>
    <row r="491" spans="1:26">
      <c r="A491" s="20" t="s">
        <v>86</v>
      </c>
      <c r="C491" s="21">
        <v>479165.652</v>
      </c>
      <c r="D491" s="21">
        <f>SUM(C487:C491)</f>
        <v>4065036.0120000001</v>
      </c>
      <c r="E491">
        <v>92435</v>
      </c>
      <c r="F491" s="21">
        <f>SUM(E487:E491)</f>
        <v>997091.74</v>
      </c>
      <c r="G491" s="21">
        <v>43983.352000000006</v>
      </c>
      <c r="H491" s="21">
        <f>SUM(G487:G491)</f>
        <v>881910.89199999999</v>
      </c>
      <c r="I491" s="21">
        <v>3662.2720000000004</v>
      </c>
      <c r="J491" s="21">
        <f>SUM(I487:I491)</f>
        <v>115361.42</v>
      </c>
      <c r="K491" s="21">
        <v>62376.86</v>
      </c>
      <c r="L491" s="21">
        <f>SUM(K487:K491)</f>
        <v>918844.5306666668</v>
      </c>
      <c r="M491" s="21">
        <v>36810.06</v>
      </c>
      <c r="N491" s="21">
        <f>SUM(M487:M491)</f>
        <v>308594.41733333335</v>
      </c>
    </row>
    <row r="492" spans="1:26">
      <c r="C492" s="21">
        <v>119883.72</v>
      </c>
      <c r="E492" s="21">
        <v>52858.640000000007</v>
      </c>
      <c r="G492" s="21">
        <v>37080</v>
      </c>
      <c r="I492" s="21">
        <v>2925.3600000000006</v>
      </c>
      <c r="K492" s="21">
        <v>6897.8280000000004</v>
      </c>
      <c r="M492" s="21">
        <v>11280.060000000001</v>
      </c>
    </row>
    <row r="493" spans="1:26">
      <c r="A493" s="20" t="s">
        <v>194</v>
      </c>
      <c r="C493" s="21">
        <v>83234.844000000012</v>
      </c>
      <c r="D493" s="21">
        <f>SUM(C487:C493)</f>
        <v>4268154.5760000004</v>
      </c>
      <c r="E493" s="21">
        <v>24509.800000000003</v>
      </c>
      <c r="F493" s="21">
        <f>SUM(E487:E493)</f>
        <v>1074460.18</v>
      </c>
      <c r="G493" s="21">
        <v>20160.000000000004</v>
      </c>
      <c r="H493" s="21">
        <f>SUM(G487:G493)</f>
        <v>939150.89199999999</v>
      </c>
      <c r="I493" s="21">
        <v>1600</v>
      </c>
      <c r="J493" s="21">
        <f>SUM(I487:I493)</f>
        <v>119886.78</v>
      </c>
      <c r="K493" s="21">
        <v>5769.6</v>
      </c>
      <c r="L493" s="21">
        <f>SUM(K487:K493)</f>
        <v>931511.95866666676</v>
      </c>
      <c r="M493" s="21">
        <v>10817.987999999999</v>
      </c>
      <c r="N493" s="21">
        <f>SUM(M487:M493)</f>
        <v>330692.46533333336</v>
      </c>
    </row>
    <row r="494" spans="1:26">
      <c r="C494" s="21">
        <v>42879.8</v>
      </c>
      <c r="E494" s="21">
        <v>1149.96</v>
      </c>
      <c r="G494" s="21">
        <v>18076.744000000002</v>
      </c>
      <c r="I494" s="21">
        <v>1598.88</v>
      </c>
      <c r="K494" s="21">
        <v>4649.0559999999996</v>
      </c>
      <c r="M494" s="21">
        <v>6730.333333333333</v>
      </c>
    </row>
    <row r="495" spans="1:26">
      <c r="C495" s="21">
        <v>40896.78</v>
      </c>
      <c r="E495" s="21">
        <v>0</v>
      </c>
      <c r="G495" s="21">
        <v>15288</v>
      </c>
      <c r="I495" s="21">
        <v>0</v>
      </c>
      <c r="K495" s="21">
        <v>0</v>
      </c>
      <c r="M495" s="21">
        <v>3900</v>
      </c>
    </row>
    <row r="496" spans="1:26">
      <c r="C496" s="21">
        <v>21025.175999999999</v>
      </c>
      <c r="E496" s="21">
        <v>0</v>
      </c>
      <c r="G496" s="21">
        <v>12800</v>
      </c>
      <c r="I496" s="21">
        <v>0</v>
      </c>
      <c r="K496" s="21">
        <v>0</v>
      </c>
      <c r="M496" s="21">
        <v>1449.0240000000001</v>
      </c>
    </row>
    <row r="497" spans="1:26">
      <c r="C497" s="21">
        <v>17183.079999999998</v>
      </c>
      <c r="E497" s="21">
        <v>0</v>
      </c>
      <c r="G497" s="21">
        <v>4454.76</v>
      </c>
      <c r="I497" s="21">
        <v>0</v>
      </c>
      <c r="K497" s="21">
        <v>0</v>
      </c>
      <c r="M497" s="21">
        <v>0</v>
      </c>
    </row>
    <row r="498" spans="1:26">
      <c r="C498" s="21">
        <v>14364.380000000003</v>
      </c>
      <c r="E498" s="21">
        <v>0</v>
      </c>
      <c r="G498" s="21">
        <v>911.48800000000017</v>
      </c>
      <c r="I498" s="21">
        <v>0</v>
      </c>
      <c r="K498" s="21">
        <v>0</v>
      </c>
      <c r="M498" s="21">
        <v>0</v>
      </c>
    </row>
    <row r="499" spans="1:26">
      <c r="C499" s="21">
        <v>4377.4800000000005</v>
      </c>
      <c r="E499" s="21">
        <v>0</v>
      </c>
      <c r="G499" s="21">
        <v>80</v>
      </c>
      <c r="I499" s="21">
        <v>0</v>
      </c>
      <c r="K499" s="21">
        <v>0</v>
      </c>
      <c r="M499" s="21">
        <v>0</v>
      </c>
      <c r="P499" s="50" t="s">
        <v>185</v>
      </c>
      <c r="Q499" s="50"/>
      <c r="R499" s="50"/>
    </row>
    <row r="500" spans="1:26">
      <c r="C500" s="21"/>
      <c r="E500" s="21">
        <v>0</v>
      </c>
      <c r="G500" s="21">
        <v>0</v>
      </c>
      <c r="I500" s="21"/>
      <c r="K500" s="21">
        <v>0</v>
      </c>
      <c r="M500" s="21">
        <v>0</v>
      </c>
      <c r="P500" s="87" t="s">
        <v>109</v>
      </c>
      <c r="Q500" s="87"/>
      <c r="R500" s="87"/>
    </row>
    <row r="501" spans="1:26">
      <c r="C501" s="21"/>
      <c r="E501" s="21">
        <v>0</v>
      </c>
      <c r="G501" s="21">
        <v>0</v>
      </c>
      <c r="I501" s="21"/>
      <c r="K501" s="21"/>
      <c r="M501" s="21"/>
      <c r="O501" s="20"/>
      <c r="P501" s="50" t="s">
        <v>91</v>
      </c>
      <c r="Q501" s="50"/>
      <c r="R501" s="50"/>
    </row>
    <row r="502" spans="1:26">
      <c r="A502" s="20" t="s">
        <v>64</v>
      </c>
      <c r="C502" s="21"/>
      <c r="D502" s="21">
        <f>SUM(C487:C500)</f>
        <v>4408881.2720000008</v>
      </c>
      <c r="E502" s="21"/>
      <c r="F502" s="21">
        <f>SUM(E487:E502)</f>
        <v>1075610.1399999999</v>
      </c>
      <c r="G502" s="21"/>
      <c r="H502" s="21">
        <f>SUM(G487:G504)</f>
        <v>990761.88399999996</v>
      </c>
      <c r="I502" s="21"/>
      <c r="J502" s="21">
        <f>SUM(I487:I501)</f>
        <v>121485.66</v>
      </c>
      <c r="K502" s="21"/>
      <c r="L502" s="21">
        <f>SUM(K487:K502)</f>
        <v>936161.01466666674</v>
      </c>
      <c r="M502" s="21"/>
      <c r="N502" s="21">
        <f>SUM(M487:M502)</f>
        <v>342771.82266666665</v>
      </c>
      <c r="O502" s="21"/>
      <c r="P502" s="88">
        <f t="shared" ref="P502:P507" si="42">AVERAGE(D502,F502,H502,J502,L502,N502)</f>
        <v>1312611.9655555557</v>
      </c>
      <c r="Q502" s="88"/>
      <c r="R502" s="88"/>
      <c r="S502" s="20"/>
    </row>
    <row r="503" spans="1:26">
      <c r="A503" s="20" t="s">
        <v>270</v>
      </c>
      <c r="C503" s="21"/>
      <c r="D503" s="44">
        <f>D488/D502</f>
        <v>0.56969160316277156</v>
      </c>
      <c r="E503" s="21"/>
      <c r="F503" s="44">
        <f>F488/F502</f>
        <v>0.59719375646644624</v>
      </c>
      <c r="G503" s="21"/>
      <c r="H503" s="44">
        <f>H488/H502</f>
        <v>0.65955464229384919</v>
      </c>
      <c r="I503" s="21"/>
      <c r="J503" s="44">
        <f>J488/J502</f>
        <v>0.76237998789322137</v>
      </c>
      <c r="K503" s="21"/>
      <c r="L503" s="44">
        <f>L488/L502</f>
        <v>0.61521311146644764</v>
      </c>
      <c r="M503" s="21"/>
      <c r="N503" s="44">
        <f>N488/N502</f>
        <v>0.56186101442558489</v>
      </c>
      <c r="O503" s="21"/>
      <c r="P503" s="89">
        <f t="shared" si="42"/>
        <v>0.62764901928472006</v>
      </c>
      <c r="Q503" s="89"/>
      <c r="R503" s="89"/>
      <c r="S503" s="20"/>
    </row>
    <row r="504" spans="1:26">
      <c r="A504" s="20" t="s">
        <v>83</v>
      </c>
      <c r="C504" s="21"/>
      <c r="D504" s="138">
        <f>D489/D502</f>
        <v>0.69908497186675878</v>
      </c>
      <c r="E504" s="21"/>
      <c r="F504" s="138">
        <f>F489/F502</f>
        <v>0.73808194110181979</v>
      </c>
      <c r="G504" s="21"/>
      <c r="H504" s="138">
        <f>H489/H502</f>
        <v>0.78655170791774232</v>
      </c>
      <c r="I504" s="21"/>
      <c r="J504" s="138">
        <f>J489/J502</f>
        <v>0.85504040559190275</v>
      </c>
      <c r="K504" s="21"/>
      <c r="L504" s="138">
        <f>L489/L502</f>
        <v>0.79868763914816077</v>
      </c>
      <c r="M504" s="21"/>
      <c r="N504" s="138">
        <f>N489/N502</f>
        <v>0.68506878863753529</v>
      </c>
      <c r="O504" s="44"/>
      <c r="P504" s="89">
        <f t="shared" si="42"/>
        <v>0.76041924237732006</v>
      </c>
      <c r="Q504" s="89"/>
      <c r="R504" s="89"/>
      <c r="S504" s="20"/>
      <c r="T504" s="20" t="s">
        <v>83</v>
      </c>
    </row>
    <row r="505" spans="1:26">
      <c r="A505" s="20" t="s">
        <v>65</v>
      </c>
      <c r="C505" s="21"/>
      <c r="D505" s="44">
        <f>D490/D502</f>
        <v>0.81332885572882341</v>
      </c>
      <c r="E505" s="21"/>
      <c r="F505" s="44">
        <f>F490/F502</f>
        <v>0.84106378915319646</v>
      </c>
      <c r="G505" s="21"/>
      <c r="H505" s="44">
        <f>H490/H502</f>
        <v>0.84574058967331056</v>
      </c>
      <c r="I505" s="21"/>
      <c r="J505" s="44">
        <f>J490/J502</f>
        <v>0.91944306842470125</v>
      </c>
      <c r="K505" s="21"/>
      <c r="L505" s="136">
        <f>L490/L502</f>
        <v>0.91487218250764712</v>
      </c>
      <c r="M505" s="21"/>
      <c r="N505" s="44">
        <f>N490/N502</f>
        <v>0.79290168958150897</v>
      </c>
      <c r="O505" s="44"/>
      <c r="P505" s="89">
        <f t="shared" si="42"/>
        <v>0.85455836251153128</v>
      </c>
      <c r="Q505" s="89"/>
      <c r="R505" s="89"/>
      <c r="S505" s="20"/>
      <c r="T505" s="20" t="s">
        <v>65</v>
      </c>
      <c r="Z505" s="100"/>
    </row>
    <row r="506" spans="1:26">
      <c r="A506" s="20" t="s">
        <v>82</v>
      </c>
      <c r="C506" s="21"/>
      <c r="D506" s="44">
        <f>D491/D502</f>
        <v>0.9220107689940078</v>
      </c>
      <c r="E506" s="21"/>
      <c r="F506" s="44">
        <f>F491/F502</f>
        <v>0.92700106006810246</v>
      </c>
      <c r="G506" s="21"/>
      <c r="H506" s="44">
        <f>H491/H502</f>
        <v>0.89013405364310527</v>
      </c>
      <c r="I506" s="21"/>
      <c r="J506" s="44">
        <f>J491/J502</f>
        <v>0.94958878274193015</v>
      </c>
      <c r="K506" s="21"/>
      <c r="L506" s="44">
        <f>L491/L502</f>
        <v>0.98150266489556215</v>
      </c>
      <c r="M506" s="21"/>
      <c r="N506" s="44">
        <f>N491/N502</f>
        <v>0.90029108849308892</v>
      </c>
      <c r="O506" s="44"/>
      <c r="P506" s="89">
        <f t="shared" si="42"/>
        <v>0.92842140313929944</v>
      </c>
      <c r="Q506" s="89"/>
      <c r="R506" s="89"/>
      <c r="S506" s="20"/>
      <c r="T506" s="20" t="s">
        <v>82</v>
      </c>
      <c r="Z506" s="100"/>
    </row>
    <row r="507" spans="1:26">
      <c r="A507" s="20" t="s">
        <v>193</v>
      </c>
      <c r="D507" s="44">
        <f>D493/D502</f>
        <v>0.96808108739653975</v>
      </c>
      <c r="F507" s="44">
        <f>F493/F502</f>
        <v>0.99893087657206359</v>
      </c>
      <c r="G507" s="21"/>
      <c r="H507" s="44">
        <f>H493/H502</f>
        <v>0.94790777397326687</v>
      </c>
      <c r="I507" s="21"/>
      <c r="J507" s="44">
        <f>J493/J502</f>
        <v>0.98683894049717469</v>
      </c>
      <c r="K507" s="21"/>
      <c r="L507" s="44">
        <f>L493/L502</f>
        <v>0.99503391411609321</v>
      </c>
      <c r="N507" s="44">
        <f>N493/N502</f>
        <v>0.96475977156068626</v>
      </c>
      <c r="P507" s="89">
        <f t="shared" si="42"/>
        <v>0.97692539401930423</v>
      </c>
      <c r="Q507" s="89"/>
      <c r="R507" s="89"/>
      <c r="T507" s="20" t="s">
        <v>193</v>
      </c>
      <c r="Z507" s="100"/>
    </row>
    <row r="508" spans="1:26">
      <c r="Z508" s="100"/>
    </row>
    <row r="509" spans="1:26">
      <c r="D509" s="58" t="s">
        <v>109</v>
      </c>
      <c r="E509" s="57"/>
      <c r="F509" s="58" t="s">
        <v>109</v>
      </c>
      <c r="G509" s="57"/>
      <c r="H509" s="58" t="s">
        <v>109</v>
      </c>
      <c r="I509" s="57"/>
      <c r="J509" s="58" t="s">
        <v>109</v>
      </c>
      <c r="K509" s="57"/>
      <c r="L509" s="58" t="s">
        <v>109</v>
      </c>
      <c r="M509" s="57"/>
      <c r="N509" s="58" t="s">
        <v>109</v>
      </c>
    </row>
    <row r="510" spans="1:26">
      <c r="C510" s="55" t="s">
        <v>134</v>
      </c>
      <c r="D510" s="53"/>
      <c r="E510" s="55" t="s">
        <v>135</v>
      </c>
      <c r="F510" s="53"/>
      <c r="G510" s="55" t="s">
        <v>136</v>
      </c>
      <c r="H510" s="53"/>
      <c r="I510" s="55" t="s">
        <v>137</v>
      </c>
      <c r="J510" s="53"/>
      <c r="K510" s="55" t="s">
        <v>138</v>
      </c>
      <c r="M510" s="134" t="s">
        <v>277</v>
      </c>
      <c r="N510" s="53"/>
    </row>
    <row r="511" spans="1:26">
      <c r="C511" s="21">
        <v>955343.80400000012</v>
      </c>
      <c r="E511" s="21">
        <v>128580</v>
      </c>
      <c r="G511" s="21">
        <v>192000</v>
      </c>
      <c r="H511" s="21"/>
      <c r="I511" s="21">
        <v>357280</v>
      </c>
      <c r="J511" s="21"/>
      <c r="K511" s="21">
        <v>325674</v>
      </c>
      <c r="M511" s="21">
        <v>98900</v>
      </c>
    </row>
    <row r="512" spans="1:26">
      <c r="A512" s="20" t="s">
        <v>271</v>
      </c>
      <c r="C512" s="21">
        <v>941600</v>
      </c>
      <c r="D512" s="21">
        <f>SUM(C511:C512)</f>
        <v>1896943.804</v>
      </c>
      <c r="E512" s="21">
        <v>52816</v>
      </c>
      <c r="F512" s="21">
        <f>SUM(E511:E512)</f>
        <v>181396</v>
      </c>
      <c r="G512" s="21">
        <v>137140.80000000002</v>
      </c>
      <c r="H512" s="21">
        <f>SUM(G511:G512)</f>
        <v>329140.80000000005</v>
      </c>
      <c r="I512" s="21">
        <v>52175.815999999999</v>
      </c>
      <c r="J512" s="21">
        <f>SUM(I511:I512)</f>
        <v>409455.81599999999</v>
      </c>
      <c r="K512" s="21">
        <v>130404.6</v>
      </c>
      <c r="L512" s="21">
        <f>SUM(K511:K512)</f>
        <v>456078.6</v>
      </c>
      <c r="M512" s="21">
        <v>42121.584000000003</v>
      </c>
      <c r="N512" s="21">
        <f>SUM(M511:M512)</f>
        <v>141021.584</v>
      </c>
    </row>
    <row r="513" spans="1:20">
      <c r="A513" s="20" t="s">
        <v>85</v>
      </c>
      <c r="C513" s="21">
        <v>402534.00000000006</v>
      </c>
      <c r="D513" s="21">
        <f>SUM(C511:C513)</f>
        <v>2299477.804</v>
      </c>
      <c r="E513" s="21">
        <v>48956.800000000003</v>
      </c>
      <c r="F513" s="21">
        <f>SUM(E511:E513)</f>
        <v>230352.8</v>
      </c>
      <c r="G513" s="21">
        <v>121242.876</v>
      </c>
      <c r="H513" s="21">
        <f>SUM(G511:G513)</f>
        <v>450383.67600000004</v>
      </c>
      <c r="I513" s="21">
        <v>27519.239999999998</v>
      </c>
      <c r="J513" s="21">
        <f>SUM(I511:I513)</f>
        <v>436975.05599999998</v>
      </c>
      <c r="K513" s="21">
        <v>102018.96000000002</v>
      </c>
      <c r="L513" s="21">
        <f>SUM(K511:K513)</f>
        <v>558097.56000000006</v>
      </c>
      <c r="M513" s="21">
        <v>15204</v>
      </c>
      <c r="N513" s="21">
        <f>SUM(M511:M513)</f>
        <v>156225.584</v>
      </c>
    </row>
    <row r="514" spans="1:20">
      <c r="A514" s="20" t="s">
        <v>63</v>
      </c>
      <c r="C514" s="21">
        <v>371138.32</v>
      </c>
      <c r="D514" s="21">
        <f>SUM(C511:C514)</f>
        <v>2670616.1239999998</v>
      </c>
      <c r="E514" s="21">
        <v>33360.480000000003</v>
      </c>
      <c r="F514" s="21">
        <f>SUM(E511:E514)</f>
        <v>263713.27999999997</v>
      </c>
      <c r="G514" s="21">
        <v>53066.384000000013</v>
      </c>
      <c r="H514" s="21">
        <f>SUM(G511:G514)</f>
        <v>503450.06000000006</v>
      </c>
      <c r="I514" s="21">
        <v>11126.940000000002</v>
      </c>
      <c r="J514" s="21">
        <f>SUM(I511:I514)</f>
        <v>448101.99599999998</v>
      </c>
      <c r="K514" s="21">
        <v>81494.423999999999</v>
      </c>
      <c r="L514" s="21">
        <f>SUM(K511:K514)</f>
        <v>639591.98400000005</v>
      </c>
      <c r="M514" s="21">
        <v>12032</v>
      </c>
      <c r="N514" s="21">
        <f>SUM(M511:M514)</f>
        <v>168257.584</v>
      </c>
      <c r="S514" s="20"/>
    </row>
    <row r="515" spans="1:20">
      <c r="A515" s="20" t="s">
        <v>86</v>
      </c>
      <c r="C515" s="21">
        <v>222676.6</v>
      </c>
      <c r="D515" s="21">
        <f>SUM(C511:C515)</f>
        <v>2893292.7239999999</v>
      </c>
      <c r="E515" s="21">
        <v>26362.320000000003</v>
      </c>
      <c r="F515" s="21">
        <f>SUM(E511:E515)</f>
        <v>290075.59999999998</v>
      </c>
      <c r="G515" s="21">
        <v>15092</v>
      </c>
      <c r="H515" s="21">
        <f>SUM(G511:G515)</f>
        <v>518542.06000000006</v>
      </c>
      <c r="I515" s="21">
        <v>3200</v>
      </c>
      <c r="J515" s="21">
        <f>SUM(I511:I515)</f>
        <v>451301.99599999998</v>
      </c>
      <c r="K515" s="21">
        <v>73307.259999999995</v>
      </c>
      <c r="L515" s="21">
        <f>SUM(K511:K515)</f>
        <v>712899.24400000006</v>
      </c>
      <c r="M515" s="21">
        <v>9420</v>
      </c>
      <c r="N515" s="21">
        <f>SUM(M511:M515)</f>
        <v>177677.584</v>
      </c>
    </row>
    <row r="516" spans="1:20">
      <c r="A516" s="20" t="s">
        <v>190</v>
      </c>
      <c r="C516" s="21">
        <v>44492.4</v>
      </c>
      <c r="D516" s="21">
        <f>SUM(C511:C516)</f>
        <v>2937785.1239999998</v>
      </c>
      <c r="E516" s="21">
        <v>25311.840000000004</v>
      </c>
      <c r="F516" s="21">
        <f>SUM(E511:E516)</f>
        <v>315387.44</v>
      </c>
      <c r="G516" s="21">
        <v>13334.916000000001</v>
      </c>
      <c r="H516" s="21">
        <f>SUM(G511:G516)</f>
        <v>531876.97600000002</v>
      </c>
      <c r="I516" s="21">
        <v>0</v>
      </c>
      <c r="J516" s="21">
        <f>SUM(I511:I516)</f>
        <v>451301.99599999998</v>
      </c>
      <c r="K516" s="21">
        <v>8448.92</v>
      </c>
      <c r="L516" s="21">
        <f>SUM(K511:K516)</f>
        <v>721348.16400000011</v>
      </c>
      <c r="M516" s="21">
        <v>252</v>
      </c>
      <c r="N516" s="21">
        <f>SUM(M511:M516)</f>
        <v>177929.584</v>
      </c>
    </row>
    <row r="517" spans="1:20">
      <c r="C517" s="21">
        <v>39686.320000000007</v>
      </c>
      <c r="E517" s="21">
        <v>0</v>
      </c>
      <c r="G517" s="21">
        <v>7200</v>
      </c>
      <c r="I517" s="21">
        <v>0</v>
      </c>
      <c r="K517" s="21">
        <v>4840.4319999999998</v>
      </c>
      <c r="M517" s="21">
        <v>0</v>
      </c>
    </row>
    <row r="518" spans="1:20">
      <c r="A518" s="20" t="s">
        <v>189</v>
      </c>
      <c r="C518" s="21">
        <v>39345.300000000003</v>
      </c>
      <c r="D518" s="21">
        <f>SUM(C511:C518)</f>
        <v>3016816.7439999995</v>
      </c>
      <c r="E518" s="21">
        <v>0</v>
      </c>
      <c r="F518" s="21">
        <f>SUM(E511:E518)</f>
        <v>315387.44</v>
      </c>
      <c r="G518" s="21">
        <v>5790.0640000000003</v>
      </c>
      <c r="H518" s="21">
        <f>SUM(G511:G518)</f>
        <v>544867.04</v>
      </c>
      <c r="I518" s="21">
        <v>0</v>
      </c>
      <c r="J518" s="21">
        <f>SUM(I511:I518)</f>
        <v>451301.99599999998</v>
      </c>
      <c r="K518" s="21">
        <v>4604.9440000000004</v>
      </c>
      <c r="L518" s="21">
        <f>SUM(K511:K518)</f>
        <v>730793.54000000015</v>
      </c>
      <c r="M518" s="21">
        <v>0</v>
      </c>
      <c r="N518" s="21">
        <f>SUM(M511:M518)</f>
        <v>177929.584</v>
      </c>
    </row>
    <row r="519" spans="1:20">
      <c r="C519" s="21">
        <v>26876.960000000006</v>
      </c>
      <c r="E519" s="21">
        <v>0</v>
      </c>
      <c r="G519" s="21">
        <v>5160.1280000000006</v>
      </c>
      <c r="I519" s="21">
        <v>0</v>
      </c>
      <c r="K519" s="21">
        <v>4270.152000000001</v>
      </c>
      <c r="M519" s="21">
        <v>0</v>
      </c>
    </row>
    <row r="520" spans="1:20">
      <c r="C520" s="21">
        <v>14400</v>
      </c>
      <c r="E520" s="21">
        <v>0</v>
      </c>
      <c r="G520" s="21">
        <v>5089.0400000000009</v>
      </c>
      <c r="I520" s="21">
        <v>0</v>
      </c>
      <c r="K520" s="21">
        <v>3448</v>
      </c>
      <c r="M520" s="21">
        <v>0</v>
      </c>
    </row>
    <row r="521" spans="1:20">
      <c r="C521" s="21">
        <v>6995.4639999999999</v>
      </c>
      <c r="E521" s="21">
        <v>0</v>
      </c>
      <c r="G521" s="21">
        <v>160</v>
      </c>
      <c r="I521" s="21">
        <v>0</v>
      </c>
      <c r="K521" s="21">
        <v>3030</v>
      </c>
      <c r="M521" s="21">
        <v>0</v>
      </c>
    </row>
    <row r="522" spans="1:20">
      <c r="C522" s="21">
        <v>1200</v>
      </c>
      <c r="E522" s="21">
        <v>0</v>
      </c>
      <c r="G522" s="21">
        <v>0</v>
      </c>
      <c r="I522" s="21">
        <v>0</v>
      </c>
      <c r="K522" s="21">
        <v>0</v>
      </c>
      <c r="M522" s="21">
        <v>0</v>
      </c>
    </row>
    <row r="523" spans="1:20">
      <c r="C523" s="21">
        <v>0</v>
      </c>
      <c r="E523" s="21">
        <v>0</v>
      </c>
      <c r="G523" s="21">
        <v>0</v>
      </c>
      <c r="I523" s="21">
        <v>0</v>
      </c>
      <c r="K523" s="21">
        <v>0</v>
      </c>
      <c r="M523">
        <v>0</v>
      </c>
      <c r="P523" s="50" t="s">
        <v>144</v>
      </c>
      <c r="Q523" s="50"/>
      <c r="R523" s="50"/>
    </row>
    <row r="524" spans="1:20">
      <c r="C524" s="21">
        <v>0</v>
      </c>
      <c r="E524" s="21">
        <v>0</v>
      </c>
      <c r="G524" s="21">
        <v>0</v>
      </c>
      <c r="I524" s="21"/>
      <c r="K524" s="21">
        <v>0</v>
      </c>
      <c r="M524" s="21"/>
      <c r="P524" s="87" t="s">
        <v>109</v>
      </c>
      <c r="Q524" s="87"/>
      <c r="R524" s="87"/>
    </row>
    <row r="525" spans="1:20">
      <c r="C525" s="21"/>
      <c r="E525" s="21">
        <v>0</v>
      </c>
      <c r="G525" s="21">
        <v>0</v>
      </c>
      <c r="I525" s="21"/>
      <c r="K525" s="21">
        <v>0</v>
      </c>
      <c r="M525" s="21"/>
      <c r="O525" s="20"/>
      <c r="P525" s="50" t="s">
        <v>91</v>
      </c>
      <c r="Q525" s="50"/>
      <c r="R525" s="50"/>
    </row>
    <row r="526" spans="1:20">
      <c r="A526" s="20" t="s">
        <v>64</v>
      </c>
      <c r="C526" s="21"/>
      <c r="D526" s="21">
        <f>SUM(C511:C524)</f>
        <v>3066289.1679999996</v>
      </c>
      <c r="E526" s="21"/>
      <c r="F526" s="21">
        <f>SUM(E511:E526)</f>
        <v>315387.44</v>
      </c>
      <c r="G526" s="21"/>
      <c r="H526" s="21">
        <f>SUM(G511:G528)</f>
        <v>555276.2080000001</v>
      </c>
      <c r="I526" s="21"/>
      <c r="J526" s="21">
        <f>SUM(I511:I525)</f>
        <v>451301.99599999998</v>
      </c>
      <c r="K526" s="21"/>
      <c r="L526" s="21">
        <f>SUM(K511:K526)</f>
        <v>741541.69200000016</v>
      </c>
      <c r="M526" s="21"/>
      <c r="N526" s="21">
        <f>SUM(M511:M526)</f>
        <v>177929.584</v>
      </c>
      <c r="O526" s="21"/>
      <c r="P526" s="88">
        <f>AVERAGE(D526,F526,H526,J526,L526,N526)</f>
        <v>884621.01466666663</v>
      </c>
      <c r="Q526" s="88"/>
      <c r="R526" s="88"/>
      <c r="S526" s="20"/>
    </row>
    <row r="527" spans="1:20">
      <c r="A527" s="20" t="s">
        <v>270</v>
      </c>
      <c r="C527" s="21"/>
      <c r="D527" s="44">
        <f>D512/D526</f>
        <v>0.61864478529834477</v>
      </c>
      <c r="E527" s="21"/>
      <c r="F527" s="44">
        <f>F512/F526</f>
        <v>0.57515289765502398</v>
      </c>
      <c r="G527" s="21"/>
      <c r="H527" s="44">
        <f>H512/H526</f>
        <v>0.59275149062392385</v>
      </c>
      <c r="I527" s="21"/>
      <c r="J527" s="44">
        <f>J512/J526</f>
        <v>0.9072767672846721</v>
      </c>
      <c r="K527" s="21"/>
      <c r="L527" s="44">
        <f>L512/L526</f>
        <v>0.61504107580238376</v>
      </c>
      <c r="M527" s="21"/>
      <c r="N527" s="44">
        <f>N512/N526</f>
        <v>0.7925696268699195</v>
      </c>
      <c r="O527" s="21"/>
      <c r="P527" s="89">
        <f>AVERAGE(D527,F527,H527,J527,L527,N527)</f>
        <v>0.68357277392237803</v>
      </c>
      <c r="Q527" s="89"/>
      <c r="R527" s="89"/>
      <c r="S527" s="20"/>
    </row>
    <row r="528" spans="1:20">
      <c r="A528" s="20" t="s">
        <v>83</v>
      </c>
      <c r="C528" s="21"/>
      <c r="D528" s="138">
        <f>D513/D526</f>
        <v>0.74992203214149056</v>
      </c>
      <c r="E528" s="21"/>
      <c r="F528" s="138">
        <f>F513/F526</f>
        <v>0.73038038547127937</v>
      </c>
      <c r="G528" s="21"/>
      <c r="H528" s="138">
        <f>H513/H526</f>
        <v>0.8110984578687368</v>
      </c>
      <c r="I528" s="21"/>
      <c r="J528" s="138">
        <f>J513/J526</f>
        <v>0.96825420643608229</v>
      </c>
      <c r="K528" s="21"/>
      <c r="L528" s="138">
        <f>L513/L526</f>
        <v>0.7526179121429627</v>
      </c>
      <c r="M528" s="21"/>
      <c r="N528" s="138">
        <f>N513/N526</f>
        <v>0.87801916065852204</v>
      </c>
      <c r="O528" s="44"/>
      <c r="P528" s="89">
        <f>AVERAGE(D528,F528,H528,J528,L528,N528)</f>
        <v>0.8150486924531789</v>
      </c>
      <c r="Q528" s="89"/>
      <c r="R528" s="89"/>
      <c r="S528" s="20"/>
      <c r="T528" s="20" t="s">
        <v>83</v>
      </c>
    </row>
    <row r="529" spans="1:26">
      <c r="A529" s="20" t="s">
        <v>65</v>
      </c>
      <c r="C529" s="21"/>
      <c r="D529" s="44">
        <f>D514/D526</f>
        <v>0.87096029685351584</v>
      </c>
      <c r="E529" s="21"/>
      <c r="F529" s="44">
        <f>F514/F526</f>
        <v>0.83615656983676956</v>
      </c>
      <c r="G529" s="21"/>
      <c r="H529" s="44">
        <f>H514/H526</f>
        <v>0.90666600287689614</v>
      </c>
      <c r="I529" s="21"/>
      <c r="J529" s="44">
        <f>J514/J526</f>
        <v>0.99290940428280317</v>
      </c>
      <c r="K529" s="21"/>
      <c r="L529" s="44">
        <f>L514/L526</f>
        <v>0.8625165528791332</v>
      </c>
      <c r="M529" s="21"/>
      <c r="N529" s="44">
        <f>N514/N526</f>
        <v>0.94564141733732154</v>
      </c>
      <c r="O529" s="44"/>
      <c r="P529" s="89">
        <f>AVERAGE(D529,F529,H529,J529,L529,N529)</f>
        <v>0.90247504067773987</v>
      </c>
      <c r="Q529" s="89"/>
      <c r="R529" s="89"/>
      <c r="S529" s="20"/>
      <c r="T529" s="20" t="s">
        <v>65</v>
      </c>
      <c r="Z529" s="100"/>
    </row>
    <row r="530" spans="1:26">
      <c r="A530" s="20" t="s">
        <v>82</v>
      </c>
      <c r="C530" s="21"/>
      <c r="D530" s="44">
        <f>D515/D526</f>
        <v>0.94358117107629569</v>
      </c>
      <c r="E530" s="21"/>
      <c r="F530" s="44">
        <f>F515/F526</f>
        <v>0.91974366512502836</v>
      </c>
      <c r="G530" s="21"/>
      <c r="H530" s="44">
        <f>H515/H526</f>
        <v>0.93384526930784684</v>
      </c>
      <c r="I530" s="21"/>
      <c r="J530" s="44">
        <f>J515/J526</f>
        <v>1</v>
      </c>
      <c r="K530" s="21"/>
      <c r="L530" s="44">
        <f>L515/L526</f>
        <v>0.96137446038570129</v>
      </c>
      <c r="M530" s="21"/>
      <c r="N530" s="44">
        <f>N515/N526</f>
        <v>0.9985837093847193</v>
      </c>
      <c r="O530" s="44"/>
      <c r="P530" s="89">
        <f>AVERAGE(D530,F530,H530,J530,L530,N530)</f>
        <v>0.9595213792132653</v>
      </c>
      <c r="Q530" s="89"/>
      <c r="R530" s="89"/>
      <c r="S530" s="20"/>
      <c r="T530" s="20" t="s">
        <v>82</v>
      </c>
      <c r="Z530" s="100"/>
    </row>
    <row r="531" spans="1:26">
      <c r="A531" s="20" t="s">
        <v>191</v>
      </c>
      <c r="D531" s="44">
        <f>D516/D526</f>
        <v>0.95809134854563727</v>
      </c>
      <c r="F531" s="44">
        <f>F516/F526</f>
        <v>1</v>
      </c>
      <c r="G531" s="21"/>
      <c r="H531" s="44">
        <f>H516/H526</f>
        <v>0.95786019342647566</v>
      </c>
      <c r="I531" s="21"/>
      <c r="J531" s="44">
        <f>J516/J526</f>
        <v>1</v>
      </c>
      <c r="K531" s="21"/>
      <c r="L531" s="44">
        <f>L516/L526</f>
        <v>0.97276818253396324</v>
      </c>
      <c r="M531" s="21"/>
      <c r="N531" s="44">
        <f>N516/N526</f>
        <v>1</v>
      </c>
      <c r="P531" s="89">
        <f t="shared" ref="P531:P532" si="43">AVERAGE(D531,F531,H531,J531,L531,N531)</f>
        <v>0.98145328741767945</v>
      </c>
      <c r="Q531" s="89"/>
      <c r="R531" s="89"/>
      <c r="T531" s="20" t="s">
        <v>191</v>
      </c>
      <c r="Z531" s="100"/>
    </row>
    <row r="532" spans="1:26">
      <c r="A532" s="20" t="s">
        <v>188</v>
      </c>
      <c r="D532" s="44">
        <f>D518/D526</f>
        <v>0.98386570173606014</v>
      </c>
      <c r="F532" s="44">
        <f>F518/F526</f>
        <v>1</v>
      </c>
      <c r="G532" s="21"/>
      <c r="H532" s="44">
        <f>H518/H526</f>
        <v>0.98125407166733847</v>
      </c>
      <c r="I532" s="21"/>
      <c r="J532" s="44">
        <f>J518/J526</f>
        <v>1</v>
      </c>
      <c r="K532" s="21"/>
      <c r="L532" s="44">
        <f>L518/L526</f>
        <v>0.98550566729294564</v>
      </c>
      <c r="N532" s="44">
        <f>N518/N526</f>
        <v>1</v>
      </c>
      <c r="P532" s="89">
        <f t="shared" si="43"/>
        <v>0.99177090678272395</v>
      </c>
      <c r="Q532" s="89"/>
      <c r="R532" s="89"/>
      <c r="T532" s="20" t="s">
        <v>188</v>
      </c>
      <c r="Z532" s="100"/>
    </row>
    <row r="533" spans="1:26">
      <c r="Z533" s="100"/>
    </row>
    <row r="534" spans="1:26">
      <c r="D534" s="58" t="s">
        <v>109</v>
      </c>
      <c r="E534" s="57"/>
      <c r="F534" s="58" t="s">
        <v>109</v>
      </c>
      <c r="G534" s="57"/>
      <c r="H534" s="58" t="s">
        <v>109</v>
      </c>
      <c r="I534" s="57"/>
      <c r="J534" s="58" t="s">
        <v>109</v>
      </c>
      <c r="K534" s="57"/>
      <c r="L534" s="58" t="s">
        <v>109</v>
      </c>
      <c r="M534" s="57"/>
      <c r="N534" s="58"/>
    </row>
    <row r="535" spans="1:26">
      <c r="C535" s="55" t="s">
        <v>172</v>
      </c>
      <c r="D535" s="53"/>
      <c r="E535" s="55" t="s">
        <v>173</v>
      </c>
      <c r="F535" s="53"/>
      <c r="G535" s="55" t="s">
        <v>174</v>
      </c>
      <c r="H535" s="53"/>
      <c r="I535" s="55" t="s">
        <v>175</v>
      </c>
      <c r="J535" s="53"/>
      <c r="K535" s="55" t="s">
        <v>176</v>
      </c>
      <c r="M535" s="134" t="s">
        <v>278</v>
      </c>
      <c r="N535" s="53"/>
    </row>
    <row r="536" spans="1:26">
      <c r="C536" s="21">
        <v>2935805.6</v>
      </c>
      <c r="E536" s="21">
        <v>115668</v>
      </c>
      <c r="G536" s="21">
        <v>326400</v>
      </c>
      <c r="H536" s="21"/>
      <c r="I536" s="21">
        <v>200954.80685092002</v>
      </c>
      <c r="J536" s="21"/>
      <c r="K536" s="21">
        <v>137073.12</v>
      </c>
      <c r="M536" s="21">
        <v>54389.920000000013</v>
      </c>
    </row>
    <row r="537" spans="1:26">
      <c r="A537" s="20" t="s">
        <v>271</v>
      </c>
      <c r="C537" s="21">
        <v>459549.75599999999</v>
      </c>
      <c r="D537" s="21">
        <f>SUM(C536:C537)</f>
        <v>3395355.3560000001</v>
      </c>
      <c r="E537" s="21">
        <v>55456.800000000003</v>
      </c>
      <c r="F537" s="21">
        <f>SUM(E536:E537)</f>
        <v>171124.8</v>
      </c>
      <c r="G537" s="21">
        <v>37684.920000000006</v>
      </c>
      <c r="H537" s="21">
        <f>SUM(G536:G537)</f>
        <v>364084.92</v>
      </c>
      <c r="I537" s="21">
        <v>169706.81895272</v>
      </c>
      <c r="J537" s="21">
        <f>SUM(I536:I537)</f>
        <v>370661.62580364</v>
      </c>
      <c r="K537" s="21">
        <v>101782.64000000001</v>
      </c>
      <c r="L537" s="21">
        <f>SUM(K536:K537)</f>
        <v>238855.76</v>
      </c>
      <c r="M537" s="21">
        <v>50512</v>
      </c>
      <c r="N537" s="21">
        <f>SUM(M536:M537)</f>
        <v>104901.92000000001</v>
      </c>
    </row>
    <row r="538" spans="1:26">
      <c r="A538" s="20" t="s">
        <v>85</v>
      </c>
      <c r="C538" s="21">
        <v>145233.92000000001</v>
      </c>
      <c r="D538" s="21">
        <f>SUM(C536:C538)</f>
        <v>3540589.2760000001</v>
      </c>
      <c r="E538">
        <v>26320</v>
      </c>
      <c r="F538" s="21">
        <f>SUM(E536:E538)</f>
        <v>197444.8</v>
      </c>
      <c r="G538" s="21">
        <v>34740.383999999998</v>
      </c>
      <c r="H538" s="21">
        <f>SUM(G536:G538)</f>
        <v>398825.304</v>
      </c>
      <c r="I538" s="21">
        <v>48738.536</v>
      </c>
      <c r="J538" s="21">
        <f>SUM(I536:I538)</f>
        <v>419400.16180364002</v>
      </c>
      <c r="K538" s="21">
        <v>37349.884000000005</v>
      </c>
      <c r="L538" s="21">
        <f>SUM(K536:K538)</f>
        <v>276205.64400000003</v>
      </c>
      <c r="M538" s="21">
        <v>15072</v>
      </c>
      <c r="N538" s="21">
        <f>SUM(M536:M538)</f>
        <v>119973.92000000001</v>
      </c>
    </row>
    <row r="539" spans="1:26">
      <c r="A539" s="20" t="s">
        <v>63</v>
      </c>
      <c r="C539" s="21">
        <v>65148.36</v>
      </c>
      <c r="D539" s="21">
        <f>SUM(C536:C539)</f>
        <v>3605737.6359999999</v>
      </c>
      <c r="E539" s="21">
        <v>12000</v>
      </c>
      <c r="F539" s="21">
        <f>SUM(E536:E539)</f>
        <v>209444.8</v>
      </c>
      <c r="G539" s="21">
        <v>25455.600000000002</v>
      </c>
      <c r="H539" s="21">
        <f>SUM(G536:G539)</f>
        <v>424280.90399999998</v>
      </c>
      <c r="I539" s="21">
        <v>17521.090147680003</v>
      </c>
      <c r="J539" s="21">
        <f>SUM(I536:I539)</f>
        <v>436921.25195132004</v>
      </c>
      <c r="K539" s="21">
        <v>25955.86</v>
      </c>
      <c r="L539" s="21">
        <f>SUM(K536:K539)</f>
        <v>302161.50400000002</v>
      </c>
      <c r="M539" s="21">
        <v>4336</v>
      </c>
      <c r="N539" s="21">
        <f>SUM(M536:M539)</f>
        <v>124309.92000000001</v>
      </c>
      <c r="S539" s="20"/>
    </row>
    <row r="540" spans="1:26">
      <c r="A540" s="20" t="s">
        <v>86</v>
      </c>
      <c r="C540" s="21">
        <v>50400</v>
      </c>
      <c r="D540" s="21">
        <f>SUM(C536:C540)</f>
        <v>3656137.6359999999</v>
      </c>
      <c r="E540" s="21">
        <v>7343.52</v>
      </c>
      <c r="F540" s="21">
        <f>SUM(E536:E540)</f>
        <v>216788.31999999998</v>
      </c>
      <c r="G540" s="21">
        <v>15264</v>
      </c>
      <c r="H540" s="21">
        <f>SUM(G536:G540)</f>
        <v>439544.90399999998</v>
      </c>
      <c r="I540" s="21">
        <v>9193.7000000000007</v>
      </c>
      <c r="J540" s="21">
        <f>SUM(I536:I540)</f>
        <v>446114.95195132005</v>
      </c>
      <c r="K540" s="21">
        <v>11269.740000000002</v>
      </c>
      <c r="L540" s="21">
        <f>SUM(K536:K540)</f>
        <v>313431.24400000001</v>
      </c>
      <c r="M540" s="21">
        <v>240</v>
      </c>
      <c r="N540" s="21">
        <f>SUM(M536:M540)</f>
        <v>124549.92000000001</v>
      </c>
    </row>
    <row r="541" spans="1:26">
      <c r="A541" s="20" t="s">
        <v>190</v>
      </c>
      <c r="C541" s="21">
        <v>32186.880000000001</v>
      </c>
      <c r="D541" s="21">
        <f>SUM(C536:C541)</f>
        <v>3688324.5159999998</v>
      </c>
      <c r="E541" s="21">
        <v>4984.08</v>
      </c>
      <c r="F541" s="21">
        <f>SUM(E536:E541)</f>
        <v>221772.39999999997</v>
      </c>
      <c r="G541" s="21">
        <v>800</v>
      </c>
      <c r="H541" s="21">
        <f>SUM(G536:G541)</f>
        <v>440344.90399999998</v>
      </c>
      <c r="I541" s="21">
        <v>6974.0160000000005</v>
      </c>
      <c r="J541" s="21">
        <f>SUM(I536:I541)</f>
        <v>453088.96795132005</v>
      </c>
      <c r="K541" s="21">
        <v>4830.0160000000005</v>
      </c>
      <c r="L541" s="21">
        <f>SUM(K536:K541)</f>
        <v>318261.26</v>
      </c>
      <c r="M541" s="21">
        <v>0</v>
      </c>
      <c r="N541" s="21">
        <f>SUM(M536:M541)</f>
        <v>124549.92000000001</v>
      </c>
    </row>
    <row r="542" spans="1:26">
      <c r="A542" s="20" t="s">
        <v>194</v>
      </c>
      <c r="C542" s="21">
        <v>26509.88</v>
      </c>
      <c r="D542" s="21">
        <f>SUM(C536:C542)</f>
        <v>3714834.3959999997</v>
      </c>
      <c r="E542">
        <v>2400</v>
      </c>
      <c r="F542" s="21">
        <f>SUM(E536:E542)</f>
        <v>224172.39999999997</v>
      </c>
      <c r="G542" s="21">
        <v>0</v>
      </c>
      <c r="H542" s="21">
        <f>SUM(G536:G542)</f>
        <v>440344.90399999998</v>
      </c>
      <c r="I542" s="21">
        <v>4800</v>
      </c>
      <c r="J542" s="21">
        <f>SUM(I536:I542)</f>
        <v>457888.96795132005</v>
      </c>
      <c r="K542" s="21">
        <v>4056</v>
      </c>
      <c r="L542" s="21">
        <f>SUM(K536:K542)</f>
        <v>322317.26</v>
      </c>
      <c r="M542" s="21">
        <v>0</v>
      </c>
      <c r="N542" s="21">
        <f>SUM(M536:M542)</f>
        <v>124549.92000000001</v>
      </c>
    </row>
    <row r="543" spans="1:26">
      <c r="C543" s="21">
        <v>9800</v>
      </c>
      <c r="E543" s="21">
        <v>960</v>
      </c>
      <c r="G543" s="21">
        <v>0</v>
      </c>
      <c r="I543" s="21">
        <v>2433.3236000000002</v>
      </c>
      <c r="K543" s="21">
        <v>0</v>
      </c>
      <c r="M543" s="21">
        <v>0</v>
      </c>
    </row>
    <row r="544" spans="1:26">
      <c r="C544" s="21">
        <v>6988.8880000000008</v>
      </c>
      <c r="E544" s="21">
        <v>0</v>
      </c>
      <c r="G544" s="21">
        <v>0</v>
      </c>
      <c r="I544" s="21">
        <v>740</v>
      </c>
      <c r="K544" s="21">
        <v>0</v>
      </c>
      <c r="M544" s="21">
        <v>0</v>
      </c>
    </row>
    <row r="545" spans="1:26">
      <c r="C545" s="21">
        <v>5980</v>
      </c>
      <c r="E545" s="21">
        <v>0</v>
      </c>
      <c r="G545" s="21">
        <v>0</v>
      </c>
      <c r="I545" s="21">
        <v>0</v>
      </c>
      <c r="K545" s="21">
        <v>0</v>
      </c>
      <c r="M545" s="21">
        <v>0</v>
      </c>
    </row>
    <row r="546" spans="1:26">
      <c r="C546" s="21">
        <v>0</v>
      </c>
      <c r="E546" s="21">
        <v>0</v>
      </c>
      <c r="G546" s="21">
        <v>0</v>
      </c>
      <c r="I546" s="21">
        <v>0</v>
      </c>
      <c r="K546" s="21">
        <v>0</v>
      </c>
      <c r="M546" s="21">
        <v>0</v>
      </c>
    </row>
    <row r="547" spans="1:26">
      <c r="C547">
        <v>0</v>
      </c>
      <c r="E547">
        <v>0</v>
      </c>
      <c r="G547" s="21">
        <v>0</v>
      </c>
      <c r="I547" s="21">
        <v>0</v>
      </c>
      <c r="K547" s="21">
        <v>0</v>
      </c>
      <c r="M547" s="21">
        <v>0</v>
      </c>
    </row>
    <row r="548" spans="1:26">
      <c r="C548" s="21"/>
      <c r="E548" s="21">
        <v>0</v>
      </c>
      <c r="G548" s="21">
        <v>0</v>
      </c>
      <c r="I548" s="21">
        <v>0</v>
      </c>
      <c r="K548" s="21">
        <v>0</v>
      </c>
      <c r="M548" s="21">
        <v>0</v>
      </c>
      <c r="P548" s="50" t="s">
        <v>177</v>
      </c>
      <c r="Q548" s="50"/>
      <c r="R548" s="50"/>
    </row>
    <row r="549" spans="1:26">
      <c r="C549" s="21"/>
      <c r="E549" s="21">
        <v>0</v>
      </c>
      <c r="G549" s="21">
        <v>0</v>
      </c>
      <c r="I549" s="21">
        <v>0</v>
      </c>
      <c r="K549" s="21">
        <v>0</v>
      </c>
      <c r="M549" s="21">
        <v>0</v>
      </c>
      <c r="P549" s="87" t="s">
        <v>109</v>
      </c>
      <c r="Q549" s="87"/>
      <c r="R549" s="87"/>
    </row>
    <row r="550" spans="1:26">
      <c r="C550" s="21"/>
      <c r="E550" s="21">
        <v>0</v>
      </c>
      <c r="G550" s="21">
        <v>0</v>
      </c>
      <c r="I550" s="21"/>
      <c r="K550" s="21">
        <v>0</v>
      </c>
      <c r="M550">
        <v>0</v>
      </c>
      <c r="O550" s="20"/>
      <c r="P550" s="50" t="s">
        <v>91</v>
      </c>
      <c r="Q550" s="50"/>
      <c r="R550" s="50"/>
    </row>
    <row r="551" spans="1:26">
      <c r="A551" s="20" t="s">
        <v>64</v>
      </c>
      <c r="C551" s="21"/>
      <c r="D551" s="21">
        <f>SUM(C536:C549)</f>
        <v>3737603.2839999995</v>
      </c>
      <c r="E551" s="21"/>
      <c r="F551" s="21">
        <f>SUM(E536:E551)</f>
        <v>225132.39999999997</v>
      </c>
      <c r="G551" s="21"/>
      <c r="H551" s="21">
        <f>SUM(G536:G553)</f>
        <v>440344.90399999998</v>
      </c>
      <c r="I551" s="21"/>
      <c r="J551" s="21">
        <f>SUM(I536:I550)</f>
        <v>461062.29155132006</v>
      </c>
      <c r="K551" s="21"/>
      <c r="L551" s="21">
        <f>SUM(K536:K551)</f>
        <v>322317.26</v>
      </c>
      <c r="M551" s="21"/>
      <c r="N551" s="21">
        <f>SUM(M536:M551)</f>
        <v>124549.92000000001</v>
      </c>
      <c r="O551" s="21"/>
      <c r="P551" s="88">
        <f>AVERAGE(D551,F551,H551,J551,L551,N551)</f>
        <v>885168.34325855318</v>
      </c>
      <c r="Q551" s="88"/>
      <c r="R551" s="88"/>
      <c r="S551" s="20"/>
    </row>
    <row r="552" spans="1:26">
      <c r="A552" s="20" t="s">
        <v>270</v>
      </c>
      <c r="C552" s="21"/>
      <c r="D552" s="44">
        <f>D537/D551</f>
        <v>0.90843117848673227</v>
      </c>
      <c r="E552" s="21"/>
      <c r="F552" s="44">
        <f>F537/F551</f>
        <v>0.76010738569837133</v>
      </c>
      <c r="G552" s="21"/>
      <c r="H552" s="44">
        <f>H537/H551</f>
        <v>0.82681760749977928</v>
      </c>
      <c r="I552" s="21"/>
      <c r="J552" s="44">
        <f>J537/J551</f>
        <v>0.803929604731907</v>
      </c>
      <c r="K552" s="21"/>
      <c r="L552" s="44">
        <f>L537/L551</f>
        <v>0.7410579253497005</v>
      </c>
      <c r="M552" s="21"/>
      <c r="N552" s="44">
        <f>N537/N551</f>
        <v>0.84224799180922805</v>
      </c>
      <c r="O552" s="21"/>
      <c r="P552" s="89">
        <f>AVERAGE(D552,F552,H552,J552,L552,N552)</f>
        <v>0.81376528226261968</v>
      </c>
      <c r="Q552" s="89"/>
      <c r="R552" s="89"/>
      <c r="S552" s="20"/>
    </row>
    <row r="553" spans="1:26">
      <c r="A553" s="20" t="s">
        <v>83</v>
      </c>
      <c r="C553" s="21"/>
      <c r="D553" s="138">
        <f>D538/D551</f>
        <v>0.94728867859160426</v>
      </c>
      <c r="E553" s="21"/>
      <c r="F553" s="138">
        <f>F538/F551</f>
        <v>0.87701636903439939</v>
      </c>
      <c r="G553" s="21"/>
      <c r="H553" s="138">
        <f>H538/H551</f>
        <v>0.90571118315928101</v>
      </c>
      <c r="I553" s="21"/>
      <c r="J553" s="138">
        <f>J538/J551</f>
        <v>0.90963882644251615</v>
      </c>
      <c r="K553" s="21"/>
      <c r="L553" s="138">
        <f>L538/L551</f>
        <v>0.85693718046622769</v>
      </c>
      <c r="M553" s="21"/>
      <c r="N553" s="138">
        <f>N538/N551</f>
        <v>0.96325971144742606</v>
      </c>
      <c r="O553" s="44"/>
      <c r="P553" s="89">
        <f>AVERAGE(D553,F553,H553,J553,L553,N553)</f>
        <v>0.90997532485690913</v>
      </c>
      <c r="Q553" s="89"/>
      <c r="R553" s="89"/>
      <c r="S553" s="20"/>
      <c r="T553" s="20" t="s">
        <v>83</v>
      </c>
    </row>
    <row r="554" spans="1:26">
      <c r="A554" s="20" t="s">
        <v>65</v>
      </c>
      <c r="C554" s="21"/>
      <c r="D554" s="44">
        <f>D539/D551</f>
        <v>0.96471919623880564</v>
      </c>
      <c r="E554" s="21"/>
      <c r="F554" s="44">
        <f>F539/F551</f>
        <v>0.93031833712073442</v>
      </c>
      <c r="G554" s="21"/>
      <c r="H554" s="44">
        <f>H539/H551</f>
        <v>0.9635195051558948</v>
      </c>
      <c r="I554" s="21"/>
      <c r="J554" s="44">
        <f>J539/J551</f>
        <v>0.94764039470941441</v>
      </c>
      <c r="K554" s="21"/>
      <c r="L554" s="44">
        <f>L539/L551</f>
        <v>0.93746609784409318</v>
      </c>
      <c r="M554" s="21"/>
      <c r="N554" s="44">
        <f>N539/N551</f>
        <v>0.99807306178920063</v>
      </c>
      <c r="O554" s="44"/>
      <c r="P554" s="89">
        <f>AVERAGE(D554,F554,H554,J554,L554,N554)</f>
        <v>0.95695609880969046</v>
      </c>
      <c r="Q554" s="89"/>
      <c r="R554" s="89"/>
      <c r="S554" s="20"/>
      <c r="T554" s="20" t="s">
        <v>65</v>
      </c>
      <c r="Z554" s="100"/>
    </row>
    <row r="555" spans="1:26">
      <c r="A555" s="20" t="s">
        <v>82</v>
      </c>
      <c r="C555" s="21"/>
      <c r="D555" s="44">
        <f>D540/D551</f>
        <v>0.97820377343183018</v>
      </c>
      <c r="E555" s="21"/>
      <c r="F555" s="44">
        <f>F540/F551</f>
        <v>0.96293700951084793</v>
      </c>
      <c r="G555" s="21"/>
      <c r="H555" s="44">
        <f>H540/H551</f>
        <v>0.99818324228864019</v>
      </c>
      <c r="I555" s="21"/>
      <c r="J555" s="44">
        <f>J540/J551</f>
        <v>0.96758065043726038</v>
      </c>
      <c r="K555" s="21"/>
      <c r="L555" s="44">
        <f>L540/L551</f>
        <v>0.97243084034655791</v>
      </c>
      <c r="M555" s="21"/>
      <c r="N555" s="44">
        <f>N540/N551</f>
        <v>1</v>
      </c>
      <c r="O555" s="44"/>
      <c r="P555" s="89">
        <f>AVERAGE(D555,F555,H555,J555,L555,N555)</f>
        <v>0.97988925266918947</v>
      </c>
      <c r="Q555" s="89"/>
      <c r="R555" s="89"/>
      <c r="S555" s="20"/>
      <c r="T555" s="20" t="s">
        <v>82</v>
      </c>
      <c r="Z555" s="100"/>
    </row>
    <row r="556" spans="1:26">
      <c r="A556" s="20" t="s">
        <v>193</v>
      </c>
      <c r="D556" s="44">
        <f>D542/D551</f>
        <v>0.99390815817787048</v>
      </c>
      <c r="F556" s="44">
        <f>F542/F551</f>
        <v>0.99573584255309322</v>
      </c>
      <c r="G556" s="21"/>
      <c r="H556" s="44">
        <f>H542/H551</f>
        <v>1</v>
      </c>
      <c r="I556" s="21"/>
      <c r="J556" s="44">
        <f>J542/J551</f>
        <v>0.99311736470722245</v>
      </c>
      <c r="K556" s="21"/>
      <c r="L556" s="44">
        <f>L542/L551</f>
        <v>1</v>
      </c>
      <c r="M556" s="21"/>
      <c r="N556" s="44">
        <f>N542/N551</f>
        <v>1</v>
      </c>
      <c r="P556" s="89">
        <f t="shared" ref="P556" si="44">AVERAGE(D556,F556,H556,J556,L556,N556)</f>
        <v>0.99712689423969769</v>
      </c>
      <c r="Q556" s="89"/>
      <c r="R556" s="89"/>
      <c r="T556" s="20" t="s">
        <v>193</v>
      </c>
      <c r="Z556" s="100"/>
    </row>
    <row r="557" spans="1:26">
      <c r="P557" s="89"/>
      <c r="Q557" s="89"/>
      <c r="R557" s="89"/>
      <c r="Z557" s="100"/>
    </row>
    <row r="558" spans="1:26">
      <c r="D558" s="58" t="s">
        <v>109</v>
      </c>
      <c r="E558" s="57"/>
      <c r="F558" s="58" t="s">
        <v>109</v>
      </c>
      <c r="G558" s="57"/>
      <c r="H558" s="58" t="s">
        <v>109</v>
      </c>
      <c r="I558" s="57"/>
      <c r="J558" s="58" t="s">
        <v>109</v>
      </c>
      <c r="K558" s="57"/>
      <c r="L558" s="58" t="s">
        <v>109</v>
      </c>
      <c r="M558" s="57"/>
      <c r="N558" s="58"/>
    </row>
    <row r="559" spans="1:26">
      <c r="C559" s="55" t="s">
        <v>124</v>
      </c>
      <c r="D559" s="53"/>
      <c r="E559" s="55" t="s">
        <v>125</v>
      </c>
      <c r="F559" s="53"/>
      <c r="G559" s="55" t="s">
        <v>126</v>
      </c>
      <c r="H559" s="53"/>
      <c r="I559" s="55" t="s">
        <v>127</v>
      </c>
      <c r="J559" s="53"/>
      <c r="K559" s="55" t="s">
        <v>128</v>
      </c>
      <c r="M559" s="134" t="s">
        <v>279</v>
      </c>
      <c r="N559" s="53"/>
    </row>
    <row r="560" spans="1:26">
      <c r="C560" s="21">
        <v>1874080</v>
      </c>
      <c r="E560" s="21">
        <v>175613.2</v>
      </c>
      <c r="G560" s="21">
        <v>487500</v>
      </c>
      <c r="H560" s="21"/>
      <c r="I560" s="21">
        <v>513221.11999999994</v>
      </c>
      <c r="J560" s="21"/>
      <c r="K560" s="21">
        <v>70111.872000000003</v>
      </c>
      <c r="M560" s="21">
        <v>108640</v>
      </c>
    </row>
    <row r="561" spans="1:19">
      <c r="A561" s="20" t="s">
        <v>271</v>
      </c>
      <c r="C561" s="21">
        <v>243408.47999999998</v>
      </c>
      <c r="D561" s="21">
        <f>SUM(C560:C561)</f>
        <v>2117488.48</v>
      </c>
      <c r="E561" s="21">
        <v>125881.20000000001</v>
      </c>
      <c r="F561" s="21">
        <f>SUM(E560:E561)</f>
        <v>301494.40000000002</v>
      </c>
      <c r="G561" s="21">
        <v>43425.48</v>
      </c>
      <c r="H561" s="21">
        <f>SUM(G560:G561)</f>
        <v>530925.48</v>
      </c>
      <c r="I561" s="21">
        <v>283647.84000000003</v>
      </c>
      <c r="J561" s="21">
        <f>SUM(I560:I561)</f>
        <v>796868.96</v>
      </c>
      <c r="K561" s="21">
        <v>24659.680000000004</v>
      </c>
      <c r="L561" s="21">
        <f>SUM(K560:K561)</f>
        <v>94771.552000000011</v>
      </c>
      <c r="M561" s="21">
        <v>22920</v>
      </c>
      <c r="N561" s="21">
        <f>SUM(M560:M561)</f>
        <v>131560</v>
      </c>
    </row>
    <row r="562" spans="1:19">
      <c r="A562" s="20" t="s">
        <v>85</v>
      </c>
      <c r="C562" s="21">
        <v>59009.280000000006</v>
      </c>
      <c r="D562" s="21">
        <f>SUM(C560:C562)</f>
        <v>2176497.7599999998</v>
      </c>
      <c r="E562" s="21">
        <v>49800</v>
      </c>
      <c r="F562" s="21">
        <f>SUM(E560:E562)</f>
        <v>351294.4</v>
      </c>
      <c r="G562" s="21">
        <v>25440</v>
      </c>
      <c r="H562" s="21">
        <f>SUM(G560:G562)</f>
        <v>556365.48</v>
      </c>
      <c r="I562" s="21">
        <v>106032.92</v>
      </c>
      <c r="J562" s="21">
        <f>SUM(I560:I562)</f>
        <v>902901.88</v>
      </c>
      <c r="K562" s="21">
        <v>6247.4279999999999</v>
      </c>
      <c r="L562" s="21">
        <f>SUM(K560:K562)</f>
        <v>101018.98000000001</v>
      </c>
      <c r="M562" s="21">
        <v>20760</v>
      </c>
      <c r="N562" s="21">
        <f>SUM(M560:M562)</f>
        <v>152320</v>
      </c>
    </row>
    <row r="563" spans="1:19">
      <c r="A563" s="20" t="s">
        <v>63</v>
      </c>
      <c r="C563" s="21">
        <v>36253</v>
      </c>
      <c r="D563" s="21">
        <f>SUM(C560:C563)</f>
        <v>2212750.7599999998</v>
      </c>
      <c r="E563">
        <v>26260</v>
      </c>
      <c r="F563" s="21">
        <f>SUM(E560:E563)</f>
        <v>377554.4</v>
      </c>
      <c r="G563" s="21">
        <v>21600</v>
      </c>
      <c r="H563" s="21">
        <f>SUM(G560:G563)</f>
        <v>577965.48</v>
      </c>
      <c r="I563" s="21">
        <v>58327.564000000006</v>
      </c>
      <c r="J563" s="21">
        <f>SUM(I560:I563)</f>
        <v>961229.44400000002</v>
      </c>
      <c r="K563" s="21">
        <v>4605.5919999999996</v>
      </c>
      <c r="L563" s="21">
        <f>SUM(K560:K563)</f>
        <v>105624.57200000001</v>
      </c>
      <c r="M563" s="21">
        <v>18400</v>
      </c>
      <c r="N563" s="21">
        <f>SUM(M560:M563)</f>
        <v>170720</v>
      </c>
      <c r="S563" s="20"/>
    </row>
    <row r="564" spans="1:19">
      <c r="A564" s="20" t="s">
        <v>86</v>
      </c>
      <c r="C564" s="21">
        <v>25200</v>
      </c>
      <c r="D564" s="21">
        <f>SUM(C560:C564)</f>
        <v>2237950.7599999998</v>
      </c>
      <c r="E564" s="21">
        <v>24451.240000000005</v>
      </c>
      <c r="F564" s="21">
        <f>SUM(E560:E564)</f>
        <v>402005.64</v>
      </c>
      <c r="G564" s="21">
        <v>20640</v>
      </c>
      <c r="H564" s="21">
        <f>SUM(G560:G564)</f>
        <v>598605.48</v>
      </c>
      <c r="I564" s="21">
        <v>45280.175999999999</v>
      </c>
      <c r="J564" s="21">
        <f>SUM(I560:I564)</f>
        <v>1006509.62</v>
      </c>
      <c r="K564" s="21">
        <v>302.84000000000003</v>
      </c>
      <c r="L564" s="21">
        <f>SUM(K560:K564)</f>
        <v>105927.41200000001</v>
      </c>
      <c r="M564" s="21">
        <v>17312</v>
      </c>
      <c r="N564" s="21">
        <f>SUM(M560:M564)</f>
        <v>188032</v>
      </c>
    </row>
    <row r="565" spans="1:19">
      <c r="A565" s="20" t="s">
        <v>190</v>
      </c>
      <c r="C565" s="21">
        <v>16956</v>
      </c>
      <c r="D565" s="21">
        <f>SUM(C560:C565)</f>
        <v>2254906.7599999998</v>
      </c>
      <c r="E565" s="21">
        <v>16020.440000000002</v>
      </c>
      <c r="F565" s="21">
        <f>SUM(E560:E565)</f>
        <v>418026.08</v>
      </c>
      <c r="G565" s="21">
        <v>17040.791999999998</v>
      </c>
      <c r="H565" s="21">
        <f>SUM(G560:G565)</f>
        <v>615646.272</v>
      </c>
      <c r="I565" s="21">
        <v>30182.327999999998</v>
      </c>
      <c r="J565" s="21">
        <f>SUM(I560:I565)</f>
        <v>1036691.948</v>
      </c>
      <c r="K565" s="21">
        <v>0</v>
      </c>
      <c r="L565" s="21">
        <f>SUM(K560:K565)</f>
        <v>105927.41200000001</v>
      </c>
      <c r="M565" s="21">
        <v>3008</v>
      </c>
      <c r="N565" s="21">
        <f>SUM(M560:M565)</f>
        <v>191040</v>
      </c>
    </row>
    <row r="566" spans="1:19">
      <c r="C566" s="21">
        <v>9500</v>
      </c>
      <c r="E566" s="21">
        <v>160</v>
      </c>
      <c r="G566" s="21">
        <v>10584.720000000001</v>
      </c>
      <c r="I566" s="21">
        <v>22920</v>
      </c>
      <c r="K566" s="21">
        <v>0</v>
      </c>
      <c r="M566" s="21">
        <v>544</v>
      </c>
    </row>
    <row r="567" spans="1:19">
      <c r="C567" s="21">
        <v>6983.344000000001</v>
      </c>
      <c r="E567" s="21">
        <v>0</v>
      </c>
      <c r="G567" s="21">
        <v>8764.7800000000007</v>
      </c>
      <c r="I567" s="21">
        <v>8055.6</v>
      </c>
      <c r="K567" s="21">
        <v>0</v>
      </c>
      <c r="M567" s="21">
        <v>0</v>
      </c>
    </row>
    <row r="568" spans="1:19">
      <c r="C568" s="21">
        <v>5449.52</v>
      </c>
      <c r="E568">
        <v>0</v>
      </c>
      <c r="G568" s="21">
        <v>5000</v>
      </c>
      <c r="I568" s="21">
        <v>1924</v>
      </c>
      <c r="K568" s="21">
        <v>0</v>
      </c>
      <c r="M568" s="21">
        <v>0</v>
      </c>
    </row>
    <row r="569" spans="1:19">
      <c r="C569" s="21">
        <v>0</v>
      </c>
      <c r="E569" s="21">
        <v>0</v>
      </c>
      <c r="G569" s="21">
        <v>1640.6240000000003</v>
      </c>
      <c r="I569" s="21">
        <v>0</v>
      </c>
      <c r="K569" s="21">
        <v>0</v>
      </c>
      <c r="M569" s="21">
        <v>0</v>
      </c>
    </row>
    <row r="570" spans="1:19">
      <c r="C570" s="21">
        <v>0</v>
      </c>
      <c r="E570" s="21">
        <v>0</v>
      </c>
      <c r="G570" s="21">
        <v>200</v>
      </c>
      <c r="I570" s="21">
        <v>0</v>
      </c>
      <c r="K570" s="21">
        <v>0</v>
      </c>
      <c r="M570" s="21">
        <v>0</v>
      </c>
    </row>
    <row r="571" spans="1:19">
      <c r="C571">
        <v>0</v>
      </c>
      <c r="E571" s="21">
        <v>0</v>
      </c>
      <c r="G571" s="21">
        <v>0</v>
      </c>
      <c r="I571" s="21">
        <v>0</v>
      </c>
      <c r="K571" s="21">
        <v>0</v>
      </c>
      <c r="M571" s="21">
        <v>0</v>
      </c>
    </row>
    <row r="572" spans="1:19">
      <c r="C572" s="21"/>
      <c r="E572" s="21">
        <v>0</v>
      </c>
      <c r="G572" s="21">
        <v>0</v>
      </c>
      <c r="I572" s="21">
        <v>0</v>
      </c>
      <c r="K572" s="21">
        <v>0</v>
      </c>
      <c r="M572" s="21">
        <v>0</v>
      </c>
      <c r="P572" s="50" t="s">
        <v>145</v>
      </c>
      <c r="Q572" s="50"/>
      <c r="R572" s="50"/>
    </row>
    <row r="573" spans="1:19">
      <c r="C573" s="21"/>
      <c r="E573" s="21">
        <v>0</v>
      </c>
      <c r="G573" s="21">
        <v>0</v>
      </c>
      <c r="I573" s="21">
        <v>0</v>
      </c>
      <c r="K573" s="21">
        <v>0</v>
      </c>
      <c r="M573" s="21">
        <v>0</v>
      </c>
      <c r="P573" s="87" t="s">
        <v>109</v>
      </c>
      <c r="Q573" s="87"/>
      <c r="R573" s="87"/>
    </row>
    <row r="574" spans="1:19">
      <c r="C574" s="21"/>
      <c r="E574" s="21"/>
      <c r="G574" s="21">
        <v>0</v>
      </c>
      <c r="I574" s="21">
        <v>0</v>
      </c>
      <c r="K574" s="21">
        <v>0</v>
      </c>
      <c r="M574">
        <v>0</v>
      </c>
      <c r="O574" s="20"/>
      <c r="P574" s="50" t="s">
        <v>91</v>
      </c>
      <c r="Q574" s="50"/>
      <c r="R574" s="50"/>
    </row>
    <row r="575" spans="1:19">
      <c r="A575" s="20" t="s">
        <v>64</v>
      </c>
      <c r="C575" s="21"/>
      <c r="D575" s="21">
        <f>SUM(C560:C573)</f>
        <v>2276839.6239999998</v>
      </c>
      <c r="F575" s="21">
        <f>SUM(E560:E575)</f>
        <v>418186.08</v>
      </c>
      <c r="G575" s="21">
        <v>0</v>
      </c>
      <c r="H575" s="21">
        <f>SUM(G560:G577)</f>
        <v>641836.39599999995</v>
      </c>
      <c r="I575" s="21">
        <v>0</v>
      </c>
      <c r="J575" s="21">
        <f>SUM(I560:I574)</f>
        <v>1069591.548</v>
      </c>
      <c r="K575" s="21">
        <v>0</v>
      </c>
      <c r="L575" s="21">
        <f>SUM(K560:K575)</f>
        <v>105927.41200000001</v>
      </c>
      <c r="M575" s="21"/>
      <c r="N575" s="21">
        <f>SUM(M560:M575)</f>
        <v>191584</v>
      </c>
      <c r="O575" s="21"/>
      <c r="P575" s="88">
        <f>AVERAGE(D575,F575,H575,J575,L575,N575)</f>
        <v>783994.17666666675</v>
      </c>
      <c r="Q575" s="88"/>
      <c r="R575" s="88"/>
      <c r="S575" s="20"/>
    </row>
    <row r="576" spans="1:19">
      <c r="A576" s="20" t="s">
        <v>270</v>
      </c>
      <c r="C576" s="21"/>
      <c r="D576" s="44">
        <f>D561/D575</f>
        <v>0.93001213510152791</v>
      </c>
      <c r="F576" s="44">
        <f>F561/F575</f>
        <v>0.72095752206768815</v>
      </c>
      <c r="G576" s="21"/>
      <c r="H576" s="44">
        <f>H561/H575</f>
        <v>0.82719752776375743</v>
      </c>
      <c r="I576" s="21"/>
      <c r="J576" s="44">
        <f>J561/J575</f>
        <v>0.74502174357121975</v>
      </c>
      <c r="K576" s="21"/>
      <c r="L576" s="44">
        <f>L561/L575</f>
        <v>0.89468391807778713</v>
      </c>
      <c r="M576" s="21"/>
      <c r="N576" s="44">
        <f>N561/N575</f>
        <v>0.68669617504593283</v>
      </c>
      <c r="O576" s="21"/>
      <c r="P576" s="89">
        <f>AVERAGE(D576,F576,H576,J576,L576,N576)</f>
        <v>0.80076150360465215</v>
      </c>
      <c r="Q576" s="89"/>
      <c r="R576" s="89"/>
      <c r="S576" s="20"/>
    </row>
    <row r="577" spans="1:26">
      <c r="A577" s="20" t="s">
        <v>83</v>
      </c>
      <c r="C577" s="21"/>
      <c r="D577" s="138">
        <f>D562/D575</f>
        <v>0.95592932284632448</v>
      </c>
      <c r="E577" s="21"/>
      <c r="F577" s="138">
        <f>F562/F575</f>
        <v>0.84004326495037807</v>
      </c>
      <c r="G577" s="21"/>
      <c r="H577" s="138">
        <f>H562/H575</f>
        <v>0.86683379669232719</v>
      </c>
      <c r="I577" s="21"/>
      <c r="J577" s="138">
        <f>J562/J575</f>
        <v>0.84415577300354661</v>
      </c>
      <c r="K577" s="21"/>
      <c r="L577" s="138">
        <f>L562/L575</f>
        <v>0.95366230603273872</v>
      </c>
      <c r="M577" s="21"/>
      <c r="N577" s="138">
        <f>N562/N575</f>
        <v>0.79505595456823119</v>
      </c>
      <c r="O577" s="44"/>
      <c r="P577" s="89">
        <f>AVERAGE(D577,F577,H577,J577,L577,N577)</f>
        <v>0.87594673634892439</v>
      </c>
      <c r="Q577" s="89"/>
      <c r="R577" s="89"/>
      <c r="S577" s="20"/>
      <c r="T577" s="20" t="s">
        <v>83</v>
      </c>
    </row>
    <row r="578" spans="1:26">
      <c r="A578" s="20" t="s">
        <v>65</v>
      </c>
      <c r="C578" s="21"/>
      <c r="D578" s="44">
        <f>D563/D575</f>
        <v>0.97185183210778481</v>
      </c>
      <c r="E578" s="21"/>
      <c r="F578" s="44">
        <f>F563/F575</f>
        <v>0.90283827716121012</v>
      </c>
      <c r="G578" s="21"/>
      <c r="H578" s="44">
        <f>H563/H575</f>
        <v>0.90048723257507512</v>
      </c>
      <c r="I578" s="21"/>
      <c r="J578" s="44">
        <f>J563/J575</f>
        <v>0.89868833181916663</v>
      </c>
      <c r="K578" s="21"/>
      <c r="L578" s="44">
        <f>L563/L575</f>
        <v>0.99714106108813461</v>
      </c>
      <c r="M578" s="21"/>
      <c r="N578" s="44">
        <f>N563/N575</f>
        <v>0.89109737765157837</v>
      </c>
      <c r="O578" s="44"/>
      <c r="P578" s="89">
        <f>AVERAGE(D578,F578,H578,J578,L578,N578)</f>
        <v>0.9270173520671583</v>
      </c>
      <c r="Q578" s="89"/>
      <c r="R578" s="89"/>
      <c r="S578" s="20"/>
      <c r="T578" s="20" t="s">
        <v>65</v>
      </c>
      <c r="Z578" s="100"/>
    </row>
    <row r="579" spans="1:26">
      <c r="A579" s="20" t="s">
        <v>82</v>
      </c>
      <c r="C579" s="21"/>
      <c r="D579" s="44">
        <f>D564/D575</f>
        <v>0.98291980533451917</v>
      </c>
      <c r="E579" s="21"/>
      <c r="F579" s="44">
        <f>F564/F575</f>
        <v>0.96130803779982343</v>
      </c>
      <c r="G579" s="21"/>
      <c r="H579" s="44">
        <f>H564/H575</f>
        <v>0.93264496019636756</v>
      </c>
      <c r="I579" s="21"/>
      <c r="J579" s="44">
        <f>J564/J575</f>
        <v>0.94102241353911675</v>
      </c>
      <c r="K579" s="21"/>
      <c r="L579" s="44">
        <f>L564/L575</f>
        <v>1</v>
      </c>
      <c r="M579" s="21"/>
      <c r="N579" s="44">
        <f>N564/N575</f>
        <v>0.98145982963086686</v>
      </c>
      <c r="O579" s="44"/>
      <c r="P579" s="89">
        <f>AVERAGE(D579,F579,H579,J579,L579,N579)</f>
        <v>0.96655917441678241</v>
      </c>
      <c r="Q579" s="89"/>
      <c r="R579" s="89"/>
      <c r="S579" s="20"/>
      <c r="T579" s="20" t="s">
        <v>82</v>
      </c>
      <c r="Z579" s="100"/>
    </row>
    <row r="580" spans="1:26">
      <c r="A580" s="20" t="s">
        <v>191</v>
      </c>
      <c r="D580" s="44">
        <f>D565/D575</f>
        <v>0.99036697017707909</v>
      </c>
      <c r="F580" s="44">
        <f>F565/F575</f>
        <v>0.99961739520358972</v>
      </c>
      <c r="G580" s="21"/>
      <c r="H580" s="44">
        <f>H565/H575</f>
        <v>0.95919501579651778</v>
      </c>
      <c r="I580" s="21"/>
      <c r="J580" s="44">
        <f>J565/J575</f>
        <v>0.96924096860944908</v>
      </c>
      <c r="K580" s="21"/>
      <c r="L580" s="44">
        <f>L565/L575</f>
        <v>1</v>
      </c>
      <c r="M580" s="21"/>
      <c r="N580" s="44">
        <f>N565/N575</f>
        <v>0.9971605144479706</v>
      </c>
      <c r="P580" s="89">
        <f t="shared" ref="P580" si="45">AVERAGE(D580,F580,H580,J580,L580,N580)</f>
        <v>0.98593014403910118</v>
      </c>
      <c r="Q580" s="89"/>
      <c r="R580" s="89"/>
      <c r="T580" s="20" t="s">
        <v>191</v>
      </c>
      <c r="Z580" s="100"/>
    </row>
    <row r="581" spans="1:26">
      <c r="Z581" s="100"/>
    </row>
    <row r="582" spans="1:26">
      <c r="D582" s="58" t="s">
        <v>109</v>
      </c>
      <c r="E582" s="57"/>
      <c r="F582" s="58" t="s">
        <v>109</v>
      </c>
      <c r="G582" s="57"/>
      <c r="H582" s="58" t="s">
        <v>109</v>
      </c>
      <c r="I582" s="57"/>
      <c r="J582" s="58" t="s">
        <v>109</v>
      </c>
      <c r="K582" s="57"/>
      <c r="L582" s="58" t="s">
        <v>109</v>
      </c>
      <c r="M582" s="57"/>
      <c r="N582" s="58"/>
    </row>
    <row r="583" spans="1:26">
      <c r="C583" s="55" t="s">
        <v>147</v>
      </c>
      <c r="D583" s="53"/>
      <c r="E583" s="55" t="s">
        <v>148</v>
      </c>
      <c r="F583" s="53"/>
      <c r="G583" s="55" t="s">
        <v>149</v>
      </c>
      <c r="H583" s="53"/>
      <c r="I583" s="55" t="s">
        <v>150</v>
      </c>
      <c r="J583" s="53"/>
      <c r="K583" s="55" t="s">
        <v>151</v>
      </c>
      <c r="M583" s="134" t="s">
        <v>280</v>
      </c>
      <c r="N583" s="53"/>
    </row>
    <row r="584" spans="1:26">
      <c r="C584" s="21">
        <v>823296</v>
      </c>
      <c r="E584" s="21">
        <v>295769.60000000003</v>
      </c>
      <c r="G584" s="21">
        <v>787200</v>
      </c>
      <c r="H584" s="21"/>
      <c r="I584" s="21">
        <v>857512.59200000006</v>
      </c>
      <c r="J584" s="21"/>
      <c r="K584" s="21">
        <v>110526.68000000001</v>
      </c>
      <c r="M584" s="21">
        <v>192552</v>
      </c>
    </row>
    <row r="585" spans="1:26">
      <c r="C585" s="21">
        <v>332141.65599999996</v>
      </c>
      <c r="E585" s="21">
        <v>151890</v>
      </c>
      <c r="G585" s="21">
        <v>624400</v>
      </c>
      <c r="H585" s="21"/>
      <c r="I585" s="21">
        <v>363875.26400000002</v>
      </c>
      <c r="J585" s="21"/>
      <c r="K585" s="21">
        <v>28442.544000000002</v>
      </c>
      <c r="M585" s="21">
        <v>111088</v>
      </c>
    </row>
    <row r="586" spans="1:26">
      <c r="A586" s="20" t="s">
        <v>85</v>
      </c>
      <c r="C586" s="21">
        <v>272810.42400000006</v>
      </c>
      <c r="D586" s="21">
        <f>SUM(C584:C586)</f>
        <v>1428248.08</v>
      </c>
      <c r="E586" s="21">
        <v>60260</v>
      </c>
      <c r="F586" s="21">
        <f>SUM(E584:E586)</f>
        <v>507919.60000000003</v>
      </c>
      <c r="G586" s="21">
        <v>222917.46400000004</v>
      </c>
      <c r="H586" s="21">
        <f>SUM(G584:G586)</f>
        <v>1634517.4640000002</v>
      </c>
      <c r="I586" s="21">
        <v>112078.08000000002</v>
      </c>
      <c r="J586" s="21">
        <f>SUM(I584:I586)</f>
        <v>1333465.9360000002</v>
      </c>
      <c r="K586" s="21">
        <v>20986.848000000002</v>
      </c>
      <c r="L586" s="21">
        <f>SUM(K584:K586)</f>
        <v>159956.07200000001</v>
      </c>
      <c r="M586" s="21">
        <v>72000</v>
      </c>
      <c r="N586" s="21">
        <f>SUM(M584:M586)</f>
        <v>375640</v>
      </c>
    </row>
    <row r="587" spans="1:26">
      <c r="A587" s="20" t="s">
        <v>63</v>
      </c>
      <c r="C587" s="21">
        <v>155660</v>
      </c>
      <c r="D587" s="21">
        <f>SUM(C584:C587)</f>
        <v>1583908.08</v>
      </c>
      <c r="E587" s="21">
        <v>56000</v>
      </c>
      <c r="F587" s="21">
        <f>SUM(E584:E587)</f>
        <v>563919.60000000009</v>
      </c>
      <c r="G587" s="21">
        <v>160917.41200000001</v>
      </c>
      <c r="H587" s="21">
        <f>SUM(G584:G587)</f>
        <v>1795434.8760000002</v>
      </c>
      <c r="I587" s="21">
        <v>100666.152</v>
      </c>
      <c r="J587" s="21">
        <f>SUM(I584:I587)</f>
        <v>1434132.0880000002</v>
      </c>
      <c r="K587" s="21">
        <v>19710.432000000001</v>
      </c>
      <c r="L587" s="21">
        <f>SUM(K584:K587)</f>
        <v>179666.50400000002</v>
      </c>
      <c r="M587" s="21">
        <v>62100</v>
      </c>
      <c r="N587" s="21">
        <f>SUM(M584:M587)</f>
        <v>437740</v>
      </c>
      <c r="S587" s="20"/>
    </row>
    <row r="588" spans="1:26">
      <c r="A588" s="20" t="s">
        <v>86</v>
      </c>
      <c r="C588" s="21">
        <v>91846.400000000009</v>
      </c>
      <c r="D588" s="21">
        <f>SUM(C584:C588)</f>
        <v>1675754.48</v>
      </c>
      <c r="E588" s="21">
        <v>31108.776000000002</v>
      </c>
      <c r="F588" s="21">
        <f>SUM(E584:E588)</f>
        <v>595028.37600000005</v>
      </c>
      <c r="G588" s="21">
        <v>73918.656000000003</v>
      </c>
      <c r="H588" s="21">
        <f>SUM(G584:G588)</f>
        <v>1869353.5320000001</v>
      </c>
      <c r="I588" s="21">
        <v>41040</v>
      </c>
      <c r="J588" s="21">
        <f>SUM(I584:I588)</f>
        <v>1475172.0880000002</v>
      </c>
      <c r="K588" s="21">
        <v>11483.520000000002</v>
      </c>
      <c r="L588" s="21">
        <f>SUM(K584:K588)</f>
        <v>191150.024</v>
      </c>
      <c r="M588" s="21">
        <v>60256</v>
      </c>
      <c r="N588" s="21">
        <f>SUM(M584:M588)</f>
        <v>497996</v>
      </c>
    </row>
    <row r="589" spans="1:26">
      <c r="C589">
        <v>39240</v>
      </c>
      <c r="E589" s="21">
        <v>29671.664000000004</v>
      </c>
      <c r="G589" s="21">
        <v>22707.872000000003</v>
      </c>
      <c r="I589" s="21">
        <v>22372</v>
      </c>
      <c r="K589" s="21">
        <v>5160</v>
      </c>
      <c r="M589" s="21">
        <v>50336</v>
      </c>
    </row>
    <row r="590" spans="1:26">
      <c r="A590" s="20" t="s">
        <v>194</v>
      </c>
      <c r="C590" s="21">
        <v>28392</v>
      </c>
      <c r="D590" s="21">
        <f>SUM(C584:C590)</f>
        <v>1743386.48</v>
      </c>
      <c r="E590" s="21">
        <v>10530.960000000001</v>
      </c>
      <c r="F590" s="21">
        <f>SUM(E584:E590)</f>
        <v>635231</v>
      </c>
      <c r="G590" s="21">
        <v>7740</v>
      </c>
      <c r="H590" s="21">
        <f>SUM(G584:G590)</f>
        <v>1899801.4040000001</v>
      </c>
      <c r="I590" s="21">
        <v>18579.36</v>
      </c>
      <c r="J590" s="21">
        <f>SUM(I584:I590)</f>
        <v>1516123.4480000003</v>
      </c>
      <c r="K590" s="21">
        <v>4815.3360000000002</v>
      </c>
      <c r="L590" s="21">
        <f>SUM(K584:K590)</f>
        <v>201125.36000000002</v>
      </c>
      <c r="M590" s="21">
        <v>49500</v>
      </c>
      <c r="N590" s="21">
        <f>SUM(M584:M590)</f>
        <v>597832</v>
      </c>
    </row>
    <row r="591" spans="1:26">
      <c r="C591" s="21">
        <v>17640.000000000004</v>
      </c>
      <c r="E591" s="21">
        <v>6587.8400000000011</v>
      </c>
      <c r="G591" s="21">
        <v>6600</v>
      </c>
      <c r="I591" s="21">
        <v>15315.692000000003</v>
      </c>
      <c r="K591" s="21">
        <v>4813.9920000000002</v>
      </c>
      <c r="M591" s="21">
        <v>0</v>
      </c>
    </row>
    <row r="592" spans="1:26">
      <c r="C592" s="21">
        <v>10889.160000000002</v>
      </c>
      <c r="E592" s="21">
        <v>4881.7760000000007</v>
      </c>
      <c r="G592" s="21">
        <v>6223.9040000000005</v>
      </c>
      <c r="I592" s="21">
        <v>9807.4880000000012</v>
      </c>
      <c r="K592" s="21">
        <v>0</v>
      </c>
      <c r="M592" s="21">
        <v>0</v>
      </c>
    </row>
    <row r="593" spans="1:26">
      <c r="C593" s="21">
        <v>6976.8559999999998</v>
      </c>
      <c r="E593" s="21">
        <v>3540</v>
      </c>
      <c r="G593" s="21">
        <v>4000</v>
      </c>
      <c r="I593" s="21">
        <v>962</v>
      </c>
      <c r="K593" s="21">
        <v>0</v>
      </c>
      <c r="M593" s="21">
        <v>0</v>
      </c>
    </row>
    <row r="594" spans="1:26">
      <c r="C594" s="21">
        <v>0</v>
      </c>
      <c r="E594" s="21">
        <v>0</v>
      </c>
      <c r="G594" s="21">
        <v>2730.1400000000003</v>
      </c>
      <c r="I594" s="21">
        <v>0</v>
      </c>
      <c r="K594" s="21">
        <v>0</v>
      </c>
      <c r="M594" s="21">
        <v>0</v>
      </c>
    </row>
    <row r="595" spans="1:26">
      <c r="C595" s="21"/>
      <c r="E595" s="21">
        <v>0</v>
      </c>
      <c r="G595" s="21">
        <v>0</v>
      </c>
      <c r="I595" s="21">
        <v>0</v>
      </c>
      <c r="K595" s="21">
        <v>0</v>
      </c>
      <c r="M595" s="21">
        <v>0</v>
      </c>
    </row>
    <row r="596" spans="1:26">
      <c r="C596" s="21"/>
      <c r="E596" s="21">
        <v>0</v>
      </c>
      <c r="G596" s="21">
        <v>0</v>
      </c>
      <c r="I596" s="21">
        <v>0</v>
      </c>
      <c r="K596" s="21">
        <v>0</v>
      </c>
      <c r="M596" s="21">
        <v>0</v>
      </c>
      <c r="P596" s="50" t="s">
        <v>152</v>
      </c>
      <c r="Q596" s="50"/>
      <c r="R596" s="50"/>
    </row>
    <row r="597" spans="1:26">
      <c r="C597" s="21"/>
      <c r="E597" s="21">
        <v>0</v>
      </c>
      <c r="G597" s="21">
        <v>0</v>
      </c>
      <c r="I597" s="21"/>
      <c r="K597" s="21">
        <v>0</v>
      </c>
      <c r="M597" s="21">
        <v>0</v>
      </c>
      <c r="P597" s="87" t="s">
        <v>109</v>
      </c>
      <c r="Q597" s="87"/>
      <c r="R597" s="87"/>
    </row>
    <row r="598" spans="1:26">
      <c r="C598" s="21"/>
      <c r="E598" s="21">
        <v>0</v>
      </c>
      <c r="G598" s="21">
        <v>0</v>
      </c>
      <c r="I598" s="21"/>
      <c r="K598" s="21">
        <v>0</v>
      </c>
      <c r="M598" s="21">
        <v>0</v>
      </c>
      <c r="O598" s="20"/>
      <c r="P598" s="50" t="s">
        <v>91</v>
      </c>
      <c r="Q598" s="50"/>
      <c r="R598" s="50"/>
    </row>
    <row r="599" spans="1:26">
      <c r="A599" s="20" t="s">
        <v>64</v>
      </c>
      <c r="C599" s="21"/>
      <c r="D599" s="21">
        <f>SUM(C584:C597)</f>
        <v>1778892.4959999998</v>
      </c>
      <c r="E599" s="21">
        <v>0</v>
      </c>
      <c r="F599" s="21">
        <f>SUM(E584:E599)</f>
        <v>650240.61599999992</v>
      </c>
      <c r="G599" s="21"/>
      <c r="H599" s="21">
        <f>SUM(G584:G600)</f>
        <v>1919355.4480000001</v>
      </c>
      <c r="I599" s="21"/>
      <c r="J599" s="21">
        <f>SUM(I584:I598)</f>
        <v>1542208.6280000003</v>
      </c>
      <c r="K599" s="21"/>
      <c r="L599" s="21">
        <f>SUM(K584:K599)</f>
        <v>205939.35200000001</v>
      </c>
      <c r="M599" s="21">
        <v>0</v>
      </c>
      <c r="N599" s="21">
        <f>SUM(M584:M599)</f>
        <v>597832</v>
      </c>
      <c r="O599" s="21"/>
      <c r="P599" s="88">
        <f>AVERAGE(D599,F599,H599,J599,L599,N599)</f>
        <v>1115744.7566666666</v>
      </c>
      <c r="Q599" s="88"/>
      <c r="R599" s="88"/>
      <c r="S599" s="20"/>
    </row>
    <row r="600" spans="1:26">
      <c r="A600" s="20" t="s">
        <v>83</v>
      </c>
      <c r="C600" s="21"/>
      <c r="D600" s="138">
        <f>D586/D599</f>
        <v>0.80288611212400107</v>
      </c>
      <c r="E600" s="21"/>
      <c r="F600" s="138">
        <f>F586/F599</f>
        <v>0.78112561335295005</v>
      </c>
      <c r="G600" s="21"/>
      <c r="H600" s="138">
        <f>H586/H599</f>
        <v>0.85159706384932199</v>
      </c>
      <c r="I600" s="21"/>
      <c r="J600" s="138">
        <f>J586/J599</f>
        <v>0.86464691727817256</v>
      </c>
      <c r="K600" s="21"/>
      <c r="L600" s="138">
        <f>L586/L599</f>
        <v>0.77671445717669352</v>
      </c>
      <c r="M600">
        <v>0</v>
      </c>
      <c r="N600" s="138">
        <f>N586/N599</f>
        <v>0.62833705790255456</v>
      </c>
      <c r="O600" s="44"/>
      <c r="P600" s="89">
        <f>AVERAGE(D600,F600,H600,J600,L600,N600)</f>
        <v>0.78421787028061563</v>
      </c>
      <c r="Q600" s="89"/>
      <c r="R600" s="89"/>
      <c r="S600" s="20"/>
      <c r="T600" s="20" t="s">
        <v>83</v>
      </c>
    </row>
    <row r="601" spans="1:26">
      <c r="A601" s="20" t="s">
        <v>65</v>
      </c>
      <c r="C601" s="21"/>
      <c r="D601" s="44">
        <f>D587/D599</f>
        <v>0.89038999465204349</v>
      </c>
      <c r="E601" s="21"/>
      <c r="F601" s="44">
        <f>F587/F599</f>
        <v>0.86724757901004479</v>
      </c>
      <c r="G601" s="21"/>
      <c r="H601" s="44">
        <f>H587/H599</f>
        <v>0.93543636113408424</v>
      </c>
      <c r="I601" s="21"/>
      <c r="J601" s="44">
        <f>J587/J599</f>
        <v>0.92992093414743882</v>
      </c>
      <c r="K601" s="21"/>
      <c r="L601" s="44">
        <f>L587/L599</f>
        <v>0.87242434364851262</v>
      </c>
      <c r="M601" s="21"/>
      <c r="N601" s="44">
        <f>N587/N599</f>
        <v>0.7322123941174109</v>
      </c>
      <c r="O601" s="44"/>
      <c r="P601" s="89">
        <f>AVERAGE(D601,F601,H601,J601,L601,N601)</f>
        <v>0.87127193445158924</v>
      </c>
      <c r="Q601" s="89"/>
      <c r="R601" s="89"/>
      <c r="S601" s="20"/>
      <c r="T601" s="20" t="s">
        <v>65</v>
      </c>
      <c r="Z601" s="100"/>
    </row>
    <row r="602" spans="1:26">
      <c r="A602" s="20" t="s">
        <v>82</v>
      </c>
      <c r="C602" s="21"/>
      <c r="D602" s="44">
        <f>D588/D599</f>
        <v>0.94202122037620883</v>
      </c>
      <c r="E602" s="21"/>
      <c r="F602" s="44">
        <f>F588/F599</f>
        <v>0.91508952433694191</v>
      </c>
      <c r="G602" s="21"/>
      <c r="H602" s="44">
        <f>H588/H599</f>
        <v>0.97394858984973165</v>
      </c>
      <c r="I602" s="21"/>
      <c r="J602" s="44">
        <f>J588/J599</f>
        <v>0.9565321197256329</v>
      </c>
      <c r="K602" s="21"/>
      <c r="L602" s="44">
        <f>L588/L599</f>
        <v>0.92818600303258214</v>
      </c>
      <c r="M602" s="21"/>
      <c r="N602" s="44">
        <f>N588/N599</f>
        <v>0.83300325174965539</v>
      </c>
      <c r="O602" s="44"/>
      <c r="P602" s="89">
        <f>AVERAGE(D602,F602,H602,J602,L602,N602)</f>
        <v>0.92479678484512551</v>
      </c>
      <c r="Q602" s="89"/>
      <c r="R602" s="89"/>
      <c r="S602" s="20"/>
      <c r="T602" s="20" t="s">
        <v>82</v>
      </c>
      <c r="Z602" s="100"/>
    </row>
    <row r="603" spans="1:26">
      <c r="A603" s="20" t="s">
        <v>193</v>
      </c>
      <c r="D603" s="44">
        <f>D590/D599</f>
        <v>0.9800403812597791</v>
      </c>
      <c r="F603" s="44">
        <f>F590/F599</f>
        <v>0.97691682797003265</v>
      </c>
      <c r="G603" s="21"/>
      <c r="H603" s="44">
        <f>H590/H599</f>
        <v>0.98981218199037824</v>
      </c>
      <c r="I603" s="21"/>
      <c r="J603" s="44">
        <f>J590/J599</f>
        <v>0.98308582929287058</v>
      </c>
      <c r="K603" s="21"/>
      <c r="L603" s="44">
        <f>L590/L599</f>
        <v>0.97662422478633415</v>
      </c>
      <c r="M603" s="21"/>
      <c r="N603" s="44">
        <f>N590/N599</f>
        <v>1</v>
      </c>
      <c r="P603" s="89">
        <f t="shared" ref="P603" si="46">AVERAGE(D603,F603,H603,J603,L603,N603)</f>
        <v>0.98441324088323245</v>
      </c>
      <c r="Q603" s="89"/>
      <c r="R603" s="89"/>
      <c r="T603" s="20" t="s">
        <v>193</v>
      </c>
      <c r="Z603" s="100"/>
    </row>
    <row r="604" spans="1:26">
      <c r="Z604" s="100"/>
    </row>
    <row r="605" spans="1:26">
      <c r="D605" s="58" t="s">
        <v>109</v>
      </c>
      <c r="E605" s="57"/>
      <c r="F605" s="58" t="s">
        <v>109</v>
      </c>
      <c r="G605" s="57"/>
      <c r="H605" s="58" t="s">
        <v>109</v>
      </c>
      <c r="I605" s="57"/>
      <c r="J605" s="58" t="s">
        <v>109</v>
      </c>
      <c r="K605" s="57"/>
      <c r="L605" s="58" t="s">
        <v>109</v>
      </c>
      <c r="M605" s="57"/>
      <c r="N605" s="58"/>
    </row>
    <row r="606" spans="1:26">
      <c r="C606" s="55" t="s">
        <v>153</v>
      </c>
      <c r="D606" s="53"/>
      <c r="E606" s="55" t="s">
        <v>154</v>
      </c>
      <c r="F606" s="53"/>
      <c r="G606" s="55" t="s">
        <v>155</v>
      </c>
      <c r="H606" s="53"/>
      <c r="I606" s="55" t="s">
        <v>156</v>
      </c>
      <c r="J606" s="53"/>
      <c r="K606" s="55" t="s">
        <v>157</v>
      </c>
      <c r="M606" s="134" t="s">
        <v>281</v>
      </c>
      <c r="N606" s="53"/>
    </row>
    <row r="607" spans="1:26">
      <c r="C607" s="21">
        <v>1762940</v>
      </c>
      <c r="E607" s="21">
        <v>253980</v>
      </c>
      <c r="G607" s="21">
        <v>801666.7919999999</v>
      </c>
      <c r="H607" s="21"/>
      <c r="I607" s="21">
        <v>381567.23566364002</v>
      </c>
      <c r="J607" s="21"/>
      <c r="K607" s="21">
        <v>248366.72000000003</v>
      </c>
      <c r="M607" s="21">
        <v>238656</v>
      </c>
    </row>
    <row r="608" spans="1:26">
      <c r="C608" s="21">
        <v>1347645.6720000003</v>
      </c>
      <c r="E608" s="21">
        <v>156720</v>
      </c>
      <c r="G608" s="21">
        <v>250920</v>
      </c>
      <c r="H608" s="21"/>
      <c r="I608" s="21">
        <v>299847.72930844</v>
      </c>
      <c r="J608" s="21"/>
      <c r="K608" s="21">
        <v>56633.544000000009</v>
      </c>
      <c r="M608" s="21">
        <v>167856</v>
      </c>
    </row>
    <row r="609" spans="1:26">
      <c r="A609" s="20" t="s">
        <v>85</v>
      </c>
      <c r="C609" s="21">
        <v>357844.00000000006</v>
      </c>
      <c r="D609" s="21">
        <f>SUM(C607:C609)</f>
        <v>3468429.6720000003</v>
      </c>
      <c r="E609" s="21">
        <v>65000</v>
      </c>
      <c r="F609" s="21">
        <f>SUM(E607:E609)</f>
        <v>475700</v>
      </c>
      <c r="G609" s="21">
        <v>149600.00000000003</v>
      </c>
      <c r="H609" s="21">
        <f>SUM(G607:G609)</f>
        <v>1202186.7919999999</v>
      </c>
      <c r="I609" s="21">
        <v>59626.651759999993</v>
      </c>
      <c r="J609" s="21">
        <f>SUM(I607:I609)</f>
        <v>741041.61673208</v>
      </c>
      <c r="K609" s="21">
        <v>31016.18</v>
      </c>
      <c r="L609" s="21">
        <f>SUM(K607:K609)</f>
        <v>336016.44400000002</v>
      </c>
      <c r="M609" s="21">
        <v>157081.872</v>
      </c>
      <c r="N609" s="21">
        <f>SUM(M607:M609)</f>
        <v>563593.87199999997</v>
      </c>
    </row>
    <row r="610" spans="1:26">
      <c r="A610" s="20" t="s">
        <v>63</v>
      </c>
      <c r="C610" s="21">
        <v>128960</v>
      </c>
      <c r="D610" s="21">
        <f>SUM(C607:C610)</f>
        <v>3597389.6720000003</v>
      </c>
      <c r="E610" s="21">
        <v>60241.600000000006</v>
      </c>
      <c r="F610" s="21">
        <f>SUM(E607:E610)</f>
        <v>535941.6</v>
      </c>
      <c r="G610" s="21">
        <v>45807.228000000003</v>
      </c>
      <c r="H610" s="21">
        <f>SUM(G607:G610)</f>
        <v>1247994.02</v>
      </c>
      <c r="I610" s="21">
        <v>52837.533457279998</v>
      </c>
      <c r="J610" s="21">
        <f>SUM(I607:I610)</f>
        <v>793879.15018936002</v>
      </c>
      <c r="K610" s="21">
        <v>20143.872000000003</v>
      </c>
      <c r="L610" s="21">
        <f>SUM(K607:K610)</f>
        <v>356160.31599999999</v>
      </c>
      <c r="M610" s="21">
        <v>99467.12000000001</v>
      </c>
      <c r="N610" s="21">
        <f>SUM(M607:M610)</f>
        <v>663060.99199999997</v>
      </c>
      <c r="S610" s="20"/>
    </row>
    <row r="611" spans="1:26">
      <c r="A611" s="20" t="s">
        <v>86</v>
      </c>
      <c r="C611" s="21">
        <v>97039.200000000012</v>
      </c>
      <c r="D611" s="21">
        <f>SUM(C607:C611)</f>
        <v>3694428.8720000004</v>
      </c>
      <c r="E611" s="21">
        <v>46957.90400000001</v>
      </c>
      <c r="F611" s="21">
        <f>SUM(E607:E611)</f>
        <v>582899.50399999996</v>
      </c>
      <c r="G611" s="21">
        <v>40121.008000000002</v>
      </c>
      <c r="H611" s="21">
        <f>SUM(G607:G611)</f>
        <v>1288115.0279999999</v>
      </c>
      <c r="I611" s="21">
        <v>42538.092265800005</v>
      </c>
      <c r="J611" s="21">
        <f>SUM(I607:I611)</f>
        <v>836417.24245516001</v>
      </c>
      <c r="K611" s="21">
        <v>16804.564000000002</v>
      </c>
      <c r="L611" s="21">
        <f>SUM(K607:K611)</f>
        <v>372964.88</v>
      </c>
      <c r="M611" s="21">
        <v>60000</v>
      </c>
      <c r="N611" s="21">
        <f>SUM(M607:M611)</f>
        <v>723060.99199999997</v>
      </c>
    </row>
    <row r="612" spans="1:26">
      <c r="C612" s="21">
        <v>80091.72</v>
      </c>
      <c r="E612" s="21">
        <v>30172</v>
      </c>
      <c r="G612" s="21">
        <v>20352</v>
      </c>
      <c r="I612" s="21">
        <v>32227.517520959998</v>
      </c>
      <c r="K612" s="21">
        <v>11224.024000000001</v>
      </c>
      <c r="M612" s="21">
        <v>55880</v>
      </c>
    </row>
    <row r="613" spans="1:26">
      <c r="A613" s="20" t="s">
        <v>194</v>
      </c>
      <c r="C613" s="21">
        <v>49351.236000000004</v>
      </c>
      <c r="D613" s="21">
        <f>SUM(C607:C613)</f>
        <v>3823871.8280000007</v>
      </c>
      <c r="E613" s="21">
        <v>7309.9560000000001</v>
      </c>
      <c r="F613" s="21">
        <f>SUM(E607:E613)</f>
        <v>620381.46</v>
      </c>
      <c r="G613" s="21">
        <v>20265.224000000002</v>
      </c>
      <c r="H613" s="21">
        <f>SUM(G607:G613)</f>
        <v>1328732.2519999999</v>
      </c>
      <c r="I613" s="21">
        <v>25510.552089200002</v>
      </c>
      <c r="J613" s="21">
        <f>SUM(I607:I613)</f>
        <v>894155.31206531997</v>
      </c>
      <c r="K613" s="21">
        <v>10162.6</v>
      </c>
      <c r="L613" s="21">
        <f>SUM(K607:K613)</f>
        <v>394351.50399999996</v>
      </c>
      <c r="M613" s="21">
        <v>39696</v>
      </c>
      <c r="N613" s="21">
        <f>SUM(M607:M613)</f>
        <v>818636.99199999997</v>
      </c>
    </row>
    <row r="614" spans="1:26">
      <c r="C614" s="21">
        <v>38325.936000000002</v>
      </c>
      <c r="E614" s="21">
        <v>7101.2520000000004</v>
      </c>
      <c r="G614" s="21">
        <v>14181.280000000002</v>
      </c>
      <c r="I614" s="21">
        <v>20640</v>
      </c>
      <c r="K614" s="21">
        <v>7868.6759999999995</v>
      </c>
      <c r="M614" s="21">
        <v>27552</v>
      </c>
    </row>
    <row r="615" spans="1:26">
      <c r="C615" s="21">
        <v>8140</v>
      </c>
      <c r="E615" s="21">
        <v>6600</v>
      </c>
      <c r="G615" s="21">
        <v>13200</v>
      </c>
      <c r="I615" s="21">
        <v>20348.958527080002</v>
      </c>
      <c r="K615" s="21">
        <v>6726.9000000000005</v>
      </c>
      <c r="M615" s="21">
        <v>16960</v>
      </c>
    </row>
    <row r="616" spans="1:26">
      <c r="C616" s="21">
        <v>6681.5640000000003</v>
      </c>
      <c r="E616" s="21">
        <v>5836.3200000000006</v>
      </c>
      <c r="G616" s="21">
        <v>4363.2</v>
      </c>
      <c r="I616" s="21">
        <v>4866.6472000000003</v>
      </c>
      <c r="K616" s="21">
        <v>531.20000000000005</v>
      </c>
      <c r="M616" s="21">
        <v>10480</v>
      </c>
    </row>
    <row r="617" spans="1:26">
      <c r="C617" s="21">
        <v>0</v>
      </c>
      <c r="E617" s="21">
        <v>4638.8040000000001</v>
      </c>
      <c r="G617" s="21">
        <v>2720</v>
      </c>
      <c r="I617" s="21">
        <v>0</v>
      </c>
      <c r="K617" s="21">
        <v>331.44000000000005</v>
      </c>
      <c r="M617" s="21">
        <v>8000</v>
      </c>
    </row>
    <row r="618" spans="1:26">
      <c r="C618" s="21">
        <v>0</v>
      </c>
      <c r="E618" s="21">
        <v>520</v>
      </c>
      <c r="G618" s="21">
        <v>0</v>
      </c>
      <c r="I618" s="21">
        <v>0</v>
      </c>
      <c r="K618" s="21">
        <v>0</v>
      </c>
      <c r="M618" s="21">
        <v>7452</v>
      </c>
    </row>
    <row r="619" spans="1:26">
      <c r="C619" s="21">
        <v>0</v>
      </c>
      <c r="E619" s="21">
        <v>0</v>
      </c>
      <c r="G619" s="21">
        <v>0</v>
      </c>
      <c r="I619" s="21">
        <v>0</v>
      </c>
      <c r="K619" s="21">
        <v>0</v>
      </c>
      <c r="M619" s="21">
        <v>5577.2160000000003</v>
      </c>
      <c r="P619" s="50" t="s">
        <v>158</v>
      </c>
      <c r="Q619" s="50"/>
      <c r="R619" s="50"/>
    </row>
    <row r="620" spans="1:26">
      <c r="C620" s="21"/>
      <c r="E620" s="21">
        <v>0</v>
      </c>
      <c r="G620" s="21">
        <v>0</v>
      </c>
      <c r="I620" s="21">
        <v>0</v>
      </c>
      <c r="K620" s="21">
        <v>0</v>
      </c>
      <c r="M620" s="21">
        <v>0</v>
      </c>
      <c r="P620" s="87" t="s">
        <v>109</v>
      </c>
      <c r="Q620" s="87"/>
      <c r="R620" s="87"/>
    </row>
    <row r="621" spans="1:26">
      <c r="C621" s="21"/>
      <c r="E621" s="21">
        <v>0</v>
      </c>
      <c r="G621" s="21"/>
      <c r="I621" s="21"/>
      <c r="K621" s="21">
        <v>0</v>
      </c>
      <c r="M621" s="21">
        <v>0</v>
      </c>
      <c r="O621" s="20"/>
      <c r="P621" s="50" t="s">
        <v>91</v>
      </c>
      <c r="Q621" s="50"/>
      <c r="R621" s="50"/>
    </row>
    <row r="622" spans="1:26">
      <c r="A622" s="20" t="s">
        <v>64</v>
      </c>
      <c r="C622" s="21"/>
      <c r="D622" s="21">
        <f>SUM(C607:C620)</f>
        <v>3877019.3280000007</v>
      </c>
      <c r="E622" s="21">
        <v>0</v>
      </c>
      <c r="F622" s="21">
        <f>SUM(E607:E622)</f>
        <v>645077.83599999989</v>
      </c>
      <c r="G622" s="21"/>
      <c r="H622" s="21">
        <f>SUM(G607:G623)</f>
        <v>1363196.7319999998</v>
      </c>
      <c r="I622" s="21"/>
      <c r="J622" s="21">
        <f>SUM(I607:I621)</f>
        <v>940010.9177924</v>
      </c>
      <c r="K622" s="21">
        <v>0</v>
      </c>
      <c r="L622" s="21">
        <f>SUM(K607:K622)</f>
        <v>409809.72</v>
      </c>
      <c r="M622" s="21">
        <v>0</v>
      </c>
      <c r="N622" s="21">
        <f>SUM(M607:M622)</f>
        <v>894658.20799999998</v>
      </c>
      <c r="O622" s="21"/>
      <c r="P622" s="88">
        <f>AVERAGE(D622,F622,H622,J622,L622,N622)</f>
        <v>1354962.1236320667</v>
      </c>
      <c r="Q622" s="88"/>
      <c r="R622" s="88"/>
      <c r="S622" s="20"/>
    </row>
    <row r="623" spans="1:26">
      <c r="A623" s="20" t="s">
        <v>83</v>
      </c>
      <c r="C623" s="21"/>
      <c r="D623" s="138">
        <f>D609/D622</f>
        <v>0.89461242737451729</v>
      </c>
      <c r="E623" s="21"/>
      <c r="F623" s="138">
        <f>F609/F622</f>
        <v>0.73743038971811781</v>
      </c>
      <c r="G623" s="21"/>
      <c r="H623" s="138">
        <f>H609/H622</f>
        <v>0.88188796508939993</v>
      </c>
      <c r="I623" s="21"/>
      <c r="J623" s="138">
        <f>J609/J622</f>
        <v>0.78833298922995909</v>
      </c>
      <c r="K623" s="21"/>
      <c r="L623" s="138">
        <f>L609/L622</f>
        <v>0.819932831266179</v>
      </c>
      <c r="M623" s="21">
        <v>0</v>
      </c>
      <c r="N623" s="138">
        <f>N609/N622</f>
        <v>0.62995439706511913</v>
      </c>
      <c r="O623" s="44"/>
      <c r="P623" s="89">
        <f>AVERAGE(D623,F623,H623,J623,L623,N623)</f>
        <v>0.792025166623882</v>
      </c>
      <c r="Q623" s="89"/>
      <c r="R623" s="89"/>
      <c r="S623" s="20"/>
      <c r="T623" s="20" t="s">
        <v>83</v>
      </c>
    </row>
    <row r="624" spans="1:26">
      <c r="A624" s="20" t="s">
        <v>65</v>
      </c>
      <c r="C624" s="21"/>
      <c r="D624" s="44">
        <f>D610/D622</f>
        <v>0.92787509363688159</v>
      </c>
      <c r="E624" s="21"/>
      <c r="F624" s="44">
        <f>F610/F622</f>
        <v>0.83081694966187003</v>
      </c>
      <c r="G624" s="21"/>
      <c r="H624" s="44">
        <f>H610/H622</f>
        <v>0.91549076571583221</v>
      </c>
      <c r="I624" s="21"/>
      <c r="J624" s="44">
        <f>J610/J622</f>
        <v>0.84454247835096641</v>
      </c>
      <c r="K624" s="21"/>
      <c r="L624" s="44">
        <f>L610/L622</f>
        <v>0.86908703873592852</v>
      </c>
      <c r="M624">
        <v>0</v>
      </c>
      <c r="N624" s="44">
        <f>N610/N622</f>
        <v>0.74113330216046036</v>
      </c>
      <c r="O624" s="44"/>
      <c r="P624" s="89">
        <f>AVERAGE(D624,F624,H624,J624,L624,N624)</f>
        <v>0.85482427137698991</v>
      </c>
      <c r="Q624" s="89"/>
      <c r="R624" s="89"/>
      <c r="S624" s="20"/>
      <c r="T624" s="20" t="s">
        <v>65</v>
      </c>
      <c r="Z624" s="100"/>
    </row>
    <row r="625" spans="1:26">
      <c r="A625" s="20" t="s">
        <v>82</v>
      </c>
      <c r="C625" s="21"/>
      <c r="D625" s="44">
        <f>D611/D622</f>
        <v>0.95290442462297675</v>
      </c>
      <c r="E625" s="21"/>
      <c r="F625" s="44">
        <f>F611/F622</f>
        <v>0.90361111709316277</v>
      </c>
      <c r="G625" s="21"/>
      <c r="H625" s="44">
        <f>H611/H622</f>
        <v>0.94492232688245625</v>
      </c>
      <c r="I625" s="21"/>
      <c r="J625" s="44">
        <f>J611/J622</f>
        <v>0.88979524239938834</v>
      </c>
      <c r="K625" s="21"/>
      <c r="L625" s="44">
        <f>L611/L622</f>
        <v>0.91009281087818028</v>
      </c>
      <c r="M625" s="21"/>
      <c r="N625" s="44">
        <f>N611/N622</f>
        <v>0.80819801968440663</v>
      </c>
      <c r="O625" s="44"/>
      <c r="P625" s="89">
        <f>AVERAGE(D625,F625,H625,J625,L625,N625)</f>
        <v>0.90158732359342852</v>
      </c>
      <c r="Q625" s="89"/>
      <c r="R625" s="89"/>
      <c r="S625" s="20"/>
      <c r="T625" s="20" t="s">
        <v>82</v>
      </c>
      <c r="Z625" s="100"/>
    </row>
    <row r="626" spans="1:26">
      <c r="A626" s="20" t="s">
        <v>193</v>
      </c>
      <c r="D626" s="44">
        <f>D613/D622</f>
        <v>0.98629165977683775</v>
      </c>
      <c r="F626" s="44">
        <f>F613/F622</f>
        <v>0.96171566496046856</v>
      </c>
      <c r="G626" s="21"/>
      <c r="H626" s="44">
        <f>H613/H622</f>
        <v>0.97471789713768187</v>
      </c>
      <c r="I626" s="21"/>
      <c r="J626" s="44">
        <f>J613/J622</f>
        <v>0.95121800730275441</v>
      </c>
      <c r="K626" s="21"/>
      <c r="L626" s="44">
        <f>L613/L622</f>
        <v>0.96227952816736506</v>
      </c>
      <c r="M626" s="21"/>
      <c r="N626" s="44">
        <f>N613/N622</f>
        <v>0.9150276437188849</v>
      </c>
      <c r="P626" s="89">
        <f t="shared" ref="P626" si="47">AVERAGE(D626,F626,H626,J626,L626,N626)</f>
        <v>0.95854173351066541</v>
      </c>
      <c r="Q626" s="89"/>
      <c r="R626" s="89"/>
      <c r="T626" s="20" t="s">
        <v>193</v>
      </c>
      <c r="Z626" s="100"/>
    </row>
    <row r="627" spans="1:26">
      <c r="Z627" s="100"/>
    </row>
    <row r="628" spans="1:26">
      <c r="D628" s="58" t="s">
        <v>109</v>
      </c>
      <c r="E628" s="57"/>
      <c r="F628" s="58" t="s">
        <v>109</v>
      </c>
      <c r="G628" s="57"/>
      <c r="H628" s="58" t="s">
        <v>109</v>
      </c>
      <c r="I628" s="57"/>
      <c r="J628" s="58" t="s">
        <v>109</v>
      </c>
      <c r="K628" s="57"/>
      <c r="L628" s="58" t="s">
        <v>109</v>
      </c>
      <c r="M628" s="57"/>
      <c r="N628" s="58"/>
    </row>
    <row r="629" spans="1:26">
      <c r="C629" s="55" t="s">
        <v>67</v>
      </c>
      <c r="D629" s="53"/>
      <c r="E629" s="55" t="s">
        <v>139</v>
      </c>
      <c r="F629" s="53"/>
      <c r="G629" s="55" t="s">
        <v>140</v>
      </c>
      <c r="H629" s="53"/>
      <c r="I629" s="55" t="s">
        <v>141</v>
      </c>
      <c r="J629" s="53"/>
      <c r="K629" s="55" t="s">
        <v>142</v>
      </c>
      <c r="M629" s="134" t="s">
        <v>282</v>
      </c>
      <c r="N629" s="53"/>
    </row>
    <row r="630" spans="1:26">
      <c r="C630" s="21">
        <v>1440981.1800000002</v>
      </c>
      <c r="E630" s="21">
        <v>1017580</v>
      </c>
      <c r="G630" s="21">
        <v>995279.52</v>
      </c>
      <c r="H630" s="21"/>
      <c r="I630" s="21">
        <v>519613.77600000001</v>
      </c>
      <c r="J630" s="21"/>
      <c r="K630" s="21">
        <v>226035.26400000002</v>
      </c>
      <c r="M630" s="21">
        <v>375000</v>
      </c>
    </row>
    <row r="631" spans="1:26">
      <c r="C631" s="21">
        <v>912346</v>
      </c>
      <c r="E631" s="21">
        <v>595276.32400000002</v>
      </c>
      <c r="G631" s="21">
        <v>211337.33600000001</v>
      </c>
      <c r="H631" s="21"/>
      <c r="I631" s="21">
        <v>53308.664000000004</v>
      </c>
      <c r="J631" s="21"/>
      <c r="K631" s="21">
        <v>71647.744000000006</v>
      </c>
      <c r="M631" s="21">
        <v>341240</v>
      </c>
    </row>
    <row r="632" spans="1:26">
      <c r="A632" s="20" t="s">
        <v>85</v>
      </c>
      <c r="C632" s="21">
        <v>521012.42400000006</v>
      </c>
      <c r="D632" s="21">
        <f>SUM(C630:C632)</f>
        <v>2874339.6040000003</v>
      </c>
      <c r="E632" s="21">
        <v>300000</v>
      </c>
      <c r="F632" s="21">
        <f>SUM(E630:E632)</f>
        <v>1912856.324</v>
      </c>
      <c r="G632" s="21">
        <v>176544</v>
      </c>
      <c r="H632" s="21">
        <f>SUM(G630:G632)</f>
        <v>1383160.8560000001</v>
      </c>
      <c r="I632" s="21">
        <v>43884</v>
      </c>
      <c r="J632" s="21">
        <f>SUM(I630:I632)</f>
        <v>616806.44000000006</v>
      </c>
      <c r="K632" s="21">
        <v>70967.572</v>
      </c>
      <c r="L632" s="21">
        <f>SUM(K630:K632)</f>
        <v>368650.58</v>
      </c>
      <c r="M632" s="21">
        <v>196103.2</v>
      </c>
      <c r="N632" s="21">
        <f>SUM(M630:M632)</f>
        <v>912343.2</v>
      </c>
    </row>
    <row r="633" spans="1:26">
      <c r="A633" s="20" t="s">
        <v>63</v>
      </c>
      <c r="C633" s="21">
        <v>441319.72000000003</v>
      </c>
      <c r="D633" s="21">
        <f>SUM(C630:C633)</f>
        <v>3315659.3240000005</v>
      </c>
      <c r="E633" s="21">
        <v>240768</v>
      </c>
      <c r="F633" s="21">
        <f>SUM(E630:E633)</f>
        <v>2153624.324</v>
      </c>
      <c r="G633" s="21">
        <v>87120</v>
      </c>
      <c r="H633" s="21">
        <f>SUM(G630:G633)</f>
        <v>1470280.8560000001</v>
      </c>
      <c r="I633" s="21">
        <v>43800</v>
      </c>
      <c r="J633" s="21">
        <f>SUM(I630:I633)</f>
        <v>660606.44000000006</v>
      </c>
      <c r="K633" s="21">
        <v>48021.48</v>
      </c>
      <c r="L633" s="21">
        <f>SUM(K630:K633)</f>
        <v>416672.06</v>
      </c>
      <c r="M633" s="21">
        <v>191333.33333333337</v>
      </c>
      <c r="N633" s="21">
        <f>SUM(M630:M633)</f>
        <v>1103676.5333333332</v>
      </c>
      <c r="S633" s="20"/>
    </row>
    <row r="634" spans="1:26">
      <c r="A634" s="20" t="s">
        <v>86</v>
      </c>
      <c r="C634" s="21">
        <v>240369.272</v>
      </c>
      <c r="D634" s="21">
        <f>SUM(C630:C634)</f>
        <v>3556028.5960000004</v>
      </c>
      <c r="E634" s="21">
        <v>163729.60000000001</v>
      </c>
      <c r="F634" s="21">
        <f>SUM(E630:E634)</f>
        <v>2317353.9240000001</v>
      </c>
      <c r="G634" s="21">
        <v>42499.62</v>
      </c>
      <c r="H634" s="21">
        <f>SUM(G630:G634)</f>
        <v>1512780.4760000003</v>
      </c>
      <c r="I634" s="21">
        <v>37147.856</v>
      </c>
      <c r="J634" s="21">
        <f>SUM(I630:I634)</f>
        <v>697754.29600000009</v>
      </c>
      <c r="K634" s="21">
        <v>40805.168000000005</v>
      </c>
      <c r="L634" s="21">
        <f>SUM(K630:K634)</f>
        <v>457477.228</v>
      </c>
      <c r="M634" s="21">
        <v>168333.33333333331</v>
      </c>
      <c r="N634" s="21">
        <f>SUM(M630:M634)</f>
        <v>1272009.8666666665</v>
      </c>
    </row>
    <row r="635" spans="1:26">
      <c r="A635" s="20" t="s">
        <v>190</v>
      </c>
      <c r="C635" s="21">
        <v>216464</v>
      </c>
      <c r="D635" s="21">
        <f>SUM(C630:C635)</f>
        <v>3772492.5960000004</v>
      </c>
      <c r="E635" s="21">
        <v>135512</v>
      </c>
      <c r="F635" s="21">
        <f>SUM(E630:E635)</f>
        <v>2452865.9240000001</v>
      </c>
      <c r="G635" s="21">
        <v>35843.544000000002</v>
      </c>
      <c r="H635" s="21">
        <f>SUM(G630:G635)</f>
        <v>1548624.0200000003</v>
      </c>
      <c r="I635" s="21">
        <v>25140</v>
      </c>
      <c r="J635" s="21">
        <f>SUM(I630:I635)</f>
        <v>722894.29600000009</v>
      </c>
      <c r="K635" s="21">
        <v>36932.339999999997</v>
      </c>
      <c r="L635" s="21">
        <f>SUM(K630:K635)</f>
        <v>494409.56799999997</v>
      </c>
      <c r="M635" s="21">
        <v>38793.333333333336</v>
      </c>
      <c r="N635" s="21">
        <f>SUM(M630:M635)</f>
        <v>1310803.1999999997</v>
      </c>
    </row>
    <row r="636" spans="1:26">
      <c r="A636" s="20" t="s">
        <v>194</v>
      </c>
      <c r="C636" s="21">
        <v>191447.712</v>
      </c>
      <c r="D636" s="21">
        <f>SUM(C630:C636)</f>
        <v>3963940.3080000002</v>
      </c>
      <c r="E636" s="21">
        <v>130000</v>
      </c>
      <c r="F636" s="21">
        <f>SUM(E630:E636)</f>
        <v>2582865.9240000001</v>
      </c>
      <c r="G636" s="21">
        <v>25440</v>
      </c>
      <c r="H636" s="21">
        <f>SUM(G630:G636)</f>
        <v>1574064.0200000003</v>
      </c>
      <c r="I636" s="21">
        <v>19800</v>
      </c>
      <c r="J636" s="21">
        <f>SUM(I630:I636)</f>
        <v>742694.29600000009</v>
      </c>
      <c r="K636" s="21">
        <v>28776.095999999998</v>
      </c>
      <c r="L636" s="21">
        <f>SUM(K630:K636)</f>
        <v>523185.66399999999</v>
      </c>
      <c r="M636" s="21">
        <v>34800</v>
      </c>
      <c r="N636" s="21">
        <f>SUM(M630:M636)</f>
        <v>1345603.1999999997</v>
      </c>
    </row>
    <row r="637" spans="1:26">
      <c r="C637" s="21">
        <v>92035.44</v>
      </c>
      <c r="E637" s="21">
        <v>57575.847999999998</v>
      </c>
      <c r="G637" s="21">
        <v>19600</v>
      </c>
      <c r="I637" s="21">
        <v>12796.000000000002</v>
      </c>
      <c r="K637" s="21">
        <v>20977.376000000004</v>
      </c>
      <c r="M637" s="21">
        <v>26133.333333333339</v>
      </c>
    </row>
    <row r="638" spans="1:26">
      <c r="C638" s="21">
        <v>66960</v>
      </c>
      <c r="E638" s="21">
        <v>7090.8</v>
      </c>
      <c r="G638" s="21">
        <v>16836.816000000003</v>
      </c>
      <c r="I638" s="21">
        <v>4468.8</v>
      </c>
      <c r="K638" s="21">
        <v>19518.288</v>
      </c>
      <c r="M638" s="21">
        <v>15000</v>
      </c>
    </row>
    <row r="639" spans="1:26">
      <c r="C639" s="21">
        <v>18636</v>
      </c>
      <c r="E639" s="21">
        <v>4864.8320000000003</v>
      </c>
      <c r="G639" s="21">
        <v>7740</v>
      </c>
      <c r="I639" s="21">
        <v>240</v>
      </c>
      <c r="K639" s="21">
        <v>9211.4639999999999</v>
      </c>
      <c r="M639" s="21">
        <v>877.33333333333962</v>
      </c>
    </row>
    <row r="640" spans="1:26">
      <c r="C640" s="21">
        <v>13817.36</v>
      </c>
      <c r="E640" s="21">
        <v>4000</v>
      </c>
      <c r="G640" s="21">
        <v>1838.7600000000002</v>
      </c>
      <c r="I640" s="21">
        <v>0</v>
      </c>
      <c r="K640" s="21">
        <v>629.62000000000012</v>
      </c>
      <c r="M640" s="21">
        <v>0</v>
      </c>
    </row>
    <row r="641" spans="1:26">
      <c r="C641" s="21">
        <v>8510.6000000000022</v>
      </c>
      <c r="E641" s="21">
        <v>3278.328</v>
      </c>
      <c r="G641" s="21">
        <v>381.67200000000003</v>
      </c>
      <c r="I641" s="21">
        <v>0</v>
      </c>
      <c r="K641" s="21">
        <v>0</v>
      </c>
      <c r="M641" s="21">
        <v>0</v>
      </c>
    </row>
    <row r="642" spans="1:26">
      <c r="C642" s="21">
        <v>3613.7000000000003</v>
      </c>
      <c r="E642" s="21">
        <v>0</v>
      </c>
      <c r="G642" s="21">
        <v>0</v>
      </c>
      <c r="I642" s="21">
        <v>0</v>
      </c>
      <c r="K642" s="21">
        <v>0</v>
      </c>
      <c r="M642" s="21">
        <v>0</v>
      </c>
      <c r="P642" s="50" t="s">
        <v>146</v>
      </c>
      <c r="Q642" s="50"/>
      <c r="R642" s="50"/>
    </row>
    <row r="643" spans="1:26">
      <c r="C643" s="21">
        <v>0</v>
      </c>
      <c r="E643" s="21">
        <v>0</v>
      </c>
      <c r="G643" s="21">
        <v>0</v>
      </c>
      <c r="I643" s="21">
        <v>0</v>
      </c>
      <c r="K643" s="21">
        <v>0</v>
      </c>
      <c r="M643" s="21">
        <v>0</v>
      </c>
      <c r="P643" s="87" t="s">
        <v>109</v>
      </c>
      <c r="Q643" s="87"/>
      <c r="R643" s="87"/>
    </row>
    <row r="644" spans="1:26">
      <c r="C644" s="21">
        <v>0</v>
      </c>
      <c r="E644" s="21">
        <v>0</v>
      </c>
      <c r="G644" s="21">
        <v>0</v>
      </c>
      <c r="I644" s="21">
        <v>0</v>
      </c>
      <c r="K644" s="21">
        <v>0</v>
      </c>
      <c r="M644" s="21">
        <v>0</v>
      </c>
      <c r="O644" s="20"/>
      <c r="P644" s="50" t="s">
        <v>91</v>
      </c>
      <c r="Q644" s="50"/>
      <c r="R644" s="50"/>
    </row>
    <row r="645" spans="1:26">
      <c r="A645" s="20" t="s">
        <v>64</v>
      </c>
      <c r="C645">
        <v>0</v>
      </c>
      <c r="D645" s="21">
        <f>SUM(C630:C643)</f>
        <v>4167513.4080000003</v>
      </c>
      <c r="E645" s="21">
        <v>0</v>
      </c>
      <c r="F645" s="21">
        <f>SUM(E630:E645)</f>
        <v>2659675.7319999998</v>
      </c>
      <c r="G645" s="21">
        <v>0</v>
      </c>
      <c r="H645" s="21">
        <f>SUM(G630:G646)</f>
        <v>1620461.2680000004</v>
      </c>
      <c r="I645" s="21"/>
      <c r="J645" s="21">
        <f>SUM(I630:I644)</f>
        <v>760199.09600000014</v>
      </c>
      <c r="K645" s="21">
        <v>0</v>
      </c>
      <c r="L645" s="21">
        <f>SUM(K630:K645)</f>
        <v>573522.41200000001</v>
      </c>
      <c r="M645" s="21">
        <v>0</v>
      </c>
      <c r="N645" s="21">
        <f>SUM(M630:M645)</f>
        <v>1387613.8666666662</v>
      </c>
      <c r="O645" s="21"/>
      <c r="P645" s="88">
        <f>AVERAGE(D645,F645,H645,J645,L645,N645)</f>
        <v>1861497.6304444447</v>
      </c>
      <c r="Q645" s="88"/>
      <c r="R645" s="88"/>
      <c r="S645" s="20"/>
    </row>
    <row r="646" spans="1:26">
      <c r="A646" s="20" t="s">
        <v>83</v>
      </c>
      <c r="C646" s="21"/>
      <c r="D646" s="138">
        <f>D632/D645</f>
        <v>0.68970134528718952</v>
      </c>
      <c r="E646" s="21"/>
      <c r="F646" s="138">
        <f>F632/F645</f>
        <v>0.71920659386608266</v>
      </c>
      <c r="G646" s="21"/>
      <c r="H646" s="138">
        <f>H632/H645</f>
        <v>0.85355996055809447</v>
      </c>
      <c r="I646" s="21"/>
      <c r="J646" s="138">
        <f>J632/J645</f>
        <v>0.81137486645998325</v>
      </c>
      <c r="K646" s="21">
        <v>0</v>
      </c>
      <c r="L646" s="138">
        <f>L632/L645</f>
        <v>0.64278321524425452</v>
      </c>
      <c r="M646" s="21">
        <v>0</v>
      </c>
      <c r="N646" s="138">
        <f>N632/N645</f>
        <v>0.65749069097416546</v>
      </c>
      <c r="O646" s="44"/>
      <c r="P646" s="89">
        <f>AVERAGE(D646,F646,H646,J646,L646,N646)</f>
        <v>0.72901944539829489</v>
      </c>
      <c r="Q646" s="89"/>
      <c r="R646" s="89"/>
      <c r="S646" s="20"/>
      <c r="T646" s="20" t="s">
        <v>83</v>
      </c>
    </row>
    <row r="647" spans="1:26">
      <c r="A647" s="20" t="s">
        <v>65</v>
      </c>
      <c r="C647" s="21"/>
      <c r="D647" s="44">
        <f>D633/D645</f>
        <v>0.79559655828226683</v>
      </c>
      <c r="E647" s="21"/>
      <c r="F647" s="44">
        <f>F633/F645</f>
        <v>0.80973191509347509</v>
      </c>
      <c r="G647" s="21"/>
      <c r="H647" s="44">
        <f>H633/H645</f>
        <v>0.90732243036863491</v>
      </c>
      <c r="I647" s="21"/>
      <c r="J647" s="44">
        <f>J633/J645</f>
        <v>0.86899135170768471</v>
      </c>
      <c r="K647" s="21"/>
      <c r="L647" s="44">
        <f>L633/L645</f>
        <v>0.72651399715483134</v>
      </c>
      <c r="M647">
        <v>0</v>
      </c>
      <c r="N647" s="44">
        <f>N633/N645</f>
        <v>0.79537727306270811</v>
      </c>
      <c r="O647" s="44"/>
      <c r="P647" s="89">
        <f>AVERAGE(D647,F647,H647,J647,L647,N647)</f>
        <v>0.81725558761160011</v>
      </c>
      <c r="Q647" s="89"/>
      <c r="R647" s="89"/>
      <c r="S647" s="20"/>
      <c r="T647" s="20" t="s">
        <v>65</v>
      </c>
      <c r="Z647" s="100"/>
    </row>
    <row r="648" spans="1:26">
      <c r="A648" s="20" t="s">
        <v>82</v>
      </c>
      <c r="C648" s="21"/>
      <c r="D648" s="44">
        <f>D634/D645</f>
        <v>0.85327346258174297</v>
      </c>
      <c r="E648" s="21"/>
      <c r="F648" s="44">
        <f>F634/F645</f>
        <v>0.8712919007827381</v>
      </c>
      <c r="G648" s="21"/>
      <c r="H648" s="44">
        <f>H634/H645</f>
        <v>0.9335492960390831</v>
      </c>
      <c r="I648" s="21"/>
      <c r="J648" s="44">
        <f>J634/J645</f>
        <v>0.91785730826493905</v>
      </c>
      <c r="K648" s="21"/>
      <c r="L648" s="44">
        <f>L634/L645</f>
        <v>0.79766233791051921</v>
      </c>
      <c r="M648" s="21"/>
      <c r="N648" s="44">
        <f>N634/N645</f>
        <v>0.9166886388374712</v>
      </c>
      <c r="O648" s="44"/>
      <c r="P648" s="89">
        <f>AVERAGE(D648,F648,H648,J648,L648,N648)</f>
        <v>0.88172049073608239</v>
      </c>
      <c r="Q648" s="89"/>
      <c r="R648" s="89"/>
      <c r="S648" s="20"/>
      <c r="T648" s="20" t="s">
        <v>82</v>
      </c>
      <c r="Z648" s="100"/>
    </row>
    <row r="649" spans="1:26">
      <c r="A649" s="118" t="s">
        <v>191</v>
      </c>
      <c r="C649" s="21"/>
      <c r="D649" s="44">
        <f>D635/D645</f>
        <v>0.9052142672794492</v>
      </c>
      <c r="F649" s="44">
        <f>F635/F645</f>
        <v>0.92224247282788696</v>
      </c>
      <c r="G649" s="21"/>
      <c r="H649" s="44">
        <f>H635/H645</f>
        <v>0.95566864236831606</v>
      </c>
      <c r="I649" s="21"/>
      <c r="J649" s="44">
        <f>J635/J645</f>
        <v>0.95092759226327728</v>
      </c>
      <c r="K649" s="21"/>
      <c r="L649" s="44">
        <f>L635/L645</f>
        <v>0.86205797307185261</v>
      </c>
      <c r="M649" s="21"/>
      <c r="N649" s="44">
        <f>N635/N645</f>
        <v>0.94464550368671252</v>
      </c>
      <c r="P649" s="89">
        <f t="shared" ref="P649" si="48">AVERAGE(D649,F649,H649,J649,L649,N649)</f>
        <v>0.92345940858291575</v>
      </c>
      <c r="Q649" s="89"/>
      <c r="R649" s="89"/>
      <c r="T649" s="20" t="s">
        <v>193</v>
      </c>
      <c r="Z649" s="100"/>
    </row>
    <row r="650" spans="1:26">
      <c r="Z650" s="100"/>
    </row>
  </sheetData>
  <sortState ref="M730:M749">
    <sortCondition descending="1" ref="M730"/>
  </sortState>
  <mergeCells count="1">
    <mergeCell ref="AH2:AI2"/>
  </mergeCells>
  <phoneticPr fontId="5" type="noConversion"/>
  <pageMargins left="0.21" right="0.33" top="0.75" bottom="0.75" header="0.3" footer="0.3"/>
  <pageSetup scale="79" orientation="portrait" horizontalDpi="1200" verticalDpi="1200"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M113"/>
  <sheetViews>
    <sheetView workbookViewId="0">
      <pane xSplit="6480" ySplit="5460" topLeftCell="A16" activePane="topRight"/>
      <selection activeCell="B2" sqref="B2"/>
      <selection pane="topRight" activeCell="S1" sqref="S1"/>
      <selection pane="bottomLeft" activeCell="L19" sqref="L19"/>
      <selection pane="bottomRight" activeCell="AC32" sqref="AC32"/>
    </sheetView>
  </sheetViews>
  <sheetFormatPr defaultRowHeight="12.75"/>
  <cols>
    <col min="3" max="3" width="9.140625" hidden="1" customWidth="1"/>
    <col min="4" max="4" width="6.140625" bestFit="1" customWidth="1"/>
    <col min="5" max="5" width="5" bestFit="1" customWidth="1"/>
    <col min="6" max="7" width="9.140625" hidden="1" customWidth="1"/>
    <col min="8" max="8" width="9.140625" style="548" hidden="1" customWidth="1"/>
    <col min="9" max="9" width="9.140625" style="21" customWidth="1"/>
    <col min="10" max="11" width="9.140625" hidden="1" customWidth="1"/>
    <col min="12" max="12" width="9.140625" customWidth="1"/>
    <col min="13" max="19" width="9.140625" hidden="1" customWidth="1"/>
    <col min="20" max="20" width="10.28515625" customWidth="1"/>
    <col min="23" max="23" width="12.85546875" bestFit="1" customWidth="1"/>
    <col min="24" max="24" width="12.85546875" customWidth="1"/>
    <col min="25" max="25" width="15.42578125" bestFit="1" customWidth="1"/>
    <col min="26" max="26" width="11.7109375" bestFit="1" customWidth="1"/>
    <col min="27" max="27" width="16" bestFit="1" customWidth="1"/>
    <col min="28" max="28" width="13.140625" bestFit="1" customWidth="1"/>
    <col min="29" max="29" width="13.140625" customWidth="1"/>
    <col min="30" max="30" width="10.7109375" bestFit="1" customWidth="1"/>
    <col min="31" max="31" width="7" customWidth="1"/>
    <col min="32" max="32" width="13.42578125" customWidth="1"/>
    <col min="33" max="34" width="10.140625" bestFit="1" customWidth="1"/>
    <col min="35" max="35" width="10.140625" customWidth="1"/>
    <col min="36" max="36" width="8.28515625" customWidth="1"/>
    <col min="37" max="37" width="10.7109375" bestFit="1" customWidth="1"/>
    <col min="38" max="38" width="13.42578125" bestFit="1" customWidth="1"/>
  </cols>
  <sheetData>
    <row r="1" spans="1:39" ht="43.5" customHeight="1">
      <c r="A1" s="277" t="s">
        <v>196</v>
      </c>
      <c r="B1" s="132" t="s">
        <v>276</v>
      </c>
      <c r="C1" s="148" t="s">
        <v>35</v>
      </c>
      <c r="D1" s="429" t="s">
        <v>34</v>
      </c>
      <c r="E1" s="145" t="s">
        <v>0</v>
      </c>
      <c r="F1" s="149" t="s">
        <v>40</v>
      </c>
      <c r="G1" s="149" t="s">
        <v>61</v>
      </c>
      <c r="H1" s="547" t="s">
        <v>4</v>
      </c>
      <c r="I1" s="150" t="s">
        <v>1</v>
      </c>
      <c r="J1" s="149" t="s">
        <v>42</v>
      </c>
      <c r="K1" s="149" t="s">
        <v>417</v>
      </c>
      <c r="L1" s="149" t="s">
        <v>418</v>
      </c>
      <c r="M1" s="436" t="s">
        <v>669</v>
      </c>
      <c r="N1" s="149" t="s">
        <v>43</v>
      </c>
      <c r="O1" s="151" t="s">
        <v>273</v>
      </c>
      <c r="P1" s="145" t="s">
        <v>365</v>
      </c>
      <c r="Q1" s="149" t="s">
        <v>366</v>
      </c>
      <c r="R1" s="147" t="s">
        <v>120</v>
      </c>
      <c r="S1" s="153" t="s">
        <v>416</v>
      </c>
      <c r="T1" s="152" t="s">
        <v>826</v>
      </c>
    </row>
    <row r="2" spans="1:39">
      <c r="A2" s="260"/>
      <c r="B2" s="278" t="s">
        <v>414</v>
      </c>
      <c r="AI2" s="118"/>
    </row>
    <row r="3" spans="1:39">
      <c r="A3" s="128"/>
      <c r="B3" s="278"/>
      <c r="AC3" s="124" t="s">
        <v>750</v>
      </c>
      <c r="AD3">
        <f>BroughtonPivot!P315</f>
        <v>0.71027589385727963</v>
      </c>
      <c r="AI3" s="118"/>
    </row>
    <row r="4" spans="1:39">
      <c r="W4" s="53"/>
      <c r="X4" s="53"/>
      <c r="Y4" s="53" t="s">
        <v>730</v>
      </c>
      <c r="Z4" s="124" t="s">
        <v>743</v>
      </c>
      <c r="AA4" s="124" t="s">
        <v>733</v>
      </c>
      <c r="AB4" s="491" t="s">
        <v>735</v>
      </c>
      <c r="AC4" s="491" t="s">
        <v>740</v>
      </c>
      <c r="AD4" s="351" t="s">
        <v>830</v>
      </c>
      <c r="AE4" s="351"/>
      <c r="AF4" s="351" t="s">
        <v>748</v>
      </c>
      <c r="AG4" s="351" t="s">
        <v>741</v>
      </c>
      <c r="AH4" s="124" t="s">
        <v>829</v>
      </c>
      <c r="AI4" s="351" t="s">
        <v>748</v>
      </c>
      <c r="AK4" s="552"/>
      <c r="AL4" s="552"/>
      <c r="AM4" s="552"/>
    </row>
    <row r="5" spans="1:39">
      <c r="V5" s="493" t="s">
        <v>0</v>
      </c>
      <c r="W5" s="493" t="s">
        <v>729</v>
      </c>
      <c r="X5" s="492" t="s">
        <v>738</v>
      </c>
      <c r="Y5" s="493" t="s">
        <v>731</v>
      </c>
      <c r="Z5" s="508" t="s">
        <v>732</v>
      </c>
      <c r="AA5" s="508" t="s">
        <v>734</v>
      </c>
      <c r="AB5" s="508" t="s">
        <v>736</v>
      </c>
      <c r="AC5" s="130" t="s">
        <v>739</v>
      </c>
      <c r="AD5" s="508" t="s">
        <v>737</v>
      </c>
      <c r="AE5" s="130" t="s">
        <v>744</v>
      </c>
      <c r="AF5" s="130" t="s">
        <v>749</v>
      </c>
      <c r="AG5" s="508" t="s">
        <v>742</v>
      </c>
      <c r="AH5" s="508" t="s">
        <v>737</v>
      </c>
      <c r="AI5" s="130" t="s">
        <v>749</v>
      </c>
      <c r="AJ5" s="130" t="s">
        <v>744</v>
      </c>
      <c r="AK5" s="351"/>
      <c r="AL5" s="351"/>
      <c r="AM5" s="351"/>
    </row>
    <row r="6" spans="1:39">
      <c r="B6">
        <v>1</v>
      </c>
      <c r="C6">
        <v>37895</v>
      </c>
      <c r="D6" t="s">
        <v>53</v>
      </c>
      <c r="E6">
        <v>2003</v>
      </c>
      <c r="F6">
        <v>242</v>
      </c>
      <c r="G6">
        <v>1</v>
      </c>
      <c r="H6" s="548">
        <v>37653</v>
      </c>
      <c r="I6" s="21">
        <v>1012627</v>
      </c>
      <c r="J6">
        <v>3.12</v>
      </c>
      <c r="K6">
        <v>1.6</v>
      </c>
      <c r="L6" s="343">
        <v>0.6</v>
      </c>
      <c r="M6">
        <v>0</v>
      </c>
      <c r="N6">
        <v>0.82</v>
      </c>
      <c r="P6">
        <v>10.8</v>
      </c>
      <c r="S6" s="21">
        <v>1620203.2000000002</v>
      </c>
      <c r="T6" s="21">
        <v>607576.19999999995</v>
      </c>
      <c r="V6">
        <v>2003</v>
      </c>
      <c r="W6">
        <v>1</v>
      </c>
      <c r="X6" s="21">
        <f>I11</f>
        <v>6000</v>
      </c>
      <c r="Y6" s="94">
        <f>AB6/AC6</f>
        <v>2.8863807751754829</v>
      </c>
      <c r="Z6">
        <f>L15</f>
        <v>4.41</v>
      </c>
      <c r="AA6" s="94">
        <f t="shared" ref="AA6:AA12" si="0">Z6/Y6</f>
        <v>1.5278649435058984</v>
      </c>
      <c r="AB6" s="21">
        <f>(T15+T12+T9)</f>
        <v>4691038.4000000004</v>
      </c>
      <c r="AC6" s="21">
        <f>(I15+I12+I9)</f>
        <v>1625232</v>
      </c>
      <c r="AD6" s="49">
        <f t="shared" ref="AD6:AD12" si="1">(AB6/$AD$3)+(X6*Y6)</f>
        <v>6621848.2153016366</v>
      </c>
      <c r="AE6" s="509">
        <f t="shared" ref="AE6:AE12" si="2">(AD6-AG6)/AG6</f>
        <v>6.428338388497469E-2</v>
      </c>
      <c r="AF6" s="49">
        <f>AD6-AG6</f>
        <v>399963.7853016369</v>
      </c>
      <c r="AG6" s="202">
        <f>SUM(T6:T16)</f>
        <v>6221884.4299999997</v>
      </c>
      <c r="AH6" s="49">
        <f t="shared" ref="AH6:AH12" si="3">(AB6/$AD$3)+(X6*Z6)</f>
        <v>6630989.9306505835</v>
      </c>
      <c r="AI6" s="49">
        <f>AH6-AG6</f>
        <v>409105.50065058377</v>
      </c>
      <c r="AJ6" s="509">
        <f t="shared" ref="AJ6:AJ12" si="4">(AH6-AG6)/AG6</f>
        <v>6.5752667902027204E-2</v>
      </c>
      <c r="AK6" s="13"/>
      <c r="AL6" s="13"/>
      <c r="AM6" s="521"/>
    </row>
    <row r="7" spans="1:39">
      <c r="B7">
        <v>3</v>
      </c>
      <c r="C7">
        <v>37895</v>
      </c>
      <c r="D7" t="s">
        <v>53</v>
      </c>
      <c r="E7">
        <v>2003</v>
      </c>
      <c r="F7">
        <v>333</v>
      </c>
      <c r="G7">
        <v>1</v>
      </c>
      <c r="H7" s="548">
        <v>37562</v>
      </c>
      <c r="I7" s="21">
        <v>544458</v>
      </c>
      <c r="J7">
        <v>0.08</v>
      </c>
      <c r="K7">
        <v>0.27</v>
      </c>
      <c r="L7" s="343">
        <v>0.2</v>
      </c>
      <c r="N7">
        <v>0.05</v>
      </c>
      <c r="P7">
        <v>9.4</v>
      </c>
      <c r="S7" s="21">
        <v>147003.66</v>
      </c>
      <c r="T7" s="21">
        <v>108891.6</v>
      </c>
      <c r="V7">
        <v>2004</v>
      </c>
      <c r="W7">
        <v>4</v>
      </c>
      <c r="X7" s="21">
        <f>(I18+I21+I26+I27)</f>
        <v>640000</v>
      </c>
      <c r="Y7" s="94">
        <f t="shared" ref="Y7:Y12" si="5">AB7/AC7</f>
        <v>2.0279563276443651</v>
      </c>
      <c r="Z7">
        <f>L25</f>
        <v>2.2000000000000002</v>
      </c>
      <c r="AA7" s="94">
        <f t="shared" si="0"/>
        <v>1.0848359848831053</v>
      </c>
      <c r="AB7" s="21">
        <f>(T25+T24+T19)</f>
        <v>3469737.2866666671</v>
      </c>
      <c r="AC7" s="21">
        <f>(I25+I24+I19)</f>
        <v>1710952.666666667</v>
      </c>
      <c r="AD7" s="49">
        <f t="shared" si="1"/>
        <v>6182947.7254856993</v>
      </c>
      <c r="AE7" s="509">
        <f t="shared" si="2"/>
        <v>-0.1453063922873955</v>
      </c>
      <c r="AF7" s="49">
        <f t="shared" ref="AF7:AF12" si="6">AD7-AG7</f>
        <v>-1051162.4511809666</v>
      </c>
      <c r="AG7" s="49">
        <f>SUM(T18:T33)</f>
        <v>7234110.1766666658</v>
      </c>
      <c r="AH7" s="49">
        <f t="shared" si="3"/>
        <v>6293055.675793305</v>
      </c>
      <c r="AI7" s="49">
        <f t="shared" ref="AI7:AI12" si="7">AH7-AG7</f>
        <v>-941054.50087336078</v>
      </c>
      <c r="AJ7" s="509">
        <f t="shared" si="4"/>
        <v>-0.13008572967394036</v>
      </c>
      <c r="AK7" s="13"/>
      <c r="AL7" s="13"/>
      <c r="AM7" s="521"/>
    </row>
    <row r="8" spans="1:39">
      <c r="B8">
        <v>4</v>
      </c>
      <c r="C8">
        <v>37895</v>
      </c>
      <c r="D8" t="s">
        <v>53</v>
      </c>
      <c r="E8">
        <v>2003</v>
      </c>
      <c r="F8">
        <v>395</v>
      </c>
      <c r="G8">
        <v>2</v>
      </c>
      <c r="H8" s="548">
        <v>37500</v>
      </c>
      <c r="I8" s="21">
        <v>872107</v>
      </c>
      <c r="J8">
        <v>0</v>
      </c>
      <c r="K8">
        <v>0.08</v>
      </c>
      <c r="L8" s="343">
        <v>0.03</v>
      </c>
      <c r="N8">
        <v>0.02</v>
      </c>
      <c r="P8">
        <v>10.3</v>
      </c>
      <c r="S8" s="21">
        <v>69768.56</v>
      </c>
      <c r="T8" s="21">
        <v>26163.21</v>
      </c>
      <c r="V8">
        <v>2005</v>
      </c>
      <c r="W8">
        <v>5</v>
      </c>
      <c r="X8" s="21">
        <f>(I38+I42+I43+I44+I48)</f>
        <v>1150857</v>
      </c>
      <c r="Y8" s="94">
        <f t="shared" si="5"/>
        <v>2.6155259359062515</v>
      </c>
      <c r="Z8">
        <f>L35</f>
        <v>3.5</v>
      </c>
      <c r="AA8" s="94">
        <f t="shared" si="0"/>
        <v>1.3381629873944598</v>
      </c>
      <c r="AB8" s="21">
        <f>(T35+T36+T37)</f>
        <v>5147925.1393333338</v>
      </c>
      <c r="AC8" s="21">
        <f>(I35+I36+I37)</f>
        <v>1968217.966666667</v>
      </c>
      <c r="AD8" s="49">
        <f t="shared" si="1"/>
        <v>10257878.755517559</v>
      </c>
      <c r="AE8" s="136">
        <f t="shared" si="2"/>
        <v>-0.28752037467643593</v>
      </c>
      <c r="AF8" s="49">
        <f t="shared" si="6"/>
        <v>-4139555.7688157745</v>
      </c>
      <c r="AG8" s="49">
        <f>SUM(T35:T49)</f>
        <v>14397434.524333334</v>
      </c>
      <c r="AH8" s="49">
        <f t="shared" si="3"/>
        <v>11275781.923498299</v>
      </c>
      <c r="AI8" s="49">
        <f t="shared" si="7"/>
        <v>-3121652.6008350346</v>
      </c>
      <c r="AJ8" s="509">
        <f t="shared" si="4"/>
        <v>-0.21682005884861499</v>
      </c>
      <c r="AK8" s="13"/>
      <c r="AL8" s="13"/>
      <c r="AM8" s="521"/>
    </row>
    <row r="9" spans="1:39">
      <c r="B9">
        <v>9</v>
      </c>
      <c r="C9">
        <v>37895</v>
      </c>
      <c r="D9" t="s">
        <v>53</v>
      </c>
      <c r="E9">
        <v>2003</v>
      </c>
      <c r="F9">
        <v>304</v>
      </c>
      <c r="G9">
        <v>1</v>
      </c>
      <c r="H9" s="548">
        <v>37591</v>
      </c>
      <c r="I9" s="21">
        <v>654000</v>
      </c>
      <c r="J9">
        <v>0.57999999999999996</v>
      </c>
      <c r="K9">
        <v>4.68</v>
      </c>
      <c r="L9" s="343">
        <v>2</v>
      </c>
      <c r="M9">
        <v>0</v>
      </c>
      <c r="N9">
        <v>0.15</v>
      </c>
      <c r="P9">
        <v>8.4</v>
      </c>
      <c r="S9" s="21">
        <v>3060720</v>
      </c>
      <c r="T9" s="21">
        <v>1308000</v>
      </c>
      <c r="V9">
        <v>2006</v>
      </c>
      <c r="W9">
        <v>5</v>
      </c>
      <c r="X9" s="21">
        <f>(I51+I53+I56+I57+I59)</f>
        <v>1096585</v>
      </c>
      <c r="Y9" s="94">
        <f t="shared" si="5"/>
        <v>2.0828760829901878</v>
      </c>
      <c r="Z9">
        <f>L54</f>
        <v>2.62</v>
      </c>
      <c r="AA9" s="94">
        <f t="shared" si="0"/>
        <v>1.2578760788489705</v>
      </c>
      <c r="AB9" s="21">
        <f>(T54+T55+T62)</f>
        <v>3515005.44</v>
      </c>
      <c r="AC9" s="21">
        <f>(I54+I55+I62)</f>
        <v>1687573</v>
      </c>
      <c r="AD9" s="49">
        <f t="shared" si="1"/>
        <v>7232839.5420701252</v>
      </c>
      <c r="AE9" s="509">
        <f t="shared" si="2"/>
        <v>0.39432297511712944</v>
      </c>
      <c r="AF9" s="49">
        <f t="shared" si="6"/>
        <v>2045490.7920701234</v>
      </c>
      <c r="AG9" s="49">
        <f>SUM(T51:T63)</f>
        <v>5187348.7500000019</v>
      </c>
      <c r="AH9" s="49">
        <f t="shared" si="3"/>
        <v>7821841.5726043303</v>
      </c>
      <c r="AI9" s="49">
        <f t="shared" si="7"/>
        <v>2634492.8226043284</v>
      </c>
      <c r="AJ9" s="136">
        <f t="shared" si="4"/>
        <v>0.50786884583465253</v>
      </c>
      <c r="AK9" s="13"/>
      <c r="AL9" s="13"/>
      <c r="AM9" s="521"/>
    </row>
    <row r="10" spans="1:39">
      <c r="B10">
        <v>11</v>
      </c>
      <c r="C10">
        <v>37895</v>
      </c>
      <c r="D10" t="s">
        <v>53</v>
      </c>
      <c r="E10">
        <v>2003</v>
      </c>
      <c r="F10">
        <v>242</v>
      </c>
      <c r="G10">
        <v>1</v>
      </c>
      <c r="H10" s="548">
        <v>37653</v>
      </c>
      <c r="I10" s="21">
        <v>668653</v>
      </c>
      <c r="J10">
        <v>0.37</v>
      </c>
      <c r="K10">
        <v>1.68</v>
      </c>
      <c r="L10" s="343">
        <v>0.27</v>
      </c>
      <c r="N10">
        <v>1.02</v>
      </c>
      <c r="P10">
        <v>9.3000000000000007</v>
      </c>
      <c r="S10" s="21">
        <v>1123337.04</v>
      </c>
      <c r="T10" s="21">
        <v>180536.31</v>
      </c>
      <c r="V10">
        <v>2007</v>
      </c>
      <c r="W10">
        <v>6</v>
      </c>
      <c r="X10" s="21">
        <f>I67+I71+I73+I74+I77+I78</f>
        <v>2172234</v>
      </c>
      <c r="Y10" s="94">
        <f t="shared" si="5"/>
        <v>0.50160292699584752</v>
      </c>
      <c r="Z10">
        <f>L69</f>
        <v>0.95</v>
      </c>
      <c r="AA10" s="94">
        <f t="shared" si="0"/>
        <v>1.8939283422639686</v>
      </c>
      <c r="AB10" s="21">
        <f>(T69+T72+T79)</f>
        <v>716811.64999999991</v>
      </c>
      <c r="AC10" s="21">
        <f>(I69+I72+I79)</f>
        <v>1429042</v>
      </c>
      <c r="AD10" s="49">
        <f t="shared" si="1"/>
        <v>2098800.6472327914</v>
      </c>
      <c r="AE10" s="509">
        <f t="shared" si="2"/>
        <v>-0.13969138482029381</v>
      </c>
      <c r="AF10" s="49">
        <f t="shared" si="6"/>
        <v>-340789.76276720827</v>
      </c>
      <c r="AG10" s="49">
        <f>SUM(T65:T79)</f>
        <v>2439590.4099999997</v>
      </c>
      <c r="AH10" s="49">
        <f t="shared" si="3"/>
        <v>3072824.0147128934</v>
      </c>
      <c r="AI10" s="49">
        <f t="shared" si="7"/>
        <v>633233.60471289372</v>
      </c>
      <c r="AJ10" s="136">
        <f t="shared" si="4"/>
        <v>0.25956554105034946</v>
      </c>
      <c r="AK10" s="13"/>
      <c r="AL10" s="13"/>
      <c r="AM10" s="521"/>
    </row>
    <row r="11" spans="1:39">
      <c r="B11" s="507">
        <v>19</v>
      </c>
      <c r="C11">
        <v>37895</v>
      </c>
      <c r="D11" t="s">
        <v>53</v>
      </c>
      <c r="E11">
        <v>2003</v>
      </c>
      <c r="F11" t="s">
        <v>41</v>
      </c>
      <c r="G11">
        <v>2</v>
      </c>
      <c r="H11" s="548" t="s">
        <v>9</v>
      </c>
      <c r="I11" s="21">
        <v>6000</v>
      </c>
      <c r="J11">
        <v>4.4800000000000004</v>
      </c>
      <c r="K11">
        <v>19.079999999999998</v>
      </c>
      <c r="L11" s="549">
        <v>5.9</v>
      </c>
      <c r="N11">
        <v>11.83</v>
      </c>
      <c r="P11">
        <v>8.9</v>
      </c>
      <c r="Q11">
        <v>32</v>
      </c>
      <c r="S11" s="21">
        <v>114479.99999999999</v>
      </c>
      <c r="T11" s="21">
        <v>35400</v>
      </c>
      <c r="V11">
        <v>2008</v>
      </c>
      <c r="W11">
        <v>7</v>
      </c>
      <c r="X11" s="21">
        <f>I83+I86+I87+I90+I91+I93+I94</f>
        <v>2907000</v>
      </c>
      <c r="Y11" s="94">
        <f t="shared" si="5"/>
        <v>0.7383294117647059</v>
      </c>
      <c r="Z11">
        <f>L88</f>
        <v>1.05</v>
      </c>
      <c r="AA11" s="94">
        <f t="shared" si="0"/>
        <v>1.4221294496319195</v>
      </c>
      <c r="AB11" s="21">
        <f>(T88+T81+T82)</f>
        <v>1255160</v>
      </c>
      <c r="AC11" s="21">
        <f>(I88+I81+I82)</f>
        <v>1700000</v>
      </c>
      <c r="AD11" s="49">
        <f t="shared" si="1"/>
        <v>3913467.9038614621</v>
      </c>
      <c r="AE11" s="509">
        <f t="shared" si="2"/>
        <v>0.73120165617281729</v>
      </c>
      <c r="AF11" s="49">
        <f t="shared" si="6"/>
        <v>1652917.9038614621</v>
      </c>
      <c r="AG11" s="49">
        <f>SUM(T81:T97)</f>
        <v>2260550</v>
      </c>
      <c r="AH11" s="49">
        <f t="shared" si="3"/>
        <v>4819494.3038614616</v>
      </c>
      <c r="AI11" s="49">
        <f t="shared" si="7"/>
        <v>2558944.3038614616</v>
      </c>
      <c r="AJ11" s="136">
        <f t="shared" si="4"/>
        <v>1.1320007537375689</v>
      </c>
      <c r="AK11" s="13"/>
      <c r="AL11" s="13"/>
      <c r="AM11" s="521"/>
    </row>
    <row r="12" spans="1:39">
      <c r="B12">
        <v>20</v>
      </c>
      <c r="C12">
        <v>37895</v>
      </c>
      <c r="D12" t="s">
        <v>53</v>
      </c>
      <c r="E12">
        <v>2003</v>
      </c>
      <c r="F12">
        <v>548</v>
      </c>
      <c r="G12">
        <v>2</v>
      </c>
      <c r="H12" s="548">
        <v>37347</v>
      </c>
      <c r="I12" s="21">
        <v>459232</v>
      </c>
      <c r="J12">
        <v>0.45</v>
      </c>
      <c r="K12">
        <v>5.15</v>
      </c>
      <c r="L12" s="343">
        <v>2.4500000000000002</v>
      </c>
      <c r="M12">
        <v>0</v>
      </c>
      <c r="N12">
        <v>0.5</v>
      </c>
      <c r="P12">
        <v>6.7</v>
      </c>
      <c r="R12" t="s">
        <v>7</v>
      </c>
      <c r="S12" s="21">
        <v>2365044.8000000003</v>
      </c>
      <c r="T12" s="21">
        <v>1125118.4000000001</v>
      </c>
      <c r="V12">
        <v>2009</v>
      </c>
      <c r="W12">
        <v>5</v>
      </c>
      <c r="X12" s="21">
        <f>I100+I105+I108+I111+I112</f>
        <v>2086815</v>
      </c>
      <c r="Y12" s="94">
        <f t="shared" si="5"/>
        <v>1.4054118631427688</v>
      </c>
      <c r="Z12">
        <f>L103</f>
        <v>1.9</v>
      </c>
      <c r="AA12" s="94">
        <f t="shared" si="0"/>
        <v>1.3519168649617328</v>
      </c>
      <c r="AB12" s="21">
        <f>(T107+T103+T104)</f>
        <v>1545306.56</v>
      </c>
      <c r="AC12" s="21">
        <f>(I107+I103+I104)</f>
        <v>1099540</v>
      </c>
      <c r="AD12" s="49">
        <f t="shared" si="1"/>
        <v>5108477.2523177667</v>
      </c>
      <c r="AE12" s="136">
        <f t="shared" si="2"/>
        <v>-0.2355613659092885</v>
      </c>
      <c r="AF12" s="49">
        <f t="shared" si="6"/>
        <v>-1574174.5976822339</v>
      </c>
      <c r="AG12" s="49">
        <f>SUM(T99:T113)</f>
        <v>6682651.8500000006</v>
      </c>
      <c r="AH12" s="49">
        <f t="shared" si="3"/>
        <v>6140591.1951334896</v>
      </c>
      <c r="AI12" s="49">
        <f t="shared" si="7"/>
        <v>-542060.654866511</v>
      </c>
      <c r="AJ12" s="509">
        <f t="shared" si="4"/>
        <v>-8.111460345888151E-2</v>
      </c>
      <c r="AK12" s="13"/>
      <c r="AL12" s="13"/>
      <c r="AM12" s="521"/>
    </row>
    <row r="13" spans="1:39">
      <c r="B13">
        <v>21</v>
      </c>
      <c r="C13">
        <v>37895</v>
      </c>
      <c r="D13" t="s">
        <v>53</v>
      </c>
      <c r="E13">
        <v>2003</v>
      </c>
      <c r="F13">
        <v>183</v>
      </c>
      <c r="G13">
        <v>1</v>
      </c>
      <c r="H13" s="548">
        <v>37712</v>
      </c>
      <c r="I13" s="21">
        <v>615000</v>
      </c>
      <c r="J13">
        <v>0.03</v>
      </c>
      <c r="K13">
        <v>0.33</v>
      </c>
      <c r="L13" s="343">
        <v>0.1</v>
      </c>
      <c r="M13">
        <v>0</v>
      </c>
      <c r="N13">
        <v>7.0000000000000007E-2</v>
      </c>
      <c r="P13">
        <v>8.8000000000000007</v>
      </c>
      <c r="S13" s="21">
        <v>202950</v>
      </c>
      <c r="T13" s="21">
        <v>61500</v>
      </c>
      <c r="AD13" s="510" t="s">
        <v>745</v>
      </c>
      <c r="AE13" s="44">
        <f>SUM(AE6:AE12)</f>
        <v>0.38172849748150767</v>
      </c>
      <c r="AF13" s="44"/>
      <c r="AH13" s="510" t="s">
        <v>745</v>
      </c>
      <c r="AI13" s="510"/>
      <c r="AJ13" s="44">
        <f>SUM(AJ6:AJ12)</f>
        <v>1.5371674165431612</v>
      </c>
    </row>
    <row r="14" spans="1:39">
      <c r="B14">
        <v>22</v>
      </c>
      <c r="C14">
        <v>37895</v>
      </c>
      <c r="D14" t="s">
        <v>53</v>
      </c>
      <c r="E14">
        <v>2003</v>
      </c>
      <c r="F14">
        <v>214</v>
      </c>
      <c r="G14">
        <v>1</v>
      </c>
      <c r="H14" s="548">
        <v>37681</v>
      </c>
      <c r="I14" s="21">
        <v>832553</v>
      </c>
      <c r="J14">
        <v>0</v>
      </c>
      <c r="K14">
        <v>0.2</v>
      </c>
      <c r="L14" s="343">
        <v>7.0000000000000007E-2</v>
      </c>
      <c r="M14">
        <v>0</v>
      </c>
      <c r="N14">
        <v>0</v>
      </c>
      <c r="P14">
        <v>8.1</v>
      </c>
      <c r="Q14">
        <v>32.700000000000003</v>
      </c>
      <c r="R14" t="s">
        <v>379</v>
      </c>
      <c r="S14" s="21">
        <v>166510.6</v>
      </c>
      <c r="T14" s="21">
        <v>58278.710000000006</v>
      </c>
      <c r="AD14" s="510" t="s">
        <v>746</v>
      </c>
      <c r="AE14" s="44">
        <f>AVERAGE(AE6:AE12)</f>
        <v>5.4532642497358237E-2</v>
      </c>
      <c r="AF14" s="44"/>
      <c r="AH14" s="510" t="s">
        <v>746</v>
      </c>
      <c r="AI14" s="510"/>
      <c r="AJ14" s="44">
        <f>AVERAGE(AJ6:AJ12)</f>
        <v>0.2195953452204516</v>
      </c>
    </row>
    <row r="15" spans="1:39">
      <c r="B15">
        <v>24</v>
      </c>
      <c r="C15">
        <v>37895</v>
      </c>
      <c r="D15" t="s">
        <v>53</v>
      </c>
      <c r="E15">
        <v>2003</v>
      </c>
      <c r="F15">
        <v>548</v>
      </c>
      <c r="G15">
        <v>2</v>
      </c>
      <c r="H15" s="548">
        <v>37347</v>
      </c>
      <c r="I15" s="21">
        <v>512000</v>
      </c>
      <c r="J15">
        <v>2.38</v>
      </c>
      <c r="K15">
        <v>10.71</v>
      </c>
      <c r="L15" s="343">
        <v>4.41</v>
      </c>
      <c r="N15">
        <v>4.0199999999999996</v>
      </c>
      <c r="Q15">
        <v>21.83</v>
      </c>
      <c r="S15" s="21">
        <v>5483520</v>
      </c>
      <c r="T15" s="21">
        <v>2257920</v>
      </c>
      <c r="AD15" s="510" t="s">
        <v>747</v>
      </c>
      <c r="AE15" s="94">
        <f>(19.2+14.5+28.8+39.4+14+73.1+23.6)/7</f>
        <v>30.37142857142857</v>
      </c>
      <c r="AF15" s="94"/>
      <c r="AJ15" s="94">
        <f>(18.9+13+21.7+50.8+26+113.2+8.1)/7</f>
        <v>35.957142857142848</v>
      </c>
    </row>
    <row r="16" spans="1:39">
      <c r="B16">
        <v>25</v>
      </c>
      <c r="C16">
        <v>37895</v>
      </c>
      <c r="D16" t="s">
        <v>53</v>
      </c>
      <c r="E16">
        <v>2003</v>
      </c>
      <c r="F16">
        <v>242</v>
      </c>
      <c r="G16">
        <v>1</v>
      </c>
      <c r="H16" s="548">
        <v>37653</v>
      </c>
      <c r="I16" s="21">
        <v>905000</v>
      </c>
      <c r="J16">
        <v>0.87</v>
      </c>
      <c r="K16">
        <v>1.83</v>
      </c>
      <c r="L16" s="343">
        <v>0.5</v>
      </c>
      <c r="M16">
        <v>0</v>
      </c>
      <c r="N16">
        <v>0.43</v>
      </c>
      <c r="P16">
        <v>7.5</v>
      </c>
      <c r="S16" s="21">
        <v>1656150</v>
      </c>
      <c r="T16" s="21">
        <v>452500</v>
      </c>
    </row>
    <row r="17" spans="2:31">
      <c r="L17" s="343"/>
      <c r="S17" s="21"/>
      <c r="T17" s="21"/>
      <c r="AD17" s="510" t="s">
        <v>823</v>
      </c>
      <c r="AE17" s="118" t="s">
        <v>831</v>
      </c>
    </row>
    <row r="18" spans="2:31">
      <c r="B18" s="507">
        <v>1</v>
      </c>
      <c r="C18">
        <v>38261</v>
      </c>
      <c r="D18" t="s">
        <v>53</v>
      </c>
      <c r="E18">
        <v>2004</v>
      </c>
      <c r="F18">
        <v>608</v>
      </c>
      <c r="G18">
        <v>2</v>
      </c>
      <c r="H18" s="548">
        <v>37653</v>
      </c>
      <c r="I18" s="21">
        <v>200000</v>
      </c>
      <c r="J18">
        <v>0.06</v>
      </c>
      <c r="K18">
        <v>5.3</v>
      </c>
      <c r="L18" s="549">
        <v>3.79</v>
      </c>
      <c r="M18">
        <v>0</v>
      </c>
      <c r="N18">
        <v>0.7</v>
      </c>
      <c r="P18">
        <v>10.199999999999999</v>
      </c>
      <c r="Q18">
        <v>27</v>
      </c>
      <c r="R18" t="s">
        <v>7</v>
      </c>
      <c r="S18" s="21">
        <v>1060000</v>
      </c>
      <c r="T18" s="21">
        <v>758000</v>
      </c>
      <c r="AE18" s="118" t="s">
        <v>837</v>
      </c>
    </row>
    <row r="19" spans="2:31">
      <c r="B19">
        <v>2</v>
      </c>
      <c r="C19">
        <v>38261</v>
      </c>
      <c r="D19" t="s">
        <v>53</v>
      </c>
      <c r="E19">
        <v>2004</v>
      </c>
      <c r="F19">
        <v>519</v>
      </c>
      <c r="G19">
        <v>2</v>
      </c>
      <c r="H19" s="548">
        <v>37742</v>
      </c>
      <c r="I19" s="21">
        <v>398000</v>
      </c>
      <c r="J19">
        <v>1.65</v>
      </c>
      <c r="K19">
        <v>2.64</v>
      </c>
      <c r="L19" s="343">
        <v>1.51</v>
      </c>
      <c r="M19">
        <v>0</v>
      </c>
      <c r="N19">
        <v>0</v>
      </c>
      <c r="P19">
        <v>9.6</v>
      </c>
      <c r="Q19">
        <v>28.7</v>
      </c>
      <c r="S19" s="21">
        <v>1050720</v>
      </c>
      <c r="T19" s="21">
        <v>600980</v>
      </c>
    </row>
    <row r="20" spans="2:31">
      <c r="B20">
        <v>4</v>
      </c>
      <c r="C20">
        <v>38261</v>
      </c>
      <c r="D20" t="s">
        <v>53</v>
      </c>
      <c r="E20">
        <v>2004</v>
      </c>
      <c r="F20">
        <v>0</v>
      </c>
      <c r="G20">
        <v>1</v>
      </c>
      <c r="H20" s="548">
        <v>38261</v>
      </c>
      <c r="I20" s="21">
        <v>50000</v>
      </c>
      <c r="L20" s="343">
        <v>0</v>
      </c>
      <c r="N20">
        <v>0</v>
      </c>
      <c r="S20" s="21"/>
      <c r="T20" s="21">
        <v>0</v>
      </c>
    </row>
    <row r="21" spans="2:31">
      <c r="B21" s="507">
        <v>5</v>
      </c>
      <c r="C21">
        <v>38261</v>
      </c>
      <c r="D21" t="s">
        <v>53</v>
      </c>
      <c r="E21">
        <v>2004</v>
      </c>
      <c r="F21" t="s">
        <v>41</v>
      </c>
      <c r="G21">
        <v>2</v>
      </c>
      <c r="H21" s="548" t="s">
        <v>9</v>
      </c>
      <c r="I21" s="21">
        <v>24000</v>
      </c>
      <c r="J21">
        <v>0.43</v>
      </c>
      <c r="K21">
        <v>1.2</v>
      </c>
      <c r="L21" s="549">
        <v>0.78</v>
      </c>
      <c r="M21">
        <v>0</v>
      </c>
      <c r="N21">
        <v>0</v>
      </c>
      <c r="P21">
        <v>10.199999999999999</v>
      </c>
      <c r="Q21">
        <v>12.3</v>
      </c>
      <c r="S21" s="21">
        <v>28800</v>
      </c>
      <c r="T21" s="21">
        <v>18720</v>
      </c>
    </row>
    <row r="22" spans="2:31">
      <c r="B22">
        <v>6</v>
      </c>
      <c r="C22">
        <v>38261</v>
      </c>
      <c r="D22" t="s">
        <v>53</v>
      </c>
      <c r="E22">
        <v>2004</v>
      </c>
      <c r="F22">
        <v>366</v>
      </c>
      <c r="G22">
        <v>2</v>
      </c>
      <c r="H22" s="548">
        <v>37895</v>
      </c>
      <c r="I22" s="21">
        <v>610222</v>
      </c>
      <c r="J22">
        <v>0</v>
      </c>
      <c r="K22">
        <v>0.03</v>
      </c>
      <c r="L22" s="343">
        <v>0</v>
      </c>
      <c r="M22">
        <v>0</v>
      </c>
      <c r="N22">
        <v>0.02</v>
      </c>
      <c r="P22">
        <v>10.3</v>
      </c>
      <c r="Q22">
        <v>18.100000000000001</v>
      </c>
      <c r="S22" s="21">
        <v>18306.66</v>
      </c>
      <c r="T22" s="21">
        <v>0</v>
      </c>
    </row>
    <row r="23" spans="2:31">
      <c r="B23">
        <v>9</v>
      </c>
      <c r="C23">
        <v>38261</v>
      </c>
      <c r="D23" t="s">
        <v>53</v>
      </c>
      <c r="E23">
        <v>2004</v>
      </c>
      <c r="F23">
        <v>670</v>
      </c>
      <c r="G23">
        <v>2</v>
      </c>
      <c r="H23" s="548">
        <v>37591</v>
      </c>
      <c r="I23" s="21">
        <v>131637</v>
      </c>
      <c r="L23" s="343">
        <v>0.3</v>
      </c>
      <c r="N23">
        <v>0.2</v>
      </c>
      <c r="S23" s="21"/>
      <c r="T23" s="21">
        <v>39491.1</v>
      </c>
    </row>
    <row r="24" spans="2:31">
      <c r="B24">
        <v>11</v>
      </c>
      <c r="C24">
        <v>38261</v>
      </c>
      <c r="D24" t="s">
        <v>53</v>
      </c>
      <c r="E24">
        <v>2004</v>
      </c>
      <c r="F24">
        <v>608</v>
      </c>
      <c r="G24">
        <v>2</v>
      </c>
      <c r="H24" s="548">
        <v>37653</v>
      </c>
      <c r="I24" s="21">
        <v>657952.66666666698</v>
      </c>
      <c r="J24">
        <v>0.14000000000000001</v>
      </c>
      <c r="K24">
        <v>3.1</v>
      </c>
      <c r="L24" s="343">
        <v>2.17</v>
      </c>
      <c r="N24">
        <v>1.1200000000000001</v>
      </c>
      <c r="P24">
        <v>9.8000000000000007</v>
      </c>
      <c r="Q24">
        <v>27.7</v>
      </c>
      <c r="S24" s="21">
        <v>2039653.2666666678</v>
      </c>
      <c r="T24" s="21">
        <v>1427757.2866666673</v>
      </c>
    </row>
    <row r="25" spans="2:31">
      <c r="B25">
        <v>13</v>
      </c>
      <c r="C25">
        <v>38261</v>
      </c>
      <c r="D25" t="s">
        <v>53</v>
      </c>
      <c r="E25">
        <v>2004</v>
      </c>
      <c r="F25">
        <v>305</v>
      </c>
      <c r="G25">
        <v>1</v>
      </c>
      <c r="H25" s="548">
        <v>37956</v>
      </c>
      <c r="I25" s="21">
        <v>655000</v>
      </c>
      <c r="J25">
        <v>0.77</v>
      </c>
      <c r="K25">
        <v>5.23</v>
      </c>
      <c r="L25" s="343">
        <v>2.2000000000000002</v>
      </c>
      <c r="M25">
        <v>1</v>
      </c>
      <c r="N25">
        <v>0.23</v>
      </c>
      <c r="P25">
        <v>9.4</v>
      </c>
      <c r="Q25">
        <v>28.9</v>
      </c>
      <c r="S25" s="21">
        <v>3425650.0000000005</v>
      </c>
      <c r="T25" s="21">
        <v>1441000</v>
      </c>
    </row>
    <row r="26" spans="2:31">
      <c r="B26" s="507">
        <v>18</v>
      </c>
      <c r="C26">
        <v>38261</v>
      </c>
      <c r="D26" t="s">
        <v>53</v>
      </c>
      <c r="E26">
        <v>2004</v>
      </c>
      <c r="F26">
        <v>608</v>
      </c>
      <c r="G26">
        <v>2</v>
      </c>
      <c r="H26" s="548">
        <v>37653</v>
      </c>
      <c r="I26" s="21">
        <v>413000</v>
      </c>
      <c r="K26">
        <v>12.885</v>
      </c>
      <c r="L26" s="549">
        <v>6.1999999999999993</v>
      </c>
      <c r="N26">
        <v>0.91500000000000004</v>
      </c>
      <c r="P26">
        <v>9</v>
      </c>
      <c r="Q26">
        <v>31.9</v>
      </c>
      <c r="S26" s="21">
        <v>5321505</v>
      </c>
      <c r="T26" s="21">
        <v>2560599.9999999995</v>
      </c>
    </row>
    <row r="27" spans="2:31">
      <c r="B27" s="507">
        <v>19</v>
      </c>
      <c r="C27">
        <v>38261</v>
      </c>
      <c r="D27" t="s">
        <v>53</v>
      </c>
      <c r="E27">
        <v>2004</v>
      </c>
      <c r="F27" t="s">
        <v>41</v>
      </c>
      <c r="G27">
        <v>2</v>
      </c>
      <c r="H27" s="548" t="s">
        <v>9</v>
      </c>
      <c r="I27" s="21">
        <v>3000</v>
      </c>
      <c r="J27">
        <v>0</v>
      </c>
      <c r="K27">
        <v>9.4499999999999993</v>
      </c>
      <c r="L27" s="549">
        <v>5.7</v>
      </c>
      <c r="M27">
        <v>0</v>
      </c>
      <c r="N27">
        <v>2.95</v>
      </c>
      <c r="P27">
        <v>9.1</v>
      </c>
      <c r="Q27">
        <v>31.8</v>
      </c>
      <c r="S27" s="21">
        <v>28349.999999999996</v>
      </c>
      <c r="T27" s="21">
        <v>17100</v>
      </c>
    </row>
    <row r="28" spans="2:31">
      <c r="B28">
        <v>20</v>
      </c>
      <c r="C28">
        <v>38261</v>
      </c>
      <c r="D28" t="s">
        <v>53</v>
      </c>
      <c r="E28">
        <v>2004</v>
      </c>
      <c r="F28">
        <v>243</v>
      </c>
      <c r="G28">
        <v>1</v>
      </c>
      <c r="H28" s="548">
        <v>38018</v>
      </c>
      <c r="I28" s="21">
        <v>82348</v>
      </c>
      <c r="L28" s="343">
        <v>0.7</v>
      </c>
      <c r="N28">
        <v>0.2</v>
      </c>
      <c r="R28" t="s">
        <v>343</v>
      </c>
      <c r="S28" s="21"/>
      <c r="T28" s="21">
        <v>57643.6</v>
      </c>
    </row>
    <row r="29" spans="2:31">
      <c r="B29">
        <v>21</v>
      </c>
      <c r="C29">
        <v>38261</v>
      </c>
      <c r="D29" t="s">
        <v>53</v>
      </c>
      <c r="E29">
        <v>2004</v>
      </c>
      <c r="F29">
        <v>549</v>
      </c>
      <c r="G29">
        <v>2</v>
      </c>
      <c r="H29" s="548">
        <v>37712</v>
      </c>
      <c r="I29" s="21">
        <v>595143</v>
      </c>
      <c r="J29">
        <v>0.03</v>
      </c>
      <c r="K29">
        <v>0.03</v>
      </c>
      <c r="L29" s="343">
        <v>0.03</v>
      </c>
      <c r="M29">
        <v>0</v>
      </c>
      <c r="N29">
        <v>0</v>
      </c>
      <c r="P29">
        <v>8.8000000000000007</v>
      </c>
      <c r="Q29">
        <v>27.6</v>
      </c>
      <c r="S29" s="21">
        <v>17854.29</v>
      </c>
      <c r="T29" s="21">
        <v>17854.29</v>
      </c>
    </row>
    <row r="30" spans="2:31">
      <c r="B30">
        <v>22</v>
      </c>
      <c r="C30">
        <v>38261</v>
      </c>
      <c r="D30" t="s">
        <v>53</v>
      </c>
      <c r="E30">
        <v>2004</v>
      </c>
      <c r="F30">
        <v>580</v>
      </c>
      <c r="G30">
        <v>2</v>
      </c>
      <c r="H30" s="548">
        <v>37681</v>
      </c>
      <c r="I30" s="21">
        <v>643000</v>
      </c>
      <c r="J30">
        <v>0</v>
      </c>
      <c r="K30">
        <v>0</v>
      </c>
      <c r="L30" s="343">
        <v>0</v>
      </c>
      <c r="M30">
        <v>0</v>
      </c>
      <c r="N30">
        <v>0</v>
      </c>
      <c r="P30">
        <v>9</v>
      </c>
      <c r="Q30">
        <v>26.2</v>
      </c>
      <c r="R30" t="s">
        <v>7</v>
      </c>
      <c r="S30" s="21">
        <v>0</v>
      </c>
      <c r="T30" s="21">
        <v>0</v>
      </c>
    </row>
    <row r="31" spans="2:31">
      <c r="B31">
        <v>23</v>
      </c>
      <c r="C31">
        <v>38261</v>
      </c>
      <c r="D31" t="s">
        <v>53</v>
      </c>
      <c r="E31">
        <v>2004</v>
      </c>
      <c r="F31">
        <v>183</v>
      </c>
      <c r="G31">
        <v>1</v>
      </c>
      <c r="H31" s="548">
        <v>38078</v>
      </c>
      <c r="I31" s="21">
        <v>655622</v>
      </c>
      <c r="J31">
        <v>0</v>
      </c>
      <c r="K31">
        <v>0.03</v>
      </c>
      <c r="L31" s="343">
        <v>0</v>
      </c>
      <c r="M31">
        <v>0</v>
      </c>
      <c r="N31">
        <v>0</v>
      </c>
      <c r="P31">
        <v>9</v>
      </c>
      <c r="Q31">
        <v>26.2</v>
      </c>
      <c r="S31" s="21">
        <v>19668.66</v>
      </c>
      <c r="T31" s="21">
        <v>0</v>
      </c>
    </row>
    <row r="32" spans="2:31">
      <c r="B32">
        <v>24</v>
      </c>
      <c r="C32">
        <v>38261</v>
      </c>
      <c r="D32" t="s">
        <v>53</v>
      </c>
      <c r="E32">
        <v>2004</v>
      </c>
      <c r="F32">
        <v>243</v>
      </c>
      <c r="G32">
        <v>1</v>
      </c>
      <c r="H32" s="548">
        <v>38018</v>
      </c>
      <c r="I32" s="21">
        <v>457482</v>
      </c>
      <c r="K32">
        <v>1.03</v>
      </c>
      <c r="L32" s="343">
        <v>0.33</v>
      </c>
      <c r="N32">
        <v>0.17</v>
      </c>
      <c r="R32" t="s">
        <v>384</v>
      </c>
      <c r="S32" s="21">
        <v>471206.46</v>
      </c>
      <c r="T32" s="21">
        <v>150969.06</v>
      </c>
    </row>
    <row r="33" spans="2:20">
      <c r="B33">
        <v>25</v>
      </c>
      <c r="C33">
        <v>38261</v>
      </c>
      <c r="D33" t="s">
        <v>53</v>
      </c>
      <c r="E33">
        <v>2004</v>
      </c>
      <c r="F33">
        <v>243</v>
      </c>
      <c r="G33">
        <v>1</v>
      </c>
      <c r="H33" s="548">
        <v>38018</v>
      </c>
      <c r="I33" s="21">
        <v>436348</v>
      </c>
      <c r="J33">
        <v>0.37</v>
      </c>
      <c r="K33">
        <v>1.03</v>
      </c>
      <c r="L33" s="343">
        <v>0.33</v>
      </c>
      <c r="N33">
        <v>0.17</v>
      </c>
      <c r="P33">
        <v>9.3000000000000007</v>
      </c>
      <c r="Q33">
        <v>30.2</v>
      </c>
      <c r="R33" t="s">
        <v>15</v>
      </c>
      <c r="S33" s="21">
        <v>449438.44</v>
      </c>
      <c r="T33" s="21">
        <v>143994.84</v>
      </c>
    </row>
    <row r="34" spans="2:20">
      <c r="L34" s="343"/>
      <c r="S34" s="21"/>
      <c r="T34" s="21"/>
    </row>
    <row r="35" spans="2:20">
      <c r="B35">
        <v>1</v>
      </c>
      <c r="C35">
        <v>38626</v>
      </c>
      <c r="D35" t="s">
        <v>53</v>
      </c>
      <c r="E35">
        <v>2005</v>
      </c>
      <c r="F35">
        <v>214</v>
      </c>
      <c r="G35">
        <v>1</v>
      </c>
      <c r="H35" s="548">
        <v>38412</v>
      </c>
      <c r="I35" s="21">
        <v>700000</v>
      </c>
      <c r="J35">
        <v>0.47</v>
      </c>
      <c r="K35">
        <v>6.4</v>
      </c>
      <c r="L35" s="343">
        <v>3.5</v>
      </c>
      <c r="N35">
        <v>2.23</v>
      </c>
      <c r="P35">
        <v>10</v>
      </c>
      <c r="Q35">
        <v>26</v>
      </c>
      <c r="S35" s="21">
        <v>4480000</v>
      </c>
      <c r="T35" s="21">
        <v>2450000</v>
      </c>
    </row>
    <row r="36" spans="2:20">
      <c r="B36">
        <v>3</v>
      </c>
      <c r="C36">
        <v>38626</v>
      </c>
      <c r="D36" t="s">
        <v>53</v>
      </c>
      <c r="E36">
        <v>2005</v>
      </c>
      <c r="F36">
        <v>304</v>
      </c>
      <c r="G36">
        <v>1</v>
      </c>
      <c r="H36" s="548">
        <v>38322</v>
      </c>
      <c r="I36" s="21">
        <v>637858.30000000005</v>
      </c>
      <c r="J36">
        <v>0.1</v>
      </c>
      <c r="K36">
        <v>3.42</v>
      </c>
      <c r="L36" s="343">
        <v>2.52</v>
      </c>
      <c r="M36">
        <v>0</v>
      </c>
      <c r="N36">
        <v>0.03</v>
      </c>
      <c r="P36">
        <v>10</v>
      </c>
      <c r="Q36">
        <v>23</v>
      </c>
      <c r="S36" s="21">
        <v>2181475.3859999999</v>
      </c>
      <c r="T36" s="21">
        <v>1607402.9160000002</v>
      </c>
    </row>
    <row r="37" spans="2:20">
      <c r="B37">
        <v>4</v>
      </c>
      <c r="C37">
        <v>38626</v>
      </c>
      <c r="D37" t="s">
        <v>53</v>
      </c>
      <c r="E37">
        <v>2005</v>
      </c>
      <c r="F37">
        <v>365</v>
      </c>
      <c r="G37">
        <v>2</v>
      </c>
      <c r="H37" s="548">
        <v>38261</v>
      </c>
      <c r="I37" s="21">
        <v>630359.66666666698</v>
      </c>
      <c r="J37">
        <v>0</v>
      </c>
      <c r="K37">
        <v>2.75</v>
      </c>
      <c r="L37" s="343">
        <v>1.73</v>
      </c>
      <c r="M37">
        <v>0</v>
      </c>
      <c r="N37">
        <v>0</v>
      </c>
      <c r="P37">
        <v>10</v>
      </c>
      <c r="Q37">
        <v>22</v>
      </c>
      <c r="S37" s="21">
        <v>1733489.0833333342</v>
      </c>
      <c r="T37" s="21">
        <v>1090522.2233333339</v>
      </c>
    </row>
    <row r="38" spans="2:20">
      <c r="B38" s="507">
        <v>5</v>
      </c>
      <c r="C38">
        <v>38626</v>
      </c>
      <c r="D38" t="s">
        <v>53</v>
      </c>
      <c r="E38">
        <v>2005</v>
      </c>
      <c r="F38" t="s">
        <v>41</v>
      </c>
      <c r="G38">
        <v>2</v>
      </c>
      <c r="H38" s="548" t="s">
        <v>9</v>
      </c>
      <c r="I38" s="21">
        <v>26000</v>
      </c>
      <c r="K38">
        <v>2.2149999999999999</v>
      </c>
      <c r="L38" s="549">
        <v>1.375</v>
      </c>
      <c r="N38">
        <v>0</v>
      </c>
      <c r="S38" s="21">
        <v>57589.999999999993</v>
      </c>
      <c r="T38" s="21">
        <v>35750</v>
      </c>
    </row>
    <row r="39" spans="2:20">
      <c r="B39">
        <v>6</v>
      </c>
      <c r="C39">
        <v>38626</v>
      </c>
      <c r="D39" t="s">
        <v>53</v>
      </c>
      <c r="E39">
        <v>2005</v>
      </c>
      <c r="F39">
        <v>731</v>
      </c>
      <c r="G39">
        <v>2</v>
      </c>
      <c r="H39" s="548">
        <v>37895</v>
      </c>
      <c r="I39" s="21">
        <v>100000</v>
      </c>
      <c r="L39" s="343">
        <v>0.6</v>
      </c>
      <c r="N39">
        <v>0.1</v>
      </c>
      <c r="R39" t="s">
        <v>7</v>
      </c>
      <c r="S39" s="21"/>
      <c r="T39" s="21">
        <v>60000</v>
      </c>
    </row>
    <row r="40" spans="2:20">
      <c r="B40">
        <v>9</v>
      </c>
      <c r="C40">
        <v>38626</v>
      </c>
      <c r="D40" t="s">
        <v>53</v>
      </c>
      <c r="E40">
        <v>2005</v>
      </c>
      <c r="F40">
        <v>304</v>
      </c>
      <c r="G40">
        <v>1</v>
      </c>
      <c r="H40" s="548">
        <v>38322</v>
      </c>
      <c r="I40" s="21">
        <v>615000</v>
      </c>
      <c r="J40">
        <v>2.59</v>
      </c>
      <c r="K40">
        <v>2.2400000000000002</v>
      </c>
      <c r="L40" s="343">
        <v>0.77</v>
      </c>
      <c r="M40">
        <v>0</v>
      </c>
      <c r="N40">
        <v>3.2</v>
      </c>
      <c r="P40">
        <v>9</v>
      </c>
      <c r="Q40">
        <v>30</v>
      </c>
      <c r="S40" s="21">
        <v>1377600.0000000002</v>
      </c>
      <c r="T40" s="21">
        <v>473550</v>
      </c>
    </row>
    <row r="41" spans="2:20">
      <c r="B41">
        <v>11</v>
      </c>
      <c r="C41">
        <v>38626</v>
      </c>
      <c r="D41" t="s">
        <v>53</v>
      </c>
      <c r="E41">
        <v>2005</v>
      </c>
      <c r="F41">
        <v>334</v>
      </c>
      <c r="G41">
        <v>1</v>
      </c>
      <c r="H41" s="548">
        <v>38292</v>
      </c>
      <c r="I41" s="21">
        <v>719000</v>
      </c>
      <c r="J41">
        <v>0.33</v>
      </c>
      <c r="K41">
        <v>2.62</v>
      </c>
      <c r="L41" s="343">
        <v>1.18</v>
      </c>
      <c r="M41">
        <v>0</v>
      </c>
      <c r="N41">
        <v>0.77</v>
      </c>
      <c r="P41">
        <v>9</v>
      </c>
      <c r="Q41">
        <v>25</v>
      </c>
      <c r="S41" s="21">
        <v>1883780</v>
      </c>
      <c r="T41" s="21">
        <v>848420</v>
      </c>
    </row>
    <row r="42" spans="2:20">
      <c r="B42" s="507">
        <v>13</v>
      </c>
      <c r="C42">
        <v>38626</v>
      </c>
      <c r="D42" t="s">
        <v>53</v>
      </c>
      <c r="E42">
        <v>2005</v>
      </c>
      <c r="F42">
        <v>670</v>
      </c>
      <c r="G42">
        <v>2</v>
      </c>
      <c r="H42" s="548">
        <v>37956</v>
      </c>
      <c r="I42" s="21">
        <v>194497</v>
      </c>
      <c r="J42">
        <v>1.75</v>
      </c>
      <c r="K42">
        <v>6.92</v>
      </c>
      <c r="L42" s="549">
        <v>2.87</v>
      </c>
      <c r="N42">
        <v>0.08</v>
      </c>
      <c r="P42">
        <v>9</v>
      </c>
      <c r="Q42">
        <v>27</v>
      </c>
      <c r="S42" s="21">
        <v>1345919.24</v>
      </c>
      <c r="T42" s="21">
        <v>558206.39</v>
      </c>
    </row>
    <row r="43" spans="2:20">
      <c r="B43" s="507">
        <v>19</v>
      </c>
      <c r="C43">
        <v>38626</v>
      </c>
      <c r="D43" t="s">
        <v>53</v>
      </c>
      <c r="E43">
        <v>2005</v>
      </c>
      <c r="F43" t="s">
        <v>41</v>
      </c>
      <c r="G43">
        <v>2</v>
      </c>
      <c r="H43" s="548" t="s">
        <v>9</v>
      </c>
      <c r="I43" s="21">
        <v>20000</v>
      </c>
      <c r="K43">
        <v>1.175</v>
      </c>
      <c r="L43" s="549">
        <v>0</v>
      </c>
      <c r="N43">
        <v>0.82499999999999996</v>
      </c>
      <c r="S43" s="21">
        <v>23500</v>
      </c>
      <c r="T43" s="21">
        <v>0</v>
      </c>
    </row>
    <row r="44" spans="2:20">
      <c r="B44" s="507">
        <v>20</v>
      </c>
      <c r="C44">
        <v>38626</v>
      </c>
      <c r="D44" t="s">
        <v>53</v>
      </c>
      <c r="E44">
        <v>2005</v>
      </c>
      <c r="F44">
        <v>608</v>
      </c>
      <c r="G44">
        <v>2</v>
      </c>
      <c r="H44" s="548">
        <v>38018</v>
      </c>
      <c r="I44" s="21">
        <v>425669</v>
      </c>
      <c r="J44">
        <v>0.92</v>
      </c>
      <c r="K44">
        <v>10.87</v>
      </c>
      <c r="L44" s="549">
        <v>6.03</v>
      </c>
      <c r="M44">
        <v>1</v>
      </c>
      <c r="N44">
        <v>0</v>
      </c>
      <c r="P44">
        <v>8</v>
      </c>
      <c r="Q44">
        <v>24</v>
      </c>
      <c r="S44" s="21">
        <v>4627022.0299999993</v>
      </c>
      <c r="T44" s="21">
        <v>2566784.0700000003</v>
      </c>
    </row>
    <row r="45" spans="2:20">
      <c r="B45">
        <v>21</v>
      </c>
      <c r="C45">
        <v>38626</v>
      </c>
      <c r="D45" t="s">
        <v>53</v>
      </c>
      <c r="E45">
        <v>2005</v>
      </c>
      <c r="F45">
        <v>242</v>
      </c>
      <c r="G45">
        <v>1</v>
      </c>
      <c r="H45" s="548">
        <v>38384</v>
      </c>
      <c r="I45" s="21">
        <v>709621</v>
      </c>
      <c r="J45">
        <v>0.03</v>
      </c>
      <c r="K45">
        <v>1.3</v>
      </c>
      <c r="L45" s="343">
        <v>0.87</v>
      </c>
      <c r="N45">
        <v>0.08</v>
      </c>
      <c r="P45">
        <v>9</v>
      </c>
      <c r="Q45">
        <v>21</v>
      </c>
      <c r="S45" s="21">
        <v>922507.3</v>
      </c>
      <c r="T45" s="21">
        <v>617370.27</v>
      </c>
    </row>
    <row r="46" spans="2:20">
      <c r="B46">
        <v>22</v>
      </c>
      <c r="C46">
        <v>38626</v>
      </c>
      <c r="D46" t="s">
        <v>53</v>
      </c>
      <c r="E46">
        <v>2005</v>
      </c>
      <c r="F46">
        <v>214</v>
      </c>
      <c r="G46">
        <v>1</v>
      </c>
      <c r="H46" s="548">
        <v>38412</v>
      </c>
      <c r="I46" s="21">
        <v>680000</v>
      </c>
      <c r="J46">
        <v>0</v>
      </c>
      <c r="K46">
        <v>0.03</v>
      </c>
      <c r="L46" s="343">
        <v>0</v>
      </c>
      <c r="M46">
        <v>0</v>
      </c>
      <c r="N46">
        <v>0</v>
      </c>
      <c r="P46">
        <v>9</v>
      </c>
      <c r="Q46">
        <v>25</v>
      </c>
      <c r="R46" t="s">
        <v>347</v>
      </c>
      <c r="S46" s="21">
        <v>20400</v>
      </c>
      <c r="T46" s="21">
        <v>0</v>
      </c>
    </row>
    <row r="47" spans="2:20">
      <c r="B47">
        <v>23</v>
      </c>
      <c r="C47">
        <v>38626</v>
      </c>
      <c r="D47" t="s">
        <v>53</v>
      </c>
      <c r="E47">
        <v>2005</v>
      </c>
      <c r="F47">
        <v>548</v>
      </c>
      <c r="G47">
        <v>2</v>
      </c>
      <c r="H47" s="548">
        <v>38078</v>
      </c>
      <c r="I47" s="21">
        <v>384993</v>
      </c>
      <c r="J47">
        <v>0.67</v>
      </c>
      <c r="K47">
        <v>2.15</v>
      </c>
      <c r="L47" s="343">
        <v>0.8</v>
      </c>
      <c r="M47">
        <v>0</v>
      </c>
      <c r="N47">
        <v>0.48</v>
      </c>
      <c r="P47">
        <v>9</v>
      </c>
      <c r="Q47">
        <v>21</v>
      </c>
      <c r="S47" s="21">
        <v>827734.95</v>
      </c>
      <c r="T47" s="21">
        <v>307994.40000000002</v>
      </c>
    </row>
    <row r="48" spans="2:20">
      <c r="B48" s="507">
        <v>24</v>
      </c>
      <c r="C48">
        <v>38626</v>
      </c>
      <c r="D48" t="s">
        <v>53</v>
      </c>
      <c r="E48">
        <v>2005</v>
      </c>
      <c r="F48">
        <v>608</v>
      </c>
      <c r="G48">
        <v>2</v>
      </c>
      <c r="H48" s="548">
        <v>38018</v>
      </c>
      <c r="I48" s="21">
        <v>484691</v>
      </c>
      <c r="J48">
        <v>4.51</v>
      </c>
      <c r="K48">
        <v>11.59</v>
      </c>
      <c r="L48" s="549">
        <v>7.33</v>
      </c>
      <c r="M48">
        <v>0</v>
      </c>
      <c r="N48">
        <v>0.83</v>
      </c>
      <c r="P48">
        <v>9</v>
      </c>
      <c r="Q48">
        <v>32</v>
      </c>
      <c r="S48" s="21">
        <v>5617568.6899999995</v>
      </c>
      <c r="T48" s="21">
        <v>3552785.0300000003</v>
      </c>
    </row>
    <row r="49" spans="2:20">
      <c r="B49">
        <v>25</v>
      </c>
      <c r="C49">
        <v>38626</v>
      </c>
      <c r="D49" t="s">
        <v>53</v>
      </c>
      <c r="E49">
        <v>2005</v>
      </c>
      <c r="F49">
        <v>242</v>
      </c>
      <c r="G49">
        <v>1</v>
      </c>
      <c r="H49" s="548">
        <v>38384</v>
      </c>
      <c r="I49" s="21">
        <v>136507</v>
      </c>
      <c r="K49">
        <v>4.0150000000000006</v>
      </c>
      <c r="L49" s="343">
        <v>1.675</v>
      </c>
      <c r="N49">
        <v>0.05</v>
      </c>
      <c r="S49" s="21">
        <v>548075.6050000001</v>
      </c>
      <c r="T49" s="21">
        <v>228649.22500000001</v>
      </c>
    </row>
    <row r="50" spans="2:20">
      <c r="L50" s="343"/>
      <c r="S50" s="21"/>
      <c r="T50" s="21"/>
    </row>
    <row r="51" spans="2:20">
      <c r="B51" s="507">
        <v>2</v>
      </c>
      <c r="C51">
        <v>38991</v>
      </c>
      <c r="D51" t="s">
        <v>53</v>
      </c>
      <c r="E51">
        <v>2006</v>
      </c>
      <c r="F51">
        <v>607</v>
      </c>
      <c r="G51">
        <v>2</v>
      </c>
      <c r="H51" s="548">
        <v>38384</v>
      </c>
      <c r="I51" s="21">
        <v>155664</v>
      </c>
      <c r="L51" s="549">
        <v>0.4</v>
      </c>
      <c r="N51">
        <v>1.8</v>
      </c>
      <c r="S51" s="21"/>
      <c r="T51" s="21">
        <v>62265.600000000006</v>
      </c>
    </row>
    <row r="52" spans="2:20">
      <c r="B52">
        <v>4</v>
      </c>
      <c r="C52">
        <v>38991</v>
      </c>
      <c r="D52" t="s">
        <v>53</v>
      </c>
      <c r="E52">
        <v>2006</v>
      </c>
      <c r="F52">
        <v>30</v>
      </c>
      <c r="G52">
        <v>1</v>
      </c>
      <c r="H52" s="548">
        <v>38961</v>
      </c>
      <c r="I52" s="21">
        <v>612968</v>
      </c>
      <c r="L52" s="343">
        <v>0</v>
      </c>
      <c r="N52">
        <v>0.04</v>
      </c>
      <c r="S52" s="21"/>
      <c r="T52" s="21">
        <v>0</v>
      </c>
    </row>
    <row r="53" spans="2:20">
      <c r="B53" s="507">
        <v>5</v>
      </c>
      <c r="C53">
        <v>38991</v>
      </c>
      <c r="D53" t="s">
        <v>53</v>
      </c>
      <c r="E53">
        <v>2006</v>
      </c>
      <c r="F53" t="s">
        <v>41</v>
      </c>
      <c r="G53">
        <v>2</v>
      </c>
      <c r="H53" s="548" t="s">
        <v>9</v>
      </c>
      <c r="I53" s="21">
        <v>37000</v>
      </c>
      <c r="K53">
        <v>0.8125</v>
      </c>
      <c r="L53" s="549">
        <v>0.52750000000000008</v>
      </c>
      <c r="N53">
        <v>6.5000000000000002E-2</v>
      </c>
      <c r="S53" s="21">
        <v>30062.5</v>
      </c>
      <c r="T53" s="21">
        <v>19517.500000000004</v>
      </c>
    </row>
    <row r="54" spans="2:20">
      <c r="B54">
        <v>6</v>
      </c>
      <c r="C54">
        <v>38991</v>
      </c>
      <c r="D54" t="s">
        <v>53</v>
      </c>
      <c r="E54">
        <v>2006</v>
      </c>
      <c r="F54">
        <v>304</v>
      </c>
      <c r="G54">
        <v>1</v>
      </c>
      <c r="H54" s="548">
        <v>38687</v>
      </c>
      <c r="I54" s="21">
        <v>559300</v>
      </c>
      <c r="J54">
        <v>0.42</v>
      </c>
      <c r="K54">
        <v>4.2300000000000004</v>
      </c>
      <c r="L54" s="343">
        <v>2.62</v>
      </c>
      <c r="M54">
        <v>2</v>
      </c>
      <c r="N54">
        <v>0.1</v>
      </c>
      <c r="O54">
        <v>1</v>
      </c>
      <c r="P54">
        <v>11</v>
      </c>
      <c r="Q54">
        <v>17</v>
      </c>
      <c r="S54" s="21">
        <v>2365839.0000000005</v>
      </c>
      <c r="T54" s="21">
        <v>1465366</v>
      </c>
    </row>
    <row r="55" spans="2:20">
      <c r="B55">
        <v>13</v>
      </c>
      <c r="C55">
        <v>38991</v>
      </c>
      <c r="D55" t="s">
        <v>53</v>
      </c>
      <c r="E55">
        <v>2006</v>
      </c>
      <c r="F55">
        <v>334</v>
      </c>
      <c r="G55">
        <v>1</v>
      </c>
      <c r="H55" s="548">
        <v>38657</v>
      </c>
      <c r="I55" s="21">
        <v>552521</v>
      </c>
      <c r="J55">
        <v>18.010000000000002</v>
      </c>
      <c r="K55">
        <v>8.4</v>
      </c>
      <c r="L55" s="343">
        <v>2.48</v>
      </c>
      <c r="M55">
        <v>0</v>
      </c>
      <c r="N55">
        <v>3.88</v>
      </c>
      <c r="O55">
        <v>1</v>
      </c>
      <c r="P55">
        <v>10</v>
      </c>
      <c r="Q55">
        <v>28</v>
      </c>
      <c r="S55" s="21">
        <v>4641176.4000000004</v>
      </c>
      <c r="T55" s="21">
        <v>1370252.08</v>
      </c>
    </row>
    <row r="56" spans="2:20">
      <c r="B56" s="507">
        <v>18</v>
      </c>
      <c r="C56">
        <v>38991</v>
      </c>
      <c r="D56" t="s">
        <v>53</v>
      </c>
      <c r="E56">
        <v>2006</v>
      </c>
      <c r="F56">
        <v>669</v>
      </c>
      <c r="G56">
        <v>2</v>
      </c>
      <c r="H56" s="548">
        <v>38322</v>
      </c>
      <c r="I56" s="21">
        <v>310698</v>
      </c>
      <c r="J56">
        <v>30.97</v>
      </c>
      <c r="K56">
        <v>7.26</v>
      </c>
      <c r="L56" s="549">
        <v>4.1399999999999997</v>
      </c>
      <c r="M56">
        <v>0</v>
      </c>
      <c r="N56">
        <v>0.81</v>
      </c>
      <c r="P56">
        <v>9</v>
      </c>
      <c r="Q56">
        <v>31</v>
      </c>
      <c r="S56" s="21">
        <v>2255667.48</v>
      </c>
      <c r="T56" s="21">
        <v>1286289.72</v>
      </c>
    </row>
    <row r="57" spans="2:20">
      <c r="B57" s="507">
        <v>19</v>
      </c>
      <c r="C57">
        <v>38991</v>
      </c>
      <c r="D57" t="s">
        <v>53</v>
      </c>
      <c r="E57">
        <v>2006</v>
      </c>
      <c r="F57" t="s">
        <v>41</v>
      </c>
      <c r="G57">
        <v>2</v>
      </c>
      <c r="H57" s="548" t="s">
        <v>9</v>
      </c>
      <c r="I57" s="21">
        <v>20000</v>
      </c>
      <c r="J57">
        <v>23.48</v>
      </c>
      <c r="K57">
        <v>7.95</v>
      </c>
      <c r="L57" s="549">
        <v>3.73</v>
      </c>
      <c r="N57">
        <v>5.13</v>
      </c>
      <c r="S57" s="21">
        <v>159000</v>
      </c>
      <c r="T57" s="21">
        <v>74600</v>
      </c>
    </row>
    <row r="58" spans="2:20">
      <c r="B58">
        <v>20</v>
      </c>
      <c r="C58">
        <v>38991</v>
      </c>
      <c r="D58" t="s">
        <v>53</v>
      </c>
      <c r="E58">
        <v>2006</v>
      </c>
      <c r="F58">
        <v>268</v>
      </c>
      <c r="G58">
        <v>1</v>
      </c>
      <c r="H58" s="548">
        <v>38723</v>
      </c>
      <c r="I58" s="21">
        <v>546989</v>
      </c>
      <c r="J58">
        <v>0.68</v>
      </c>
      <c r="K58">
        <v>0.63</v>
      </c>
      <c r="L58" s="343">
        <v>7.0000000000000007E-2</v>
      </c>
      <c r="N58">
        <v>7.0000000000000007E-2</v>
      </c>
      <c r="S58" s="21">
        <v>344603.07</v>
      </c>
      <c r="T58" s="21">
        <v>38289.230000000003</v>
      </c>
    </row>
    <row r="59" spans="2:20">
      <c r="B59" s="507">
        <v>21</v>
      </c>
      <c r="C59">
        <v>38991</v>
      </c>
      <c r="D59" t="s">
        <v>53</v>
      </c>
      <c r="E59">
        <v>2006</v>
      </c>
      <c r="F59">
        <v>607</v>
      </c>
      <c r="G59">
        <v>2</v>
      </c>
      <c r="H59" s="548">
        <v>38384</v>
      </c>
      <c r="I59" s="21">
        <v>573223</v>
      </c>
      <c r="J59">
        <v>0.08</v>
      </c>
      <c r="K59">
        <v>0.15</v>
      </c>
      <c r="L59" s="549">
        <v>0.05</v>
      </c>
      <c r="N59">
        <v>0</v>
      </c>
      <c r="P59">
        <v>10</v>
      </c>
      <c r="Q59">
        <v>19</v>
      </c>
      <c r="S59" s="21">
        <v>85983.45</v>
      </c>
      <c r="T59" s="21">
        <v>28661.15</v>
      </c>
    </row>
    <row r="60" spans="2:20">
      <c r="B60">
        <v>22</v>
      </c>
      <c r="C60">
        <v>38991</v>
      </c>
      <c r="D60" t="s">
        <v>53</v>
      </c>
      <c r="E60">
        <v>2006</v>
      </c>
      <c r="F60">
        <v>579</v>
      </c>
      <c r="G60">
        <v>2</v>
      </c>
      <c r="H60" s="548">
        <v>38412</v>
      </c>
      <c r="I60" s="21">
        <v>729524</v>
      </c>
      <c r="J60">
        <v>0</v>
      </c>
      <c r="K60">
        <v>0.06</v>
      </c>
      <c r="L60" s="343">
        <v>0.04</v>
      </c>
      <c r="M60">
        <v>0</v>
      </c>
      <c r="N60">
        <v>0</v>
      </c>
      <c r="P60">
        <v>9</v>
      </c>
      <c r="S60" s="21">
        <v>43771.439999999995</v>
      </c>
      <c r="T60" s="21">
        <v>29180.959999999999</v>
      </c>
    </row>
    <row r="61" spans="2:20">
      <c r="B61">
        <v>23</v>
      </c>
      <c r="C61">
        <v>38991</v>
      </c>
      <c r="D61" t="s">
        <v>53</v>
      </c>
      <c r="E61">
        <v>2006</v>
      </c>
      <c r="F61">
        <v>273</v>
      </c>
      <c r="G61">
        <v>1</v>
      </c>
      <c r="H61" s="548">
        <v>38718</v>
      </c>
      <c r="I61" s="21">
        <v>580605</v>
      </c>
      <c r="J61">
        <v>0.08</v>
      </c>
      <c r="K61">
        <v>0.62</v>
      </c>
      <c r="L61" s="343">
        <v>0.23</v>
      </c>
      <c r="M61">
        <v>0</v>
      </c>
      <c r="N61">
        <v>0.08</v>
      </c>
      <c r="P61">
        <v>9</v>
      </c>
      <c r="Q61">
        <v>28</v>
      </c>
      <c r="S61" s="21">
        <v>359975.1</v>
      </c>
      <c r="T61" s="21">
        <v>133539.15</v>
      </c>
    </row>
    <row r="62" spans="2:20">
      <c r="B62">
        <v>24</v>
      </c>
      <c r="C62">
        <v>38991</v>
      </c>
      <c r="D62" t="s">
        <v>53</v>
      </c>
      <c r="E62">
        <v>2006</v>
      </c>
      <c r="F62">
        <v>334</v>
      </c>
      <c r="G62">
        <v>1</v>
      </c>
      <c r="H62" s="548">
        <v>38657</v>
      </c>
      <c r="I62" s="21">
        <v>575752</v>
      </c>
      <c r="J62">
        <v>19.37</v>
      </c>
      <c r="K62">
        <v>3.47</v>
      </c>
      <c r="L62" s="343">
        <v>1.18</v>
      </c>
      <c r="M62">
        <v>0</v>
      </c>
      <c r="N62">
        <v>1.58</v>
      </c>
      <c r="P62">
        <v>9</v>
      </c>
      <c r="Q62">
        <v>31</v>
      </c>
      <c r="S62" s="21">
        <v>1997859.4400000002</v>
      </c>
      <c r="T62" s="21">
        <v>679387.36</v>
      </c>
    </row>
    <row r="63" spans="2:20">
      <c r="B63">
        <v>26</v>
      </c>
      <c r="C63">
        <v>38991</v>
      </c>
      <c r="D63" t="s">
        <v>53</v>
      </c>
      <c r="E63">
        <v>2006</v>
      </c>
      <c r="F63">
        <v>183</v>
      </c>
      <c r="G63">
        <v>1</v>
      </c>
      <c r="H63" s="548">
        <v>38808</v>
      </c>
      <c r="I63" s="21">
        <v>466000</v>
      </c>
      <c r="J63">
        <v>0.12</v>
      </c>
      <c r="K63">
        <v>0.05</v>
      </c>
      <c r="L63" s="343">
        <v>0</v>
      </c>
      <c r="M63">
        <v>0</v>
      </c>
      <c r="N63">
        <v>0</v>
      </c>
      <c r="P63">
        <v>10</v>
      </c>
      <c r="Q63">
        <v>25</v>
      </c>
      <c r="S63" s="21">
        <v>23300</v>
      </c>
      <c r="T63" s="21">
        <v>0</v>
      </c>
    </row>
    <row r="64" spans="2:20">
      <c r="L64" s="343"/>
      <c r="S64" s="21"/>
      <c r="T64" s="21"/>
    </row>
    <row r="65" spans="2:20">
      <c r="B65">
        <v>3</v>
      </c>
      <c r="C65">
        <v>39356</v>
      </c>
      <c r="D65" t="s">
        <v>53</v>
      </c>
      <c r="E65">
        <v>2007</v>
      </c>
      <c r="F65">
        <v>321</v>
      </c>
      <c r="G65">
        <v>1</v>
      </c>
      <c r="H65" s="548">
        <v>39035</v>
      </c>
      <c r="I65" s="21">
        <v>601749</v>
      </c>
      <c r="J65">
        <v>0</v>
      </c>
      <c r="K65">
        <v>0</v>
      </c>
      <c r="L65" s="343">
        <v>0</v>
      </c>
      <c r="M65">
        <v>0</v>
      </c>
      <c r="N65">
        <v>0.02</v>
      </c>
      <c r="P65">
        <v>9</v>
      </c>
      <c r="Q65">
        <v>20</v>
      </c>
      <c r="S65" s="21">
        <v>0</v>
      </c>
      <c r="T65" s="21">
        <v>0</v>
      </c>
    </row>
    <row r="66" spans="2:20">
      <c r="B66">
        <v>4</v>
      </c>
      <c r="C66">
        <v>39356</v>
      </c>
      <c r="D66" t="s">
        <v>53</v>
      </c>
      <c r="E66">
        <v>2007</v>
      </c>
      <c r="F66">
        <v>395</v>
      </c>
      <c r="G66">
        <v>2</v>
      </c>
      <c r="H66" s="548">
        <v>38961</v>
      </c>
      <c r="I66" s="21">
        <v>571713</v>
      </c>
      <c r="J66">
        <v>0</v>
      </c>
      <c r="K66">
        <v>0</v>
      </c>
      <c r="L66" s="343">
        <v>0</v>
      </c>
      <c r="M66">
        <v>0</v>
      </c>
      <c r="N66">
        <v>0</v>
      </c>
      <c r="P66">
        <v>10</v>
      </c>
      <c r="Q66">
        <v>22</v>
      </c>
      <c r="S66" s="21">
        <v>0</v>
      </c>
      <c r="T66" s="21">
        <v>0</v>
      </c>
    </row>
    <row r="67" spans="2:20">
      <c r="B67" s="507">
        <v>5</v>
      </c>
      <c r="C67">
        <v>39356</v>
      </c>
      <c r="D67" t="s">
        <v>53</v>
      </c>
      <c r="E67">
        <v>2007</v>
      </c>
      <c r="H67" s="548" t="s">
        <v>9</v>
      </c>
      <c r="I67" s="21">
        <v>35994</v>
      </c>
      <c r="J67">
        <v>0</v>
      </c>
      <c r="K67">
        <v>7.0000000000000007E-2</v>
      </c>
      <c r="L67" s="549">
        <v>7.0000000000000007E-2</v>
      </c>
      <c r="N67">
        <v>0</v>
      </c>
      <c r="P67">
        <v>9</v>
      </c>
      <c r="Q67">
        <v>19</v>
      </c>
      <c r="S67" s="21">
        <v>2519.5800000000004</v>
      </c>
      <c r="T67" s="21">
        <v>2519.5800000000004</v>
      </c>
    </row>
    <row r="68" spans="2:20">
      <c r="B68">
        <v>8</v>
      </c>
      <c r="C68">
        <v>39356</v>
      </c>
      <c r="D68" t="s">
        <v>53</v>
      </c>
      <c r="E68">
        <v>2007</v>
      </c>
      <c r="F68">
        <v>214</v>
      </c>
      <c r="G68">
        <v>1</v>
      </c>
      <c r="H68" s="548">
        <v>39142</v>
      </c>
      <c r="I68" s="21">
        <v>601917</v>
      </c>
      <c r="J68">
        <v>0.02</v>
      </c>
      <c r="K68">
        <v>0</v>
      </c>
      <c r="L68" s="343">
        <v>0</v>
      </c>
      <c r="N68">
        <v>0.02</v>
      </c>
      <c r="P68">
        <v>9</v>
      </c>
      <c r="Q68">
        <v>22</v>
      </c>
      <c r="R68" t="s">
        <v>295</v>
      </c>
      <c r="S68" s="21">
        <v>0</v>
      </c>
      <c r="T68" s="21">
        <v>0</v>
      </c>
    </row>
    <row r="69" spans="2:20">
      <c r="B69">
        <v>9</v>
      </c>
      <c r="C69">
        <v>39356</v>
      </c>
      <c r="D69" t="s">
        <v>53</v>
      </c>
      <c r="E69">
        <v>2007</v>
      </c>
      <c r="F69">
        <v>334</v>
      </c>
      <c r="G69">
        <v>1</v>
      </c>
      <c r="H69" s="548">
        <v>39022</v>
      </c>
      <c r="I69" s="21">
        <v>615951</v>
      </c>
      <c r="J69">
        <v>7.0000000000000007E-2</v>
      </c>
      <c r="K69">
        <v>1.92</v>
      </c>
      <c r="L69" s="343">
        <v>0.95</v>
      </c>
      <c r="M69">
        <v>0</v>
      </c>
      <c r="N69">
        <v>0.08</v>
      </c>
      <c r="P69">
        <v>9</v>
      </c>
      <c r="S69" s="21">
        <v>1182625.92</v>
      </c>
      <c r="T69" s="21">
        <v>585153.44999999995</v>
      </c>
    </row>
    <row r="70" spans="2:20">
      <c r="B70">
        <v>11</v>
      </c>
      <c r="C70">
        <v>39356</v>
      </c>
      <c r="D70" t="s">
        <v>53</v>
      </c>
      <c r="E70">
        <v>2007</v>
      </c>
      <c r="F70">
        <v>236</v>
      </c>
      <c r="G70">
        <v>1</v>
      </c>
      <c r="H70" s="548">
        <v>39120</v>
      </c>
      <c r="I70" s="21">
        <v>574176</v>
      </c>
      <c r="J70">
        <v>7.0000000000000007E-2</v>
      </c>
      <c r="K70">
        <v>0.45</v>
      </c>
      <c r="L70" s="343">
        <v>7.0000000000000007E-2</v>
      </c>
      <c r="M70">
        <v>0</v>
      </c>
      <c r="N70">
        <v>0.05</v>
      </c>
      <c r="P70">
        <v>9</v>
      </c>
      <c r="Q70">
        <v>23</v>
      </c>
      <c r="S70" s="21">
        <v>258379.2</v>
      </c>
      <c r="T70" s="21">
        <v>40192.320000000007</v>
      </c>
    </row>
    <row r="71" spans="2:20">
      <c r="B71" s="507">
        <v>13</v>
      </c>
      <c r="C71">
        <v>39356</v>
      </c>
      <c r="D71" t="s">
        <v>53</v>
      </c>
      <c r="E71">
        <v>2007</v>
      </c>
      <c r="F71">
        <v>699</v>
      </c>
      <c r="G71">
        <v>2</v>
      </c>
      <c r="H71" s="548">
        <v>38657</v>
      </c>
      <c r="I71" s="21">
        <v>546972</v>
      </c>
      <c r="J71">
        <v>0.28000000000000003</v>
      </c>
      <c r="K71">
        <v>2.33</v>
      </c>
      <c r="L71" s="549">
        <v>1.23</v>
      </c>
      <c r="M71">
        <v>1</v>
      </c>
      <c r="N71">
        <v>0.13</v>
      </c>
      <c r="P71">
        <v>9</v>
      </c>
      <c r="Q71" t="s">
        <v>39</v>
      </c>
      <c r="S71" s="21">
        <v>1274444.76</v>
      </c>
      <c r="T71" s="21">
        <v>672775.55999999994</v>
      </c>
    </row>
    <row r="72" spans="2:20">
      <c r="B72">
        <v>18</v>
      </c>
      <c r="C72">
        <v>39356</v>
      </c>
      <c r="D72" t="s">
        <v>53</v>
      </c>
      <c r="E72">
        <v>2007</v>
      </c>
      <c r="F72">
        <v>334</v>
      </c>
      <c r="G72">
        <v>1</v>
      </c>
      <c r="H72" s="548">
        <v>39022</v>
      </c>
      <c r="I72" s="21">
        <v>555091</v>
      </c>
      <c r="J72">
        <v>0.92</v>
      </c>
      <c r="K72">
        <v>0.28000000000000003</v>
      </c>
      <c r="L72" s="343">
        <v>0.2</v>
      </c>
      <c r="M72">
        <v>0</v>
      </c>
      <c r="N72">
        <v>0</v>
      </c>
      <c r="P72">
        <v>9</v>
      </c>
      <c r="S72" s="21">
        <v>155425.48000000001</v>
      </c>
      <c r="T72" s="21">
        <v>111018.20000000001</v>
      </c>
    </row>
    <row r="73" spans="2:20">
      <c r="B73" s="507">
        <v>19</v>
      </c>
      <c r="C73">
        <v>39356</v>
      </c>
      <c r="D73" t="s">
        <v>53</v>
      </c>
      <c r="E73">
        <v>2007</v>
      </c>
      <c r="H73" s="548" t="s">
        <v>9</v>
      </c>
      <c r="I73" s="21">
        <v>7429</v>
      </c>
      <c r="J73">
        <v>0.9</v>
      </c>
      <c r="K73">
        <v>2.2999999999999998</v>
      </c>
      <c r="L73" s="549">
        <v>1.2</v>
      </c>
      <c r="M73">
        <v>0</v>
      </c>
      <c r="N73">
        <v>0</v>
      </c>
      <c r="P73">
        <v>9</v>
      </c>
      <c r="S73" s="21">
        <v>17086.699999999997</v>
      </c>
      <c r="T73" s="21">
        <v>8914.7999999999993</v>
      </c>
    </row>
    <row r="74" spans="2:20">
      <c r="B74" s="507">
        <v>20</v>
      </c>
      <c r="C74">
        <v>39356</v>
      </c>
      <c r="D74" t="s">
        <v>53</v>
      </c>
      <c r="E74">
        <v>2007</v>
      </c>
      <c r="F74">
        <v>633</v>
      </c>
      <c r="G74">
        <v>2</v>
      </c>
      <c r="H74" s="548">
        <v>38723</v>
      </c>
      <c r="I74" s="21">
        <v>517313</v>
      </c>
      <c r="J74">
        <v>0.25</v>
      </c>
      <c r="K74">
        <v>2.48</v>
      </c>
      <c r="L74" s="549">
        <v>1.03</v>
      </c>
      <c r="M74">
        <v>0</v>
      </c>
      <c r="N74">
        <v>0</v>
      </c>
      <c r="P74">
        <v>9</v>
      </c>
      <c r="S74" s="21">
        <v>1282936.24</v>
      </c>
      <c r="T74" s="21">
        <v>532832.39</v>
      </c>
    </row>
    <row r="75" spans="2:20">
      <c r="B75">
        <v>21</v>
      </c>
      <c r="C75">
        <v>39356</v>
      </c>
      <c r="D75" t="s">
        <v>53</v>
      </c>
      <c r="E75">
        <v>2007</v>
      </c>
      <c r="F75">
        <v>304</v>
      </c>
      <c r="G75">
        <v>1</v>
      </c>
      <c r="H75" s="548">
        <v>39052</v>
      </c>
      <c r="I75" s="21">
        <v>681026</v>
      </c>
      <c r="J75">
        <v>0.02</v>
      </c>
      <c r="K75">
        <v>0.28000000000000003</v>
      </c>
      <c r="L75" s="343">
        <v>0.02</v>
      </c>
      <c r="M75">
        <v>0</v>
      </c>
      <c r="N75">
        <v>0</v>
      </c>
      <c r="P75">
        <v>9</v>
      </c>
      <c r="S75" s="21">
        <v>190687.28000000003</v>
      </c>
      <c r="T75" s="21">
        <v>13620.52</v>
      </c>
    </row>
    <row r="76" spans="2:20">
      <c r="B76">
        <v>22</v>
      </c>
      <c r="C76">
        <v>39356</v>
      </c>
      <c r="D76" t="s">
        <v>53</v>
      </c>
      <c r="E76">
        <v>2007</v>
      </c>
      <c r="F76">
        <v>304</v>
      </c>
      <c r="G76">
        <v>1</v>
      </c>
      <c r="H76" s="548">
        <v>39052</v>
      </c>
      <c r="I76" s="21">
        <v>655839</v>
      </c>
      <c r="J76">
        <v>0.05</v>
      </c>
      <c r="K76">
        <v>0.2</v>
      </c>
      <c r="L76" s="343">
        <v>0.05</v>
      </c>
      <c r="M76">
        <v>0</v>
      </c>
      <c r="N76">
        <v>0.08</v>
      </c>
      <c r="P76">
        <v>8</v>
      </c>
      <c r="S76" s="21">
        <v>131167.80000000002</v>
      </c>
      <c r="T76" s="21">
        <v>32791.950000000004</v>
      </c>
    </row>
    <row r="77" spans="2:20">
      <c r="B77" s="507">
        <v>23</v>
      </c>
      <c r="C77">
        <v>39356</v>
      </c>
      <c r="D77" t="s">
        <v>53</v>
      </c>
      <c r="E77">
        <v>2007</v>
      </c>
      <c r="F77">
        <v>638</v>
      </c>
      <c r="G77">
        <v>2</v>
      </c>
      <c r="H77" s="548">
        <v>38718</v>
      </c>
      <c r="I77" s="21">
        <v>562132</v>
      </c>
      <c r="J77">
        <v>0.1</v>
      </c>
      <c r="K77">
        <v>0.48</v>
      </c>
      <c r="L77" s="549">
        <v>0.12</v>
      </c>
      <c r="M77">
        <v>0</v>
      </c>
      <c r="N77">
        <v>0</v>
      </c>
      <c r="P77">
        <v>9</v>
      </c>
      <c r="S77" s="21">
        <v>269823.35999999999</v>
      </c>
      <c r="T77" s="21">
        <v>67455.839999999997</v>
      </c>
    </row>
    <row r="78" spans="2:20">
      <c r="B78" s="507">
        <v>24</v>
      </c>
      <c r="C78">
        <v>39356</v>
      </c>
      <c r="D78" t="s">
        <v>53</v>
      </c>
      <c r="E78">
        <v>2007</v>
      </c>
      <c r="F78">
        <v>699</v>
      </c>
      <c r="G78">
        <v>2</v>
      </c>
      <c r="H78" s="548">
        <v>38657</v>
      </c>
      <c r="I78" s="21">
        <v>502394</v>
      </c>
      <c r="J78">
        <v>0.92</v>
      </c>
      <c r="K78">
        <v>1.07</v>
      </c>
      <c r="L78" s="549">
        <v>0.7</v>
      </c>
      <c r="M78">
        <v>0</v>
      </c>
      <c r="N78">
        <v>0.55000000000000004</v>
      </c>
      <c r="P78">
        <v>8</v>
      </c>
      <c r="Q78" t="s">
        <v>39</v>
      </c>
      <c r="S78" s="21">
        <v>537561.58000000007</v>
      </c>
      <c r="T78" s="21">
        <v>351675.8</v>
      </c>
    </row>
    <row r="79" spans="2:20">
      <c r="B79">
        <v>26</v>
      </c>
      <c r="C79">
        <v>39356</v>
      </c>
      <c r="D79" t="s">
        <v>53</v>
      </c>
      <c r="E79">
        <v>2007</v>
      </c>
      <c r="F79">
        <v>548</v>
      </c>
      <c r="G79">
        <v>2</v>
      </c>
      <c r="H79" s="548">
        <v>38808</v>
      </c>
      <c r="I79" s="21">
        <v>258000</v>
      </c>
      <c r="J79">
        <v>0</v>
      </c>
      <c r="K79">
        <v>0.12</v>
      </c>
      <c r="L79" s="343">
        <v>0.08</v>
      </c>
      <c r="M79">
        <v>0</v>
      </c>
      <c r="N79">
        <v>0.05</v>
      </c>
      <c r="P79">
        <v>9</v>
      </c>
      <c r="Q79">
        <v>26</v>
      </c>
      <c r="S79" s="21">
        <v>30960</v>
      </c>
      <c r="T79" s="21">
        <v>20640</v>
      </c>
    </row>
    <row r="80" spans="2:20">
      <c r="L80" s="343"/>
      <c r="S80" s="21"/>
      <c r="T80" s="21"/>
    </row>
    <row r="81" spans="2:20">
      <c r="B81">
        <v>1</v>
      </c>
      <c r="C81">
        <v>39722</v>
      </c>
      <c r="D81" t="s">
        <v>53</v>
      </c>
      <c r="E81">
        <v>2008</v>
      </c>
      <c r="F81">
        <v>274</v>
      </c>
      <c r="G81">
        <v>1</v>
      </c>
      <c r="H81" s="548">
        <v>39448</v>
      </c>
      <c r="I81" s="21">
        <v>572000</v>
      </c>
      <c r="J81">
        <v>0.4</v>
      </c>
      <c r="K81">
        <v>0.93</v>
      </c>
      <c r="L81" s="343">
        <v>0.57999999999999996</v>
      </c>
      <c r="M81">
        <v>0</v>
      </c>
      <c r="N81">
        <v>0.22</v>
      </c>
      <c r="R81" t="s">
        <v>7</v>
      </c>
      <c r="S81" s="21">
        <v>531960</v>
      </c>
      <c r="T81" s="21">
        <v>331760</v>
      </c>
    </row>
    <row r="82" spans="2:20">
      <c r="B82">
        <v>2</v>
      </c>
      <c r="C82">
        <v>39722</v>
      </c>
      <c r="D82" t="s">
        <v>53</v>
      </c>
      <c r="E82">
        <v>2008</v>
      </c>
      <c r="F82">
        <v>183</v>
      </c>
      <c r="G82">
        <v>1</v>
      </c>
      <c r="H82" s="548">
        <v>39539</v>
      </c>
      <c r="I82" s="21">
        <v>450000</v>
      </c>
      <c r="J82">
        <v>1</v>
      </c>
      <c r="K82">
        <v>0.87</v>
      </c>
      <c r="L82" s="343">
        <v>0.47</v>
      </c>
      <c r="M82">
        <v>0</v>
      </c>
      <c r="N82">
        <v>0.4</v>
      </c>
      <c r="S82" s="21">
        <v>391500</v>
      </c>
      <c r="T82" s="21">
        <v>211500</v>
      </c>
    </row>
    <row r="83" spans="2:20">
      <c r="B83" s="507">
        <v>5</v>
      </c>
      <c r="C83">
        <v>39722</v>
      </c>
      <c r="D83" t="s">
        <v>53</v>
      </c>
      <c r="E83">
        <v>2008</v>
      </c>
      <c r="H83" s="548" t="s">
        <v>9</v>
      </c>
      <c r="I83" s="21">
        <v>32000</v>
      </c>
      <c r="J83">
        <v>0.02</v>
      </c>
      <c r="K83">
        <v>0.17</v>
      </c>
      <c r="L83" s="549">
        <v>0.08</v>
      </c>
      <c r="M83">
        <v>0</v>
      </c>
      <c r="N83">
        <v>0</v>
      </c>
      <c r="S83" s="21">
        <v>5440</v>
      </c>
      <c r="T83" s="21">
        <v>2560</v>
      </c>
    </row>
    <row r="84" spans="2:20">
      <c r="B84">
        <v>6</v>
      </c>
      <c r="C84">
        <v>39722</v>
      </c>
      <c r="D84" t="s">
        <v>53</v>
      </c>
      <c r="E84">
        <v>2008</v>
      </c>
      <c r="F84">
        <v>580</v>
      </c>
      <c r="G84">
        <v>2</v>
      </c>
      <c r="H84" s="548">
        <v>39142</v>
      </c>
      <c r="I84" s="21">
        <v>219000</v>
      </c>
      <c r="K84">
        <v>0</v>
      </c>
      <c r="L84" s="343">
        <v>0</v>
      </c>
      <c r="N84">
        <v>0</v>
      </c>
      <c r="S84" s="21">
        <v>0</v>
      </c>
      <c r="T84" s="21">
        <v>0</v>
      </c>
    </row>
    <row r="85" spans="2:20">
      <c r="B85">
        <v>8</v>
      </c>
      <c r="C85">
        <v>39722</v>
      </c>
      <c r="D85" t="s">
        <v>53</v>
      </c>
      <c r="E85">
        <v>2008</v>
      </c>
      <c r="F85">
        <v>0</v>
      </c>
      <c r="G85">
        <v>1</v>
      </c>
      <c r="H85" s="548">
        <v>39722</v>
      </c>
      <c r="I85" s="21">
        <v>145000</v>
      </c>
      <c r="L85" s="343">
        <v>0</v>
      </c>
      <c r="N85">
        <v>0</v>
      </c>
      <c r="R85" t="s">
        <v>11</v>
      </c>
      <c r="S85" s="21"/>
      <c r="T85" s="21">
        <v>0</v>
      </c>
    </row>
    <row r="86" spans="2:20">
      <c r="B86" s="507">
        <v>9</v>
      </c>
      <c r="C86">
        <v>39722</v>
      </c>
      <c r="D86" t="s">
        <v>53</v>
      </c>
      <c r="E86">
        <v>2008</v>
      </c>
      <c r="F86">
        <v>700</v>
      </c>
      <c r="G86">
        <v>2</v>
      </c>
      <c r="H86" s="548">
        <v>39022</v>
      </c>
      <c r="I86" s="21">
        <v>375000</v>
      </c>
      <c r="J86">
        <v>0.05</v>
      </c>
      <c r="K86">
        <v>1.08</v>
      </c>
      <c r="L86" s="549">
        <v>0.51</v>
      </c>
      <c r="N86">
        <v>0.33</v>
      </c>
      <c r="S86" s="21">
        <v>405000</v>
      </c>
      <c r="T86" s="21">
        <v>191250</v>
      </c>
    </row>
    <row r="87" spans="2:20">
      <c r="B87" s="507">
        <v>11</v>
      </c>
      <c r="C87">
        <v>39722</v>
      </c>
      <c r="D87" t="s">
        <v>53</v>
      </c>
      <c r="E87">
        <v>2008</v>
      </c>
      <c r="F87">
        <v>602</v>
      </c>
      <c r="G87">
        <v>2</v>
      </c>
      <c r="H87" s="548">
        <v>39120</v>
      </c>
      <c r="I87" s="21">
        <v>440000</v>
      </c>
      <c r="J87">
        <v>0.3</v>
      </c>
      <c r="K87">
        <v>0.42</v>
      </c>
      <c r="L87" s="549">
        <v>0.17</v>
      </c>
      <c r="M87">
        <v>0</v>
      </c>
      <c r="N87">
        <v>0</v>
      </c>
      <c r="S87" s="21">
        <v>184800</v>
      </c>
      <c r="T87" s="21">
        <v>74800</v>
      </c>
    </row>
    <row r="88" spans="2:20">
      <c r="B88">
        <v>13</v>
      </c>
      <c r="C88">
        <v>39722</v>
      </c>
      <c r="D88" t="s">
        <v>53</v>
      </c>
      <c r="E88">
        <v>2008</v>
      </c>
      <c r="F88">
        <v>335</v>
      </c>
      <c r="G88">
        <v>1</v>
      </c>
      <c r="H88" s="548">
        <v>39387</v>
      </c>
      <c r="I88" s="21">
        <v>678000</v>
      </c>
      <c r="J88">
        <v>3.12</v>
      </c>
      <c r="K88">
        <v>2.9</v>
      </c>
      <c r="L88" s="343">
        <v>1.05</v>
      </c>
      <c r="M88">
        <v>0</v>
      </c>
      <c r="N88">
        <v>0.71</v>
      </c>
      <c r="S88" s="21">
        <v>1966200</v>
      </c>
      <c r="T88" s="21">
        <v>711900</v>
      </c>
    </row>
    <row r="89" spans="2:20">
      <c r="B89">
        <v>17</v>
      </c>
      <c r="C89">
        <v>39722</v>
      </c>
      <c r="D89" t="s">
        <v>53</v>
      </c>
      <c r="E89">
        <v>2008</v>
      </c>
      <c r="F89">
        <v>0</v>
      </c>
      <c r="G89">
        <v>1</v>
      </c>
      <c r="H89" s="548">
        <v>39722</v>
      </c>
      <c r="I89" s="21">
        <v>592592</v>
      </c>
      <c r="L89" s="343">
        <v>0</v>
      </c>
      <c r="N89">
        <v>0</v>
      </c>
      <c r="S89" s="21"/>
      <c r="T89" s="21">
        <v>0</v>
      </c>
    </row>
    <row r="90" spans="2:20">
      <c r="B90" s="507">
        <v>18</v>
      </c>
      <c r="C90">
        <v>39722</v>
      </c>
      <c r="D90" t="s">
        <v>53</v>
      </c>
      <c r="E90">
        <v>2008</v>
      </c>
      <c r="F90">
        <v>700</v>
      </c>
      <c r="G90">
        <v>2</v>
      </c>
      <c r="H90" s="548">
        <v>39022</v>
      </c>
      <c r="I90" s="21">
        <v>538000</v>
      </c>
      <c r="J90">
        <v>3.13</v>
      </c>
      <c r="K90">
        <v>1.7</v>
      </c>
      <c r="L90" s="549">
        <v>0.72</v>
      </c>
      <c r="M90">
        <v>0</v>
      </c>
      <c r="N90">
        <v>0.28000000000000003</v>
      </c>
      <c r="S90" s="21">
        <v>914600</v>
      </c>
      <c r="T90" s="21">
        <v>387360</v>
      </c>
    </row>
    <row r="91" spans="2:20">
      <c r="B91" s="507">
        <v>19</v>
      </c>
      <c r="C91">
        <v>39722</v>
      </c>
      <c r="D91" t="s">
        <v>53</v>
      </c>
      <c r="E91">
        <v>2008</v>
      </c>
      <c r="H91" s="548" t="s">
        <v>9</v>
      </c>
      <c r="I91" s="21">
        <v>17000</v>
      </c>
      <c r="J91">
        <v>0.88</v>
      </c>
      <c r="K91">
        <v>0.85</v>
      </c>
      <c r="L91" s="549">
        <v>0.38</v>
      </c>
      <c r="M91">
        <v>0</v>
      </c>
      <c r="N91">
        <v>0</v>
      </c>
      <c r="S91" s="21">
        <v>14450</v>
      </c>
      <c r="T91" s="21">
        <v>6460</v>
      </c>
    </row>
    <row r="92" spans="2:20">
      <c r="B92">
        <v>20</v>
      </c>
      <c r="C92">
        <v>39722</v>
      </c>
      <c r="D92" t="s">
        <v>53</v>
      </c>
      <c r="E92">
        <v>2008</v>
      </c>
      <c r="F92">
        <v>305</v>
      </c>
      <c r="G92">
        <v>1</v>
      </c>
      <c r="H92" s="548">
        <v>39417</v>
      </c>
      <c r="I92" s="21">
        <v>524000</v>
      </c>
      <c r="J92">
        <v>1.25</v>
      </c>
      <c r="K92">
        <v>0.72</v>
      </c>
      <c r="L92" s="343">
        <v>0.27</v>
      </c>
      <c r="M92">
        <v>1</v>
      </c>
      <c r="N92">
        <v>0.53</v>
      </c>
      <c r="S92" s="21">
        <v>377280</v>
      </c>
      <c r="T92" s="21">
        <v>141480</v>
      </c>
    </row>
    <row r="93" spans="2:20">
      <c r="B93" s="507">
        <v>21</v>
      </c>
      <c r="C93">
        <v>39722</v>
      </c>
      <c r="D93" t="s">
        <v>53</v>
      </c>
      <c r="E93">
        <v>2008</v>
      </c>
      <c r="F93">
        <v>670</v>
      </c>
      <c r="G93">
        <v>2</v>
      </c>
      <c r="H93" s="548">
        <v>39052</v>
      </c>
      <c r="I93" s="21">
        <v>675000</v>
      </c>
      <c r="J93">
        <v>0</v>
      </c>
      <c r="K93">
        <v>0.08</v>
      </c>
      <c r="L93" s="549">
        <v>0.05</v>
      </c>
      <c r="M93">
        <v>0</v>
      </c>
      <c r="N93">
        <v>0</v>
      </c>
      <c r="S93" s="21">
        <v>54000</v>
      </c>
      <c r="T93" s="21">
        <v>33750</v>
      </c>
    </row>
    <row r="94" spans="2:20">
      <c r="B94" s="507">
        <v>22</v>
      </c>
      <c r="C94">
        <v>39722</v>
      </c>
      <c r="D94" t="s">
        <v>53</v>
      </c>
      <c r="E94">
        <v>2008</v>
      </c>
      <c r="F94">
        <v>670</v>
      </c>
      <c r="G94">
        <v>2</v>
      </c>
      <c r="H94" s="548">
        <v>39052</v>
      </c>
      <c r="I94" s="21">
        <v>830000</v>
      </c>
      <c r="J94">
        <v>0</v>
      </c>
      <c r="K94">
        <v>0.05</v>
      </c>
      <c r="L94" s="549">
        <v>0.03</v>
      </c>
      <c r="M94">
        <v>0</v>
      </c>
      <c r="N94">
        <v>0</v>
      </c>
      <c r="S94" s="21">
        <v>41500</v>
      </c>
      <c r="T94" s="21">
        <v>24900</v>
      </c>
    </row>
    <row r="95" spans="2:20">
      <c r="B95">
        <v>23</v>
      </c>
      <c r="C95">
        <v>39722</v>
      </c>
      <c r="D95" t="s">
        <v>53</v>
      </c>
      <c r="E95">
        <v>2008</v>
      </c>
      <c r="F95">
        <v>305</v>
      </c>
      <c r="G95">
        <v>1</v>
      </c>
      <c r="H95" s="548">
        <v>39417</v>
      </c>
      <c r="I95" s="21">
        <v>575000</v>
      </c>
      <c r="J95">
        <v>0</v>
      </c>
      <c r="K95">
        <v>0.52</v>
      </c>
      <c r="L95" s="343">
        <v>0</v>
      </c>
      <c r="M95">
        <v>0</v>
      </c>
      <c r="N95">
        <v>0</v>
      </c>
      <c r="S95" s="21">
        <v>299000</v>
      </c>
      <c r="T95" s="21">
        <v>0</v>
      </c>
    </row>
    <row r="96" spans="2:20">
      <c r="B96">
        <v>24</v>
      </c>
      <c r="C96">
        <v>39722</v>
      </c>
      <c r="D96" t="s">
        <v>53</v>
      </c>
      <c r="E96">
        <v>2008</v>
      </c>
      <c r="F96">
        <v>335</v>
      </c>
      <c r="G96">
        <v>1</v>
      </c>
      <c r="H96" s="548">
        <v>39387</v>
      </c>
      <c r="I96" s="21">
        <v>621000</v>
      </c>
      <c r="J96">
        <v>8.6999999999999993</v>
      </c>
      <c r="K96">
        <v>1.27</v>
      </c>
      <c r="L96" s="343">
        <v>0.23</v>
      </c>
      <c r="M96">
        <v>0</v>
      </c>
      <c r="N96">
        <v>0.25</v>
      </c>
      <c r="S96" s="21">
        <v>788670</v>
      </c>
      <c r="T96" s="21">
        <v>142830</v>
      </c>
    </row>
    <row r="97" spans="2:20">
      <c r="B97">
        <v>26</v>
      </c>
      <c r="C97">
        <v>39722</v>
      </c>
      <c r="D97" t="s">
        <v>53</v>
      </c>
      <c r="E97">
        <v>2008</v>
      </c>
      <c r="F97">
        <v>153</v>
      </c>
      <c r="G97">
        <v>1</v>
      </c>
      <c r="H97" s="548">
        <v>39569</v>
      </c>
      <c r="I97" s="21">
        <v>746000</v>
      </c>
      <c r="J97">
        <v>7.0000000000000007E-2</v>
      </c>
      <c r="K97">
        <v>0</v>
      </c>
      <c r="L97" s="343">
        <v>0</v>
      </c>
      <c r="M97">
        <v>0</v>
      </c>
      <c r="N97">
        <v>0</v>
      </c>
      <c r="R97" t="s">
        <v>243</v>
      </c>
      <c r="S97" s="21">
        <v>0</v>
      </c>
      <c r="T97" s="21">
        <v>0</v>
      </c>
    </row>
    <row r="98" spans="2:20">
      <c r="L98" s="343"/>
      <c r="S98" s="21"/>
      <c r="T98" s="21"/>
    </row>
    <row r="99" spans="2:20">
      <c r="B99">
        <v>1</v>
      </c>
      <c r="C99">
        <v>40087</v>
      </c>
      <c r="D99" t="s">
        <v>53</v>
      </c>
      <c r="E99">
        <v>2009</v>
      </c>
      <c r="F99">
        <v>214</v>
      </c>
      <c r="G99">
        <v>1</v>
      </c>
      <c r="H99" s="548">
        <v>39873</v>
      </c>
      <c r="I99" s="21">
        <v>640771</v>
      </c>
      <c r="J99">
        <v>0.35</v>
      </c>
      <c r="K99">
        <v>0.83750000000000002</v>
      </c>
      <c r="L99" s="343">
        <v>0.35</v>
      </c>
      <c r="M99">
        <v>0</v>
      </c>
      <c r="N99">
        <v>8.7499999999999994E-2</v>
      </c>
      <c r="S99" s="21">
        <v>536645.71250000002</v>
      </c>
      <c r="T99" s="21">
        <v>224269.84999999998</v>
      </c>
    </row>
    <row r="100" spans="2:20">
      <c r="B100" s="507">
        <v>5</v>
      </c>
      <c r="C100">
        <v>40087</v>
      </c>
      <c r="D100" t="s">
        <v>53</v>
      </c>
      <c r="E100">
        <v>2009</v>
      </c>
      <c r="H100" s="548" t="s">
        <v>9</v>
      </c>
      <c r="I100" s="21">
        <v>33238</v>
      </c>
      <c r="J100">
        <v>0</v>
      </c>
      <c r="K100">
        <v>0.09</v>
      </c>
      <c r="L100" s="549">
        <v>0.03</v>
      </c>
      <c r="M100">
        <v>0</v>
      </c>
      <c r="N100">
        <v>0</v>
      </c>
      <c r="S100" s="21">
        <v>2991.42</v>
      </c>
      <c r="T100" s="21">
        <v>997.14</v>
      </c>
    </row>
    <row r="101" spans="2:20">
      <c r="B101">
        <v>6</v>
      </c>
      <c r="C101">
        <v>40087</v>
      </c>
      <c r="D101" t="s">
        <v>53</v>
      </c>
      <c r="E101">
        <v>2009</v>
      </c>
      <c r="F101">
        <v>548</v>
      </c>
      <c r="G101">
        <v>2</v>
      </c>
      <c r="H101" s="548">
        <v>39539</v>
      </c>
      <c r="I101" s="21">
        <v>369014</v>
      </c>
      <c r="L101" s="343">
        <v>0.04</v>
      </c>
      <c r="N101">
        <v>0</v>
      </c>
      <c r="R101" t="s">
        <v>410</v>
      </c>
      <c r="S101" s="21"/>
      <c r="T101" s="21">
        <v>14760.56</v>
      </c>
    </row>
    <row r="102" spans="2:20">
      <c r="B102">
        <v>8</v>
      </c>
      <c r="C102">
        <v>40087</v>
      </c>
      <c r="D102" t="s">
        <v>53</v>
      </c>
      <c r="E102">
        <v>2009</v>
      </c>
      <c r="F102">
        <v>0</v>
      </c>
      <c r="G102">
        <v>1</v>
      </c>
      <c r="H102" s="548">
        <v>40087</v>
      </c>
      <c r="I102" s="21">
        <v>119884</v>
      </c>
      <c r="L102" s="343">
        <v>0</v>
      </c>
      <c r="N102">
        <v>0</v>
      </c>
      <c r="R102" t="s">
        <v>411</v>
      </c>
      <c r="S102" s="21"/>
      <c r="T102" s="21">
        <v>0</v>
      </c>
    </row>
    <row r="103" spans="2:20">
      <c r="B103">
        <v>9</v>
      </c>
      <c r="C103">
        <v>40087</v>
      </c>
      <c r="D103" t="s">
        <v>53</v>
      </c>
      <c r="E103">
        <v>2009</v>
      </c>
      <c r="F103">
        <v>358</v>
      </c>
      <c r="G103">
        <v>1</v>
      </c>
      <c r="H103" s="548">
        <v>39729</v>
      </c>
      <c r="I103" s="21">
        <v>420096</v>
      </c>
      <c r="J103">
        <v>0.3</v>
      </c>
      <c r="K103">
        <v>3.55</v>
      </c>
      <c r="L103" s="343">
        <v>1.9</v>
      </c>
      <c r="M103">
        <v>0</v>
      </c>
      <c r="N103">
        <v>0.05</v>
      </c>
      <c r="S103" s="21">
        <v>1491340.7999999998</v>
      </c>
      <c r="T103" s="21">
        <v>798182.39999999991</v>
      </c>
    </row>
    <row r="104" spans="2:20">
      <c r="B104">
        <v>11</v>
      </c>
      <c r="C104">
        <v>40087</v>
      </c>
      <c r="D104" t="s">
        <v>53</v>
      </c>
      <c r="E104">
        <v>2009</v>
      </c>
      <c r="F104">
        <v>365</v>
      </c>
      <c r="G104">
        <v>2</v>
      </c>
      <c r="H104" s="548">
        <v>39722</v>
      </c>
      <c r="I104" s="21">
        <v>666232</v>
      </c>
      <c r="J104">
        <v>0.58571428571428574</v>
      </c>
      <c r="K104">
        <v>2.2428571428571429</v>
      </c>
      <c r="L104" s="343">
        <v>1.1000000000000001</v>
      </c>
      <c r="M104">
        <v>0</v>
      </c>
      <c r="N104">
        <v>0.52857142857142858</v>
      </c>
      <c r="S104" s="21">
        <v>1494263.2</v>
      </c>
      <c r="T104" s="21">
        <v>732855.20000000007</v>
      </c>
    </row>
    <row r="105" spans="2:20">
      <c r="B105" s="507">
        <v>13</v>
      </c>
      <c r="C105">
        <v>40087</v>
      </c>
      <c r="D105" t="s">
        <v>53</v>
      </c>
      <c r="E105">
        <v>2009</v>
      </c>
      <c r="F105">
        <v>694</v>
      </c>
      <c r="G105">
        <v>2</v>
      </c>
      <c r="H105" s="548">
        <v>39393</v>
      </c>
      <c r="I105" s="21">
        <v>601402</v>
      </c>
      <c r="J105">
        <v>0.25</v>
      </c>
      <c r="K105">
        <v>8.9499999999999993</v>
      </c>
      <c r="L105" s="549">
        <v>4.22</v>
      </c>
      <c r="M105">
        <v>0</v>
      </c>
      <c r="N105">
        <v>0.38</v>
      </c>
      <c r="S105" s="21">
        <v>5382547.8999999994</v>
      </c>
      <c r="T105" s="21">
        <v>2537916.44</v>
      </c>
    </row>
    <row r="106" spans="2:20">
      <c r="B106">
        <v>18</v>
      </c>
      <c r="C106">
        <v>40087</v>
      </c>
      <c r="D106" t="s">
        <v>53</v>
      </c>
      <c r="E106">
        <v>2009</v>
      </c>
      <c r="F106">
        <v>358</v>
      </c>
      <c r="G106">
        <v>1</v>
      </c>
      <c r="H106" s="548">
        <v>39729</v>
      </c>
      <c r="I106" s="21">
        <v>428988</v>
      </c>
      <c r="J106">
        <v>5.72</v>
      </c>
      <c r="K106">
        <v>2.17</v>
      </c>
      <c r="L106" s="343">
        <v>0.77</v>
      </c>
      <c r="N106">
        <v>0.43</v>
      </c>
      <c r="R106" t="s">
        <v>328</v>
      </c>
      <c r="S106" s="21">
        <v>930903.96</v>
      </c>
      <c r="T106" s="21">
        <v>330320.76</v>
      </c>
    </row>
    <row r="107" spans="2:20">
      <c r="B107">
        <v>19</v>
      </c>
      <c r="C107">
        <v>40087</v>
      </c>
      <c r="D107" t="s">
        <v>53</v>
      </c>
      <c r="E107">
        <v>2009</v>
      </c>
      <c r="F107">
        <v>548</v>
      </c>
      <c r="G107">
        <v>2</v>
      </c>
      <c r="H107" s="548">
        <v>39539</v>
      </c>
      <c r="I107" s="21">
        <v>13212</v>
      </c>
      <c r="J107">
        <v>0.9</v>
      </c>
      <c r="K107">
        <v>2.85</v>
      </c>
      <c r="L107" s="343">
        <v>1.08</v>
      </c>
      <c r="N107">
        <v>0</v>
      </c>
      <c r="S107" s="21">
        <v>37654.200000000004</v>
      </c>
      <c r="T107" s="21">
        <v>14268.960000000001</v>
      </c>
    </row>
    <row r="108" spans="2:20">
      <c r="B108" s="507">
        <v>20</v>
      </c>
      <c r="C108">
        <v>40087</v>
      </c>
      <c r="D108" t="s">
        <v>53</v>
      </c>
      <c r="E108">
        <v>2009</v>
      </c>
      <c r="F108">
        <v>694</v>
      </c>
      <c r="G108">
        <v>2</v>
      </c>
      <c r="H108" s="548">
        <v>39393</v>
      </c>
      <c r="I108" s="21">
        <v>402789</v>
      </c>
      <c r="J108">
        <v>7.0000000000000007E-2</v>
      </c>
      <c r="K108">
        <v>1.08</v>
      </c>
      <c r="L108" s="549">
        <v>0.55000000000000004</v>
      </c>
      <c r="M108">
        <v>0</v>
      </c>
      <c r="N108">
        <v>0.02</v>
      </c>
      <c r="S108" s="21">
        <v>435012.12000000005</v>
      </c>
      <c r="T108" s="21">
        <v>221533.95</v>
      </c>
    </row>
    <row r="109" spans="2:20">
      <c r="B109">
        <v>21</v>
      </c>
      <c r="C109">
        <v>40087</v>
      </c>
      <c r="D109" t="s">
        <v>53</v>
      </c>
      <c r="E109">
        <v>2009</v>
      </c>
      <c r="F109">
        <v>358</v>
      </c>
      <c r="G109">
        <v>1</v>
      </c>
      <c r="H109" s="548">
        <v>39729</v>
      </c>
      <c r="I109" s="21">
        <v>539006</v>
      </c>
      <c r="J109">
        <v>0.2</v>
      </c>
      <c r="K109">
        <v>0.45</v>
      </c>
      <c r="L109" s="343">
        <v>0.15</v>
      </c>
      <c r="M109">
        <v>0</v>
      </c>
      <c r="N109">
        <v>0</v>
      </c>
      <c r="S109" s="21">
        <v>242552.7</v>
      </c>
      <c r="T109" s="21">
        <v>80850.899999999994</v>
      </c>
    </row>
    <row r="110" spans="2:20">
      <c r="B110">
        <v>22</v>
      </c>
      <c r="C110">
        <v>40087</v>
      </c>
      <c r="D110" t="s">
        <v>53</v>
      </c>
      <c r="E110">
        <v>2009</v>
      </c>
      <c r="F110">
        <v>358</v>
      </c>
      <c r="G110">
        <v>1</v>
      </c>
      <c r="H110" s="548">
        <v>39729</v>
      </c>
      <c r="I110" s="21">
        <v>872063</v>
      </c>
      <c r="J110">
        <v>0.08</v>
      </c>
      <c r="K110">
        <v>0.25</v>
      </c>
      <c r="L110" s="343">
        <v>0.13</v>
      </c>
      <c r="M110">
        <v>0</v>
      </c>
      <c r="N110">
        <v>0.02</v>
      </c>
      <c r="S110" s="21">
        <v>218015.75</v>
      </c>
      <c r="T110" s="21">
        <v>113368.19</v>
      </c>
    </row>
    <row r="111" spans="2:20">
      <c r="B111" s="507">
        <v>23</v>
      </c>
      <c r="C111">
        <v>40087</v>
      </c>
      <c r="D111" t="s">
        <v>53</v>
      </c>
      <c r="E111">
        <v>2009</v>
      </c>
      <c r="F111">
        <v>694</v>
      </c>
      <c r="G111">
        <v>2</v>
      </c>
      <c r="H111" s="548">
        <v>39393</v>
      </c>
      <c r="I111" s="21">
        <v>432918</v>
      </c>
      <c r="J111">
        <v>0.23</v>
      </c>
      <c r="K111">
        <v>0.17</v>
      </c>
      <c r="L111" s="549">
        <v>0.08</v>
      </c>
      <c r="M111">
        <v>0</v>
      </c>
      <c r="N111">
        <v>0</v>
      </c>
      <c r="S111" s="21">
        <v>73596.060000000012</v>
      </c>
      <c r="T111" s="21">
        <v>34633.440000000002</v>
      </c>
    </row>
    <row r="112" spans="2:20">
      <c r="B112" s="507">
        <v>24</v>
      </c>
      <c r="C112">
        <v>40087</v>
      </c>
      <c r="D112" t="s">
        <v>53</v>
      </c>
      <c r="E112">
        <v>2009</v>
      </c>
      <c r="F112">
        <v>694</v>
      </c>
      <c r="G112">
        <v>2</v>
      </c>
      <c r="H112" s="548">
        <v>39393</v>
      </c>
      <c r="I112" s="21">
        <v>616468</v>
      </c>
      <c r="J112">
        <v>2.9</v>
      </c>
      <c r="K112">
        <v>3.97</v>
      </c>
      <c r="L112" s="549">
        <v>2.5</v>
      </c>
      <c r="M112">
        <v>0</v>
      </c>
      <c r="N112">
        <v>0</v>
      </c>
      <c r="S112" s="21">
        <v>2447377.96</v>
      </c>
      <c r="T112" s="21">
        <v>1541170</v>
      </c>
    </row>
    <row r="113" spans="2:20">
      <c r="B113">
        <v>26</v>
      </c>
      <c r="C113">
        <v>40087</v>
      </c>
      <c r="D113" t="s">
        <v>53</v>
      </c>
      <c r="E113">
        <v>2009</v>
      </c>
      <c r="F113">
        <v>518</v>
      </c>
      <c r="G113">
        <v>2</v>
      </c>
      <c r="H113" s="548">
        <v>39569</v>
      </c>
      <c r="I113" s="21">
        <v>536058</v>
      </c>
      <c r="J113">
        <v>0</v>
      </c>
      <c r="K113">
        <v>0.18</v>
      </c>
      <c r="L113" s="343">
        <v>7.0000000000000007E-2</v>
      </c>
      <c r="M113">
        <v>0</v>
      </c>
      <c r="N113">
        <v>0</v>
      </c>
      <c r="S113" s="21">
        <v>96490.44</v>
      </c>
      <c r="T113" s="21">
        <v>37524.060000000005</v>
      </c>
    </row>
  </sheetData>
  <mergeCells count="1">
    <mergeCell ref="AK4:AM4"/>
  </mergeCells>
  <pageMargins left="0.7" right="0.7" top="0.75" bottom="0.75" header="0.3" footer="0.3"/>
  <pageSetup orientation="portrait" horizontalDpi="1200" verticalDpi="1200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BT226"/>
  <sheetViews>
    <sheetView topLeftCell="B1" workbookViewId="0">
      <pane xSplit="8250" topLeftCell="BH1" activePane="topRight"/>
      <selection activeCell="D32" sqref="D32"/>
      <selection pane="topRight" activeCell="BM15" sqref="BM15"/>
    </sheetView>
  </sheetViews>
  <sheetFormatPr defaultRowHeight="12.75"/>
  <cols>
    <col min="1" max="1" width="5.85546875" style="53" customWidth="1"/>
    <col min="2" max="2" width="13.7109375" style="2" customWidth="1"/>
    <col min="3" max="3" width="16.7109375" customWidth="1"/>
    <col min="4" max="4" width="7.140625" style="53" bestFit="1" customWidth="1"/>
    <col min="5" max="5" width="5" bestFit="1" customWidth="1"/>
    <col min="6" max="6" width="12.140625" style="53" customWidth="1"/>
    <col min="7" max="7" width="11.5703125" style="21" customWidth="1"/>
    <col min="8" max="8" width="12.42578125" style="21" customWidth="1"/>
    <col min="9" max="9" width="11.5703125" customWidth="1"/>
    <col min="10" max="11" width="12.5703125" style="21" customWidth="1"/>
    <col min="12" max="12" width="9.42578125" style="48" customWidth="1"/>
    <col min="13" max="13" width="12.5703125" style="94" customWidth="1"/>
    <col min="14" max="14" width="8.85546875" customWidth="1"/>
    <col min="15" max="15" width="18.85546875" customWidth="1"/>
    <col min="16" max="16" width="22.28515625" style="21" customWidth="1"/>
    <col min="17" max="17" width="9.140625" customWidth="1"/>
    <col min="18" max="18" width="7.5703125" customWidth="1"/>
    <col min="19" max="19" width="4" style="124" bestFit="1" customWidth="1"/>
    <col min="20" max="20" width="5" style="124" customWidth="1"/>
    <col min="21" max="21" width="5.85546875" style="124" bestFit="1" customWidth="1"/>
    <col min="22" max="22" width="4.28515625" style="124" bestFit="1" customWidth="1"/>
    <col min="23" max="23" width="9.85546875" bestFit="1" customWidth="1"/>
    <col min="24" max="24" width="9.85546875" customWidth="1"/>
    <col min="25" max="25" width="12.140625" customWidth="1"/>
    <col min="26" max="26" width="9.85546875" customWidth="1"/>
    <col min="27" max="27" width="13.85546875" customWidth="1"/>
    <col min="28" max="28" width="11.85546875" style="53" customWidth="1"/>
    <col min="29" max="29" width="5.85546875" style="53" customWidth="1"/>
    <col min="30" max="30" width="16.28515625" style="79" bestFit="1" customWidth="1"/>
    <col min="31" max="31" width="16.28515625" bestFit="1" customWidth="1"/>
    <col min="32" max="32" width="16.28515625" style="94" bestFit="1" customWidth="1"/>
    <col min="33" max="33" width="16.28515625" style="94" customWidth="1"/>
    <col min="34" max="34" width="18.5703125" style="56" bestFit="1" customWidth="1"/>
    <col min="35" max="35" width="16.28515625" style="53" bestFit="1" customWidth="1"/>
    <col min="36" max="38" width="16.28515625" bestFit="1" customWidth="1"/>
    <col min="39" max="39" width="11.28515625" bestFit="1" customWidth="1"/>
    <col min="57" max="57" width="9.140625" style="94"/>
    <col min="64" max="69" width="12.28515625" customWidth="1"/>
  </cols>
  <sheetData>
    <row r="1" spans="1:69">
      <c r="H1" s="273" t="s">
        <v>403</v>
      </c>
      <c r="K1" s="79" t="s">
        <v>401</v>
      </c>
      <c r="L1" s="478"/>
      <c r="T1" s="96" t="s">
        <v>400</v>
      </c>
      <c r="AC1" s="79" t="s">
        <v>401</v>
      </c>
    </row>
    <row r="2" spans="1:69">
      <c r="B2" s="57" t="s">
        <v>263</v>
      </c>
      <c r="K2" s="269" t="s">
        <v>402</v>
      </c>
      <c r="L2" s="479"/>
      <c r="O2" s="118" t="s">
        <v>684</v>
      </c>
      <c r="AC2" s="269" t="s">
        <v>402</v>
      </c>
    </row>
    <row r="3" spans="1:69">
      <c r="B3" t="s">
        <v>813</v>
      </c>
      <c r="C3" s="20"/>
      <c r="T3" s="552"/>
      <c r="U3" s="552"/>
      <c r="V3" s="129"/>
      <c r="W3" s="111"/>
      <c r="X3" s="111"/>
      <c r="Y3" s="111"/>
      <c r="Z3" s="111"/>
      <c r="AC3" s="118" t="s">
        <v>694</v>
      </c>
    </row>
    <row r="4" spans="1:69">
      <c r="B4" t="s">
        <v>399</v>
      </c>
      <c r="N4" s="43"/>
      <c r="T4" s="129"/>
      <c r="U4" s="129"/>
      <c r="V4" s="129"/>
      <c r="W4" s="82"/>
      <c r="X4" s="461"/>
      <c r="Y4" s="461"/>
      <c r="Z4" s="461"/>
      <c r="AA4" s="59"/>
      <c r="AB4" s="59"/>
      <c r="AD4" s="115"/>
      <c r="AF4" s="124"/>
      <c r="BC4" s="118" t="s">
        <v>436</v>
      </c>
      <c r="BG4" s="118" t="s">
        <v>437</v>
      </c>
      <c r="BL4" s="483" t="s">
        <v>698</v>
      </c>
    </row>
    <row r="5" spans="1:69">
      <c r="B5"/>
      <c r="J5" s="281" t="s">
        <v>423</v>
      </c>
      <c r="K5" s="12"/>
      <c r="L5" s="480"/>
      <c r="M5" s="281" t="s">
        <v>423</v>
      </c>
      <c r="O5" s="5"/>
      <c r="P5" s="13"/>
      <c r="Q5" s="5"/>
      <c r="S5" s="468" t="s">
        <v>827</v>
      </c>
      <c r="T5" s="129"/>
      <c r="U5" s="129"/>
      <c r="V5" s="129"/>
      <c r="W5" s="82"/>
      <c r="X5" s="516" t="s">
        <v>752</v>
      </c>
      <c r="Y5" s="516"/>
      <c r="Z5" s="461"/>
      <c r="AA5" s="55"/>
      <c r="AB5" s="55" t="s">
        <v>216</v>
      </c>
      <c r="AC5" s="82"/>
      <c r="AD5" s="553" t="s">
        <v>231</v>
      </c>
      <c r="AE5" s="553"/>
      <c r="AF5" s="553"/>
      <c r="AG5" s="553"/>
      <c r="AH5" s="553"/>
      <c r="AI5" s="124" t="s">
        <v>685</v>
      </c>
      <c r="AJ5" s="124" t="s">
        <v>685</v>
      </c>
      <c r="BL5" t="s">
        <v>459</v>
      </c>
    </row>
    <row r="6" spans="1:69" ht="13.5" thickBot="1">
      <c r="A6" s="52" t="s">
        <v>196</v>
      </c>
      <c r="B6" s="442" t="s">
        <v>670</v>
      </c>
      <c r="C6" s="52" t="s">
        <v>35</v>
      </c>
      <c r="D6" s="52" t="s">
        <v>34</v>
      </c>
      <c r="E6" s="52" t="s">
        <v>0</v>
      </c>
      <c r="F6" s="52" t="s">
        <v>216</v>
      </c>
      <c r="G6" s="101" t="s">
        <v>239</v>
      </c>
      <c r="H6" s="54" t="s">
        <v>40</v>
      </c>
      <c r="I6" s="120" t="s">
        <v>273</v>
      </c>
      <c r="J6" s="90" t="s">
        <v>234</v>
      </c>
      <c r="K6" s="90" t="s">
        <v>226</v>
      </c>
      <c r="L6" s="481" t="s">
        <v>697</v>
      </c>
      <c r="M6" s="99" t="s">
        <v>235</v>
      </c>
      <c r="P6"/>
      <c r="Q6" s="5"/>
      <c r="S6" s="462" t="s">
        <v>196</v>
      </c>
      <c r="T6" s="462" t="s">
        <v>0</v>
      </c>
      <c r="U6" s="462" t="s">
        <v>34</v>
      </c>
      <c r="V6" s="462" t="s">
        <v>215</v>
      </c>
      <c r="W6" s="515" t="s">
        <v>764</v>
      </c>
      <c r="X6" s="515" t="s">
        <v>765</v>
      </c>
      <c r="Y6" s="515" t="s">
        <v>766</v>
      </c>
      <c r="Z6" s="461"/>
      <c r="AA6" s="51" t="s">
        <v>216</v>
      </c>
      <c r="AB6" s="51" t="s">
        <v>215</v>
      </c>
      <c r="AC6" s="51"/>
      <c r="AD6" s="101" t="s">
        <v>238</v>
      </c>
      <c r="AE6" s="51" t="s">
        <v>226</v>
      </c>
      <c r="AF6" s="99" t="s">
        <v>233</v>
      </c>
      <c r="AG6" s="99" t="s">
        <v>249</v>
      </c>
      <c r="AH6" s="103" t="s">
        <v>232</v>
      </c>
      <c r="AI6" s="462" t="s">
        <v>686</v>
      </c>
      <c r="AJ6" s="462" t="s">
        <v>687</v>
      </c>
      <c r="AM6" s="124"/>
      <c r="BC6" s="54" t="s">
        <v>273</v>
      </c>
      <c r="BD6" s="54" t="s">
        <v>697</v>
      </c>
      <c r="BE6" s="375" t="s">
        <v>699</v>
      </c>
      <c r="BG6" s="54" t="s">
        <v>273</v>
      </c>
      <c r="BH6" s="54" t="s">
        <v>697</v>
      </c>
      <c r="BI6" s="375" t="s">
        <v>699</v>
      </c>
    </row>
    <row r="7" spans="1:69">
      <c r="A7" s="53">
        <v>1</v>
      </c>
      <c r="B7">
        <v>2</v>
      </c>
      <c r="C7" s="4">
        <v>36465</v>
      </c>
      <c r="D7" s="27" t="s">
        <v>54</v>
      </c>
      <c r="E7" s="7">
        <v>1999</v>
      </c>
      <c r="F7" s="59" t="s">
        <v>217</v>
      </c>
      <c r="G7" s="113">
        <v>493149.75238095201</v>
      </c>
      <c r="H7" s="5">
        <v>214</v>
      </c>
      <c r="I7" s="14">
        <v>1</v>
      </c>
      <c r="J7" s="114">
        <v>3131500.9276190451</v>
      </c>
      <c r="K7" s="114">
        <v>1257531.8685714274</v>
      </c>
      <c r="L7" s="482">
        <v>1999</v>
      </c>
      <c r="M7" s="94">
        <f>J7/G7</f>
        <v>6.35</v>
      </c>
      <c r="O7" s="5"/>
      <c r="P7" s="13"/>
      <c r="Q7" s="5"/>
      <c r="S7" s="129">
        <v>0</v>
      </c>
      <c r="T7" s="129">
        <v>1999</v>
      </c>
      <c r="U7" s="129" t="s">
        <v>54</v>
      </c>
      <c r="V7" s="129">
        <v>1</v>
      </c>
      <c r="W7" s="461">
        <f t="shared" ref="W7:W10" si="0">30-V7</f>
        <v>29</v>
      </c>
      <c r="X7" s="461">
        <v>2</v>
      </c>
      <c r="Y7" s="461">
        <f>V7*X7</f>
        <v>2</v>
      </c>
      <c r="Z7" s="461"/>
      <c r="AA7" s="82"/>
      <c r="AB7" s="82"/>
      <c r="AC7" s="82"/>
      <c r="AD7" s="113"/>
      <c r="AE7" s="82"/>
      <c r="AF7" s="106"/>
      <c r="AG7" s="106"/>
      <c r="AH7" s="112"/>
      <c r="BC7">
        <v>1</v>
      </c>
      <c r="BD7">
        <v>1999</v>
      </c>
      <c r="BE7" s="94">
        <v>6.35</v>
      </c>
      <c r="BG7">
        <v>1</v>
      </c>
      <c r="BH7">
        <v>2000</v>
      </c>
      <c r="BI7" s="94">
        <v>10.283333333333333</v>
      </c>
      <c r="BL7" s="449" t="s">
        <v>460</v>
      </c>
      <c r="BM7" s="449"/>
    </row>
    <row r="8" spans="1:69">
      <c r="A8" s="53">
        <v>2</v>
      </c>
      <c r="B8">
        <v>3</v>
      </c>
      <c r="C8" s="1">
        <v>36647</v>
      </c>
      <c r="D8" s="59" t="s">
        <v>48</v>
      </c>
      <c r="E8" s="5">
        <v>2000</v>
      </c>
      <c r="F8" s="59" t="s">
        <v>217</v>
      </c>
      <c r="G8" s="21">
        <v>368740</v>
      </c>
      <c r="H8" s="9">
        <v>578</v>
      </c>
      <c r="I8">
        <v>0.5</v>
      </c>
      <c r="J8" s="21">
        <v>12822933.5</v>
      </c>
      <c r="K8" s="21">
        <v>5743125.5</v>
      </c>
      <c r="L8" s="482">
        <v>1999</v>
      </c>
      <c r="M8" s="94">
        <f>J8/G8</f>
        <v>34.774999999999999</v>
      </c>
      <c r="O8" s="26" t="s">
        <v>216</v>
      </c>
      <c r="P8" s="26" t="s">
        <v>56</v>
      </c>
      <c r="Q8" s="91" t="s">
        <v>111</v>
      </c>
      <c r="S8" s="124">
        <v>1</v>
      </c>
      <c r="T8" s="129">
        <v>2000</v>
      </c>
      <c r="U8" s="129" t="s">
        <v>44</v>
      </c>
      <c r="V8" s="124">
        <v>0</v>
      </c>
      <c r="W8" s="461">
        <f t="shared" si="0"/>
        <v>30</v>
      </c>
      <c r="X8" s="461">
        <v>4</v>
      </c>
      <c r="Y8" s="461">
        <f t="shared" ref="Y8:Y39" si="1">V8*X8</f>
        <v>0</v>
      </c>
      <c r="Z8" s="461"/>
      <c r="AA8" s="100" t="s">
        <v>217</v>
      </c>
      <c r="AB8" s="53">
        <f>GETPIVOTDATA("Sum of Treatment",$O$8,"SL-yr","1999-2000")</f>
        <v>3.5</v>
      </c>
      <c r="AD8" s="79">
        <f>GETPIVOTDATA("Average of # motiles/farm",$O$8,"SL-yr","1999-2000")</f>
        <v>8636369.0371825397</v>
      </c>
      <c r="AE8" s="21">
        <f>GETPIVOTDATA("Average of # Fe L.s./farm",$O$8,"SL-yr","1999-2000")</f>
        <v>3921284.3501984128</v>
      </c>
      <c r="AF8" s="94">
        <f>AF22</f>
        <v>21.501527777777774</v>
      </c>
      <c r="AG8" s="94">
        <f>AG22</f>
        <v>7.684477576271755</v>
      </c>
      <c r="AH8" s="56">
        <f>GETPIVOTDATA("Average of age (d in SW)",$O$8,"SL-yr","1999-2000")</f>
        <v>441.5</v>
      </c>
      <c r="AI8" s="466">
        <f>AB8*AD8/1000000</f>
        <v>30.22729163013889</v>
      </c>
      <c r="AJ8" s="94">
        <f>AB8*AE8/1000000</f>
        <v>13.724495225694444</v>
      </c>
      <c r="AL8">
        <v>1999</v>
      </c>
      <c r="BC8">
        <v>0.5</v>
      </c>
      <c r="BD8">
        <v>1999</v>
      </c>
      <c r="BE8" s="94">
        <v>34.774999999999999</v>
      </c>
      <c r="BG8">
        <v>1</v>
      </c>
      <c r="BH8">
        <v>2000</v>
      </c>
      <c r="BI8" s="94">
        <v>6.11</v>
      </c>
      <c r="BL8" s="6" t="s">
        <v>461</v>
      </c>
      <c r="BM8" s="6">
        <v>0.48860459923495742</v>
      </c>
    </row>
    <row r="9" spans="1:69">
      <c r="A9" s="53">
        <v>3</v>
      </c>
      <c r="B9">
        <v>4</v>
      </c>
      <c r="C9" s="4">
        <v>36678</v>
      </c>
      <c r="D9" s="27" t="s">
        <v>49</v>
      </c>
      <c r="E9" s="7">
        <v>2000</v>
      </c>
      <c r="F9" s="59" t="s">
        <v>217</v>
      </c>
      <c r="G9" s="21">
        <v>379585</v>
      </c>
      <c r="H9" s="9">
        <v>517</v>
      </c>
      <c r="I9">
        <v>1</v>
      </c>
      <c r="J9" s="21">
        <v>9228133.1111111101</v>
      </c>
      <c r="K9" s="21">
        <v>4829164.722222222</v>
      </c>
      <c r="L9" s="482">
        <v>1999</v>
      </c>
      <c r="M9" s="94">
        <f t="shared" ref="M9:M78" si="2">J9/G9</f>
        <v>24.31111111111111</v>
      </c>
      <c r="O9" s="22" t="s">
        <v>217</v>
      </c>
      <c r="P9" s="22" t="s">
        <v>274</v>
      </c>
      <c r="Q9" s="98">
        <v>3.5</v>
      </c>
      <c r="S9" s="124">
        <v>2</v>
      </c>
      <c r="T9" s="129">
        <v>2000</v>
      </c>
      <c r="U9" s="129" t="s">
        <v>45</v>
      </c>
      <c r="V9" s="124">
        <v>0</v>
      </c>
      <c r="W9" s="461">
        <f t="shared" si="0"/>
        <v>30</v>
      </c>
      <c r="X9" s="461">
        <v>5</v>
      </c>
      <c r="Y9" s="461">
        <f t="shared" si="1"/>
        <v>0</v>
      </c>
      <c r="Z9" s="461"/>
      <c r="AA9" s="67" t="str">
        <f>O17</f>
        <v>2001-2002</v>
      </c>
      <c r="AB9" s="53">
        <f>GETPIVOTDATA("Sum of Treatment",$O$8,"SL-yr","2001-2002")</f>
        <v>7</v>
      </c>
      <c r="AD9" s="79">
        <f>GETPIVOTDATA("Average of # motiles/farm",$O$8,"SL-yr","2001-2002")</f>
        <v>9598307.2977499999</v>
      </c>
      <c r="AE9" s="21">
        <f>GETPIVOTDATA("Average of # Fe L.s./farm",$O$8,"SL-yr","2001-2002")</f>
        <v>3385103.8203750001</v>
      </c>
      <c r="AF9" s="94">
        <f>AF24</f>
        <v>16.879458333333332</v>
      </c>
      <c r="AG9" s="94">
        <f>AG24</f>
        <v>3.3584326141009253</v>
      </c>
      <c r="AH9" s="56">
        <f>GETPIVOTDATA("Average of age (d in SW)",$O$8,"SL-yr","2001-2002")</f>
        <v>440.75</v>
      </c>
      <c r="AI9" s="466">
        <f t="shared" ref="AI9:AI12" si="3">AB9*AD9/1000000</f>
        <v>67.188151084250009</v>
      </c>
      <c r="AJ9" s="94">
        <f t="shared" ref="AJ9:AJ12" si="4">AB9*AE9/1000000</f>
        <v>23.695726742625002</v>
      </c>
      <c r="AL9">
        <v>2001</v>
      </c>
      <c r="BC9">
        <v>1</v>
      </c>
      <c r="BD9">
        <v>1999</v>
      </c>
      <c r="BE9" s="94">
        <v>24.31111111111111</v>
      </c>
      <c r="BG9">
        <v>1</v>
      </c>
      <c r="BH9">
        <v>2000</v>
      </c>
      <c r="BI9" s="94">
        <v>2.99</v>
      </c>
      <c r="BL9" s="6" t="s">
        <v>462</v>
      </c>
      <c r="BM9" s="6">
        <v>0.23873445439355337</v>
      </c>
    </row>
    <row r="10" spans="1:69">
      <c r="A10" s="53">
        <v>4</v>
      </c>
      <c r="B10">
        <v>2</v>
      </c>
      <c r="C10" s="1">
        <v>36708</v>
      </c>
      <c r="D10" s="463" t="s">
        <v>50</v>
      </c>
      <c r="E10" s="54">
        <v>2000</v>
      </c>
      <c r="F10" s="463" t="s">
        <v>217</v>
      </c>
      <c r="G10" s="21">
        <v>455173</v>
      </c>
      <c r="H10" s="9">
        <v>457</v>
      </c>
      <c r="I10">
        <v>1</v>
      </c>
      <c r="J10" s="21">
        <v>9362908.6099999994</v>
      </c>
      <c r="K10" s="21">
        <v>3855315.3100000005</v>
      </c>
      <c r="L10" s="482">
        <v>1999</v>
      </c>
      <c r="M10" s="94">
        <f t="shared" si="2"/>
        <v>20.57</v>
      </c>
      <c r="O10" s="25"/>
      <c r="P10" s="29" t="s">
        <v>227</v>
      </c>
      <c r="Q10" s="93">
        <v>3921284.3501984128</v>
      </c>
      <c r="S10" s="124">
        <v>3</v>
      </c>
      <c r="T10" s="129">
        <v>2000</v>
      </c>
      <c r="U10" s="163" t="s">
        <v>46</v>
      </c>
      <c r="V10" s="124">
        <v>0</v>
      </c>
      <c r="W10" s="461">
        <f t="shared" si="0"/>
        <v>30</v>
      </c>
      <c r="X10" s="461">
        <v>6</v>
      </c>
      <c r="Y10" s="461">
        <f t="shared" si="1"/>
        <v>0</v>
      </c>
      <c r="Z10" s="461"/>
      <c r="AA10" s="67" t="str">
        <f>O25</f>
        <v>2003-2004</v>
      </c>
      <c r="AB10" s="53">
        <f>GETPIVOTDATA("Sum of Treatment",$O$8,"SL-yr","2003-2004")</f>
        <v>17</v>
      </c>
      <c r="AD10" s="79">
        <f>GETPIVOTDATA("Average of # motiles/farm",$O$8,"SL-yr","2003-2004")</f>
        <v>4500537.2957894728</v>
      </c>
      <c r="AE10" s="21">
        <f>GETPIVOTDATA("Average of # Fe L.s./farm",$O$8,"SL-yr","2003-2004")</f>
        <v>2092613.9700000004</v>
      </c>
      <c r="AF10" s="94">
        <f>AF26</f>
        <v>11.647368421052633</v>
      </c>
      <c r="AG10" s="94">
        <f>AG26</f>
        <v>2.52960946179831</v>
      </c>
      <c r="AH10" s="56">
        <f>GETPIVOTDATA("Average of age (d in SW)",$O$8,"SL-yr","2003-2004")</f>
        <v>403.73333333333335</v>
      </c>
      <c r="AI10" s="466">
        <f t="shared" si="3"/>
        <v>76.509134028421045</v>
      </c>
      <c r="AJ10" s="94">
        <f t="shared" si="4"/>
        <v>35.574437490000008</v>
      </c>
      <c r="AL10">
        <v>2003</v>
      </c>
      <c r="BC10">
        <v>1</v>
      </c>
      <c r="BD10">
        <v>1999</v>
      </c>
      <c r="BE10" s="94">
        <v>20.57</v>
      </c>
      <c r="BG10">
        <v>1</v>
      </c>
      <c r="BH10">
        <v>2000</v>
      </c>
      <c r="BI10" s="94">
        <v>4.4528571428571428</v>
      </c>
      <c r="BL10" s="6" t="s">
        <v>463</v>
      </c>
      <c r="BM10" s="6">
        <v>0.22060908426006656</v>
      </c>
    </row>
    <row r="11" spans="1:69">
      <c r="A11" s="53">
        <v>5</v>
      </c>
      <c r="B11">
        <v>11</v>
      </c>
      <c r="C11" s="1">
        <v>36831</v>
      </c>
      <c r="D11" s="55" t="s">
        <v>54</v>
      </c>
      <c r="E11">
        <v>2000</v>
      </c>
      <c r="F11" s="53" t="s">
        <v>218</v>
      </c>
      <c r="G11" s="21">
        <v>583351</v>
      </c>
      <c r="H11" s="9">
        <v>336</v>
      </c>
      <c r="I11">
        <v>1</v>
      </c>
      <c r="J11" s="21">
        <v>5998792.7833333332</v>
      </c>
      <c r="K11" s="21">
        <v>2984812.6166666672</v>
      </c>
      <c r="L11" s="102">
        <v>2000</v>
      </c>
      <c r="M11" s="85">
        <f t="shared" si="2"/>
        <v>10.283333333333333</v>
      </c>
      <c r="O11" s="25"/>
      <c r="P11" s="29" t="s">
        <v>229</v>
      </c>
      <c r="Q11" s="95">
        <v>441.5</v>
      </c>
      <c r="S11" s="124">
        <v>4</v>
      </c>
      <c r="T11" s="129">
        <v>2000</v>
      </c>
      <c r="U11" s="129" t="s">
        <v>47</v>
      </c>
      <c r="V11" s="124">
        <v>0</v>
      </c>
      <c r="W11" s="461">
        <f>30-V11</f>
        <v>30</v>
      </c>
      <c r="X11" s="461">
        <v>7</v>
      </c>
      <c r="Y11" s="461">
        <f t="shared" si="1"/>
        <v>0</v>
      </c>
      <c r="Z11" s="461"/>
      <c r="AA11" s="67" t="str">
        <f>O33</f>
        <v>2005-2006</v>
      </c>
      <c r="AB11" s="53">
        <f>GETPIVOTDATA("Sum of Treatment",$O$8,"SL-yr","2005-2006")</f>
        <v>16</v>
      </c>
      <c r="AD11" s="79">
        <f>GETPIVOTDATA("Average of # motiles/farm",$O$8,"SL-yr","2005-2006")</f>
        <v>3858794.0961111113</v>
      </c>
      <c r="AE11" s="21">
        <f>GETPIVOTDATA("Average of # Fe L.s./farm",$O$8,"SL-yr","2005-2006")</f>
        <v>1855821.3816666668</v>
      </c>
      <c r="AF11" s="94">
        <f>AF28</f>
        <v>8.1999999999999975</v>
      </c>
      <c r="AG11" s="94">
        <f>AG28</f>
        <v>1.3856277078410499</v>
      </c>
      <c r="AH11" s="56">
        <f>GETPIVOTDATA("Average of age (d in SW)",$O$8,"SL-yr","2005-2006")</f>
        <v>389.875</v>
      </c>
      <c r="AI11" s="466">
        <f t="shared" si="3"/>
        <v>61.740705537777778</v>
      </c>
      <c r="AJ11" s="94">
        <f t="shared" si="4"/>
        <v>29.69314210666667</v>
      </c>
      <c r="AL11">
        <v>2005</v>
      </c>
      <c r="BC11">
        <v>1</v>
      </c>
      <c r="BD11">
        <v>2001</v>
      </c>
      <c r="BE11" s="94">
        <v>10.899999999999999</v>
      </c>
      <c r="BG11">
        <v>1</v>
      </c>
      <c r="BH11">
        <v>2000</v>
      </c>
      <c r="BI11" s="94">
        <v>8.2750000000000004</v>
      </c>
      <c r="BL11" s="6" t="s">
        <v>197</v>
      </c>
      <c r="BM11" s="6">
        <v>8.1194594292161693</v>
      </c>
    </row>
    <row r="12" spans="1:69" ht="13.5" thickBot="1">
      <c r="A12" s="53">
        <v>6</v>
      </c>
      <c r="B12">
        <v>8</v>
      </c>
      <c r="C12" s="4">
        <v>36951</v>
      </c>
      <c r="D12" s="27" t="s">
        <v>46</v>
      </c>
      <c r="E12" s="7">
        <v>2001</v>
      </c>
      <c r="F12" s="53" t="s">
        <v>218</v>
      </c>
      <c r="G12" s="21">
        <v>1065999</v>
      </c>
      <c r="H12" s="9">
        <v>151</v>
      </c>
      <c r="I12">
        <v>1</v>
      </c>
      <c r="J12" s="21">
        <v>6513253.8900000006</v>
      </c>
      <c r="K12" s="21">
        <v>1140618.9300000002</v>
      </c>
      <c r="L12" s="102">
        <v>2000</v>
      </c>
      <c r="M12" s="85">
        <f>J12/G12</f>
        <v>6.11</v>
      </c>
      <c r="O12" s="25"/>
      <c r="P12" s="29" t="s">
        <v>236</v>
      </c>
      <c r="Q12" s="93">
        <v>8636369.0371825397</v>
      </c>
      <c r="S12" s="124">
        <v>5</v>
      </c>
      <c r="T12" s="129">
        <v>2000</v>
      </c>
      <c r="U12" s="129" t="s">
        <v>48</v>
      </c>
      <c r="V12" s="129">
        <v>1</v>
      </c>
      <c r="W12" s="461">
        <f t="shared" ref="W12:W39" si="5">30-V12</f>
        <v>29</v>
      </c>
      <c r="X12" s="461">
        <v>8</v>
      </c>
      <c r="Y12" s="461">
        <f t="shared" si="1"/>
        <v>8</v>
      </c>
      <c r="Z12" s="461"/>
      <c r="AA12" s="53" t="str">
        <f>O41</f>
        <v>2007-2008</v>
      </c>
      <c r="AB12" s="53">
        <f>GETPIVOTDATA("Sum of Treatment",$O$8,"SL-yr","2007-2008")</f>
        <v>8</v>
      </c>
      <c r="AD12" s="79">
        <f>GETPIVOTDATA("Average of # motiles/farm",$O$8,"SL-yr","2007-2008")</f>
        <v>832134.52791666659</v>
      </c>
      <c r="AE12" s="21">
        <f>GETPIVOTDATA("Average of # Fe L.s./farm",$O$8,"SL-yr","2007-2008")</f>
        <v>355149.25416666659</v>
      </c>
      <c r="AF12" s="94">
        <f>AF30</f>
        <v>1.9308333333333336</v>
      </c>
      <c r="AG12" s="94">
        <f>AG30</f>
        <v>0.4847011638669419</v>
      </c>
      <c r="AH12" s="56">
        <f>GETPIVOTDATA("Average of age (d in SW)",$O$8,"SL-yr","2007-2008")</f>
        <v>414.71428571428572</v>
      </c>
      <c r="AI12" s="466">
        <f t="shared" si="3"/>
        <v>6.6570762233333323</v>
      </c>
      <c r="AJ12" s="94">
        <f t="shared" si="4"/>
        <v>2.8411940333333328</v>
      </c>
      <c r="AL12">
        <v>2007</v>
      </c>
      <c r="BC12">
        <v>0.5</v>
      </c>
      <c r="BD12">
        <v>2001</v>
      </c>
      <c r="BE12" s="94">
        <f>(6.284+8.75666666666667)/2</f>
        <v>7.5203333333333351</v>
      </c>
      <c r="BG12">
        <v>1</v>
      </c>
      <c r="BH12">
        <v>2000</v>
      </c>
      <c r="BI12" s="94">
        <v>10.6</v>
      </c>
      <c r="BL12" s="75" t="s">
        <v>464</v>
      </c>
      <c r="BM12" s="75">
        <v>44</v>
      </c>
    </row>
    <row r="13" spans="1:69">
      <c r="A13" s="53">
        <v>7</v>
      </c>
      <c r="B13">
        <v>6</v>
      </c>
      <c r="C13" s="1">
        <v>37012</v>
      </c>
      <c r="D13" s="53" t="s">
        <v>48</v>
      </c>
      <c r="E13">
        <v>2001</v>
      </c>
      <c r="F13" s="53" t="s">
        <v>218</v>
      </c>
      <c r="G13" s="21">
        <v>265362</v>
      </c>
      <c r="H13" s="9">
        <v>547</v>
      </c>
      <c r="I13">
        <v>1</v>
      </c>
      <c r="J13" s="21">
        <v>793432.38</v>
      </c>
      <c r="K13" s="21">
        <v>235508.77499999999</v>
      </c>
      <c r="L13" s="102">
        <v>2000</v>
      </c>
      <c r="M13" s="85">
        <f>J13/G13</f>
        <v>2.99</v>
      </c>
      <c r="O13" s="22" t="s">
        <v>218</v>
      </c>
      <c r="P13" s="22" t="s">
        <v>274</v>
      </c>
      <c r="Q13" s="98">
        <v>8</v>
      </c>
      <c r="S13" s="124">
        <v>6</v>
      </c>
      <c r="T13" s="129">
        <v>2000</v>
      </c>
      <c r="U13" s="163" t="s">
        <v>49</v>
      </c>
      <c r="V13" s="129">
        <v>1</v>
      </c>
      <c r="W13" s="461">
        <f t="shared" si="5"/>
        <v>29</v>
      </c>
      <c r="X13" s="461">
        <v>9</v>
      </c>
      <c r="Y13" s="461">
        <f t="shared" si="1"/>
        <v>9</v>
      </c>
      <c r="Z13" s="461"/>
      <c r="AA13" s="53"/>
      <c r="AE13" s="21"/>
      <c r="BC13">
        <v>1</v>
      </c>
      <c r="BD13">
        <v>2001</v>
      </c>
      <c r="BE13" s="94">
        <v>27.7</v>
      </c>
      <c r="BG13">
        <v>1</v>
      </c>
      <c r="BH13">
        <v>2000</v>
      </c>
      <c r="BI13" s="94">
        <v>4.57</v>
      </c>
    </row>
    <row r="14" spans="1:69" ht="13.5" thickBot="1">
      <c r="A14" s="53">
        <v>8</v>
      </c>
      <c r="B14">
        <v>1</v>
      </c>
      <c r="C14" s="1">
        <v>37012</v>
      </c>
      <c r="D14" s="53" t="s">
        <v>48</v>
      </c>
      <c r="E14">
        <v>2001</v>
      </c>
      <c r="F14" s="53" t="s">
        <v>218</v>
      </c>
      <c r="G14" s="21">
        <v>1106770</v>
      </c>
      <c r="H14" s="9">
        <v>212</v>
      </c>
      <c r="I14">
        <v>1</v>
      </c>
      <c r="J14" s="21">
        <v>4928288.7</v>
      </c>
      <c r="K14" s="21">
        <v>1826170.5</v>
      </c>
      <c r="L14" s="102">
        <v>2000</v>
      </c>
      <c r="M14" s="85">
        <f t="shared" si="2"/>
        <v>4.4528571428571428</v>
      </c>
      <c r="O14" s="25"/>
      <c r="P14" s="29" t="s">
        <v>227</v>
      </c>
      <c r="Q14" s="93">
        <v>1520288.7327083335</v>
      </c>
      <c r="S14" s="124">
        <v>7</v>
      </c>
      <c r="T14" s="129">
        <v>2000</v>
      </c>
      <c r="U14" s="129" t="s">
        <v>50</v>
      </c>
      <c r="V14" s="129">
        <v>1</v>
      </c>
      <c r="W14" s="461">
        <f t="shared" si="5"/>
        <v>29</v>
      </c>
      <c r="X14" s="461">
        <v>10</v>
      </c>
      <c r="Y14" s="461">
        <f t="shared" si="1"/>
        <v>10</v>
      </c>
      <c r="Z14" s="461"/>
      <c r="AA14" s="67" t="str">
        <f>O13</f>
        <v>2000-2001</v>
      </c>
      <c r="AB14" s="53">
        <f>GETPIVOTDATA("Sum of Treatment",$O$8,"SL-yr","2000-2001")</f>
        <v>8</v>
      </c>
      <c r="AD14" s="79">
        <f>GETPIVOTDATA("Average of # motiles/farm",$O$8,"SL-yr","2000-2001")</f>
        <v>5304328.0610416671</v>
      </c>
      <c r="AE14" s="21">
        <f>GETPIVOTDATA("Average of # Fe L.s./farm",$O$8,"SL-yr","2000-2001")</f>
        <v>1520288.7327083335</v>
      </c>
      <c r="AF14" s="94">
        <f>AF23</f>
        <v>8.8788988095238093</v>
      </c>
      <c r="AG14" s="94">
        <f>AG23</f>
        <v>1.9875482925381922</v>
      </c>
      <c r="AH14" s="56">
        <f>GETPIVOTDATA("Average of age (d in SW)",$O$8,"SL-yr","2000-2001")</f>
        <v>243.125</v>
      </c>
      <c r="AI14" s="466">
        <f t="shared" ref="AI14:AI18" si="6">AB14*AD14/1000000</f>
        <v>42.434624488333334</v>
      </c>
      <c r="AJ14" s="94">
        <f t="shared" ref="AJ14:AJ18" si="7">AB14*AE14/1000000</f>
        <v>12.162309861666667</v>
      </c>
      <c r="AL14">
        <v>2000</v>
      </c>
      <c r="BC14">
        <v>1</v>
      </c>
      <c r="BD14">
        <v>2001</v>
      </c>
      <c r="BE14" s="94">
        <v>10.150000000000002</v>
      </c>
      <c r="BG14">
        <v>1</v>
      </c>
      <c r="BH14">
        <v>2000</v>
      </c>
      <c r="BI14" s="94">
        <v>23.75</v>
      </c>
      <c r="BL14" t="s">
        <v>465</v>
      </c>
    </row>
    <row r="15" spans="1:69">
      <c r="A15" s="53">
        <v>9</v>
      </c>
      <c r="B15">
        <v>15</v>
      </c>
      <c r="C15" s="1">
        <v>37043</v>
      </c>
      <c r="D15" s="53" t="s">
        <v>49</v>
      </c>
      <c r="E15">
        <v>2001</v>
      </c>
      <c r="F15" s="53" t="s">
        <v>218</v>
      </c>
      <c r="G15" s="21">
        <v>408909</v>
      </c>
      <c r="H15" s="9">
        <v>92</v>
      </c>
      <c r="I15">
        <v>1</v>
      </c>
      <c r="J15" s="21">
        <v>3383721.9750000001</v>
      </c>
      <c r="K15" s="21">
        <v>143118.15</v>
      </c>
      <c r="L15" s="102">
        <v>2000</v>
      </c>
      <c r="M15" s="85">
        <f t="shared" si="2"/>
        <v>8.2750000000000004</v>
      </c>
      <c r="O15" s="25"/>
      <c r="P15" s="29" t="s">
        <v>229</v>
      </c>
      <c r="Q15" s="95">
        <v>243.125</v>
      </c>
      <c r="S15" s="124">
        <v>8</v>
      </c>
      <c r="T15" s="129">
        <v>2000</v>
      </c>
      <c r="U15" s="163" t="s">
        <v>51</v>
      </c>
      <c r="V15" s="129">
        <v>0</v>
      </c>
      <c r="W15" s="461">
        <f t="shared" si="5"/>
        <v>30</v>
      </c>
      <c r="X15" s="351">
        <v>11</v>
      </c>
      <c r="Y15" s="461">
        <f t="shared" si="1"/>
        <v>0</v>
      </c>
      <c r="Z15" s="461"/>
      <c r="AA15" s="67" t="str">
        <f>O21</f>
        <v>2002-2003</v>
      </c>
      <c r="AB15" s="53">
        <f>GETPIVOTDATA("Sum of Treatment",$O$8,"SL-yr","2002-2003")</f>
        <v>5</v>
      </c>
      <c r="AD15" s="79">
        <f>GETPIVOTDATA("Average of # motiles/farm",$O$8,"SL-yr","2002-2003")</f>
        <v>1615996.9020000002</v>
      </c>
      <c r="AE15" s="21">
        <f>GETPIVOTDATA("Average of # Fe L.s./farm",$O$8,"SL-yr","2002-2003")</f>
        <v>678944.31200000003</v>
      </c>
      <c r="AF15" s="94">
        <f>AF25</f>
        <v>6.653999999999999</v>
      </c>
      <c r="AG15" s="94">
        <f>AG25</f>
        <v>1.8100320439152462</v>
      </c>
      <c r="AH15" s="56">
        <f>GETPIVOTDATA("Average of age (d in SW)",$O$8,"SL-yr","2002-2003")</f>
        <v>464.5</v>
      </c>
      <c r="AI15" s="466">
        <f t="shared" si="6"/>
        <v>8.079984510000001</v>
      </c>
      <c r="AJ15" s="94">
        <f t="shared" si="7"/>
        <v>3.3947215600000002</v>
      </c>
      <c r="AL15">
        <v>2002</v>
      </c>
      <c r="BC15">
        <v>1</v>
      </c>
      <c r="BD15">
        <v>2001</v>
      </c>
      <c r="BE15" s="94">
        <v>24.545000000000002</v>
      </c>
      <c r="BG15">
        <v>1</v>
      </c>
      <c r="BH15">
        <v>2002</v>
      </c>
      <c r="BI15" s="94">
        <v>9.3000000000000007</v>
      </c>
      <c r="BL15" s="76"/>
      <c r="BM15" s="76" t="s">
        <v>198</v>
      </c>
      <c r="BN15" s="76" t="s">
        <v>199</v>
      </c>
      <c r="BO15" s="76" t="s">
        <v>200</v>
      </c>
      <c r="BP15" s="76" t="s">
        <v>201</v>
      </c>
      <c r="BQ15" s="76" t="s">
        <v>202</v>
      </c>
    </row>
    <row r="16" spans="1:69">
      <c r="A16" s="53">
        <v>10</v>
      </c>
      <c r="B16">
        <v>14</v>
      </c>
      <c r="C16" s="1">
        <v>37043</v>
      </c>
      <c r="D16" s="53" t="s">
        <v>49</v>
      </c>
      <c r="E16">
        <v>2001</v>
      </c>
      <c r="F16" s="53" t="s">
        <v>218</v>
      </c>
      <c r="G16" s="21">
        <v>349468</v>
      </c>
      <c r="H16" s="9">
        <v>61</v>
      </c>
      <c r="I16">
        <v>1</v>
      </c>
      <c r="J16" s="21">
        <v>3704360.8</v>
      </c>
      <c r="K16" s="21">
        <v>209680.8</v>
      </c>
      <c r="L16" s="102">
        <v>2000</v>
      </c>
      <c r="M16" s="85">
        <f t="shared" si="2"/>
        <v>10.6</v>
      </c>
      <c r="O16" s="25"/>
      <c r="P16" s="29" t="s">
        <v>236</v>
      </c>
      <c r="Q16" s="93">
        <v>5304328.0610416671</v>
      </c>
      <c r="S16" s="124">
        <v>9</v>
      </c>
      <c r="T16" s="129">
        <v>2000</v>
      </c>
      <c r="U16" s="129" t="s">
        <v>52</v>
      </c>
      <c r="V16" s="129">
        <v>0</v>
      </c>
      <c r="W16" s="461">
        <f t="shared" si="5"/>
        <v>30</v>
      </c>
      <c r="X16" s="461">
        <v>0</v>
      </c>
      <c r="Y16" s="461">
        <f t="shared" si="1"/>
        <v>0</v>
      </c>
      <c r="Z16" s="461"/>
      <c r="AA16" s="67" t="str">
        <f>O29</f>
        <v>2004-2005</v>
      </c>
      <c r="AB16" s="53">
        <f>GETPIVOTDATA("Sum of Treatment",$O$8,"SL-yr","2004-2005")</f>
        <v>15</v>
      </c>
      <c r="AD16" s="79">
        <f>GETPIVOTDATA("Average of # motiles/farm",$O$8,"SL-yr","2004-2005")</f>
        <v>2571868.6823333339</v>
      </c>
      <c r="AE16" s="21">
        <f>GETPIVOTDATA("Average of # Fe L.s./farm",$O$8,"SL-yr","2004-2005")</f>
        <v>1209132.4373333335</v>
      </c>
      <c r="AF16" s="94">
        <f>AF27</f>
        <v>7.2746666666666648</v>
      </c>
      <c r="AG16" s="94">
        <f>AG27</f>
        <v>1.6778431558634008</v>
      </c>
      <c r="AH16" s="56">
        <f>GETPIVOTDATA("Average of age (d in SW)",$O$8,"SL-yr","2004-2005")</f>
        <v>435.69230769230768</v>
      </c>
      <c r="AI16" s="466">
        <f t="shared" si="6"/>
        <v>38.578030235000007</v>
      </c>
      <c r="AJ16" s="94">
        <f t="shared" si="7"/>
        <v>18.136986560000004</v>
      </c>
      <c r="AL16">
        <v>2004</v>
      </c>
      <c r="BC16">
        <v>1</v>
      </c>
      <c r="BD16">
        <v>2001</v>
      </c>
      <c r="BE16" s="94">
        <v>29.3</v>
      </c>
      <c r="BG16">
        <v>1</v>
      </c>
      <c r="BH16">
        <v>2002</v>
      </c>
      <c r="BI16" s="94">
        <v>1.6</v>
      </c>
      <c r="BL16" s="6" t="s">
        <v>466</v>
      </c>
      <c r="BM16" s="6">
        <v>1</v>
      </c>
      <c r="BN16" s="6">
        <v>868.32528908327049</v>
      </c>
      <c r="BO16" s="6">
        <v>868.32528908327049</v>
      </c>
      <c r="BP16" s="6">
        <v>13.171287131537733</v>
      </c>
      <c r="BQ16" s="450">
        <v>7.6511768304285128E-4</v>
      </c>
    </row>
    <row r="17" spans="1:72">
      <c r="A17" s="53">
        <v>11</v>
      </c>
      <c r="B17">
        <v>7</v>
      </c>
      <c r="C17" s="1">
        <v>37043</v>
      </c>
      <c r="D17" s="59" t="s">
        <v>49</v>
      </c>
      <c r="E17" s="5">
        <v>2001</v>
      </c>
      <c r="F17" s="59" t="s">
        <v>218</v>
      </c>
      <c r="G17" s="21">
        <v>1153953</v>
      </c>
      <c r="H17" s="9">
        <v>120</v>
      </c>
      <c r="I17">
        <v>1</v>
      </c>
      <c r="J17" s="21">
        <v>5273565.21</v>
      </c>
      <c r="K17" s="21">
        <v>1534757.49</v>
      </c>
      <c r="L17" s="102">
        <v>2000</v>
      </c>
      <c r="M17" s="85">
        <f t="shared" si="2"/>
        <v>4.57</v>
      </c>
      <c r="O17" s="22" t="s">
        <v>219</v>
      </c>
      <c r="P17" s="22" t="s">
        <v>274</v>
      </c>
      <c r="Q17" s="98">
        <v>7</v>
      </c>
      <c r="S17" s="124">
        <v>10</v>
      </c>
      <c r="T17" s="129">
        <v>2000</v>
      </c>
      <c r="U17" s="163" t="s">
        <v>53</v>
      </c>
      <c r="V17" s="129">
        <v>0</v>
      </c>
      <c r="W17" s="461">
        <f t="shared" si="5"/>
        <v>30</v>
      </c>
      <c r="X17" s="461">
        <v>1</v>
      </c>
      <c r="Y17" s="461">
        <f t="shared" si="1"/>
        <v>0</v>
      </c>
      <c r="Z17" s="461"/>
      <c r="AA17" s="67" t="str">
        <f>O37</f>
        <v>2006-2007</v>
      </c>
      <c r="AB17" s="53">
        <f>GETPIVOTDATA("Sum of Treatment",$O$8,"SL-yr","2006-2007")</f>
        <v>6</v>
      </c>
      <c r="AD17" s="79">
        <f>GETPIVOTDATA("Average of # motiles/farm",$O$8,"SL-yr","2006-2007")</f>
        <v>2371724.0384755502</v>
      </c>
      <c r="AE17" s="21">
        <f>GETPIVOTDATA("Average of # Fe L.s./farm",$O$8,"SL-yr","2006-2007")</f>
        <v>1005716.0129555833</v>
      </c>
      <c r="AF17" s="94">
        <f>AF29</f>
        <v>6.2188888833333325</v>
      </c>
      <c r="AG17" s="94">
        <f>AG29</f>
        <v>1.5677553339026631</v>
      </c>
      <c r="AH17" s="56">
        <f>GETPIVOTDATA("Average of age (d in SW)",$O$8,"SL-yr","2006-2007")</f>
        <v>357.8</v>
      </c>
      <c r="AI17" s="466">
        <f t="shared" si="6"/>
        <v>14.2303442308533</v>
      </c>
      <c r="AJ17" s="94">
        <f t="shared" si="7"/>
        <v>6.0342960777335</v>
      </c>
      <c r="AL17">
        <v>2006</v>
      </c>
      <c r="BC17">
        <v>1</v>
      </c>
      <c r="BD17">
        <v>2001</v>
      </c>
      <c r="BE17" s="94">
        <v>17.399999999999999</v>
      </c>
      <c r="BG17">
        <v>1</v>
      </c>
      <c r="BH17">
        <v>2002</v>
      </c>
      <c r="BI17" s="94">
        <v>3.1</v>
      </c>
      <c r="BL17" s="6" t="s">
        <v>453</v>
      </c>
      <c r="BM17" s="6">
        <v>42</v>
      </c>
      <c r="BN17" s="6">
        <v>2768.8760997528698</v>
      </c>
      <c r="BO17" s="6">
        <v>65.925621422687371</v>
      </c>
      <c r="BP17" s="6"/>
      <c r="BQ17" s="6"/>
    </row>
    <row r="18" spans="1:72" ht="13.5" thickBot="1">
      <c r="A18" s="53">
        <v>12</v>
      </c>
      <c r="B18">
        <v>9</v>
      </c>
      <c r="C18" s="1">
        <v>37073</v>
      </c>
      <c r="D18" s="463" t="s">
        <v>50</v>
      </c>
      <c r="E18" s="54">
        <v>2001</v>
      </c>
      <c r="F18" s="463" t="s">
        <v>218</v>
      </c>
      <c r="G18" s="21">
        <v>498493</v>
      </c>
      <c r="H18" s="9">
        <v>426</v>
      </c>
      <c r="I18">
        <v>1</v>
      </c>
      <c r="J18" s="21">
        <v>11839208.75</v>
      </c>
      <c r="K18" s="21">
        <v>4087642.5999999996</v>
      </c>
      <c r="L18" s="102">
        <v>2000</v>
      </c>
      <c r="M18" s="94">
        <f t="shared" si="2"/>
        <v>23.75</v>
      </c>
      <c r="O18" s="25"/>
      <c r="P18" s="29" t="s">
        <v>227</v>
      </c>
      <c r="Q18" s="93">
        <v>3385103.8203750001</v>
      </c>
      <c r="S18" s="124">
        <v>11</v>
      </c>
      <c r="T18" s="129">
        <v>2000</v>
      </c>
      <c r="U18" s="129" t="s">
        <v>54</v>
      </c>
      <c r="V18" s="129">
        <v>1</v>
      </c>
      <c r="W18" s="461">
        <f t="shared" si="5"/>
        <v>29</v>
      </c>
      <c r="X18" s="461">
        <v>2</v>
      </c>
      <c r="Y18" s="461">
        <f t="shared" si="1"/>
        <v>2</v>
      </c>
      <c r="Z18" s="461"/>
      <c r="AA18" s="53" t="str">
        <f>O45</f>
        <v>2008-2009</v>
      </c>
      <c r="AB18" s="53">
        <f>GETPIVOTDATA("Sum of Treatment",$O$8,"SL-yr","2008-2009")</f>
        <v>12</v>
      </c>
      <c r="AD18" s="79">
        <f>GETPIVOTDATA("Average of # motiles/farm",$O$8,"SL-yr","2008-2009")</f>
        <v>737795.24974440271</v>
      </c>
      <c r="AE18" s="21">
        <f>GETPIVOTDATA("Average of # Fe L.s./farm",$O$8,"SL-yr","2008-2009")</f>
        <v>275844.5862943611</v>
      </c>
      <c r="AF18" s="94">
        <f>AF31</f>
        <v>1.7851388833333335</v>
      </c>
      <c r="AG18" s="94">
        <f>AG31</f>
        <v>0.48586000004198937</v>
      </c>
      <c r="AH18" s="56">
        <f>GETPIVOTDATA("Average of age (d in SW)",$O$8,"SL-yr","2008-2009")</f>
        <v>314.5</v>
      </c>
      <c r="AI18" s="466">
        <f t="shared" si="6"/>
        <v>8.8535429969328323</v>
      </c>
      <c r="AJ18" s="94">
        <f t="shared" si="7"/>
        <v>3.3101350355323329</v>
      </c>
      <c r="AL18">
        <v>2008</v>
      </c>
      <c r="BC18">
        <v>1</v>
      </c>
      <c r="BD18">
        <v>2003</v>
      </c>
      <c r="BE18" s="94">
        <v>4.67</v>
      </c>
      <c r="BG18">
        <v>1</v>
      </c>
      <c r="BH18">
        <v>2002</v>
      </c>
      <c r="BI18" s="94">
        <v>8.5</v>
      </c>
      <c r="BL18" s="75" t="s">
        <v>111</v>
      </c>
      <c r="BM18" s="75">
        <v>43</v>
      </c>
      <c r="BN18" s="75">
        <v>3637.2013888361403</v>
      </c>
      <c r="BO18" s="75"/>
      <c r="BP18" s="75"/>
      <c r="BQ18" s="75"/>
    </row>
    <row r="19" spans="1:72" ht="13.5" thickBot="1">
      <c r="A19" s="53">
        <v>13</v>
      </c>
      <c r="B19">
        <v>13</v>
      </c>
      <c r="C19" s="1">
        <v>37226</v>
      </c>
      <c r="D19" s="53" t="s">
        <v>55</v>
      </c>
      <c r="E19">
        <v>2001</v>
      </c>
      <c r="F19" s="53" t="s">
        <v>219</v>
      </c>
      <c r="G19" s="21">
        <v>585965</v>
      </c>
      <c r="H19" s="9">
        <v>275</v>
      </c>
      <c r="I19">
        <v>1</v>
      </c>
      <c r="J19" s="21">
        <v>6387018.4999999991</v>
      </c>
      <c r="K19" s="21">
        <v>2636842.5</v>
      </c>
      <c r="L19" s="102">
        <v>2001</v>
      </c>
      <c r="M19" s="94">
        <f t="shared" si="2"/>
        <v>10.899999999999999</v>
      </c>
      <c r="O19" s="25"/>
      <c r="P19" s="29" t="s">
        <v>229</v>
      </c>
      <c r="Q19" s="95">
        <v>440.75</v>
      </c>
      <c r="S19" s="124">
        <v>12</v>
      </c>
      <c r="T19" s="129">
        <v>2000</v>
      </c>
      <c r="U19" s="163" t="s">
        <v>55</v>
      </c>
      <c r="V19" s="129">
        <v>0</v>
      </c>
      <c r="W19" s="461">
        <f t="shared" si="5"/>
        <v>30</v>
      </c>
      <c r="X19" s="461">
        <v>3</v>
      </c>
      <c r="Y19" s="461">
        <f t="shared" si="1"/>
        <v>0</v>
      </c>
      <c r="Z19" s="461"/>
      <c r="AA19" s="53"/>
      <c r="BC19">
        <v>1</v>
      </c>
      <c r="BD19">
        <v>2003</v>
      </c>
      <c r="BE19" s="94">
        <v>2.13</v>
      </c>
      <c r="BG19">
        <v>1</v>
      </c>
      <c r="BH19">
        <v>2002</v>
      </c>
      <c r="BI19" s="94">
        <v>10.77</v>
      </c>
    </row>
    <row r="20" spans="1:72">
      <c r="A20" s="53">
        <v>14</v>
      </c>
      <c r="B20">
        <v>1</v>
      </c>
      <c r="C20" s="1">
        <v>37288</v>
      </c>
      <c r="D20" s="53" t="s">
        <v>45</v>
      </c>
      <c r="E20">
        <v>2002</v>
      </c>
      <c r="F20" s="53" t="s">
        <v>219</v>
      </c>
      <c r="G20" s="21">
        <v>1078273</v>
      </c>
      <c r="H20" s="9">
        <v>488</v>
      </c>
      <c r="I20">
        <v>0.5</v>
      </c>
      <c r="J20" s="21">
        <v>6775867.5319999997</v>
      </c>
      <c r="K20" s="21">
        <v>2766848.5179999997</v>
      </c>
      <c r="L20" s="102">
        <v>2001</v>
      </c>
      <c r="M20" s="94">
        <f t="shared" si="2"/>
        <v>6.2839999999999998</v>
      </c>
      <c r="O20" s="25"/>
      <c r="P20" s="29" t="s">
        <v>236</v>
      </c>
      <c r="Q20" s="93">
        <v>9598307.2977499999</v>
      </c>
      <c r="S20" s="124">
        <v>13</v>
      </c>
      <c r="T20" s="129">
        <v>2001</v>
      </c>
      <c r="U20" s="163" t="s">
        <v>44</v>
      </c>
      <c r="V20" s="129">
        <v>0</v>
      </c>
      <c r="W20" s="461">
        <f t="shared" si="5"/>
        <v>30</v>
      </c>
      <c r="X20" s="461">
        <v>4</v>
      </c>
      <c r="Y20" s="461">
        <f t="shared" si="1"/>
        <v>0</v>
      </c>
      <c r="Z20" s="461"/>
      <c r="AA20" s="53"/>
      <c r="BC20">
        <v>1</v>
      </c>
      <c r="BD20">
        <v>2003</v>
      </c>
      <c r="BE20" s="94">
        <v>4</v>
      </c>
      <c r="BG20">
        <v>1</v>
      </c>
      <c r="BH20">
        <v>2004</v>
      </c>
      <c r="BI20" s="94">
        <v>14.93</v>
      </c>
      <c r="BL20" s="76"/>
      <c r="BM20" s="76" t="s">
        <v>203</v>
      </c>
      <c r="BN20" s="76" t="s">
        <v>197</v>
      </c>
      <c r="BO20" s="76" t="s">
        <v>204</v>
      </c>
      <c r="BP20" s="76" t="s">
        <v>205</v>
      </c>
      <c r="BQ20" s="76" t="s">
        <v>206</v>
      </c>
      <c r="BR20" s="76" t="s">
        <v>207</v>
      </c>
      <c r="BS20" s="76" t="s">
        <v>208</v>
      </c>
      <c r="BT20" s="76" t="s">
        <v>209</v>
      </c>
    </row>
    <row r="21" spans="1:72">
      <c r="A21" s="53">
        <v>15</v>
      </c>
      <c r="B21">
        <v>4</v>
      </c>
      <c r="C21" s="1">
        <v>37316</v>
      </c>
      <c r="D21" s="53" t="s">
        <v>46</v>
      </c>
      <c r="E21">
        <v>2002</v>
      </c>
      <c r="F21" s="53" t="s">
        <v>219</v>
      </c>
      <c r="G21" s="21">
        <v>483799</v>
      </c>
      <c r="H21" s="9">
        <v>516</v>
      </c>
      <c r="I21">
        <v>1</v>
      </c>
      <c r="J21" s="21">
        <v>13401232.299999999</v>
      </c>
      <c r="K21" s="21">
        <v>3471257.8249999997</v>
      </c>
      <c r="L21" s="102">
        <v>2001</v>
      </c>
      <c r="M21" s="94">
        <f t="shared" si="2"/>
        <v>27.7</v>
      </c>
      <c r="O21" s="22" t="s">
        <v>220</v>
      </c>
      <c r="P21" s="22" t="s">
        <v>274</v>
      </c>
      <c r="Q21" s="98">
        <v>5</v>
      </c>
      <c r="S21" s="124">
        <v>14</v>
      </c>
      <c r="T21" s="129">
        <v>2001</v>
      </c>
      <c r="U21" s="129" t="s">
        <v>45</v>
      </c>
      <c r="V21" s="129">
        <v>0</v>
      </c>
      <c r="W21" s="461">
        <f t="shared" si="5"/>
        <v>30</v>
      </c>
      <c r="X21" s="461">
        <v>5</v>
      </c>
      <c r="Y21" s="461">
        <f t="shared" si="1"/>
        <v>0</v>
      </c>
      <c r="Z21" s="461"/>
      <c r="AA21" s="53"/>
      <c r="BC21">
        <v>0.5</v>
      </c>
      <c r="BD21">
        <v>2003</v>
      </c>
      <c r="BE21" s="94">
        <f>(35.35+10.8)/2</f>
        <v>23.075000000000003</v>
      </c>
      <c r="BG21">
        <v>1</v>
      </c>
      <c r="BH21">
        <v>2004</v>
      </c>
      <c r="BI21" s="94">
        <v>7.18</v>
      </c>
      <c r="BL21" s="6" t="s">
        <v>467</v>
      </c>
      <c r="BM21" s="6">
        <v>4739.3089656624543</v>
      </c>
      <c r="BN21" s="6">
        <v>1302.5139790146497</v>
      </c>
      <c r="BO21" s="6">
        <v>3.638585874715706</v>
      </c>
      <c r="BP21" s="6">
        <v>7.4432657327263012E-4</v>
      </c>
      <c r="BQ21" s="6">
        <v>2110.729368151116</v>
      </c>
      <c r="BR21" s="6">
        <v>7367.8885631737921</v>
      </c>
      <c r="BS21" s="6">
        <v>2110.729368151116</v>
      </c>
      <c r="BT21" s="6">
        <v>7367.8885631737921</v>
      </c>
    </row>
    <row r="22" spans="1:72" ht="13.5" thickBot="1">
      <c r="A22" s="53">
        <v>16</v>
      </c>
      <c r="B22">
        <v>1</v>
      </c>
      <c r="C22" s="1">
        <v>37316</v>
      </c>
      <c r="D22" s="53" t="s">
        <v>46</v>
      </c>
      <c r="E22">
        <v>2002</v>
      </c>
      <c r="F22" s="53" t="s">
        <v>219</v>
      </c>
      <c r="G22" s="21">
        <v>1077375</v>
      </c>
      <c r="H22" s="9">
        <v>516</v>
      </c>
      <c r="I22">
        <v>0.5</v>
      </c>
      <c r="J22" s="21">
        <v>9434213.7500000019</v>
      </c>
      <c r="K22" s="21">
        <v>3663075</v>
      </c>
      <c r="L22" s="102">
        <v>2001</v>
      </c>
      <c r="M22" s="94">
        <f t="shared" si="2"/>
        <v>8.7566666666666677</v>
      </c>
      <c r="O22" s="25"/>
      <c r="P22" s="29" t="s">
        <v>227</v>
      </c>
      <c r="Q22" s="93">
        <v>678944.31200000003</v>
      </c>
      <c r="R22" s="13"/>
      <c r="S22" s="124">
        <v>15</v>
      </c>
      <c r="T22" s="129">
        <v>2001</v>
      </c>
      <c r="U22" s="163" t="s">
        <v>46</v>
      </c>
      <c r="V22" s="129">
        <v>1</v>
      </c>
      <c r="W22" s="461">
        <f t="shared" si="5"/>
        <v>29</v>
      </c>
      <c r="X22" s="461">
        <v>6</v>
      </c>
      <c r="Y22" s="461">
        <f t="shared" si="1"/>
        <v>6</v>
      </c>
      <c r="Z22" s="461"/>
      <c r="AA22" s="67" t="str">
        <f>O9</f>
        <v>1999-2000</v>
      </c>
      <c r="AB22" s="53">
        <f>GETPIVOTDATA("Sum of Treatment",$O$8,"SL-yr","1999-2000")</f>
        <v>3.5</v>
      </c>
      <c r="AD22" s="79">
        <f>GETPIVOTDATA("Average of # motiles/farm",$O$8,"SL-yr","1999-2000")</f>
        <v>8636369.0371825397</v>
      </c>
      <c r="AE22" s="21">
        <f>GETPIVOTDATA("Average of # Fe L.s./farm",$O$8,"SL-yr","1999-2000")</f>
        <v>3921284.3501984128</v>
      </c>
      <c r="AF22" s="94">
        <f>AVERAGE(M7:M10)</f>
        <v>21.501527777777774</v>
      </c>
      <c r="AG22" s="94">
        <f>STDEV(M7:M9)/SQRT(AB22)</f>
        <v>7.684477576271755</v>
      </c>
      <c r="AH22" s="56">
        <f>GETPIVOTDATA("Average of age (d in SW)",$O$8,"SL-yr","1999-2000")</f>
        <v>441.5</v>
      </c>
      <c r="AI22" s="466">
        <f t="shared" ref="AI22:AI31" si="8">AB22*AD22/1000000</f>
        <v>30.22729163013889</v>
      </c>
      <c r="AJ22" s="94">
        <f t="shared" ref="AJ22:AJ31" si="9">AB22*AE22/1000000</f>
        <v>13.724495225694444</v>
      </c>
      <c r="BC22">
        <v>1</v>
      </c>
      <c r="BD22">
        <v>2003</v>
      </c>
      <c r="BE22" s="94">
        <v>10.1</v>
      </c>
      <c r="BG22">
        <v>1</v>
      </c>
      <c r="BH22">
        <v>2004</v>
      </c>
      <c r="BI22" s="94">
        <v>3.57</v>
      </c>
      <c r="BL22" s="75" t="s">
        <v>680</v>
      </c>
      <c r="BM22" s="75">
        <v>-2.3599646906381597</v>
      </c>
      <c r="BN22" s="75">
        <v>0.65026652335727786</v>
      </c>
      <c r="BO22" s="75">
        <v>-3.6292267952744006</v>
      </c>
      <c r="BP22" s="451">
        <v>7.651176830428579E-4</v>
      </c>
      <c r="BQ22" s="75">
        <v>-3.6722556478028858</v>
      </c>
      <c r="BR22" s="75">
        <v>-1.0476737334734336</v>
      </c>
      <c r="BS22" s="75">
        <v>-3.6722556478028858</v>
      </c>
      <c r="BT22" s="75">
        <v>-1.0476737334734336</v>
      </c>
    </row>
    <row r="23" spans="1:72">
      <c r="A23" s="53">
        <v>17</v>
      </c>
      <c r="B23">
        <v>18</v>
      </c>
      <c r="C23" s="1">
        <v>37347</v>
      </c>
      <c r="D23" s="53" t="s">
        <v>47</v>
      </c>
      <c r="E23">
        <v>2002</v>
      </c>
      <c r="F23" s="53" t="s">
        <v>219</v>
      </c>
      <c r="G23" s="21">
        <v>414064</v>
      </c>
      <c r="H23" s="9">
        <v>396</v>
      </c>
      <c r="I23">
        <v>1</v>
      </c>
      <c r="J23" s="21">
        <v>4202749.6000000006</v>
      </c>
      <c r="K23" s="21">
        <v>1378833.12</v>
      </c>
      <c r="L23" s="102">
        <v>2001</v>
      </c>
      <c r="M23" s="94">
        <f t="shared" si="2"/>
        <v>10.150000000000002</v>
      </c>
      <c r="O23" s="25"/>
      <c r="P23" s="29" t="s">
        <v>229</v>
      </c>
      <c r="Q23" s="95">
        <v>464.5</v>
      </c>
      <c r="R23" s="13"/>
      <c r="S23" s="124">
        <v>16</v>
      </c>
      <c r="T23" s="129">
        <v>2001</v>
      </c>
      <c r="U23" s="163" t="s">
        <v>47</v>
      </c>
      <c r="V23" s="129">
        <v>0</v>
      </c>
      <c r="W23" s="461">
        <f t="shared" si="5"/>
        <v>30</v>
      </c>
      <c r="X23" s="461">
        <v>7</v>
      </c>
      <c r="Y23" s="461">
        <f t="shared" si="1"/>
        <v>0</v>
      </c>
      <c r="Z23" s="461"/>
      <c r="AA23" s="67" t="str">
        <f>O13</f>
        <v>2000-2001</v>
      </c>
      <c r="AB23" s="53">
        <f>GETPIVOTDATA("Sum of Treatment",$O$8,"SL-yr","2000-2001")</f>
        <v>8</v>
      </c>
      <c r="AD23" s="79">
        <f>GETPIVOTDATA("Average of # motiles/farm",$O$8,"SL-yr","2000-2001")</f>
        <v>5304328.0610416671</v>
      </c>
      <c r="AE23" s="21">
        <f>GETPIVOTDATA("Average of # Fe L.s./farm",$O$8,"SL-yr","2000-2001")</f>
        <v>1520288.7327083335</v>
      </c>
      <c r="AF23" s="94">
        <f>AVERAGE(M11:M18)</f>
        <v>8.8788988095238093</v>
      </c>
      <c r="AG23" s="94">
        <f>STDEV(M10:M17)/SQRT(AB23)</f>
        <v>1.9875482925381922</v>
      </c>
      <c r="AH23" s="56">
        <f>GETPIVOTDATA("Average of age (d in SW)",$O$8,"SL-yr","2000-2001")</f>
        <v>243.125</v>
      </c>
      <c r="AI23" s="466">
        <f t="shared" si="8"/>
        <v>42.434624488333334</v>
      </c>
      <c r="AJ23" s="94">
        <f t="shared" si="9"/>
        <v>12.162309861666667</v>
      </c>
      <c r="BC23">
        <v>1</v>
      </c>
      <c r="BD23">
        <v>2003</v>
      </c>
      <c r="BE23" s="94">
        <v>20.87</v>
      </c>
      <c r="BG23">
        <v>1</v>
      </c>
      <c r="BH23">
        <v>2004</v>
      </c>
      <c r="BI23" s="94">
        <v>21.28</v>
      </c>
      <c r="BL23" s="450" t="s">
        <v>700</v>
      </c>
    </row>
    <row r="24" spans="1:72">
      <c r="A24" s="53">
        <v>18</v>
      </c>
      <c r="B24">
        <v>6</v>
      </c>
      <c r="C24" s="1">
        <v>37347</v>
      </c>
      <c r="D24" s="53" t="s">
        <v>47</v>
      </c>
      <c r="E24">
        <v>2002</v>
      </c>
      <c r="F24" s="53" t="s">
        <v>219</v>
      </c>
      <c r="G24" s="21">
        <v>939900</v>
      </c>
      <c r="H24" s="9">
        <v>424</v>
      </c>
      <c r="I24">
        <v>1</v>
      </c>
      <c r="J24" s="21">
        <v>23069845.5</v>
      </c>
      <c r="K24" s="21">
        <v>9283079</v>
      </c>
      <c r="L24" s="102">
        <v>2001</v>
      </c>
      <c r="M24" s="94">
        <f t="shared" si="2"/>
        <v>24.545000000000002</v>
      </c>
      <c r="O24" s="25"/>
      <c r="P24" s="29" t="s">
        <v>236</v>
      </c>
      <c r="Q24" s="93">
        <v>1615996.9020000002</v>
      </c>
      <c r="R24" s="13"/>
      <c r="S24" s="124">
        <v>17</v>
      </c>
      <c r="T24" s="129">
        <v>2001</v>
      </c>
      <c r="U24" s="129" t="s">
        <v>48</v>
      </c>
      <c r="V24" s="129">
        <v>2</v>
      </c>
      <c r="W24" s="461">
        <f t="shared" si="5"/>
        <v>28</v>
      </c>
      <c r="X24" s="461">
        <v>8</v>
      </c>
      <c r="Y24" s="461">
        <f t="shared" si="1"/>
        <v>16</v>
      </c>
      <c r="Z24" s="461"/>
      <c r="AA24" s="67" t="str">
        <f>O17</f>
        <v>2001-2002</v>
      </c>
      <c r="AB24" s="53">
        <f>GETPIVOTDATA("Sum of Treatment",$O$8,"SL-yr","2001-2002")</f>
        <v>7</v>
      </c>
      <c r="AD24" s="79">
        <f>GETPIVOTDATA("Average of # motiles/farm",$O$8,"SL-yr","2001-2002")</f>
        <v>9598307.2977499999</v>
      </c>
      <c r="AE24" s="21">
        <f>GETPIVOTDATA("Average of # Fe L.s./farm",$O$8,"SL-yr","2001-2002")</f>
        <v>3385103.8203750001</v>
      </c>
      <c r="AF24" s="94">
        <f>AVERAGE(M19:M26)</f>
        <v>16.879458333333332</v>
      </c>
      <c r="AG24" s="94">
        <f>STDEV(M18:M26)/SQRT(AB24)</f>
        <v>3.3584326141009253</v>
      </c>
      <c r="AH24" s="56">
        <f>GETPIVOTDATA("Average of age (d in SW)",$O$8,"SL-yr","2001-2002")</f>
        <v>440.75</v>
      </c>
      <c r="AI24" s="466">
        <f t="shared" si="8"/>
        <v>67.188151084250009</v>
      </c>
      <c r="AJ24" s="94">
        <f t="shared" si="9"/>
        <v>23.695726742625002</v>
      </c>
      <c r="BC24">
        <v>0.5</v>
      </c>
      <c r="BD24">
        <v>2003</v>
      </c>
      <c r="BE24" s="94">
        <f>(4.8+1.26)/2</f>
        <v>3.03</v>
      </c>
      <c r="BG24">
        <v>1</v>
      </c>
      <c r="BH24">
        <v>2004</v>
      </c>
      <c r="BI24" s="94">
        <v>20.7</v>
      </c>
    </row>
    <row r="25" spans="1:72">
      <c r="A25" s="53">
        <v>19</v>
      </c>
      <c r="B25">
        <v>11</v>
      </c>
      <c r="C25" s="1">
        <v>37377</v>
      </c>
      <c r="D25" s="461" t="s">
        <v>48</v>
      </c>
      <c r="E25" s="5">
        <v>2002</v>
      </c>
      <c r="F25" s="59" t="s">
        <v>219</v>
      </c>
      <c r="G25" s="21">
        <v>114376</v>
      </c>
      <c r="H25" s="9">
        <v>485</v>
      </c>
      <c r="I25">
        <v>1</v>
      </c>
      <c r="J25" s="21">
        <v>3351216.8000000003</v>
      </c>
      <c r="K25" s="21">
        <v>1807140.8</v>
      </c>
      <c r="L25" s="102">
        <v>2001</v>
      </c>
      <c r="M25" s="94">
        <f t="shared" si="2"/>
        <v>29.3</v>
      </c>
      <c r="O25" s="22" t="s">
        <v>221</v>
      </c>
      <c r="P25" s="22" t="s">
        <v>274</v>
      </c>
      <c r="Q25" s="98">
        <v>17</v>
      </c>
      <c r="R25" s="13"/>
      <c r="S25" s="124">
        <v>18</v>
      </c>
      <c r="T25" s="129">
        <v>2001</v>
      </c>
      <c r="U25" s="163" t="s">
        <v>49</v>
      </c>
      <c r="V25" s="129">
        <v>3</v>
      </c>
      <c r="W25" s="461">
        <f t="shared" si="5"/>
        <v>27</v>
      </c>
      <c r="X25" s="461">
        <v>9</v>
      </c>
      <c r="Y25" s="461">
        <f t="shared" si="1"/>
        <v>27</v>
      </c>
      <c r="Z25" s="461"/>
      <c r="AA25" s="67" t="str">
        <f>O21</f>
        <v>2002-2003</v>
      </c>
      <c r="AB25" s="53">
        <f>GETPIVOTDATA("Sum of Treatment",$O$8,"SL-yr","2002-2003")</f>
        <v>5</v>
      </c>
      <c r="AD25" s="79">
        <f>GETPIVOTDATA("Average of # motiles/farm",$O$8,"SL-yr","2002-2003")</f>
        <v>1615996.9020000002</v>
      </c>
      <c r="AE25" s="21">
        <f>GETPIVOTDATA("Average of # Fe L.s./farm",$O$8,"SL-yr","2002-2003")</f>
        <v>678944.31200000003</v>
      </c>
      <c r="AF25" s="94">
        <f>AVERAGE(M27:M31)</f>
        <v>6.653999999999999</v>
      </c>
      <c r="AG25" s="94">
        <f>STDEV(M27:M31)/SQRT(AB25)</f>
        <v>1.8100320439152462</v>
      </c>
      <c r="AH25" s="56">
        <f>GETPIVOTDATA("Average of age (d in SW)",$O$8,"SL-yr","2002-2003")</f>
        <v>464.5</v>
      </c>
      <c r="AI25" s="466">
        <f t="shared" si="8"/>
        <v>8.079984510000001</v>
      </c>
      <c r="AJ25" s="94">
        <f t="shared" si="9"/>
        <v>3.3947215600000002</v>
      </c>
      <c r="BC25">
        <v>1</v>
      </c>
      <c r="BD25">
        <v>2003</v>
      </c>
      <c r="BE25" s="94">
        <v>6.74</v>
      </c>
      <c r="BG25">
        <v>1</v>
      </c>
      <c r="BH25">
        <v>2004</v>
      </c>
      <c r="BI25" s="94">
        <v>8.57</v>
      </c>
    </row>
    <row r="26" spans="1:72">
      <c r="A26" s="53">
        <v>20</v>
      </c>
      <c r="B26">
        <v>13</v>
      </c>
      <c r="C26" s="1">
        <v>37408</v>
      </c>
      <c r="D26" s="463" t="s">
        <v>49</v>
      </c>
      <c r="E26" s="54">
        <v>2002</v>
      </c>
      <c r="F26" s="463" t="s">
        <v>219</v>
      </c>
      <c r="G26" s="21">
        <v>584156</v>
      </c>
      <c r="H26" s="9">
        <v>426</v>
      </c>
      <c r="I26">
        <v>1</v>
      </c>
      <c r="J26" s="21">
        <v>10164314.399999999</v>
      </c>
      <c r="K26" s="21">
        <v>2073753.7999999998</v>
      </c>
      <c r="L26" s="102">
        <v>2001</v>
      </c>
      <c r="M26" s="94">
        <f t="shared" si="2"/>
        <v>17.399999999999999</v>
      </c>
      <c r="O26" s="25"/>
      <c r="P26" s="29" t="s">
        <v>227</v>
      </c>
      <c r="Q26" s="93">
        <v>2092613.9700000004</v>
      </c>
      <c r="R26" s="13"/>
      <c r="S26" s="124">
        <v>19</v>
      </c>
      <c r="T26" s="129">
        <v>2001</v>
      </c>
      <c r="U26" s="163" t="s">
        <v>50</v>
      </c>
      <c r="V26" s="129">
        <v>1</v>
      </c>
      <c r="W26" s="461">
        <f t="shared" si="5"/>
        <v>29</v>
      </c>
      <c r="X26" s="461">
        <v>10</v>
      </c>
      <c r="Y26" s="461">
        <f t="shared" si="1"/>
        <v>10</v>
      </c>
      <c r="Z26" s="461"/>
      <c r="AA26" s="67" t="str">
        <f>O25</f>
        <v>2003-2004</v>
      </c>
      <c r="AB26" s="53">
        <f>GETPIVOTDATA("Sum of Treatment",$O$8,"SL-yr","2003-2004")</f>
        <v>17</v>
      </c>
      <c r="AD26" s="79">
        <f>GETPIVOTDATA("Average of # motiles/farm",$O$8,"SL-yr","2003-2004")</f>
        <v>4500537.2957894728</v>
      </c>
      <c r="AE26" s="21">
        <f>GETPIVOTDATA("Average of # Fe L.s./farm",$O$8,"SL-yr","2003-2004")</f>
        <v>2092613.9700000004</v>
      </c>
      <c r="AF26" s="94">
        <f>AVERAGE(M32:M50)</f>
        <v>11.647368421052633</v>
      </c>
      <c r="AG26" s="94">
        <f>STDEV(M32:M49)/SQRT(AB26)</f>
        <v>2.52960946179831</v>
      </c>
      <c r="AH26" s="56">
        <f>GETPIVOTDATA("Average of age (d in SW)",$O$8,"SL-yr","2003-2004")</f>
        <v>403.73333333333335</v>
      </c>
      <c r="AI26" s="466">
        <f t="shared" si="8"/>
        <v>76.509134028421045</v>
      </c>
      <c r="AJ26" s="94">
        <f t="shared" si="9"/>
        <v>35.574437490000008</v>
      </c>
      <c r="BC26">
        <v>1</v>
      </c>
      <c r="BD26">
        <v>2003</v>
      </c>
      <c r="BE26" s="94">
        <v>6.47</v>
      </c>
      <c r="BG26">
        <v>1</v>
      </c>
      <c r="BH26">
        <v>2004</v>
      </c>
      <c r="BI26" s="94">
        <v>5.47</v>
      </c>
    </row>
    <row r="27" spans="1:72">
      <c r="A27" s="53">
        <v>21</v>
      </c>
      <c r="B27">
        <v>17</v>
      </c>
      <c r="C27" s="1">
        <v>37622</v>
      </c>
      <c r="D27" s="53" t="s">
        <v>44</v>
      </c>
      <c r="E27">
        <v>2003</v>
      </c>
      <c r="F27" s="53" t="s">
        <v>220</v>
      </c>
      <c r="G27" s="21">
        <v>215709</v>
      </c>
      <c r="H27" s="9">
        <v>396</v>
      </c>
      <c r="I27">
        <v>1</v>
      </c>
      <c r="J27" s="21">
        <v>2006093.7000000002</v>
      </c>
      <c r="K27" s="21">
        <v>862836</v>
      </c>
      <c r="L27" s="102">
        <v>2002</v>
      </c>
      <c r="M27" s="94">
        <f t="shared" si="2"/>
        <v>9.3000000000000007</v>
      </c>
      <c r="O27" s="25"/>
      <c r="P27" s="29" t="s">
        <v>229</v>
      </c>
      <c r="Q27" s="95">
        <v>403.73333333333335</v>
      </c>
      <c r="R27" s="13"/>
      <c r="S27" s="124">
        <v>20</v>
      </c>
      <c r="T27" s="129">
        <v>2001</v>
      </c>
      <c r="U27" s="129" t="s">
        <v>51</v>
      </c>
      <c r="V27" s="129">
        <v>0</v>
      </c>
      <c r="W27" s="461">
        <f t="shared" si="5"/>
        <v>30</v>
      </c>
      <c r="X27" s="461">
        <v>11</v>
      </c>
      <c r="Y27" s="461">
        <f t="shared" si="1"/>
        <v>0</v>
      </c>
      <c r="Z27" s="461"/>
      <c r="AA27" s="67" t="str">
        <f>O29</f>
        <v>2004-2005</v>
      </c>
      <c r="AB27" s="53">
        <f>GETPIVOTDATA("Sum of Treatment",$O$8,"SL-yr","2004-2005")</f>
        <v>15</v>
      </c>
      <c r="AD27" s="79">
        <f>GETPIVOTDATA("Average of # motiles/farm",$O$8,"SL-yr","2004-2005")</f>
        <v>2571868.6823333339</v>
      </c>
      <c r="AE27" s="21">
        <f>GETPIVOTDATA("Average of # Fe L.s./farm",$O$8,"SL-yr","2004-2005")</f>
        <v>1209132.4373333335</v>
      </c>
      <c r="AF27" s="94">
        <f>AVERAGE(M51:M65)</f>
        <v>7.2746666666666648</v>
      </c>
      <c r="AG27" s="94">
        <f>STDEV(M50:M63)/SQRT(AB27)</f>
        <v>1.6778431558634008</v>
      </c>
      <c r="AH27" s="56">
        <f>GETPIVOTDATA("Average of age (d in SW)",$O$8,"SL-yr","2004-2005")</f>
        <v>435.69230769230768</v>
      </c>
      <c r="AI27" s="466">
        <f t="shared" si="8"/>
        <v>38.578030235000007</v>
      </c>
      <c r="AJ27" s="94">
        <f t="shared" si="9"/>
        <v>18.136986560000004</v>
      </c>
      <c r="BC27">
        <v>1</v>
      </c>
      <c r="BD27">
        <v>2003</v>
      </c>
      <c r="BE27" s="94">
        <v>34.75</v>
      </c>
      <c r="BG27">
        <v>1</v>
      </c>
      <c r="BH27">
        <v>2004</v>
      </c>
      <c r="BI27" s="94">
        <v>2.1</v>
      </c>
      <c r="BL27" s="483" t="s">
        <v>701</v>
      </c>
    </row>
    <row r="28" spans="1:72">
      <c r="A28" s="53">
        <v>22</v>
      </c>
      <c r="B28">
        <v>20</v>
      </c>
      <c r="C28" s="1">
        <v>37622</v>
      </c>
      <c r="D28" s="53" t="s">
        <v>44</v>
      </c>
      <c r="E28">
        <v>2003</v>
      </c>
      <c r="F28" s="53" t="s">
        <v>220</v>
      </c>
      <c r="G28" s="21">
        <v>574017</v>
      </c>
      <c r="H28" s="9">
        <v>275</v>
      </c>
      <c r="I28">
        <v>1</v>
      </c>
      <c r="J28" s="21">
        <v>918427.20000000007</v>
      </c>
      <c r="K28" s="21">
        <v>344410.2</v>
      </c>
      <c r="L28" s="102">
        <v>2002</v>
      </c>
      <c r="M28" s="94">
        <f t="shared" si="2"/>
        <v>1.6</v>
      </c>
      <c r="O28" s="25"/>
      <c r="P28" s="29" t="s">
        <v>236</v>
      </c>
      <c r="Q28" s="93">
        <v>4500537.2957894728</v>
      </c>
      <c r="R28" s="13"/>
      <c r="S28" s="124">
        <v>21</v>
      </c>
      <c r="T28" s="129">
        <v>2001</v>
      </c>
      <c r="U28" s="163" t="s">
        <v>52</v>
      </c>
      <c r="V28" s="129">
        <v>0</v>
      </c>
      <c r="W28" s="461">
        <f t="shared" si="5"/>
        <v>30</v>
      </c>
      <c r="X28" s="461">
        <v>0</v>
      </c>
      <c r="Y28" s="461">
        <f t="shared" si="1"/>
        <v>0</v>
      </c>
      <c r="Z28" s="461"/>
      <c r="AA28" s="67" t="str">
        <f>O33</f>
        <v>2005-2006</v>
      </c>
      <c r="AB28" s="53">
        <f>GETPIVOTDATA("Sum of Treatment",$O$8,"SL-yr","2005-2006")</f>
        <v>16</v>
      </c>
      <c r="AD28" s="79">
        <f>GETPIVOTDATA("Average of # motiles/farm",$O$8,"SL-yr","2005-2006")</f>
        <v>3858794.0961111113</v>
      </c>
      <c r="AE28" s="21">
        <f>GETPIVOTDATA("Average of # Fe L.s./farm",$O$8,"SL-yr","2005-2006")</f>
        <v>1855821.3816666668</v>
      </c>
      <c r="AF28" s="94">
        <f>AVERAGE(M66:M83)</f>
        <v>8.1999999999999975</v>
      </c>
      <c r="AG28" s="94">
        <f>STDEV(M64:M83)/SQRT(AB28)</f>
        <v>1.3856277078410499</v>
      </c>
      <c r="AH28" s="56">
        <f>GETPIVOTDATA("Average of age (d in SW)",$O$8,"SL-yr","2005-2006")</f>
        <v>389.875</v>
      </c>
      <c r="AI28" s="466">
        <f t="shared" si="8"/>
        <v>61.740705537777778</v>
      </c>
      <c r="AJ28" s="94">
        <f t="shared" si="9"/>
        <v>29.69314210666667</v>
      </c>
      <c r="BC28">
        <v>1</v>
      </c>
      <c r="BD28">
        <v>2003</v>
      </c>
      <c r="BE28" s="94">
        <v>22.5</v>
      </c>
      <c r="BG28">
        <v>1</v>
      </c>
      <c r="BH28">
        <v>2004</v>
      </c>
      <c r="BI28" s="94">
        <v>5.57</v>
      </c>
      <c r="BL28" t="s">
        <v>459</v>
      </c>
    </row>
    <row r="29" spans="1:72" ht="13.5" thickBot="1">
      <c r="A29" s="53">
        <v>23</v>
      </c>
      <c r="B29">
        <v>24</v>
      </c>
      <c r="C29" s="1">
        <v>37653</v>
      </c>
      <c r="D29" s="53" t="s">
        <v>45</v>
      </c>
      <c r="E29">
        <v>2003</v>
      </c>
      <c r="F29" s="53" t="s">
        <v>220</v>
      </c>
      <c r="G29" s="21">
        <v>570429</v>
      </c>
      <c r="H29" s="9">
        <v>306</v>
      </c>
      <c r="I29">
        <v>1</v>
      </c>
      <c r="J29" s="21">
        <v>1768329.9000000001</v>
      </c>
      <c r="K29" s="21">
        <v>570429</v>
      </c>
      <c r="L29" s="102">
        <v>2002</v>
      </c>
      <c r="M29" s="94">
        <f t="shared" si="2"/>
        <v>3.1</v>
      </c>
      <c r="O29" s="22" t="s">
        <v>222</v>
      </c>
      <c r="P29" s="22" t="s">
        <v>274</v>
      </c>
      <c r="Q29" s="98">
        <v>15</v>
      </c>
      <c r="R29" s="13"/>
      <c r="S29" s="124">
        <v>22</v>
      </c>
      <c r="T29" s="129">
        <v>2001</v>
      </c>
      <c r="U29" s="163" t="s">
        <v>53</v>
      </c>
      <c r="V29" s="129">
        <v>0</v>
      </c>
      <c r="W29" s="461">
        <f t="shared" si="5"/>
        <v>30</v>
      </c>
      <c r="X29" s="461">
        <v>1</v>
      </c>
      <c r="Y29" s="461">
        <f t="shared" si="1"/>
        <v>0</v>
      </c>
      <c r="Z29" s="461"/>
      <c r="AA29" s="67" t="str">
        <f>O37</f>
        <v>2006-2007</v>
      </c>
      <c r="AB29" s="53">
        <f>GETPIVOTDATA("Sum of Treatment",$O$8,"SL-yr","2006-2007")</f>
        <v>6</v>
      </c>
      <c r="AD29" s="79">
        <f>GETPIVOTDATA("Average of # motiles/farm",$O$8,"SL-yr","2006-2007")</f>
        <v>2371724.0384755502</v>
      </c>
      <c r="AE29" s="21">
        <f>GETPIVOTDATA("Average of # Fe L.s./farm",$O$8,"SL-yr","2006-2007")</f>
        <v>1005716.0129555833</v>
      </c>
      <c r="AF29" s="94">
        <f>AVERAGE(M84:M89)</f>
        <v>6.2188888833333325</v>
      </c>
      <c r="AG29" s="94">
        <f>STDEV(M84:M89)/SQRT(AB29)</f>
        <v>1.5677553339026631</v>
      </c>
      <c r="AH29" s="56">
        <f>GETPIVOTDATA("Average of age (d in SW)",$O$8,"SL-yr","2006-2007")</f>
        <v>357.8</v>
      </c>
      <c r="AI29" s="466">
        <f t="shared" si="8"/>
        <v>14.2303442308533</v>
      </c>
      <c r="AJ29" s="94">
        <f t="shared" si="9"/>
        <v>6.0342960777335</v>
      </c>
      <c r="BC29">
        <v>1</v>
      </c>
      <c r="BD29">
        <v>2003</v>
      </c>
      <c r="BE29" s="94">
        <v>15.6</v>
      </c>
      <c r="BG29">
        <v>1</v>
      </c>
      <c r="BH29">
        <v>2004</v>
      </c>
      <c r="BI29" s="94">
        <v>2.1800000000000002</v>
      </c>
    </row>
    <row r="30" spans="1:72">
      <c r="A30" s="53">
        <v>24</v>
      </c>
      <c r="B30">
        <v>19</v>
      </c>
      <c r="C30" s="1">
        <v>37681</v>
      </c>
      <c r="D30" s="107" t="s">
        <v>46</v>
      </c>
      <c r="E30" s="53">
        <v>2003</v>
      </c>
      <c r="F30" s="53" t="s">
        <v>220</v>
      </c>
      <c r="G30" s="21">
        <v>26322</v>
      </c>
      <c r="H30" t="s">
        <v>9</v>
      </c>
      <c r="I30" s="48">
        <v>1</v>
      </c>
      <c r="J30" s="21">
        <v>223737</v>
      </c>
      <c r="K30" s="21">
        <v>113184.59999999999</v>
      </c>
      <c r="L30" s="102">
        <v>2002</v>
      </c>
      <c r="M30" s="94">
        <f t="shared" si="2"/>
        <v>8.5</v>
      </c>
      <c r="O30" s="25"/>
      <c r="P30" s="29" t="s">
        <v>227</v>
      </c>
      <c r="Q30" s="93">
        <v>1209132.4373333335</v>
      </c>
      <c r="S30" s="124">
        <v>23</v>
      </c>
      <c r="T30" s="129">
        <v>2001</v>
      </c>
      <c r="U30" s="129" t="s">
        <v>54</v>
      </c>
      <c r="V30" s="129">
        <v>0</v>
      </c>
      <c r="W30" s="461">
        <f t="shared" si="5"/>
        <v>30</v>
      </c>
      <c r="X30" s="461">
        <v>2</v>
      </c>
      <c r="Y30" s="461">
        <f t="shared" si="1"/>
        <v>0</v>
      </c>
      <c r="Z30" s="461"/>
      <c r="AA30" s="53" t="str">
        <f>O41</f>
        <v>2007-2008</v>
      </c>
      <c r="AB30" s="53">
        <f>GETPIVOTDATA("Sum of Treatment",$O$8,"SL-yr","2007-2008")</f>
        <v>8</v>
      </c>
      <c r="AD30" s="79">
        <f>GETPIVOTDATA("Average of # motiles/farm",$O$8,"SL-yr","2007-2008")</f>
        <v>832134.52791666659</v>
      </c>
      <c r="AE30" s="21">
        <f>GETPIVOTDATA("Average of # Fe L.s./farm",$O$8,"SL-yr","2007-2008")</f>
        <v>355149.25416666659</v>
      </c>
      <c r="AF30" s="94">
        <f>AVERAGE(M90:M97)</f>
        <v>1.9308333333333336</v>
      </c>
      <c r="AG30" s="94">
        <f>STDEV(M90:M97)/SQRT(AB30)</f>
        <v>0.4847011638669419</v>
      </c>
      <c r="AH30" s="56">
        <f>GETPIVOTDATA("Average of age (d in SW)",$O$8,"SL-yr","2007-2008")</f>
        <v>414.71428571428572</v>
      </c>
      <c r="AI30" s="466">
        <f t="shared" si="8"/>
        <v>6.6570762233333323</v>
      </c>
      <c r="AJ30" s="94">
        <f t="shared" si="9"/>
        <v>2.8411940333333328</v>
      </c>
      <c r="BC30">
        <v>1</v>
      </c>
      <c r="BD30">
        <v>2003</v>
      </c>
      <c r="BE30" s="94">
        <v>16</v>
      </c>
      <c r="BG30">
        <v>1</v>
      </c>
      <c r="BH30">
        <v>2004</v>
      </c>
      <c r="BI30" s="94">
        <v>1.4800000000000002</v>
      </c>
      <c r="BL30" s="449" t="s">
        <v>460</v>
      </c>
      <c r="BM30" s="449"/>
    </row>
    <row r="31" spans="1:72">
      <c r="A31" s="53">
        <v>25</v>
      </c>
      <c r="B31">
        <v>2</v>
      </c>
      <c r="C31" s="1">
        <v>37681</v>
      </c>
      <c r="D31" s="52" t="s">
        <v>46</v>
      </c>
      <c r="E31" s="54">
        <v>2003</v>
      </c>
      <c r="F31" s="52" t="s">
        <v>220</v>
      </c>
      <c r="G31" s="21">
        <v>293723</v>
      </c>
      <c r="H31" s="9">
        <v>881</v>
      </c>
      <c r="I31">
        <v>1</v>
      </c>
      <c r="J31" s="21">
        <v>3163396.71</v>
      </c>
      <c r="K31" s="21">
        <v>1503861.76</v>
      </c>
      <c r="L31" s="102">
        <v>2002</v>
      </c>
      <c r="M31" s="94">
        <f t="shared" si="2"/>
        <v>10.77</v>
      </c>
      <c r="O31" s="25"/>
      <c r="P31" s="29" t="s">
        <v>229</v>
      </c>
      <c r="Q31" s="95">
        <v>435.69230769230768</v>
      </c>
      <c r="S31" s="124">
        <v>24</v>
      </c>
      <c r="T31" s="129">
        <v>2001</v>
      </c>
      <c r="U31" s="163" t="s">
        <v>55</v>
      </c>
      <c r="V31" s="129">
        <v>1</v>
      </c>
      <c r="W31" s="461">
        <f t="shared" si="5"/>
        <v>29</v>
      </c>
      <c r="X31" s="461">
        <v>3</v>
      </c>
      <c r="Y31" s="461">
        <f t="shared" si="1"/>
        <v>3</v>
      </c>
      <c r="Z31" s="461"/>
      <c r="AA31" s="67" t="str">
        <f>O45</f>
        <v>2008-2009</v>
      </c>
      <c r="AB31" s="53">
        <f>GETPIVOTDATA("Sum of Treatment",$O$8,"SL-yr","2008-2009")</f>
        <v>12</v>
      </c>
      <c r="AD31" s="79">
        <f>GETPIVOTDATA("Average of # motiles/farm",$O$8,"SL-yr","2008-2009")</f>
        <v>737795.24974440271</v>
      </c>
      <c r="AE31" s="21">
        <f>GETPIVOTDATA("Average of # Fe L.s./farm",$O$8,"SL-yr","2008-2009")</f>
        <v>275844.5862943611</v>
      </c>
      <c r="AF31" s="94">
        <f>AVERAGE(M98:M109)</f>
        <v>1.7851388833333335</v>
      </c>
      <c r="AG31" s="94">
        <f>STDEV(M98:M111)/SQRT(AB31-1)</f>
        <v>0.48586000004198937</v>
      </c>
      <c r="AH31" s="56">
        <f>GETPIVOTDATA("Average of age (d in SW)",$O$8,"SL-yr","2008-2009")</f>
        <v>314.5</v>
      </c>
      <c r="AI31" s="466">
        <f t="shared" si="8"/>
        <v>8.8535429969328323</v>
      </c>
      <c r="AJ31" s="94">
        <f t="shared" si="9"/>
        <v>3.3101350355323329</v>
      </c>
      <c r="BC31">
        <v>1</v>
      </c>
      <c r="BD31">
        <v>2003</v>
      </c>
      <c r="BE31" s="94">
        <v>4.4000000000000004</v>
      </c>
      <c r="BG31">
        <v>1</v>
      </c>
      <c r="BH31">
        <v>2004</v>
      </c>
      <c r="BI31" s="94">
        <v>4.71</v>
      </c>
      <c r="BL31" s="6" t="s">
        <v>461</v>
      </c>
      <c r="BM31" s="6">
        <v>0.42357080690785226</v>
      </c>
    </row>
    <row r="32" spans="1:72">
      <c r="A32" s="53">
        <v>26</v>
      </c>
      <c r="B32">
        <v>9</v>
      </c>
      <c r="C32" s="1">
        <v>37926</v>
      </c>
      <c r="D32" s="53" t="s">
        <v>54</v>
      </c>
      <c r="E32">
        <v>2003</v>
      </c>
      <c r="F32" s="53" t="s">
        <v>221</v>
      </c>
      <c r="G32" s="21">
        <v>653000</v>
      </c>
      <c r="H32" s="9">
        <v>335</v>
      </c>
      <c r="I32">
        <v>1</v>
      </c>
      <c r="J32" s="21">
        <v>3049510</v>
      </c>
      <c r="K32" s="21">
        <v>1371300</v>
      </c>
      <c r="L32" s="102">
        <v>2003</v>
      </c>
      <c r="M32" s="94">
        <f t="shared" si="2"/>
        <v>4.67</v>
      </c>
      <c r="O32" s="25"/>
      <c r="P32" s="29" t="s">
        <v>236</v>
      </c>
      <c r="Q32" s="93">
        <v>2571868.6823333339</v>
      </c>
      <c r="S32" s="124">
        <v>25</v>
      </c>
      <c r="T32" s="129">
        <v>2002</v>
      </c>
      <c r="U32" s="163" t="s">
        <v>44</v>
      </c>
      <c r="V32" s="129">
        <v>0</v>
      </c>
      <c r="W32" s="461">
        <f t="shared" si="5"/>
        <v>30</v>
      </c>
      <c r="X32" s="461">
        <v>4</v>
      </c>
      <c r="Y32" s="461">
        <f t="shared" si="1"/>
        <v>0</v>
      </c>
      <c r="Z32" s="461"/>
      <c r="AA32" s="53"/>
      <c r="AE32" s="21"/>
      <c r="BC32">
        <v>1</v>
      </c>
      <c r="BD32">
        <v>2003</v>
      </c>
      <c r="BE32" s="94">
        <v>4.0999999999999996</v>
      </c>
      <c r="BG32">
        <v>1</v>
      </c>
      <c r="BH32">
        <v>2004</v>
      </c>
      <c r="BI32" s="94">
        <v>5.48</v>
      </c>
      <c r="BL32" s="6" t="s">
        <v>462</v>
      </c>
      <c r="BM32" s="6">
        <v>0.17941222846456908</v>
      </c>
    </row>
    <row r="33" spans="1:72">
      <c r="A33" s="53">
        <v>27</v>
      </c>
      <c r="B33">
        <v>11</v>
      </c>
      <c r="C33" s="1">
        <v>37956</v>
      </c>
      <c r="D33" s="53" t="s">
        <v>55</v>
      </c>
      <c r="E33">
        <v>2003</v>
      </c>
      <c r="F33" s="53" t="s">
        <v>221</v>
      </c>
      <c r="G33" s="21">
        <v>664749</v>
      </c>
      <c r="H33" s="9">
        <v>303</v>
      </c>
      <c r="I33">
        <v>1</v>
      </c>
      <c r="J33" s="21">
        <v>1415915.3699999999</v>
      </c>
      <c r="K33" s="21">
        <v>930648.6</v>
      </c>
      <c r="L33" s="102">
        <v>2003</v>
      </c>
      <c r="M33" s="94">
        <f t="shared" si="2"/>
        <v>2.13</v>
      </c>
      <c r="O33" s="22" t="s">
        <v>223</v>
      </c>
      <c r="P33" s="22" t="s">
        <v>274</v>
      </c>
      <c r="Q33" s="98">
        <v>16</v>
      </c>
      <c r="S33" s="124">
        <v>26</v>
      </c>
      <c r="T33" s="129">
        <v>2002</v>
      </c>
      <c r="U33" s="129" t="s">
        <v>45</v>
      </c>
      <c r="V33" s="129">
        <v>1</v>
      </c>
      <c r="W33" s="461">
        <f t="shared" si="5"/>
        <v>29</v>
      </c>
      <c r="X33" s="461">
        <v>5</v>
      </c>
      <c r="Y33" s="461">
        <f t="shared" si="1"/>
        <v>5</v>
      </c>
      <c r="Z33" s="461"/>
      <c r="BC33">
        <v>1</v>
      </c>
      <c r="BD33">
        <v>2003</v>
      </c>
      <c r="BE33" s="94">
        <v>10.3</v>
      </c>
      <c r="BG33">
        <v>1</v>
      </c>
      <c r="BH33">
        <v>2004</v>
      </c>
      <c r="BI33" s="94">
        <v>1.35</v>
      </c>
      <c r="BL33" s="6" t="s">
        <v>463</v>
      </c>
      <c r="BM33" s="6">
        <v>0.16076250638421838</v>
      </c>
    </row>
    <row r="34" spans="1:72">
      <c r="A34" s="53">
        <v>28</v>
      </c>
      <c r="B34">
        <v>18</v>
      </c>
      <c r="C34" s="1">
        <v>37987</v>
      </c>
      <c r="D34" s="53" t="s">
        <v>44</v>
      </c>
      <c r="E34">
        <v>2004</v>
      </c>
      <c r="F34" s="53" t="s">
        <v>221</v>
      </c>
      <c r="G34" s="21">
        <v>420226</v>
      </c>
      <c r="H34" s="9">
        <v>334</v>
      </c>
      <c r="I34">
        <v>1</v>
      </c>
      <c r="J34" s="21">
        <v>1680904</v>
      </c>
      <c r="K34" s="21">
        <v>533687.02</v>
      </c>
      <c r="L34" s="102">
        <v>2003</v>
      </c>
      <c r="M34" s="94">
        <f t="shared" si="2"/>
        <v>4</v>
      </c>
      <c r="O34" s="25"/>
      <c r="P34" s="29" t="s">
        <v>227</v>
      </c>
      <c r="Q34" s="93">
        <v>1855821.3816666668</v>
      </c>
      <c r="S34" s="124">
        <v>27</v>
      </c>
      <c r="T34" s="129">
        <v>2002</v>
      </c>
      <c r="U34" s="163" t="s">
        <v>46</v>
      </c>
      <c r="V34" s="129">
        <v>2</v>
      </c>
      <c r="W34" s="461">
        <f t="shared" si="5"/>
        <v>28</v>
      </c>
      <c r="X34" s="461">
        <v>6</v>
      </c>
      <c r="Y34" s="461">
        <f t="shared" si="1"/>
        <v>12</v>
      </c>
      <c r="Z34" s="461"/>
      <c r="BC34">
        <v>1</v>
      </c>
      <c r="BD34">
        <v>2003</v>
      </c>
      <c r="BE34" s="94">
        <v>6.46</v>
      </c>
      <c r="BG34">
        <v>1</v>
      </c>
      <c r="BH34">
        <v>2004</v>
      </c>
      <c r="BI34" s="94">
        <v>4.55</v>
      </c>
      <c r="BL34" s="6" t="s">
        <v>197</v>
      </c>
      <c r="BM34" s="6">
        <v>5.0656554554005169</v>
      </c>
    </row>
    <row r="35" spans="1:72" ht="13.5" thickBot="1">
      <c r="A35" s="53">
        <v>29</v>
      </c>
      <c r="B35">
        <v>19</v>
      </c>
      <c r="C35" s="1">
        <v>37987</v>
      </c>
      <c r="D35" s="53" t="s">
        <v>44</v>
      </c>
      <c r="E35" s="53">
        <v>2004</v>
      </c>
      <c r="F35" s="53" t="s">
        <v>221</v>
      </c>
      <c r="G35" s="21">
        <v>1745</v>
      </c>
      <c r="H35" t="s">
        <v>9</v>
      </c>
      <c r="I35" s="48">
        <v>0.5</v>
      </c>
      <c r="J35" s="21">
        <v>61685.75</v>
      </c>
      <c r="K35" s="21">
        <v>33853</v>
      </c>
      <c r="L35" s="102">
        <v>2003</v>
      </c>
      <c r="M35" s="94">
        <f t="shared" si="2"/>
        <v>35.35</v>
      </c>
      <c r="N35" s="94"/>
      <c r="O35" s="25"/>
      <c r="P35" s="29" t="s">
        <v>229</v>
      </c>
      <c r="Q35" s="95">
        <v>389.875</v>
      </c>
      <c r="S35" s="124">
        <v>28</v>
      </c>
      <c r="T35" s="129">
        <v>2002</v>
      </c>
      <c r="U35" s="163" t="s">
        <v>47</v>
      </c>
      <c r="V35" s="129">
        <v>2</v>
      </c>
      <c r="W35" s="461">
        <f t="shared" si="5"/>
        <v>28</v>
      </c>
      <c r="X35" s="461">
        <v>7</v>
      </c>
      <c r="Y35" s="461">
        <f t="shared" si="1"/>
        <v>14</v>
      </c>
      <c r="Z35" s="461"/>
      <c r="AA35" s="21"/>
      <c r="BC35">
        <v>1</v>
      </c>
      <c r="BD35">
        <v>2005</v>
      </c>
      <c r="BE35" s="94">
        <v>6.65</v>
      </c>
      <c r="BG35">
        <v>1</v>
      </c>
      <c r="BH35">
        <v>2006</v>
      </c>
      <c r="BI35" s="94">
        <v>4.2300000000000004</v>
      </c>
      <c r="BL35" s="75" t="s">
        <v>464</v>
      </c>
      <c r="BM35" s="75">
        <v>46</v>
      </c>
    </row>
    <row r="36" spans="1:72">
      <c r="A36" s="53">
        <v>30</v>
      </c>
      <c r="B36">
        <v>20</v>
      </c>
      <c r="C36" s="1">
        <v>37987</v>
      </c>
      <c r="D36" s="53" t="s">
        <v>44</v>
      </c>
      <c r="E36">
        <v>2004</v>
      </c>
      <c r="F36" s="53" t="s">
        <v>221</v>
      </c>
      <c r="G36" s="21">
        <v>231784</v>
      </c>
      <c r="H36" s="9">
        <v>640</v>
      </c>
      <c r="I36">
        <v>1</v>
      </c>
      <c r="J36" s="21">
        <v>2341018.4</v>
      </c>
      <c r="K36" s="21">
        <v>1147330.8</v>
      </c>
      <c r="L36" s="102">
        <v>2003</v>
      </c>
      <c r="M36" s="94">
        <f t="shared" si="2"/>
        <v>10.1</v>
      </c>
      <c r="O36" s="25"/>
      <c r="P36" s="29" t="s">
        <v>236</v>
      </c>
      <c r="Q36" s="93">
        <v>3858794.0961111113</v>
      </c>
      <c r="S36" s="124">
        <v>29</v>
      </c>
      <c r="T36" s="129">
        <v>2002</v>
      </c>
      <c r="U36" s="129" t="s">
        <v>48</v>
      </c>
      <c r="V36" s="129">
        <v>1</v>
      </c>
      <c r="W36" s="461">
        <f t="shared" si="5"/>
        <v>29</v>
      </c>
      <c r="X36" s="461">
        <v>8</v>
      </c>
      <c r="Y36" s="461">
        <f t="shared" si="1"/>
        <v>8</v>
      </c>
      <c r="Z36" s="461"/>
      <c r="AA36" s="21"/>
      <c r="BC36">
        <v>1</v>
      </c>
      <c r="BD36">
        <v>2005</v>
      </c>
      <c r="BE36" s="94">
        <v>19.82</v>
      </c>
      <c r="BG36">
        <v>1</v>
      </c>
      <c r="BH36">
        <v>2006</v>
      </c>
      <c r="BI36" s="94">
        <v>8.4</v>
      </c>
    </row>
    <row r="37" spans="1:72" ht="13.5" thickBot="1">
      <c r="A37" s="53">
        <v>31</v>
      </c>
      <c r="B37">
        <v>24</v>
      </c>
      <c r="C37" s="1">
        <v>37987</v>
      </c>
      <c r="D37" s="53" t="s">
        <v>44</v>
      </c>
      <c r="E37">
        <v>2004</v>
      </c>
      <c r="F37" s="53" t="s">
        <v>221</v>
      </c>
      <c r="G37" s="21">
        <v>348700</v>
      </c>
      <c r="H37" s="9">
        <v>640</v>
      </c>
      <c r="I37">
        <v>1</v>
      </c>
      <c r="J37" s="21">
        <v>7277369</v>
      </c>
      <c r="K37" s="21">
        <v>3602071</v>
      </c>
      <c r="L37" s="102">
        <v>2003</v>
      </c>
      <c r="M37" s="94">
        <f t="shared" si="2"/>
        <v>20.87</v>
      </c>
      <c r="O37" s="22" t="s">
        <v>224</v>
      </c>
      <c r="P37" s="22" t="s">
        <v>274</v>
      </c>
      <c r="Q37" s="98">
        <v>6</v>
      </c>
      <c r="S37" s="124">
        <v>30</v>
      </c>
      <c r="T37" s="129">
        <v>2002</v>
      </c>
      <c r="U37" s="163" t="s">
        <v>49</v>
      </c>
      <c r="V37" s="124">
        <v>1</v>
      </c>
      <c r="W37" s="461">
        <f t="shared" si="5"/>
        <v>29</v>
      </c>
      <c r="X37" s="461">
        <v>9</v>
      </c>
      <c r="Y37" s="461">
        <f t="shared" si="1"/>
        <v>9</v>
      </c>
      <c r="Z37" s="461"/>
      <c r="AA37" s="21"/>
      <c r="BC37">
        <v>1</v>
      </c>
      <c r="BD37">
        <v>2005</v>
      </c>
      <c r="BE37" s="94">
        <v>2.33</v>
      </c>
      <c r="BG37">
        <v>1</v>
      </c>
      <c r="BH37">
        <v>2006</v>
      </c>
      <c r="BI37" s="94">
        <v>1.45</v>
      </c>
      <c r="BL37" t="s">
        <v>465</v>
      </c>
    </row>
    <row r="38" spans="1:72">
      <c r="A38" s="53">
        <v>32</v>
      </c>
      <c r="B38">
        <v>19</v>
      </c>
      <c r="C38" s="1">
        <v>38018</v>
      </c>
      <c r="D38" s="107" t="s">
        <v>45</v>
      </c>
      <c r="E38" s="53">
        <v>2004</v>
      </c>
      <c r="F38" s="53" t="s">
        <v>221</v>
      </c>
      <c r="G38" s="21">
        <v>38000</v>
      </c>
      <c r="H38" t="s">
        <v>9</v>
      </c>
      <c r="I38" s="48">
        <v>0.5</v>
      </c>
      <c r="J38" s="21">
        <v>410400</v>
      </c>
      <c r="K38" s="21">
        <v>247000</v>
      </c>
      <c r="L38" s="102">
        <v>2003</v>
      </c>
      <c r="M38" s="94">
        <f t="shared" si="2"/>
        <v>10.8</v>
      </c>
      <c r="O38" s="25"/>
      <c r="P38" s="29" t="s">
        <v>227</v>
      </c>
      <c r="Q38" s="93">
        <v>1005716.0129555833</v>
      </c>
      <c r="S38" s="124">
        <v>31</v>
      </c>
      <c r="T38" s="129">
        <v>2002</v>
      </c>
      <c r="U38" s="163" t="s">
        <v>50</v>
      </c>
      <c r="V38" s="124">
        <v>0</v>
      </c>
      <c r="W38" s="461">
        <f t="shared" si="5"/>
        <v>30</v>
      </c>
      <c r="X38" s="461">
        <v>10</v>
      </c>
      <c r="Y38" s="461">
        <f t="shared" si="1"/>
        <v>0</v>
      </c>
      <c r="Z38" s="461"/>
      <c r="AA38" s="21"/>
      <c r="BC38">
        <v>1</v>
      </c>
      <c r="BD38">
        <v>2005</v>
      </c>
      <c r="BE38" s="94">
        <v>17.829999999999998</v>
      </c>
      <c r="BG38">
        <v>1</v>
      </c>
      <c r="BH38">
        <v>2006</v>
      </c>
      <c r="BI38" s="94">
        <v>12</v>
      </c>
      <c r="BL38" s="76"/>
      <c r="BM38" s="76" t="s">
        <v>198</v>
      </c>
      <c r="BN38" s="76" t="s">
        <v>199</v>
      </c>
      <c r="BO38" s="76" t="s">
        <v>200</v>
      </c>
      <c r="BP38" s="76" t="s">
        <v>201</v>
      </c>
      <c r="BQ38" s="76" t="s">
        <v>202</v>
      </c>
    </row>
    <row r="39" spans="1:72">
      <c r="A39" s="53">
        <v>33</v>
      </c>
      <c r="B39">
        <v>5</v>
      </c>
      <c r="C39" s="1">
        <v>38047</v>
      </c>
      <c r="D39" s="107" t="s">
        <v>46</v>
      </c>
      <c r="E39" s="53">
        <v>2004</v>
      </c>
      <c r="F39" s="53" t="s">
        <v>221</v>
      </c>
      <c r="G39" s="21">
        <v>19743</v>
      </c>
      <c r="H39" t="s">
        <v>9</v>
      </c>
      <c r="I39" s="48">
        <v>0.5</v>
      </c>
      <c r="J39" s="21">
        <v>94766.399999999994</v>
      </c>
      <c r="K39" s="21">
        <v>41460.300000000003</v>
      </c>
      <c r="L39" s="102">
        <v>2003</v>
      </c>
      <c r="M39" s="94">
        <f t="shared" si="2"/>
        <v>4.8</v>
      </c>
      <c r="O39" s="25"/>
      <c r="P39" s="29" t="s">
        <v>229</v>
      </c>
      <c r="Q39" s="95">
        <v>357.8</v>
      </c>
      <c r="S39" s="124">
        <v>32</v>
      </c>
      <c r="T39" s="129">
        <v>2002</v>
      </c>
      <c r="U39" s="129" t="s">
        <v>51</v>
      </c>
      <c r="V39" s="124">
        <v>0</v>
      </c>
      <c r="W39" s="461">
        <f t="shared" si="5"/>
        <v>30</v>
      </c>
      <c r="X39" s="461">
        <v>11</v>
      </c>
      <c r="Y39" s="461">
        <f t="shared" si="1"/>
        <v>0</v>
      </c>
      <c r="Z39" s="461"/>
      <c r="AA39" s="21"/>
      <c r="BC39">
        <v>1</v>
      </c>
      <c r="BD39">
        <v>2005</v>
      </c>
      <c r="BE39" s="94">
        <v>5.88</v>
      </c>
      <c r="BG39">
        <v>1</v>
      </c>
      <c r="BH39">
        <v>2006</v>
      </c>
      <c r="BI39" s="94">
        <v>3.6</v>
      </c>
      <c r="BL39" s="6" t="s">
        <v>466</v>
      </c>
      <c r="BM39" s="6">
        <v>1</v>
      </c>
      <c r="BN39" s="6">
        <v>246.86014026048019</v>
      </c>
      <c r="BO39" s="6">
        <v>246.86014026048019</v>
      </c>
      <c r="BP39" s="6">
        <v>9.6201019882005276</v>
      </c>
      <c r="BQ39" s="450">
        <v>3.3549137708553016E-3</v>
      </c>
    </row>
    <row r="40" spans="1:72">
      <c r="A40" s="53">
        <v>34</v>
      </c>
      <c r="B40">
        <v>5</v>
      </c>
      <c r="C40" s="1">
        <v>38078</v>
      </c>
      <c r="D40" s="107" t="s">
        <v>47</v>
      </c>
      <c r="E40" s="53">
        <v>2004</v>
      </c>
      <c r="F40" s="53" t="s">
        <v>221</v>
      </c>
      <c r="G40" s="21">
        <v>20919</v>
      </c>
      <c r="H40" t="s">
        <v>9</v>
      </c>
      <c r="I40" s="48">
        <v>0.5</v>
      </c>
      <c r="J40" s="21">
        <v>26357.94</v>
      </c>
      <c r="K40" s="21">
        <v>13388.16</v>
      </c>
      <c r="L40" s="102">
        <v>2003</v>
      </c>
      <c r="M40" s="94">
        <f t="shared" si="2"/>
        <v>1.26</v>
      </c>
      <c r="O40" s="25"/>
      <c r="P40" s="29" t="s">
        <v>236</v>
      </c>
      <c r="Q40" s="93">
        <v>2371724.0384755502</v>
      </c>
      <c r="T40" s="129"/>
      <c r="U40" s="124" t="s">
        <v>767</v>
      </c>
      <c r="V40" s="124">
        <f>SUM(V7:V39)</f>
        <v>20</v>
      </c>
      <c r="X40" s="461"/>
      <c r="Y40" s="124">
        <f>SUM(Y7:Y39)</f>
        <v>141</v>
      </c>
      <c r="Z40" s="461"/>
      <c r="AA40" s="21"/>
      <c r="BC40">
        <v>1</v>
      </c>
      <c r="BD40">
        <v>2005</v>
      </c>
      <c r="BE40" s="94">
        <v>8.83</v>
      </c>
      <c r="BG40">
        <v>1</v>
      </c>
      <c r="BH40">
        <v>2006</v>
      </c>
      <c r="BI40" s="94">
        <v>7.6333333000000003</v>
      </c>
      <c r="BL40" s="6" t="s">
        <v>453</v>
      </c>
      <c r="BM40" s="6">
        <v>44</v>
      </c>
      <c r="BN40" s="6">
        <v>1129.0780684844769</v>
      </c>
      <c r="BO40" s="6">
        <v>25.660865192829021</v>
      </c>
      <c r="BP40" s="6"/>
      <c r="BQ40" s="6"/>
    </row>
    <row r="41" spans="1:72" ht="13.5" thickBot="1">
      <c r="A41" s="53">
        <v>35</v>
      </c>
      <c r="B41">
        <v>21</v>
      </c>
      <c r="C41" s="1">
        <v>38078</v>
      </c>
      <c r="D41" s="53" t="s">
        <v>47</v>
      </c>
      <c r="E41">
        <v>2004</v>
      </c>
      <c r="F41" s="53" t="s">
        <v>221</v>
      </c>
      <c r="G41" s="21">
        <v>603918</v>
      </c>
      <c r="H41" s="9">
        <v>366</v>
      </c>
      <c r="I41">
        <v>1</v>
      </c>
      <c r="J41" s="21">
        <v>4070407.3200000003</v>
      </c>
      <c r="K41" s="21">
        <v>875681.1</v>
      </c>
      <c r="L41" s="102">
        <v>2003</v>
      </c>
      <c r="M41" s="94">
        <f t="shared" si="2"/>
        <v>6.74</v>
      </c>
      <c r="O41" s="22" t="s">
        <v>225</v>
      </c>
      <c r="P41" s="22" t="s">
        <v>274</v>
      </c>
      <c r="Q41" s="98">
        <v>8</v>
      </c>
      <c r="X41" s="541" t="s">
        <v>768</v>
      </c>
      <c r="Y41" s="523">
        <f>Y40/V40</f>
        <v>7.05</v>
      </c>
      <c r="Z41" s="461"/>
      <c r="AA41" s="21"/>
      <c r="BC41">
        <v>0.5</v>
      </c>
      <c r="BD41">
        <v>2005</v>
      </c>
      <c r="BE41" s="94">
        <f>(13.18+15.65)/2</f>
        <v>14.414999999999999</v>
      </c>
      <c r="BG41">
        <v>1</v>
      </c>
      <c r="BH41">
        <v>2008</v>
      </c>
      <c r="BI41" s="94">
        <v>2.6</v>
      </c>
      <c r="BL41" s="75" t="s">
        <v>111</v>
      </c>
      <c r="BM41" s="75">
        <v>45</v>
      </c>
      <c r="BN41" s="75">
        <v>1375.9382087449571</v>
      </c>
      <c r="BO41" s="75"/>
      <c r="BP41" s="75"/>
      <c r="BQ41" s="75"/>
    </row>
    <row r="42" spans="1:72" ht="13.5" thickBot="1">
      <c r="A42" s="53">
        <v>36</v>
      </c>
      <c r="B42">
        <v>22</v>
      </c>
      <c r="C42" s="1">
        <v>38078</v>
      </c>
      <c r="D42" s="53" t="s">
        <v>47</v>
      </c>
      <c r="E42">
        <v>2004</v>
      </c>
      <c r="F42" s="53" t="s">
        <v>221</v>
      </c>
      <c r="G42" s="21">
        <v>762157</v>
      </c>
      <c r="H42" s="9">
        <v>397</v>
      </c>
      <c r="I42">
        <v>1</v>
      </c>
      <c r="J42" s="21">
        <v>4931155.79</v>
      </c>
      <c r="K42" s="21">
        <v>1105127.6499999999</v>
      </c>
      <c r="L42" s="102">
        <v>2003</v>
      </c>
      <c r="M42" s="94">
        <f t="shared" si="2"/>
        <v>6.47</v>
      </c>
      <c r="O42" s="25"/>
      <c r="P42" s="29" t="s">
        <v>227</v>
      </c>
      <c r="Q42" s="93">
        <v>355149.25416666659</v>
      </c>
      <c r="S42" s="520"/>
      <c r="T42" s="516"/>
      <c r="U42" s="516"/>
      <c r="V42" s="516"/>
      <c r="W42" s="461"/>
      <c r="X42" s="461"/>
      <c r="Y42" s="542" t="s">
        <v>769</v>
      </c>
      <c r="Z42" s="461"/>
      <c r="AA42" s="21"/>
      <c r="AC42" s="59"/>
      <c r="AD42" s="114"/>
      <c r="AE42" s="5"/>
      <c r="AF42" s="521"/>
      <c r="AG42" s="521"/>
      <c r="BC42">
        <v>1</v>
      </c>
      <c r="BD42">
        <v>2005</v>
      </c>
      <c r="BE42" s="94">
        <v>14.58</v>
      </c>
      <c r="BG42">
        <v>1</v>
      </c>
      <c r="BH42">
        <v>2008</v>
      </c>
      <c r="BI42" s="94">
        <v>5.0916666666666668</v>
      </c>
    </row>
    <row r="43" spans="1:72">
      <c r="A43" s="53">
        <v>37</v>
      </c>
      <c r="B43">
        <v>4</v>
      </c>
      <c r="C43" s="1">
        <v>38108</v>
      </c>
      <c r="D43" s="53" t="s">
        <v>48</v>
      </c>
      <c r="E43">
        <v>2004</v>
      </c>
      <c r="F43" s="53" t="s">
        <v>221</v>
      </c>
      <c r="G43" s="21">
        <v>553745</v>
      </c>
      <c r="H43" s="9">
        <v>608</v>
      </c>
      <c r="I43">
        <v>1</v>
      </c>
      <c r="J43" s="21">
        <v>19242638.75</v>
      </c>
      <c r="K43" s="21">
        <v>12431575.25</v>
      </c>
      <c r="L43" s="102">
        <v>2003</v>
      </c>
      <c r="M43" s="94">
        <f t="shared" si="2"/>
        <v>34.75</v>
      </c>
      <c r="O43" s="25"/>
      <c r="P43" s="29" t="s">
        <v>229</v>
      </c>
      <c r="Q43" s="95">
        <v>414.71428571428572</v>
      </c>
      <c r="S43" s="516"/>
      <c r="T43" s="516"/>
      <c r="U43" s="516"/>
      <c r="V43" s="516"/>
      <c r="W43" s="461"/>
      <c r="X43" s="461"/>
      <c r="Y43" s="461"/>
      <c r="Z43" s="461"/>
      <c r="AA43" s="424" t="s">
        <v>692</v>
      </c>
      <c r="AC43" s="59"/>
      <c r="AD43" s="114"/>
      <c r="AE43" s="5"/>
      <c r="AF43" s="522"/>
      <c r="AG43" s="522"/>
      <c r="BC43">
        <v>1</v>
      </c>
      <c r="BD43">
        <v>2005</v>
      </c>
      <c r="BE43" s="94">
        <v>5.13</v>
      </c>
      <c r="BG43">
        <v>1</v>
      </c>
      <c r="BH43">
        <v>2008</v>
      </c>
      <c r="BI43" s="94">
        <v>3.41</v>
      </c>
      <c r="BL43" s="76"/>
      <c r="BM43" s="76" t="s">
        <v>203</v>
      </c>
      <c r="BN43" s="76" t="s">
        <v>197</v>
      </c>
      <c r="BO43" s="76" t="s">
        <v>204</v>
      </c>
      <c r="BP43" s="76" t="s">
        <v>205</v>
      </c>
      <c r="BQ43" s="76" t="s">
        <v>206</v>
      </c>
      <c r="BR43" s="76" t="s">
        <v>207</v>
      </c>
      <c r="BS43" s="76" t="s">
        <v>208</v>
      </c>
      <c r="BT43" s="76" t="s">
        <v>209</v>
      </c>
    </row>
    <row r="44" spans="1:72">
      <c r="A44" s="53">
        <v>38</v>
      </c>
      <c r="B44">
        <v>3</v>
      </c>
      <c r="C44" s="1">
        <v>38108</v>
      </c>
      <c r="D44" s="53" t="s">
        <v>48</v>
      </c>
      <c r="E44">
        <v>2004</v>
      </c>
      <c r="F44" s="53" t="s">
        <v>221</v>
      </c>
      <c r="G44" s="21">
        <v>473021</v>
      </c>
      <c r="H44" s="9">
        <v>546</v>
      </c>
      <c r="I44">
        <v>1</v>
      </c>
      <c r="J44" s="21">
        <v>10642972.5</v>
      </c>
      <c r="K44" s="21">
        <v>6243877.1999999993</v>
      </c>
      <c r="L44" s="102">
        <v>2003</v>
      </c>
      <c r="M44" s="94">
        <f t="shared" si="2"/>
        <v>22.5</v>
      </c>
      <c r="O44" s="25"/>
      <c r="P44" s="29" t="s">
        <v>236</v>
      </c>
      <c r="Q44" s="93">
        <v>832134.52791666659</v>
      </c>
      <c r="S44" s="516"/>
      <c r="T44" s="516"/>
      <c r="U44" s="163"/>
      <c r="V44" s="516"/>
      <c r="W44" s="461"/>
      <c r="X44" s="461"/>
      <c r="Y44" s="461"/>
      <c r="Z44" s="461"/>
      <c r="AA44" s="467" t="s">
        <v>689</v>
      </c>
      <c r="AB44" t="s">
        <v>690</v>
      </c>
      <c r="AC44" s="5"/>
      <c r="AD44" s="516"/>
      <c r="AE44" s="516"/>
      <c r="AF44" s="516"/>
      <c r="AG44" s="516"/>
      <c r="AH44"/>
      <c r="AI44"/>
      <c r="BC44">
        <v>1</v>
      </c>
      <c r="BD44">
        <v>2005</v>
      </c>
      <c r="BE44" s="94">
        <v>1.93</v>
      </c>
      <c r="BG44">
        <v>1</v>
      </c>
      <c r="BH44">
        <v>2008</v>
      </c>
      <c r="BI44" s="94">
        <v>4</v>
      </c>
      <c r="BL44" s="6" t="s">
        <v>467</v>
      </c>
      <c r="BM44" s="6">
        <v>1672.7810840696532</v>
      </c>
      <c r="BN44" s="6">
        <v>537.4164012643339</v>
      </c>
      <c r="BO44" s="6">
        <v>3.1126349700795197</v>
      </c>
      <c r="BP44" s="6">
        <v>3.2542886187536136E-3</v>
      </c>
      <c r="BQ44" s="6">
        <v>589.68950986144296</v>
      </c>
      <c r="BR44" s="6">
        <v>2755.8726582778636</v>
      </c>
      <c r="BS44" s="6">
        <v>589.68950986144296</v>
      </c>
      <c r="BT44" s="6">
        <v>2755.8726582778636</v>
      </c>
    </row>
    <row r="45" spans="1:72" ht="13.5" thickBot="1">
      <c r="A45" s="53">
        <v>39</v>
      </c>
      <c r="B45">
        <v>1</v>
      </c>
      <c r="C45" s="1">
        <v>38108</v>
      </c>
      <c r="D45" s="53" t="s">
        <v>48</v>
      </c>
      <c r="E45">
        <v>2004</v>
      </c>
      <c r="F45" s="53" t="s">
        <v>221</v>
      </c>
      <c r="G45" s="21">
        <v>483726</v>
      </c>
      <c r="H45" s="9">
        <v>455</v>
      </c>
      <c r="I45">
        <v>1</v>
      </c>
      <c r="J45" s="21">
        <v>7546125.5999999996</v>
      </c>
      <c r="K45" s="21">
        <v>3773062.8</v>
      </c>
      <c r="L45" s="102">
        <v>2003</v>
      </c>
      <c r="M45" s="94">
        <f t="shared" si="2"/>
        <v>15.6</v>
      </c>
      <c r="O45" s="22" t="s">
        <v>247</v>
      </c>
      <c r="P45" s="22" t="s">
        <v>274</v>
      </c>
      <c r="Q45" s="98">
        <v>12</v>
      </c>
      <c r="S45" s="516"/>
      <c r="T45" s="516"/>
      <c r="U45" s="516"/>
      <c r="V45" s="516"/>
      <c r="W45" s="461"/>
      <c r="X45" s="461"/>
      <c r="Y45" s="461"/>
      <c r="Z45" s="461"/>
      <c r="AA45" s="18" t="s">
        <v>44</v>
      </c>
      <c r="AB45" s="48">
        <v>0</v>
      </c>
      <c r="AC45" s="5"/>
      <c r="AD45" s="5"/>
      <c r="AE45" s="11"/>
      <c r="AF45" s="7"/>
      <c r="AG45" s="9"/>
      <c r="AH45"/>
      <c r="AI45"/>
      <c r="BC45">
        <v>0.5</v>
      </c>
      <c r="BD45">
        <v>2005</v>
      </c>
      <c r="BE45" s="94">
        <f>(5.35+5.52)/2</f>
        <v>5.4349999999999996</v>
      </c>
      <c r="BG45">
        <v>1</v>
      </c>
      <c r="BH45">
        <v>2008</v>
      </c>
      <c r="BI45" s="94">
        <v>0.4</v>
      </c>
      <c r="BL45" s="75" t="s">
        <v>680</v>
      </c>
      <c r="BM45" s="75">
        <v>-0.83160640416507081</v>
      </c>
      <c r="BN45" s="75">
        <v>0.26811924452682512</v>
      </c>
      <c r="BO45" s="75">
        <v>-3.1016289249683799</v>
      </c>
      <c r="BP45" s="451">
        <v>3.3549137708553277E-3</v>
      </c>
      <c r="BQ45" s="75">
        <v>-1.3719652282479999</v>
      </c>
      <c r="BR45" s="75">
        <v>-0.29124758008214169</v>
      </c>
      <c r="BS45" s="75">
        <v>-1.3719652282479999</v>
      </c>
      <c r="BT45" s="75">
        <v>-0.29124758008214169</v>
      </c>
    </row>
    <row r="46" spans="1:72">
      <c r="A46" s="53">
        <v>40</v>
      </c>
      <c r="B46">
        <v>2</v>
      </c>
      <c r="C46" s="1">
        <v>38108</v>
      </c>
      <c r="D46" s="53" t="s">
        <v>48</v>
      </c>
      <c r="E46">
        <v>2004</v>
      </c>
      <c r="F46" s="53" t="s">
        <v>221</v>
      </c>
      <c r="G46" s="21">
        <v>402222</v>
      </c>
      <c r="H46" s="9">
        <v>366</v>
      </c>
      <c r="I46">
        <v>1</v>
      </c>
      <c r="J46" s="21">
        <v>6435552</v>
      </c>
      <c r="K46" s="21">
        <v>2936220.6</v>
      </c>
      <c r="L46" s="102">
        <v>2003</v>
      </c>
      <c r="M46" s="94">
        <f t="shared" si="2"/>
        <v>16</v>
      </c>
      <c r="O46" s="25"/>
      <c r="P46" s="29" t="s">
        <v>227</v>
      </c>
      <c r="Q46" s="93">
        <v>275844.5862943611</v>
      </c>
      <c r="S46" s="516"/>
      <c r="T46" s="516"/>
      <c r="U46" s="163"/>
      <c r="V46" s="516"/>
      <c r="W46" s="461"/>
      <c r="X46" s="461"/>
      <c r="Y46" s="461"/>
      <c r="Z46" s="461"/>
      <c r="AA46" s="18" t="s">
        <v>45</v>
      </c>
      <c r="AB46" s="48">
        <v>1</v>
      </c>
      <c r="AC46" s="5"/>
      <c r="AD46" s="114"/>
      <c r="AE46" s="11"/>
      <c r="AF46" s="7"/>
      <c r="AG46" s="9"/>
      <c r="BC46">
        <v>1</v>
      </c>
      <c r="BD46">
        <v>2005</v>
      </c>
      <c r="BE46" s="94">
        <v>8.1300000000000008</v>
      </c>
      <c r="BG46">
        <v>1</v>
      </c>
      <c r="BH46">
        <v>2008</v>
      </c>
      <c r="BI46" s="94">
        <v>0.82</v>
      </c>
      <c r="BL46" s="450" t="s">
        <v>700</v>
      </c>
    </row>
    <row r="47" spans="1:72">
      <c r="A47" s="53">
        <v>41</v>
      </c>
      <c r="B47">
        <v>13</v>
      </c>
      <c r="C47" s="1">
        <v>38108</v>
      </c>
      <c r="D47" s="53" t="s">
        <v>48</v>
      </c>
      <c r="E47">
        <v>2004</v>
      </c>
      <c r="F47" s="53" t="s">
        <v>221</v>
      </c>
      <c r="G47" s="21">
        <v>662975</v>
      </c>
      <c r="H47" s="9">
        <v>152</v>
      </c>
      <c r="I47">
        <v>1</v>
      </c>
      <c r="J47" s="21">
        <v>2917090.0000000005</v>
      </c>
      <c r="K47" s="21">
        <v>165743.75</v>
      </c>
      <c r="L47" s="102">
        <v>2003</v>
      </c>
      <c r="M47" s="94">
        <f t="shared" si="2"/>
        <v>4.4000000000000004</v>
      </c>
      <c r="O47" s="25"/>
      <c r="P47" s="29" t="s">
        <v>229</v>
      </c>
      <c r="Q47" s="95">
        <v>314.5</v>
      </c>
      <c r="S47" s="516"/>
      <c r="T47" s="516"/>
      <c r="U47" s="163"/>
      <c r="V47" s="516"/>
      <c r="W47" s="461"/>
      <c r="X47" s="461"/>
      <c r="Y47" s="461"/>
      <c r="Z47" s="461"/>
      <c r="AA47" s="18" t="s">
        <v>46</v>
      </c>
      <c r="AB47" s="48">
        <v>3</v>
      </c>
      <c r="AC47" s="5"/>
      <c r="AD47" s="114"/>
      <c r="AE47" s="11"/>
      <c r="AF47" s="7"/>
      <c r="AG47" s="9"/>
      <c r="BC47">
        <v>1</v>
      </c>
      <c r="BD47">
        <v>2005</v>
      </c>
      <c r="BE47" s="94">
        <v>2.2000000000000002</v>
      </c>
      <c r="BG47">
        <v>1</v>
      </c>
      <c r="BH47">
        <v>2008</v>
      </c>
      <c r="BI47" s="94">
        <v>0.5</v>
      </c>
    </row>
    <row r="48" spans="1:72">
      <c r="A48" s="53">
        <v>42</v>
      </c>
      <c r="B48">
        <v>23</v>
      </c>
      <c r="C48" s="1">
        <v>38139</v>
      </c>
      <c r="D48" s="53" t="s">
        <v>49</v>
      </c>
      <c r="E48">
        <v>2004</v>
      </c>
      <c r="F48" s="53" t="s">
        <v>221</v>
      </c>
      <c r="G48" s="21">
        <v>671000</v>
      </c>
      <c r="H48" s="9">
        <v>61</v>
      </c>
      <c r="I48">
        <v>1</v>
      </c>
      <c r="J48" s="21">
        <v>2751099.9999999995</v>
      </c>
      <c r="K48" s="21">
        <v>1140700</v>
      </c>
      <c r="L48" s="102">
        <v>2003</v>
      </c>
      <c r="M48" s="94">
        <f t="shared" si="2"/>
        <v>4.0999999999999996</v>
      </c>
      <c r="O48" s="25"/>
      <c r="P48" s="29" t="s">
        <v>236</v>
      </c>
      <c r="Q48" s="93">
        <v>737795.24974440271</v>
      </c>
      <c r="S48" s="516"/>
      <c r="T48" s="516"/>
      <c r="U48" s="516"/>
      <c r="V48" s="516"/>
      <c r="W48" s="461"/>
      <c r="X48" s="461"/>
      <c r="Y48" s="461"/>
      <c r="Z48" s="461"/>
      <c r="AA48" s="18" t="s">
        <v>47</v>
      </c>
      <c r="AB48" s="48">
        <v>2</v>
      </c>
      <c r="AC48" s="5"/>
      <c r="AD48" s="5"/>
      <c r="AE48" s="11"/>
      <c r="AF48" s="7"/>
      <c r="AG48" s="9"/>
      <c r="BC48">
        <v>1</v>
      </c>
      <c r="BD48">
        <v>2005</v>
      </c>
      <c r="BE48" s="94">
        <v>6.23</v>
      </c>
      <c r="BG48">
        <v>1</v>
      </c>
      <c r="BH48">
        <v>2008</v>
      </c>
      <c r="BI48" s="94">
        <v>1.1000000000000001</v>
      </c>
    </row>
    <row r="49" spans="1:61">
      <c r="A49" s="53">
        <v>43</v>
      </c>
      <c r="B49">
        <v>9</v>
      </c>
      <c r="C49" s="1">
        <v>38139</v>
      </c>
      <c r="D49" s="59" t="s">
        <v>49</v>
      </c>
      <c r="E49" s="5">
        <v>2004</v>
      </c>
      <c r="F49" s="53" t="s">
        <v>221</v>
      </c>
      <c r="G49" s="21">
        <v>646794</v>
      </c>
      <c r="H49" s="9">
        <v>548</v>
      </c>
      <c r="I49">
        <v>1</v>
      </c>
      <c r="J49" s="21">
        <v>6661978.2000000002</v>
      </c>
      <c r="K49" s="21">
        <v>1875702.5999999999</v>
      </c>
      <c r="L49" s="102">
        <v>2003</v>
      </c>
      <c r="M49" s="94">
        <f t="shared" si="2"/>
        <v>10.3</v>
      </c>
      <c r="O49" s="22" t="s">
        <v>275</v>
      </c>
      <c r="P49" s="23"/>
      <c r="Q49" s="98">
        <v>97.5</v>
      </c>
      <c r="S49" s="516"/>
      <c r="T49" s="516"/>
      <c r="U49" s="163"/>
      <c r="V49" s="516"/>
      <c r="W49" s="461"/>
      <c r="X49" s="461"/>
      <c r="Y49" s="461"/>
      <c r="Z49" s="461"/>
      <c r="AA49" s="18" t="s">
        <v>48</v>
      </c>
      <c r="AB49" s="48">
        <v>4</v>
      </c>
      <c r="AC49"/>
      <c r="AE49" s="118"/>
      <c r="AF49" s="48"/>
      <c r="AG49" s="56"/>
      <c r="BC49">
        <v>1</v>
      </c>
      <c r="BD49">
        <v>2005</v>
      </c>
      <c r="BE49" s="94">
        <v>3.38</v>
      </c>
      <c r="BG49">
        <v>1</v>
      </c>
      <c r="BH49">
        <v>2008</v>
      </c>
      <c r="BI49" s="94">
        <v>1.6333333333333335</v>
      </c>
    </row>
    <row r="50" spans="1:61">
      <c r="A50" s="53">
        <v>44</v>
      </c>
      <c r="B50">
        <v>6</v>
      </c>
      <c r="C50" s="1">
        <v>38200</v>
      </c>
      <c r="D50" s="463" t="s">
        <v>51</v>
      </c>
      <c r="E50" s="54">
        <v>2004</v>
      </c>
      <c r="F50" s="463" t="s">
        <v>221</v>
      </c>
      <c r="G50" s="21">
        <v>611960</v>
      </c>
      <c r="H50" s="9">
        <v>305</v>
      </c>
      <c r="I50">
        <v>1</v>
      </c>
      <c r="J50" s="21">
        <v>3953261.6</v>
      </c>
      <c r="K50" s="21">
        <v>1291235.5999999999</v>
      </c>
      <c r="L50" s="102">
        <v>2003</v>
      </c>
      <c r="M50" s="94">
        <f t="shared" si="2"/>
        <v>6.46</v>
      </c>
      <c r="O50" s="22" t="s">
        <v>228</v>
      </c>
      <c r="P50" s="23"/>
      <c r="Q50" s="92">
        <v>1570971.4698258198</v>
      </c>
      <c r="S50" s="516"/>
      <c r="T50" s="516"/>
      <c r="U50" s="163"/>
      <c r="V50" s="516"/>
      <c r="W50" s="461"/>
      <c r="X50" s="461"/>
      <c r="Y50" s="461"/>
      <c r="Z50" s="461"/>
      <c r="AA50" s="18" t="s">
        <v>49</v>
      </c>
      <c r="AB50" s="48">
        <v>5</v>
      </c>
      <c r="AC50"/>
      <c r="AE50" s="118"/>
      <c r="AF50" s="48"/>
      <c r="AG50" s="56"/>
      <c r="BC50">
        <v>1</v>
      </c>
      <c r="BD50">
        <v>2005</v>
      </c>
      <c r="BE50" s="94">
        <v>4.9800000000000004</v>
      </c>
      <c r="BG50">
        <v>1</v>
      </c>
      <c r="BH50">
        <v>2008</v>
      </c>
      <c r="BI50" s="94">
        <v>1.0833333000000001</v>
      </c>
    </row>
    <row r="51" spans="1:61">
      <c r="A51" s="53">
        <v>45</v>
      </c>
      <c r="B51">
        <v>1</v>
      </c>
      <c r="C51" s="1">
        <v>38292</v>
      </c>
      <c r="D51" s="53" t="s">
        <v>54</v>
      </c>
      <c r="E51">
        <v>2004</v>
      </c>
      <c r="F51" s="53" t="s">
        <v>222</v>
      </c>
      <c r="G51" s="21">
        <v>150000</v>
      </c>
      <c r="H51" s="9">
        <v>639</v>
      </c>
      <c r="I51">
        <v>1</v>
      </c>
      <c r="J51" s="21">
        <v>2239500</v>
      </c>
      <c r="K51" s="21">
        <v>1548000</v>
      </c>
      <c r="L51" s="102">
        <v>2004</v>
      </c>
      <c r="M51" s="94">
        <f t="shared" si="2"/>
        <v>14.93</v>
      </c>
      <c r="O51" s="22" t="s">
        <v>230</v>
      </c>
      <c r="P51" s="23"/>
      <c r="Q51" s="97">
        <v>387.66666666666669</v>
      </c>
      <c r="S51" s="516"/>
      <c r="T51" s="516"/>
      <c r="U51" s="516"/>
      <c r="V51" s="516"/>
      <c r="W51" s="461"/>
      <c r="X51" s="461"/>
      <c r="Y51" s="461"/>
      <c r="Z51" s="461"/>
      <c r="AA51" s="18" t="s">
        <v>50</v>
      </c>
      <c r="AB51" s="48">
        <v>2</v>
      </c>
      <c r="AC51"/>
      <c r="AD51"/>
      <c r="AE51" s="118"/>
      <c r="AF51" s="48"/>
      <c r="AG51" s="56"/>
      <c r="BG51">
        <v>1</v>
      </c>
      <c r="BH51">
        <v>2008</v>
      </c>
      <c r="BI51" s="94">
        <v>0.23333330000000002</v>
      </c>
    </row>
    <row r="52" spans="1:61">
      <c r="A52" s="53">
        <v>46</v>
      </c>
      <c r="B52">
        <v>13</v>
      </c>
      <c r="C52" s="1">
        <v>38322</v>
      </c>
      <c r="D52" s="53" t="s">
        <v>55</v>
      </c>
      <c r="E52">
        <v>2004</v>
      </c>
      <c r="F52" s="53" t="s">
        <v>222</v>
      </c>
      <c r="G52" s="21">
        <v>651500</v>
      </c>
      <c r="H52" s="9">
        <v>366</v>
      </c>
      <c r="I52">
        <v>1</v>
      </c>
      <c r="J52" s="21">
        <v>4677770</v>
      </c>
      <c r="K52" s="21">
        <v>1355120</v>
      </c>
      <c r="L52" s="102">
        <v>2004</v>
      </c>
      <c r="M52" s="94">
        <f t="shared" si="2"/>
        <v>7.18</v>
      </c>
      <c r="O52" s="30" t="s">
        <v>237</v>
      </c>
      <c r="P52" s="32"/>
      <c r="Q52" s="105">
        <v>3739165.4326716778</v>
      </c>
      <c r="S52" s="516"/>
      <c r="T52" s="516"/>
      <c r="U52" s="163"/>
      <c r="V52" s="516"/>
      <c r="W52" s="461"/>
      <c r="X52" s="461"/>
      <c r="Y52" s="461"/>
      <c r="Z52" s="461"/>
      <c r="AA52" s="18" t="s">
        <v>51</v>
      </c>
      <c r="AB52" s="48">
        <v>0</v>
      </c>
      <c r="AC52"/>
      <c r="AE52" s="118"/>
      <c r="AF52" s="48"/>
      <c r="AG52" s="56"/>
      <c r="BG52">
        <v>1</v>
      </c>
      <c r="BH52">
        <v>2008</v>
      </c>
      <c r="BI52" s="94">
        <v>0.55000000000000004</v>
      </c>
    </row>
    <row r="53" spans="1:61">
      <c r="A53" s="53">
        <v>47</v>
      </c>
      <c r="B53">
        <v>21</v>
      </c>
      <c r="C53" s="1">
        <v>38353</v>
      </c>
      <c r="D53" s="53" t="s">
        <v>44</v>
      </c>
      <c r="E53">
        <v>2005</v>
      </c>
      <c r="F53" s="53" t="s">
        <v>222</v>
      </c>
      <c r="G53" s="21">
        <v>532979</v>
      </c>
      <c r="H53" s="9">
        <v>641</v>
      </c>
      <c r="I53">
        <v>1</v>
      </c>
      <c r="J53" s="21">
        <v>1902735.03</v>
      </c>
      <c r="K53" s="21">
        <v>1518990.1500000001</v>
      </c>
      <c r="L53" s="102">
        <v>2004</v>
      </c>
      <c r="M53" s="94">
        <f t="shared" si="2"/>
        <v>3.57</v>
      </c>
      <c r="P53"/>
      <c r="S53" s="516"/>
      <c r="T53" s="516"/>
      <c r="U53" s="163"/>
      <c r="V53" s="516"/>
      <c r="W53" s="461"/>
      <c r="X53" s="461"/>
      <c r="Y53" s="461"/>
      <c r="Z53" s="461"/>
      <c r="AA53" s="18" t="s">
        <v>52</v>
      </c>
      <c r="AB53" s="48">
        <v>0</v>
      </c>
      <c r="AC53"/>
      <c r="AE53" s="118"/>
      <c r="AF53" s="48"/>
      <c r="AG53" s="56"/>
    </row>
    <row r="54" spans="1:61">
      <c r="A54" s="53">
        <v>48</v>
      </c>
      <c r="B54">
        <v>18</v>
      </c>
      <c r="C54" s="1">
        <v>38353</v>
      </c>
      <c r="D54" s="53" t="s">
        <v>44</v>
      </c>
      <c r="E54">
        <v>2005</v>
      </c>
      <c r="F54" s="53" t="s">
        <v>222</v>
      </c>
      <c r="G54" s="21">
        <v>409675</v>
      </c>
      <c r="H54" s="9">
        <v>700</v>
      </c>
      <c r="I54">
        <v>1</v>
      </c>
      <c r="J54" s="21">
        <v>8717884</v>
      </c>
      <c r="K54" s="21">
        <v>3871428.7499999995</v>
      </c>
      <c r="L54" s="102">
        <v>2004</v>
      </c>
      <c r="M54" s="94">
        <f t="shared" si="2"/>
        <v>21.28</v>
      </c>
      <c r="P54"/>
      <c r="S54" s="516"/>
      <c r="T54" s="516"/>
      <c r="U54" s="516"/>
      <c r="V54" s="516"/>
      <c r="W54" s="461"/>
      <c r="X54" s="461"/>
      <c r="Y54" s="461"/>
      <c r="Z54" s="461"/>
      <c r="AA54" s="18" t="s">
        <v>53</v>
      </c>
      <c r="AB54" s="48">
        <v>0</v>
      </c>
      <c r="AC54"/>
      <c r="AD54"/>
      <c r="AE54" s="118"/>
      <c r="AF54" s="48"/>
      <c r="AG54" s="56"/>
    </row>
    <row r="55" spans="1:61">
      <c r="A55" s="53">
        <v>49</v>
      </c>
      <c r="B55">
        <v>19</v>
      </c>
      <c r="C55" s="1">
        <v>38353</v>
      </c>
      <c r="D55" s="53" t="s">
        <v>44</v>
      </c>
      <c r="E55" s="53">
        <v>2005</v>
      </c>
      <c r="F55" s="53" t="s">
        <v>222</v>
      </c>
      <c r="G55" s="21">
        <v>1000</v>
      </c>
      <c r="H55" t="s">
        <v>9</v>
      </c>
      <c r="I55" s="48">
        <v>1</v>
      </c>
      <c r="J55" s="21">
        <v>20700</v>
      </c>
      <c r="K55" s="21">
        <v>14900</v>
      </c>
      <c r="L55" s="102">
        <v>2004</v>
      </c>
      <c r="M55" s="94">
        <f t="shared" si="2"/>
        <v>20.7</v>
      </c>
      <c r="P55"/>
      <c r="Z55" s="461"/>
      <c r="AA55" s="18" t="s">
        <v>54</v>
      </c>
      <c r="AB55" s="48">
        <v>2</v>
      </c>
      <c r="AC55"/>
      <c r="AE55" s="118"/>
      <c r="AF55" s="48"/>
      <c r="AG55" s="56"/>
    </row>
    <row r="56" spans="1:61">
      <c r="A56" s="53">
        <v>50</v>
      </c>
      <c r="B56">
        <v>24</v>
      </c>
      <c r="C56" s="1">
        <v>38384</v>
      </c>
      <c r="D56" s="53" t="s">
        <v>45</v>
      </c>
      <c r="E56">
        <v>2005</v>
      </c>
      <c r="F56" s="53" t="s">
        <v>222</v>
      </c>
      <c r="G56" s="21">
        <v>536340</v>
      </c>
      <c r="H56" s="9">
        <v>366</v>
      </c>
      <c r="I56">
        <v>1</v>
      </c>
      <c r="J56" s="21">
        <v>4596433.8</v>
      </c>
      <c r="K56" s="21">
        <v>2896236</v>
      </c>
      <c r="L56" s="102">
        <v>2004</v>
      </c>
      <c r="M56" s="94">
        <f t="shared" si="2"/>
        <v>8.57</v>
      </c>
      <c r="P56"/>
      <c r="Z56" s="461"/>
      <c r="AA56" s="18" t="s">
        <v>55</v>
      </c>
      <c r="AB56" s="48">
        <v>1</v>
      </c>
      <c r="AC56"/>
      <c r="AE56" s="118"/>
      <c r="AF56" s="48"/>
      <c r="AG56" s="56"/>
    </row>
    <row r="57" spans="1:61">
      <c r="A57" s="53">
        <v>51</v>
      </c>
      <c r="B57">
        <v>11</v>
      </c>
      <c r="C57" s="1">
        <v>38384</v>
      </c>
      <c r="D57" s="53" t="s">
        <v>45</v>
      </c>
      <c r="E57">
        <v>2005</v>
      </c>
      <c r="F57" s="53" t="s">
        <v>222</v>
      </c>
      <c r="G57" s="21">
        <v>450000</v>
      </c>
      <c r="H57" s="9">
        <v>731</v>
      </c>
      <c r="I57">
        <v>1</v>
      </c>
      <c r="J57" s="21">
        <v>2461500</v>
      </c>
      <c r="K57" s="21">
        <v>1620000</v>
      </c>
      <c r="L57" s="102">
        <v>2004</v>
      </c>
      <c r="M57" s="94">
        <f t="shared" si="2"/>
        <v>5.47</v>
      </c>
      <c r="N57" s="5"/>
      <c r="P57"/>
      <c r="R57" s="5"/>
      <c r="S57" s="468" t="s">
        <v>758</v>
      </c>
      <c r="T57" s="516"/>
      <c r="U57" s="516"/>
      <c r="V57" s="516"/>
      <c r="W57" s="461"/>
      <c r="X57" s="516" t="s">
        <v>752</v>
      </c>
      <c r="Y57" s="516"/>
      <c r="Z57" s="461"/>
      <c r="AA57" s="18" t="s">
        <v>688</v>
      </c>
      <c r="AB57" s="48">
        <v>20</v>
      </c>
      <c r="AC57"/>
    </row>
    <row r="58" spans="1:61">
      <c r="A58" s="53">
        <v>52</v>
      </c>
      <c r="B58">
        <v>23</v>
      </c>
      <c r="C58" s="1">
        <v>38384</v>
      </c>
      <c r="D58" s="53" t="s">
        <v>45</v>
      </c>
      <c r="E58">
        <v>2005</v>
      </c>
      <c r="F58" s="53" t="s">
        <v>222</v>
      </c>
      <c r="G58" s="21">
        <v>551000</v>
      </c>
      <c r="H58" s="9">
        <v>306</v>
      </c>
      <c r="I58">
        <v>1</v>
      </c>
      <c r="J58" s="21">
        <v>1157100</v>
      </c>
      <c r="K58" s="21">
        <v>369170</v>
      </c>
      <c r="L58" s="102">
        <v>2004</v>
      </c>
      <c r="M58" s="94">
        <f t="shared" si="2"/>
        <v>2.1</v>
      </c>
      <c r="N58" s="5"/>
      <c r="P58"/>
      <c r="R58" s="5"/>
      <c r="S58" s="515" t="s">
        <v>196</v>
      </c>
      <c r="T58" s="515" t="s">
        <v>0</v>
      </c>
      <c r="U58" s="515" t="s">
        <v>34</v>
      </c>
      <c r="V58" s="515" t="s">
        <v>215</v>
      </c>
      <c r="W58" s="515" t="s">
        <v>764</v>
      </c>
      <c r="X58" s="515" t="s">
        <v>765</v>
      </c>
      <c r="Y58" s="515" t="s">
        <v>766</v>
      </c>
      <c r="Z58" s="461"/>
      <c r="AB58"/>
      <c r="AC58"/>
    </row>
    <row r="59" spans="1:61">
      <c r="A59" s="53">
        <v>53</v>
      </c>
      <c r="B59">
        <v>20</v>
      </c>
      <c r="C59" s="1">
        <v>38384</v>
      </c>
      <c r="D59" s="53" t="s">
        <v>45</v>
      </c>
      <c r="E59">
        <v>2005</v>
      </c>
      <c r="F59" s="53" t="s">
        <v>222</v>
      </c>
      <c r="G59" s="21">
        <v>520163.5</v>
      </c>
      <c r="H59" s="9">
        <v>366</v>
      </c>
      <c r="I59">
        <v>1</v>
      </c>
      <c r="J59" s="21">
        <v>2897310.6950000003</v>
      </c>
      <c r="K59" s="21">
        <v>988310.64999999991</v>
      </c>
      <c r="L59" s="102">
        <v>2004</v>
      </c>
      <c r="M59" s="94">
        <f t="shared" si="2"/>
        <v>5.57</v>
      </c>
      <c r="N59" s="5"/>
      <c r="P59"/>
      <c r="S59" s="124">
        <v>33</v>
      </c>
      <c r="T59" s="546">
        <v>2002</v>
      </c>
      <c r="U59" s="163" t="s">
        <v>52</v>
      </c>
      <c r="V59" s="124">
        <v>0</v>
      </c>
      <c r="W59" s="461">
        <f t="shared" ref="W59:W62" si="10">30-V59</f>
        <v>30</v>
      </c>
      <c r="X59" s="461">
        <v>0</v>
      </c>
      <c r="Y59" s="461">
        <f t="shared" ref="Y59:Y62" si="11">V59*X59</f>
        <v>0</v>
      </c>
    </row>
    <row r="60" spans="1:61">
      <c r="A60" s="53">
        <v>54</v>
      </c>
      <c r="B60">
        <v>8</v>
      </c>
      <c r="C60" s="1">
        <v>38473</v>
      </c>
      <c r="D60" s="53" t="s">
        <v>48</v>
      </c>
      <c r="E60">
        <v>2005</v>
      </c>
      <c r="F60" s="53" t="s">
        <v>222</v>
      </c>
      <c r="G60" s="21">
        <v>729301</v>
      </c>
      <c r="H60" s="9">
        <v>181</v>
      </c>
      <c r="I60">
        <v>1</v>
      </c>
      <c r="J60" s="21">
        <v>1589876.1800000002</v>
      </c>
      <c r="K60" s="21">
        <v>816817.12000000011</v>
      </c>
      <c r="L60" s="102">
        <v>2004</v>
      </c>
      <c r="M60" s="94">
        <f t="shared" si="2"/>
        <v>2.1800000000000002</v>
      </c>
      <c r="N60" s="5"/>
      <c r="P60"/>
      <c r="S60" s="124">
        <v>34</v>
      </c>
      <c r="T60" s="546">
        <v>2002</v>
      </c>
      <c r="U60" s="163" t="s">
        <v>53</v>
      </c>
      <c r="V60" s="124">
        <v>0</v>
      </c>
      <c r="W60" s="461">
        <f t="shared" si="10"/>
        <v>30</v>
      </c>
      <c r="X60" s="461">
        <v>1</v>
      </c>
      <c r="Y60" s="461">
        <f t="shared" si="11"/>
        <v>0</v>
      </c>
    </row>
    <row r="61" spans="1:61">
      <c r="A61" s="53">
        <v>55</v>
      </c>
      <c r="B61">
        <v>1</v>
      </c>
      <c r="C61" s="1">
        <v>38473</v>
      </c>
      <c r="D61" s="53" t="s">
        <v>48</v>
      </c>
      <c r="E61">
        <v>2005</v>
      </c>
      <c r="F61" s="53" t="s">
        <v>222</v>
      </c>
      <c r="G61" s="21">
        <v>772971</v>
      </c>
      <c r="H61" s="9">
        <v>61</v>
      </c>
      <c r="I61">
        <v>1</v>
      </c>
      <c r="J61" s="21">
        <v>1143997.08</v>
      </c>
      <c r="K61" s="21">
        <v>363296.37</v>
      </c>
      <c r="L61" s="102">
        <v>2004</v>
      </c>
      <c r="M61" s="94">
        <f t="shared" si="2"/>
        <v>1.4800000000000002</v>
      </c>
      <c r="N61" s="5"/>
      <c r="P61"/>
      <c r="S61" s="124">
        <v>35</v>
      </c>
      <c r="T61" s="546">
        <v>2002</v>
      </c>
      <c r="U61" s="546" t="s">
        <v>54</v>
      </c>
      <c r="V61" s="124">
        <v>0</v>
      </c>
      <c r="W61" s="461">
        <f t="shared" si="10"/>
        <v>30</v>
      </c>
      <c r="X61" s="461">
        <v>2</v>
      </c>
      <c r="Y61" s="461">
        <f t="shared" si="11"/>
        <v>0</v>
      </c>
      <c r="Z61" s="461"/>
      <c r="AA61" s="424" t="s">
        <v>760</v>
      </c>
      <c r="AB61"/>
      <c r="AF61" s="324" t="s">
        <v>692</v>
      </c>
      <c r="AG61" s="324" t="s">
        <v>760</v>
      </c>
      <c r="AH61" s="324" t="s">
        <v>762</v>
      </c>
    </row>
    <row r="62" spans="1:61">
      <c r="A62" s="53">
        <v>56</v>
      </c>
      <c r="B62">
        <v>6</v>
      </c>
      <c r="C62" s="1">
        <v>38473</v>
      </c>
      <c r="D62" s="53" t="s">
        <v>48</v>
      </c>
      <c r="E62">
        <v>2005</v>
      </c>
      <c r="F62" s="53" t="s">
        <v>222</v>
      </c>
      <c r="G62" s="21">
        <v>579191</v>
      </c>
      <c r="H62" s="9">
        <v>578</v>
      </c>
      <c r="I62">
        <v>1</v>
      </c>
      <c r="J62" s="21">
        <v>2727989.61</v>
      </c>
      <c r="K62" s="21">
        <v>1378474.5799999998</v>
      </c>
      <c r="L62" s="102">
        <v>2004</v>
      </c>
      <c r="M62" s="94">
        <f t="shared" si="2"/>
        <v>4.71</v>
      </c>
      <c r="N62" s="5"/>
      <c r="P62"/>
      <c r="S62" s="124">
        <v>36</v>
      </c>
      <c r="T62" s="546">
        <v>2002</v>
      </c>
      <c r="U62" s="163" t="s">
        <v>55</v>
      </c>
      <c r="V62" s="124">
        <v>0</v>
      </c>
      <c r="W62" s="461">
        <f t="shared" si="10"/>
        <v>30</v>
      </c>
      <c r="X62" s="461">
        <v>3</v>
      </c>
      <c r="Y62" s="461">
        <f t="shared" si="11"/>
        <v>0</v>
      </c>
      <c r="Z62" s="461"/>
      <c r="AA62" s="467" t="s">
        <v>689</v>
      </c>
      <c r="AB62" t="s">
        <v>690</v>
      </c>
      <c r="AD62" s="515" t="s">
        <v>196</v>
      </c>
      <c r="AE62" s="515" t="s">
        <v>691</v>
      </c>
      <c r="AF62" s="515" t="s">
        <v>693</v>
      </c>
      <c r="AG62" s="515" t="s">
        <v>761</v>
      </c>
      <c r="AH62" s="515" t="s">
        <v>763</v>
      </c>
    </row>
    <row r="63" spans="1:61">
      <c r="A63" s="53">
        <v>57</v>
      </c>
      <c r="B63">
        <v>13</v>
      </c>
      <c r="C63" s="1">
        <v>38473</v>
      </c>
      <c r="D63" s="59" t="s">
        <v>48</v>
      </c>
      <c r="E63" s="5">
        <v>2005</v>
      </c>
      <c r="F63" s="53" t="s">
        <v>222</v>
      </c>
      <c r="G63" s="21">
        <v>646758</v>
      </c>
      <c r="H63" s="9">
        <v>517</v>
      </c>
      <c r="I63">
        <v>1</v>
      </c>
      <c r="J63" s="21">
        <v>3544233.8400000003</v>
      </c>
      <c r="K63" s="21">
        <v>1248242.94</v>
      </c>
      <c r="L63" s="102">
        <v>2004</v>
      </c>
      <c r="M63" s="94">
        <f t="shared" si="2"/>
        <v>5.48</v>
      </c>
      <c r="N63" s="5"/>
      <c r="P63"/>
      <c r="S63" s="124">
        <v>37</v>
      </c>
      <c r="T63" s="124">
        <v>2003</v>
      </c>
      <c r="U63" s="163" t="s">
        <v>44</v>
      </c>
      <c r="V63" s="124">
        <v>2</v>
      </c>
      <c r="W63" s="461">
        <f t="shared" ref="W63" si="12">30-V63</f>
        <v>28</v>
      </c>
      <c r="X63" s="461">
        <v>4</v>
      </c>
      <c r="Y63" s="461">
        <f>V63*X63</f>
        <v>8</v>
      </c>
      <c r="Z63" s="461"/>
      <c r="AA63" s="18" t="s">
        <v>44</v>
      </c>
      <c r="AB63" s="48">
        <v>13</v>
      </c>
      <c r="AD63">
        <v>1</v>
      </c>
      <c r="AE63" s="118" t="s">
        <v>52</v>
      </c>
      <c r="AF63" s="48">
        <f>GETPIVOTDATA("# Tx",$AA$44,"Month","Sep")</f>
        <v>0</v>
      </c>
      <c r="AG63" s="56">
        <f>GETPIVOTDATA("# Tx",$AA$62,"Month","Sep")</f>
        <v>0</v>
      </c>
      <c r="AH63" s="56">
        <f>GETPIVOTDATA("# Tx",$AA$117,"Month","Sep")</f>
        <v>0</v>
      </c>
    </row>
    <row r="64" spans="1:61">
      <c r="A64" s="53">
        <v>58</v>
      </c>
      <c r="B64">
        <v>17</v>
      </c>
      <c r="C64" s="1">
        <v>38534</v>
      </c>
      <c r="D64" s="53" t="s">
        <v>50</v>
      </c>
      <c r="E64">
        <v>2005</v>
      </c>
      <c r="F64" s="53" t="s">
        <v>222</v>
      </c>
      <c r="G64" s="21">
        <v>600000</v>
      </c>
      <c r="H64" s="9">
        <v>212</v>
      </c>
      <c r="I64">
        <v>1</v>
      </c>
      <c r="J64" s="21">
        <v>810000</v>
      </c>
      <c r="K64" s="21">
        <v>132000</v>
      </c>
      <c r="L64" s="102">
        <v>2004</v>
      </c>
      <c r="M64" s="94">
        <f t="shared" si="2"/>
        <v>1.35</v>
      </c>
      <c r="N64" s="5"/>
      <c r="O64" s="5"/>
      <c r="P64" s="102"/>
      <c r="Q64" s="6"/>
      <c r="S64" s="124">
        <v>38</v>
      </c>
      <c r="T64" s="124">
        <v>2003</v>
      </c>
      <c r="U64" s="516" t="s">
        <v>45</v>
      </c>
      <c r="V64" s="124">
        <v>1</v>
      </c>
      <c r="W64" s="461">
        <f t="shared" ref="W64:W106" si="13">30-V64</f>
        <v>29</v>
      </c>
      <c r="X64" s="461">
        <v>5</v>
      </c>
      <c r="Y64" s="461">
        <f t="shared" ref="Y64:Y106" si="14">V64*X64</f>
        <v>5</v>
      </c>
      <c r="Z64" s="461"/>
      <c r="AA64" s="18" t="s">
        <v>45</v>
      </c>
      <c r="AB64" s="48">
        <v>10</v>
      </c>
      <c r="AD64" s="79">
        <v>2</v>
      </c>
      <c r="AE64" s="118" t="s">
        <v>53</v>
      </c>
      <c r="AF64" s="48">
        <f>GETPIVOTDATA("# Tx",$AA$44,"Month","Oct")</f>
        <v>0</v>
      </c>
      <c r="AG64" s="56">
        <f>GETPIVOTDATA("# Tx",$AA$62,"Month","Oct")</f>
        <v>2</v>
      </c>
      <c r="AH64" s="56">
        <f>GETPIVOTDATA("# Tx",$AA$117,"Month","Oct")</f>
        <v>0</v>
      </c>
    </row>
    <row r="65" spans="1:57">
      <c r="A65" s="53">
        <v>59</v>
      </c>
      <c r="B65">
        <v>19</v>
      </c>
      <c r="C65" s="1">
        <v>38565</v>
      </c>
      <c r="D65" s="465" t="s">
        <v>51</v>
      </c>
      <c r="E65" s="463">
        <v>2005</v>
      </c>
      <c r="F65" s="463" t="s">
        <v>222</v>
      </c>
      <c r="G65" s="21">
        <v>20000</v>
      </c>
      <c r="H65" t="s">
        <v>9</v>
      </c>
      <c r="I65" s="48">
        <v>1</v>
      </c>
      <c r="J65" s="21">
        <v>91000</v>
      </c>
      <c r="K65" s="21">
        <v>16000</v>
      </c>
      <c r="L65" s="102">
        <v>2004</v>
      </c>
      <c r="M65" s="94">
        <f t="shared" si="2"/>
        <v>4.55</v>
      </c>
      <c r="N65" s="5"/>
      <c r="O65" s="5"/>
      <c r="P65" s="102"/>
      <c r="Q65" s="6"/>
      <c r="S65" s="124">
        <v>39</v>
      </c>
      <c r="T65" s="124">
        <v>2003</v>
      </c>
      <c r="U65" s="163" t="s">
        <v>46</v>
      </c>
      <c r="V65" s="124">
        <v>2</v>
      </c>
      <c r="W65" s="461">
        <f t="shared" si="13"/>
        <v>28</v>
      </c>
      <c r="X65" s="461">
        <v>6</v>
      </c>
      <c r="Y65" s="461">
        <f t="shared" si="14"/>
        <v>12</v>
      </c>
      <c r="Z65" s="461"/>
      <c r="AA65" s="18" t="s">
        <v>46</v>
      </c>
      <c r="AB65" s="48">
        <v>5</v>
      </c>
      <c r="AD65" s="79">
        <v>3</v>
      </c>
      <c r="AE65" s="118" t="s">
        <v>54</v>
      </c>
      <c r="AF65" s="48">
        <f>GETPIVOTDATA("# Tx",$AA$44,"Month","Nov")</f>
        <v>2</v>
      </c>
      <c r="AG65" s="56">
        <f>GETPIVOTDATA("# Tx",$AA$62,"Month","Nov")</f>
        <v>3</v>
      </c>
      <c r="AH65" s="56">
        <f>GETPIVOTDATA("# Tx",$AA$117,"Month","Nov")</f>
        <v>6</v>
      </c>
    </row>
    <row r="66" spans="1:57">
      <c r="A66" s="53">
        <v>60</v>
      </c>
      <c r="B66">
        <v>25</v>
      </c>
      <c r="C66" s="1">
        <v>38657</v>
      </c>
      <c r="D66" s="53" t="s">
        <v>54</v>
      </c>
      <c r="E66">
        <v>2005</v>
      </c>
      <c r="F66" s="53" t="s">
        <v>223</v>
      </c>
      <c r="G66" s="21">
        <v>136350</v>
      </c>
      <c r="H66" s="9">
        <v>273</v>
      </c>
      <c r="I66">
        <v>1</v>
      </c>
      <c r="J66" s="21">
        <v>906727.5</v>
      </c>
      <c r="K66" s="21">
        <v>388597.5</v>
      </c>
      <c r="L66" s="102">
        <v>2005</v>
      </c>
      <c r="M66" s="94">
        <f t="shared" si="2"/>
        <v>6.65</v>
      </c>
      <c r="N66" s="5"/>
      <c r="O66" s="5"/>
      <c r="P66" s="102"/>
      <c r="Q66" s="6"/>
      <c r="S66" s="124">
        <v>40</v>
      </c>
      <c r="T66" s="124">
        <v>2003</v>
      </c>
      <c r="U66" s="163" t="s">
        <v>47</v>
      </c>
      <c r="V66" s="124">
        <v>0</v>
      </c>
      <c r="W66" s="461">
        <f t="shared" si="13"/>
        <v>30</v>
      </c>
      <c r="X66" s="461">
        <v>7</v>
      </c>
      <c r="Y66" s="461">
        <f t="shared" si="14"/>
        <v>0</v>
      </c>
      <c r="Z66" s="461"/>
      <c r="AA66" s="18" t="s">
        <v>47</v>
      </c>
      <c r="AB66" s="48">
        <v>5</v>
      </c>
      <c r="AD66">
        <v>4</v>
      </c>
      <c r="AE66" s="118" t="s">
        <v>55</v>
      </c>
      <c r="AF66" s="48">
        <f>GETPIVOTDATA("# Tx",$AA$44,"Month","Dec")</f>
        <v>1</v>
      </c>
      <c r="AG66" s="56">
        <f>GETPIVOTDATA("# Tx",$AA$62,"Month","Dec")</f>
        <v>5</v>
      </c>
      <c r="AH66" s="56">
        <f>GETPIVOTDATA("# Tx",$AA$117,"Month","Dec")</f>
        <v>5</v>
      </c>
    </row>
    <row r="67" spans="1:57">
      <c r="A67" s="53">
        <v>61</v>
      </c>
      <c r="B67">
        <v>20</v>
      </c>
      <c r="C67" s="1">
        <v>38687</v>
      </c>
      <c r="D67" s="53" t="s">
        <v>55</v>
      </c>
      <c r="E67">
        <v>2005</v>
      </c>
      <c r="F67" s="53" t="s">
        <v>223</v>
      </c>
      <c r="G67" s="21">
        <v>352936</v>
      </c>
      <c r="H67" s="9">
        <v>669</v>
      </c>
      <c r="I67">
        <v>1</v>
      </c>
      <c r="J67" s="21">
        <v>6995191.5200000005</v>
      </c>
      <c r="K67" s="21">
        <v>5241099.5999999996</v>
      </c>
      <c r="L67" s="102">
        <v>2005</v>
      </c>
      <c r="M67" s="94">
        <f t="shared" si="2"/>
        <v>19.82</v>
      </c>
      <c r="N67" s="5"/>
      <c r="O67" s="5"/>
      <c r="P67" s="102"/>
      <c r="Q67" s="6"/>
      <c r="S67" s="124">
        <v>41</v>
      </c>
      <c r="T67" s="124">
        <v>2003</v>
      </c>
      <c r="U67" s="516" t="s">
        <v>48</v>
      </c>
      <c r="V67" s="124">
        <v>0</v>
      </c>
      <c r="W67" s="461">
        <f t="shared" si="13"/>
        <v>30</v>
      </c>
      <c r="X67" s="461">
        <v>8</v>
      </c>
      <c r="Y67" s="461">
        <f t="shared" si="14"/>
        <v>0</v>
      </c>
      <c r="Z67" s="461"/>
      <c r="AA67" s="18" t="s">
        <v>48</v>
      </c>
      <c r="AB67" s="48">
        <v>11</v>
      </c>
      <c r="AD67" s="79">
        <v>5</v>
      </c>
      <c r="AE67" s="118" t="s">
        <v>44</v>
      </c>
      <c r="AF67" s="48">
        <f>GETPIVOTDATA("# Tx",$AA$44,"Month","Jan")</f>
        <v>0</v>
      </c>
      <c r="AG67" s="56">
        <f>GETPIVOTDATA("# Tx",$AA$62,"Month","Jan")</f>
        <v>13</v>
      </c>
      <c r="AH67" s="56">
        <f>GETPIVOTDATA("# Tx",$AA$117,"Month","Jan")</f>
        <v>12</v>
      </c>
    </row>
    <row r="68" spans="1:57">
      <c r="A68" s="53">
        <v>62</v>
      </c>
      <c r="B68">
        <v>1</v>
      </c>
      <c r="C68" s="1">
        <v>38687</v>
      </c>
      <c r="D68" s="53" t="s">
        <v>55</v>
      </c>
      <c r="E68">
        <v>2005</v>
      </c>
      <c r="F68" s="53" t="s">
        <v>223</v>
      </c>
      <c r="G68" s="21">
        <v>660000</v>
      </c>
      <c r="H68" s="9">
        <v>275</v>
      </c>
      <c r="I68">
        <v>1</v>
      </c>
      <c r="J68" s="21">
        <v>1537800</v>
      </c>
      <c r="K68" s="21">
        <v>891000.00000000012</v>
      </c>
      <c r="L68" s="102">
        <v>2005</v>
      </c>
      <c r="M68" s="94">
        <f t="shared" si="2"/>
        <v>2.33</v>
      </c>
      <c r="N68" s="5"/>
      <c r="O68" s="280"/>
      <c r="P68" s="102"/>
      <c r="Q68" s="6"/>
      <c r="S68" s="124">
        <v>42</v>
      </c>
      <c r="T68" s="124">
        <v>2003</v>
      </c>
      <c r="U68" s="163" t="s">
        <v>49</v>
      </c>
      <c r="V68" s="124">
        <v>0</v>
      </c>
      <c r="W68" s="461">
        <f t="shared" si="13"/>
        <v>30</v>
      </c>
      <c r="X68" s="461">
        <v>9</v>
      </c>
      <c r="Y68" s="461">
        <f t="shared" si="14"/>
        <v>0</v>
      </c>
      <c r="Z68" s="461"/>
      <c r="AA68" s="18" t="s">
        <v>49</v>
      </c>
      <c r="AB68" s="48">
        <v>2</v>
      </c>
      <c r="AD68" s="79">
        <v>6</v>
      </c>
      <c r="AE68" s="118" t="s">
        <v>45</v>
      </c>
      <c r="AF68" s="48">
        <f>GETPIVOTDATA("# Tx",$AA$44,"Month","Feb")</f>
        <v>1</v>
      </c>
      <c r="AG68" s="56">
        <f>GETPIVOTDATA("# Tx",$AA$62,"Month","Feb")</f>
        <v>10</v>
      </c>
      <c r="AH68" s="56">
        <f>GETPIVOTDATA("# Tx",$AA$117,"Month","Feb")</f>
        <v>5</v>
      </c>
    </row>
    <row r="69" spans="1:57">
      <c r="A69" s="53">
        <v>63</v>
      </c>
      <c r="B69">
        <v>24</v>
      </c>
      <c r="C69" s="1">
        <v>38687</v>
      </c>
      <c r="D69" s="53" t="s">
        <v>55</v>
      </c>
      <c r="E69">
        <v>2005</v>
      </c>
      <c r="F69" s="53" t="s">
        <v>223</v>
      </c>
      <c r="G69" s="21">
        <v>497827</v>
      </c>
      <c r="H69" s="9">
        <v>669</v>
      </c>
      <c r="I69">
        <v>1</v>
      </c>
      <c r="J69" s="21">
        <v>8876255.4099999983</v>
      </c>
      <c r="K69" s="21">
        <v>5491031.8099999996</v>
      </c>
      <c r="L69" s="102">
        <v>2005</v>
      </c>
      <c r="M69" s="94">
        <f t="shared" si="2"/>
        <v>17.829999999999998</v>
      </c>
      <c r="N69" s="5"/>
      <c r="O69" s="280"/>
      <c r="P69" s="102"/>
      <c r="Q69" s="6"/>
      <c r="S69" s="124">
        <v>43</v>
      </c>
      <c r="T69" s="124">
        <v>2003</v>
      </c>
      <c r="U69" s="163" t="s">
        <v>50</v>
      </c>
      <c r="V69" s="124">
        <v>0</v>
      </c>
      <c r="W69" s="461">
        <f t="shared" si="13"/>
        <v>30</v>
      </c>
      <c r="X69" s="461">
        <v>10</v>
      </c>
      <c r="Y69" s="461">
        <f t="shared" si="14"/>
        <v>0</v>
      </c>
      <c r="Z69" s="461"/>
      <c r="AA69" s="18" t="s">
        <v>50</v>
      </c>
      <c r="AB69" s="48">
        <v>1</v>
      </c>
      <c r="AD69">
        <v>7</v>
      </c>
      <c r="AE69" s="118" t="s">
        <v>46</v>
      </c>
      <c r="AF69" s="48">
        <f>GETPIVOTDATA("# Tx",$AA$44,"Month","Mar")</f>
        <v>3</v>
      </c>
      <c r="AG69" s="56">
        <f>GETPIVOTDATA("# Tx",$AA$62,"Month","Mar")</f>
        <v>5</v>
      </c>
      <c r="AH69" s="56">
        <f>GETPIVOTDATA("# Tx",$AA$117,"Month","Mar")</f>
        <v>2</v>
      </c>
    </row>
    <row r="70" spans="1:57">
      <c r="A70" s="53">
        <v>64</v>
      </c>
      <c r="B70">
        <v>11</v>
      </c>
      <c r="C70" s="1">
        <v>38718</v>
      </c>
      <c r="D70" s="53" t="s">
        <v>44</v>
      </c>
      <c r="E70">
        <v>2006</v>
      </c>
      <c r="F70" s="53" t="s">
        <v>223</v>
      </c>
      <c r="G70" s="21">
        <v>723758</v>
      </c>
      <c r="H70" s="9">
        <v>426</v>
      </c>
      <c r="I70">
        <v>1</v>
      </c>
      <c r="J70" s="21">
        <v>4255697.04</v>
      </c>
      <c r="K70" s="21">
        <v>2511440.2600000002</v>
      </c>
      <c r="L70" s="102">
        <v>2005</v>
      </c>
      <c r="M70" s="94">
        <f t="shared" si="2"/>
        <v>5.88</v>
      </c>
      <c r="N70" s="5"/>
      <c r="O70" s="5"/>
      <c r="P70" s="6"/>
      <c r="Q70" s="6"/>
      <c r="S70" s="124">
        <v>44</v>
      </c>
      <c r="T70" s="124">
        <v>2003</v>
      </c>
      <c r="U70" s="516" t="s">
        <v>51</v>
      </c>
      <c r="V70" s="124">
        <v>0</v>
      </c>
      <c r="W70" s="461">
        <f t="shared" si="13"/>
        <v>30</v>
      </c>
      <c r="X70" s="351">
        <v>11</v>
      </c>
      <c r="Y70" s="461">
        <f t="shared" si="14"/>
        <v>0</v>
      </c>
      <c r="Z70" s="461"/>
      <c r="AA70" s="18" t="s">
        <v>51</v>
      </c>
      <c r="AB70" s="48">
        <v>2</v>
      </c>
      <c r="AD70" s="79">
        <v>8</v>
      </c>
      <c r="AE70" s="118" t="s">
        <v>47</v>
      </c>
      <c r="AF70" s="48">
        <f>GETPIVOTDATA("# Tx",$AA$44,"Month","Apr")</f>
        <v>2</v>
      </c>
      <c r="AG70" s="56">
        <f>GETPIVOTDATA("# Tx",$AA$62,"Month","Apr")</f>
        <v>5</v>
      </c>
      <c r="AH70" s="56">
        <f>GETPIVOTDATA("# Tx",$AA$117,"Month","Apr")</f>
        <v>1</v>
      </c>
    </row>
    <row r="71" spans="1:57">
      <c r="A71" s="53">
        <v>65</v>
      </c>
      <c r="B71">
        <v>4</v>
      </c>
      <c r="C71" s="1">
        <v>38718</v>
      </c>
      <c r="D71" s="53" t="s">
        <v>44</v>
      </c>
      <c r="E71">
        <v>2006</v>
      </c>
      <c r="F71" s="53" t="s">
        <v>223</v>
      </c>
      <c r="G71" s="21">
        <v>636000</v>
      </c>
      <c r="H71" s="9">
        <v>457</v>
      </c>
      <c r="I71">
        <v>1</v>
      </c>
      <c r="J71" s="21">
        <v>5615880</v>
      </c>
      <c r="K71" s="21">
        <v>2575800</v>
      </c>
      <c r="L71" s="102">
        <v>2005</v>
      </c>
      <c r="M71" s="94">
        <f t="shared" si="2"/>
        <v>8.83</v>
      </c>
      <c r="N71" s="5"/>
      <c r="O71" s="5"/>
      <c r="P71" s="13"/>
      <c r="Q71" s="5"/>
      <c r="S71" s="124">
        <v>45</v>
      </c>
      <c r="T71" s="124">
        <v>2003</v>
      </c>
      <c r="U71" s="163" t="s">
        <v>52</v>
      </c>
      <c r="V71" s="124">
        <v>0</v>
      </c>
      <c r="W71" s="461">
        <f t="shared" si="13"/>
        <v>30</v>
      </c>
      <c r="X71" s="461">
        <v>0</v>
      </c>
      <c r="Y71" s="461">
        <f t="shared" si="14"/>
        <v>0</v>
      </c>
      <c r="Z71" s="461"/>
      <c r="AA71" s="18" t="s">
        <v>52</v>
      </c>
      <c r="AB71" s="48">
        <v>0</v>
      </c>
      <c r="AD71" s="79">
        <v>9</v>
      </c>
      <c r="AE71" s="118" t="s">
        <v>48</v>
      </c>
      <c r="AF71" s="48">
        <f>GETPIVOTDATA("# Tx",$AA$44,"Month","May")</f>
        <v>4</v>
      </c>
      <c r="AG71" s="56">
        <f>GETPIVOTDATA("# Tx",$AA$62,"Month","May")</f>
        <v>11</v>
      </c>
      <c r="AH71" s="56">
        <f>GETPIVOTDATA("# Tx",$AA$117,"Month","May")</f>
        <v>1</v>
      </c>
    </row>
    <row r="72" spans="1:57">
      <c r="A72" s="53">
        <v>66</v>
      </c>
      <c r="B72">
        <v>3</v>
      </c>
      <c r="C72" s="1">
        <v>38718</v>
      </c>
      <c r="D72" s="53" t="s">
        <v>44</v>
      </c>
      <c r="E72">
        <v>2006</v>
      </c>
      <c r="F72" s="53" t="s">
        <v>223</v>
      </c>
      <c r="G72" s="21">
        <v>645000</v>
      </c>
      <c r="H72" s="9">
        <v>396</v>
      </c>
      <c r="I72">
        <v>0.5</v>
      </c>
      <c r="J72" s="21">
        <v>8501100</v>
      </c>
      <c r="K72" s="21">
        <v>2805750</v>
      </c>
      <c r="L72" s="102">
        <v>2005</v>
      </c>
      <c r="M72" s="94">
        <f t="shared" si="2"/>
        <v>13.18</v>
      </c>
      <c r="N72" s="5"/>
      <c r="O72" s="5"/>
      <c r="P72" s="13"/>
      <c r="Q72" s="5"/>
      <c r="S72" s="124">
        <v>46</v>
      </c>
      <c r="T72" s="124">
        <v>2003</v>
      </c>
      <c r="U72" s="163" t="s">
        <v>53</v>
      </c>
      <c r="V72" s="124">
        <v>0</v>
      </c>
      <c r="W72" s="461">
        <f t="shared" si="13"/>
        <v>30</v>
      </c>
      <c r="X72" s="461">
        <v>1</v>
      </c>
      <c r="Y72" s="461">
        <f t="shared" si="14"/>
        <v>0</v>
      </c>
      <c r="Z72" s="461"/>
      <c r="AA72" s="18" t="s">
        <v>53</v>
      </c>
      <c r="AB72" s="48">
        <v>2</v>
      </c>
      <c r="AD72">
        <v>10</v>
      </c>
      <c r="AE72" s="118" t="s">
        <v>49</v>
      </c>
      <c r="AF72" s="48">
        <f>GETPIVOTDATA("# Tx",$AA$44,"Month","Jun")</f>
        <v>5</v>
      </c>
      <c r="AG72" s="56">
        <f>GETPIVOTDATA("# Tx",$AA$62,"Month","Jun")</f>
        <v>2</v>
      </c>
      <c r="AH72" s="56">
        <f>GETPIVOTDATA("# Tx",$AA$117,"Month","Jun")</f>
        <v>0</v>
      </c>
    </row>
    <row r="73" spans="1:57">
      <c r="A73" s="53">
        <v>67</v>
      </c>
      <c r="B73">
        <v>19</v>
      </c>
      <c r="C73" s="1">
        <v>38718</v>
      </c>
      <c r="D73" s="53" t="s">
        <v>44</v>
      </c>
      <c r="E73">
        <v>2006</v>
      </c>
      <c r="F73" s="53" t="s">
        <v>223</v>
      </c>
      <c r="G73" s="21">
        <v>20000</v>
      </c>
      <c r="H73" t="s">
        <v>9</v>
      </c>
      <c r="I73" s="48">
        <v>1</v>
      </c>
      <c r="J73" s="21">
        <v>291600</v>
      </c>
      <c r="K73" s="21">
        <v>70000</v>
      </c>
      <c r="L73" s="102">
        <v>2005</v>
      </c>
      <c r="M73" s="94">
        <f t="shared" si="2"/>
        <v>14.58</v>
      </c>
      <c r="N73" s="5"/>
      <c r="O73" s="5"/>
      <c r="P73" s="13"/>
      <c r="Q73" s="5"/>
      <c r="S73" s="124">
        <v>47</v>
      </c>
      <c r="T73" s="124">
        <v>2003</v>
      </c>
      <c r="U73" s="516" t="s">
        <v>54</v>
      </c>
      <c r="V73" s="124">
        <v>1</v>
      </c>
      <c r="W73" s="461">
        <f t="shared" si="13"/>
        <v>29</v>
      </c>
      <c r="X73" s="461">
        <v>2</v>
      </c>
      <c r="Y73" s="461">
        <f t="shared" si="14"/>
        <v>2</v>
      </c>
      <c r="Z73" s="461"/>
      <c r="AA73" s="18" t="s">
        <v>54</v>
      </c>
      <c r="AB73" s="48">
        <v>3</v>
      </c>
      <c r="AD73" s="79">
        <v>11</v>
      </c>
      <c r="AE73" s="118" t="s">
        <v>50</v>
      </c>
      <c r="AF73" s="48">
        <f>GETPIVOTDATA("# Tx",$AA$44,"Month","Jul")</f>
        <v>2</v>
      </c>
      <c r="AG73" s="56">
        <f>GETPIVOTDATA("# Tx",$AA$62,"Month","Jul")</f>
        <v>1</v>
      </c>
      <c r="AH73" s="56">
        <f>GETPIVOTDATA("# Tx",$AA$117,"Month","Jul")</f>
        <v>0</v>
      </c>
    </row>
    <row r="74" spans="1:57">
      <c r="A74" s="53">
        <v>68</v>
      </c>
      <c r="B74">
        <v>21</v>
      </c>
      <c r="C74" s="1">
        <v>38749</v>
      </c>
      <c r="D74" s="53" t="s">
        <v>45</v>
      </c>
      <c r="E74">
        <v>2006</v>
      </c>
      <c r="F74" s="53" t="s">
        <v>223</v>
      </c>
      <c r="G74" s="21">
        <v>706322</v>
      </c>
      <c r="H74" s="16">
        <v>365</v>
      </c>
      <c r="I74" s="48">
        <v>1</v>
      </c>
      <c r="J74" s="21">
        <v>3623431.86</v>
      </c>
      <c r="K74" s="21">
        <v>1850563.6400000001</v>
      </c>
      <c r="L74" s="102">
        <v>2005</v>
      </c>
      <c r="M74" s="94">
        <f t="shared" si="2"/>
        <v>5.13</v>
      </c>
      <c r="N74" s="5"/>
      <c r="O74" s="5"/>
      <c r="P74" s="13"/>
      <c r="Q74" s="5"/>
      <c r="S74" s="124">
        <v>48</v>
      </c>
      <c r="T74" s="124">
        <v>2003</v>
      </c>
      <c r="U74" s="163" t="s">
        <v>55</v>
      </c>
      <c r="V74" s="124">
        <v>1</v>
      </c>
      <c r="W74" s="461">
        <f t="shared" si="13"/>
        <v>29</v>
      </c>
      <c r="X74" s="461">
        <v>3</v>
      </c>
      <c r="Y74" s="461">
        <f t="shared" si="14"/>
        <v>3</v>
      </c>
      <c r="Z74" s="461"/>
      <c r="AA74" s="18" t="s">
        <v>55</v>
      </c>
      <c r="AB74" s="48">
        <v>5</v>
      </c>
      <c r="AD74" s="79">
        <v>12</v>
      </c>
      <c r="AE74" s="118" t="s">
        <v>51</v>
      </c>
      <c r="AF74" s="48">
        <f>GETPIVOTDATA("# Tx",$AA$44,"Month","Aug")</f>
        <v>0</v>
      </c>
      <c r="AG74" s="56">
        <f>GETPIVOTDATA("# Tx",$AA$62,"Month","Aug")</f>
        <v>2</v>
      </c>
      <c r="AH74" s="56">
        <f>GETPIVOTDATA("# Tx",$AA$117,"Month","Aug")</f>
        <v>0</v>
      </c>
    </row>
    <row r="75" spans="1:57">
      <c r="A75" s="53">
        <v>69</v>
      </c>
      <c r="B75">
        <v>3</v>
      </c>
      <c r="C75" s="1">
        <v>38749</v>
      </c>
      <c r="D75" s="53" t="s">
        <v>45</v>
      </c>
      <c r="E75">
        <v>2006</v>
      </c>
      <c r="F75" s="53" t="s">
        <v>223</v>
      </c>
      <c r="G75" s="21">
        <v>645000</v>
      </c>
      <c r="H75" s="9">
        <v>427</v>
      </c>
      <c r="I75">
        <v>0.5</v>
      </c>
      <c r="J75" s="21">
        <v>10094250</v>
      </c>
      <c r="K75" s="21">
        <v>5398649.9999999991</v>
      </c>
      <c r="L75" s="102">
        <v>2005</v>
      </c>
      <c r="M75" s="94">
        <f t="shared" si="2"/>
        <v>15.65</v>
      </c>
      <c r="N75" s="5"/>
      <c r="O75" s="5"/>
      <c r="P75" s="13"/>
      <c r="Q75" s="5"/>
      <c r="S75" s="124">
        <v>49</v>
      </c>
      <c r="T75" s="124">
        <v>2004</v>
      </c>
      <c r="U75" s="163" t="s">
        <v>44</v>
      </c>
      <c r="V75" s="124">
        <v>4</v>
      </c>
      <c r="W75" s="461">
        <f t="shared" si="13"/>
        <v>26</v>
      </c>
      <c r="X75" s="461">
        <v>4</v>
      </c>
      <c r="Y75" s="461">
        <f t="shared" si="14"/>
        <v>16</v>
      </c>
      <c r="Z75" s="461"/>
      <c r="AA75" s="18" t="s">
        <v>688</v>
      </c>
      <c r="AB75" s="48">
        <v>59</v>
      </c>
    </row>
    <row r="76" spans="1:57">
      <c r="A76" s="53">
        <v>70</v>
      </c>
      <c r="B76">
        <v>9</v>
      </c>
      <c r="C76" s="1">
        <v>38749</v>
      </c>
      <c r="D76" s="53" t="s">
        <v>45</v>
      </c>
      <c r="E76">
        <v>2006</v>
      </c>
      <c r="F76" s="53" t="s">
        <v>223</v>
      </c>
      <c r="G76" s="21">
        <v>614000</v>
      </c>
      <c r="H76" s="9">
        <v>427</v>
      </c>
      <c r="I76">
        <v>1</v>
      </c>
      <c r="J76" s="21">
        <v>1185020</v>
      </c>
      <c r="K76" s="21">
        <v>472780</v>
      </c>
      <c r="L76" s="102">
        <v>2005</v>
      </c>
      <c r="M76" s="94">
        <f t="shared" si="2"/>
        <v>1.93</v>
      </c>
      <c r="N76" s="5"/>
      <c r="O76" s="5"/>
      <c r="P76" s="13"/>
      <c r="Q76" s="5"/>
      <c r="S76" s="124">
        <v>50</v>
      </c>
      <c r="T76" s="124">
        <v>2004</v>
      </c>
      <c r="U76" s="516" t="s">
        <v>45</v>
      </c>
      <c r="V76" s="124">
        <v>1</v>
      </c>
      <c r="W76" s="461">
        <f t="shared" si="13"/>
        <v>29</v>
      </c>
      <c r="X76" s="461">
        <v>5</v>
      </c>
      <c r="Y76" s="461">
        <f t="shared" si="14"/>
        <v>5</v>
      </c>
      <c r="Z76" s="461"/>
    </row>
    <row r="77" spans="1:57">
      <c r="A77" s="53">
        <v>71</v>
      </c>
      <c r="B77">
        <v>22</v>
      </c>
      <c r="C77" s="1">
        <v>38749</v>
      </c>
      <c r="D77" s="53" t="s">
        <v>45</v>
      </c>
      <c r="E77">
        <v>2006</v>
      </c>
      <c r="F77" s="53" t="s">
        <v>223</v>
      </c>
      <c r="G77" s="21">
        <v>737000</v>
      </c>
      <c r="H77" s="9">
        <v>337</v>
      </c>
      <c r="I77">
        <v>0.5</v>
      </c>
      <c r="J77" s="21">
        <v>3942949.9999999995</v>
      </c>
      <c r="K77" s="21">
        <v>980210</v>
      </c>
      <c r="L77" s="102">
        <v>2005</v>
      </c>
      <c r="M77" s="94">
        <f t="shared" si="2"/>
        <v>5.35</v>
      </c>
      <c r="N77" s="5"/>
      <c r="O77" s="5"/>
      <c r="P77" s="13"/>
      <c r="Q77" s="5"/>
      <c r="S77" s="124">
        <v>51</v>
      </c>
      <c r="T77" s="124">
        <v>2004</v>
      </c>
      <c r="U77" s="163" t="s">
        <v>46</v>
      </c>
      <c r="V77" s="124">
        <v>1</v>
      </c>
      <c r="W77" s="461">
        <f t="shared" si="13"/>
        <v>29</v>
      </c>
      <c r="X77" s="461">
        <v>6</v>
      </c>
      <c r="Y77" s="461">
        <f t="shared" si="14"/>
        <v>6</v>
      </c>
      <c r="Z77" s="461"/>
    </row>
    <row r="78" spans="1:57">
      <c r="A78" s="53">
        <v>72</v>
      </c>
      <c r="B78">
        <v>22</v>
      </c>
      <c r="C78" s="1">
        <v>38777</v>
      </c>
      <c r="D78" s="53" t="s">
        <v>46</v>
      </c>
      <c r="E78">
        <v>2006</v>
      </c>
      <c r="F78" s="53" t="s">
        <v>223</v>
      </c>
      <c r="G78" s="21">
        <v>734574</v>
      </c>
      <c r="H78" s="9">
        <v>365</v>
      </c>
      <c r="I78">
        <v>0.5</v>
      </c>
      <c r="J78" s="21">
        <v>4054848.4799999995</v>
      </c>
      <c r="K78" s="21">
        <v>1285504.5</v>
      </c>
      <c r="L78" s="102">
        <v>2005</v>
      </c>
      <c r="M78" s="94">
        <f t="shared" si="2"/>
        <v>5.52</v>
      </c>
      <c r="N78" s="5"/>
      <c r="O78" s="5"/>
      <c r="P78" s="13"/>
      <c r="Q78" s="5"/>
      <c r="S78" s="124">
        <v>52</v>
      </c>
      <c r="T78" s="124">
        <v>2004</v>
      </c>
      <c r="U78" s="163" t="s">
        <v>47</v>
      </c>
      <c r="V78" s="124">
        <v>3</v>
      </c>
      <c r="W78" s="461">
        <f t="shared" si="13"/>
        <v>27</v>
      </c>
      <c r="X78" s="461">
        <v>7</v>
      </c>
      <c r="Y78" s="461">
        <f t="shared" si="14"/>
        <v>21</v>
      </c>
      <c r="Z78" s="461"/>
    </row>
    <row r="79" spans="1:57">
      <c r="A79" s="53">
        <v>73</v>
      </c>
      <c r="B79">
        <v>6</v>
      </c>
      <c r="C79" s="1">
        <v>38777</v>
      </c>
      <c r="D79" s="53" t="s">
        <v>46</v>
      </c>
      <c r="E79">
        <v>2006</v>
      </c>
      <c r="F79" s="53" t="s">
        <v>223</v>
      </c>
      <c r="G79" s="21">
        <v>566012</v>
      </c>
      <c r="H79" s="9">
        <v>90</v>
      </c>
      <c r="I79">
        <v>1</v>
      </c>
      <c r="J79" s="21">
        <v>4601677.5600000005</v>
      </c>
      <c r="K79" s="21">
        <v>1528232.4000000001</v>
      </c>
      <c r="L79" s="102">
        <v>2005</v>
      </c>
      <c r="M79" s="94">
        <f t="shared" ref="M79:M109" si="15">J79/G79</f>
        <v>8.1300000000000008</v>
      </c>
      <c r="N79" s="5"/>
      <c r="O79" s="5"/>
      <c r="P79" s="13"/>
      <c r="Q79" s="5"/>
      <c r="S79" s="124">
        <v>53</v>
      </c>
      <c r="T79" s="124">
        <v>2004</v>
      </c>
      <c r="U79" s="516" t="s">
        <v>48</v>
      </c>
      <c r="V79" s="124">
        <v>5</v>
      </c>
      <c r="W79" s="461">
        <f t="shared" si="13"/>
        <v>25</v>
      </c>
      <c r="X79" s="461">
        <v>8</v>
      </c>
      <c r="Y79" s="461">
        <f t="shared" si="14"/>
        <v>40</v>
      </c>
      <c r="Z79" s="461"/>
    </row>
    <row r="80" spans="1:57">
      <c r="A80" s="53">
        <v>74</v>
      </c>
      <c r="B80">
        <v>8</v>
      </c>
      <c r="C80" s="1">
        <v>38808</v>
      </c>
      <c r="D80" s="53" t="s">
        <v>47</v>
      </c>
      <c r="E80">
        <v>2006</v>
      </c>
      <c r="F80" s="53" t="s">
        <v>223</v>
      </c>
      <c r="G80" s="21">
        <v>728391</v>
      </c>
      <c r="H80" s="9">
        <v>182</v>
      </c>
      <c r="I80">
        <v>1</v>
      </c>
      <c r="J80" s="21">
        <v>1602460.2000000002</v>
      </c>
      <c r="K80" s="21">
        <v>437034.6</v>
      </c>
      <c r="L80" s="102">
        <v>2005</v>
      </c>
      <c r="M80" s="94">
        <f t="shared" si="15"/>
        <v>2.2000000000000002</v>
      </c>
      <c r="N80" s="5"/>
      <c r="O80" s="5"/>
      <c r="P80" s="13"/>
      <c r="Q80" s="5"/>
      <c r="S80" s="124">
        <v>54</v>
      </c>
      <c r="T80" s="124">
        <v>2004</v>
      </c>
      <c r="U80" s="163" t="s">
        <v>49</v>
      </c>
      <c r="V80" s="124">
        <v>2</v>
      </c>
      <c r="W80" s="461">
        <f t="shared" si="13"/>
        <v>28</v>
      </c>
      <c r="X80" s="461">
        <v>9</v>
      </c>
      <c r="Y80" s="461">
        <f t="shared" si="14"/>
        <v>18</v>
      </c>
      <c r="Z80" s="461"/>
      <c r="BC80">
        <v>1</v>
      </c>
      <c r="BD80">
        <v>2007</v>
      </c>
      <c r="BE80" s="94">
        <v>0.47</v>
      </c>
    </row>
    <row r="81" spans="1:57">
      <c r="A81" s="53">
        <v>75</v>
      </c>
      <c r="B81">
        <v>5</v>
      </c>
      <c r="C81" s="1">
        <v>38808</v>
      </c>
      <c r="D81" s="53" t="s">
        <v>47</v>
      </c>
      <c r="E81">
        <v>2006</v>
      </c>
      <c r="F81" s="53" t="s">
        <v>223</v>
      </c>
      <c r="G81" s="21">
        <v>39104</v>
      </c>
      <c r="H81" t="s">
        <v>9</v>
      </c>
      <c r="I81" s="48">
        <v>1</v>
      </c>
      <c r="J81" s="21">
        <v>243617.92000000001</v>
      </c>
      <c r="K81" s="21">
        <v>110664.32000000001</v>
      </c>
      <c r="L81" s="102">
        <v>2005</v>
      </c>
      <c r="M81" s="94">
        <f t="shared" si="15"/>
        <v>6.23</v>
      </c>
      <c r="N81" s="5"/>
      <c r="O81" s="5"/>
      <c r="P81" s="13"/>
      <c r="Q81" s="5"/>
      <c r="S81" s="124">
        <v>55</v>
      </c>
      <c r="T81" s="124">
        <v>2004</v>
      </c>
      <c r="U81" s="163" t="s">
        <v>50</v>
      </c>
      <c r="V81" s="124">
        <v>0</v>
      </c>
      <c r="W81" s="461">
        <f t="shared" si="13"/>
        <v>30</v>
      </c>
      <c r="X81" s="461">
        <v>10</v>
      </c>
      <c r="Y81" s="461">
        <f t="shared" si="14"/>
        <v>0</v>
      </c>
      <c r="Z81" s="461"/>
      <c r="BC81">
        <v>1</v>
      </c>
      <c r="BD81">
        <v>2007</v>
      </c>
      <c r="BE81" s="94">
        <v>2.48</v>
      </c>
    </row>
    <row r="82" spans="1:57">
      <c r="A82" s="53">
        <v>76</v>
      </c>
      <c r="B82">
        <v>1</v>
      </c>
      <c r="C82" s="1">
        <v>38838</v>
      </c>
      <c r="D82" s="53" t="s">
        <v>48</v>
      </c>
      <c r="E82">
        <v>2006</v>
      </c>
      <c r="F82" s="53" t="s">
        <v>223</v>
      </c>
      <c r="G82" s="21">
        <v>631392</v>
      </c>
      <c r="H82" s="9">
        <v>426</v>
      </c>
      <c r="I82">
        <v>1</v>
      </c>
      <c r="J82" s="21">
        <v>2134104.96</v>
      </c>
      <c r="K82" s="21">
        <v>896576.6399999999</v>
      </c>
      <c r="L82" s="102">
        <v>2005</v>
      </c>
      <c r="M82" s="94">
        <f t="shared" si="15"/>
        <v>3.38</v>
      </c>
      <c r="N82" s="5"/>
      <c r="O82" s="5"/>
      <c r="P82" s="13"/>
      <c r="Q82" s="5"/>
      <c r="S82" s="124">
        <v>56</v>
      </c>
      <c r="T82" s="124">
        <v>2004</v>
      </c>
      <c r="U82" s="516" t="s">
        <v>51</v>
      </c>
      <c r="V82" s="124">
        <v>1</v>
      </c>
      <c r="W82" s="461">
        <f t="shared" si="13"/>
        <v>29</v>
      </c>
      <c r="X82" s="461">
        <v>11</v>
      </c>
      <c r="Y82" s="461">
        <f t="shared" si="14"/>
        <v>11</v>
      </c>
      <c r="Z82" s="461"/>
      <c r="BC82">
        <v>1</v>
      </c>
      <c r="BD82">
        <v>2007</v>
      </c>
      <c r="BE82" s="94">
        <v>0.57999999999999996</v>
      </c>
    </row>
    <row r="83" spans="1:57">
      <c r="A83" s="53">
        <v>77</v>
      </c>
      <c r="B83">
        <v>2</v>
      </c>
      <c r="C83" s="1">
        <v>38838</v>
      </c>
      <c r="D83" s="52" t="s">
        <v>48</v>
      </c>
      <c r="E83" s="54">
        <v>2006</v>
      </c>
      <c r="F83" s="52" t="s">
        <v>223</v>
      </c>
      <c r="G83" s="21">
        <v>199936</v>
      </c>
      <c r="H83" s="9">
        <v>454</v>
      </c>
      <c r="I83">
        <v>1</v>
      </c>
      <c r="J83" s="21">
        <v>995681.28000000003</v>
      </c>
      <c r="K83" s="21">
        <v>469849.60000000003</v>
      </c>
      <c r="L83" s="102">
        <v>2005</v>
      </c>
      <c r="M83" s="94">
        <f t="shared" si="15"/>
        <v>4.9800000000000004</v>
      </c>
      <c r="N83" s="5"/>
      <c r="O83" s="5"/>
      <c r="P83" s="13"/>
      <c r="Q83" s="5"/>
      <c r="S83" s="124">
        <v>57</v>
      </c>
      <c r="T83" s="124">
        <v>2004</v>
      </c>
      <c r="U83" s="163" t="s">
        <v>52</v>
      </c>
      <c r="V83" s="124">
        <v>0</v>
      </c>
      <c r="W83" s="461">
        <f t="shared" si="13"/>
        <v>30</v>
      </c>
      <c r="X83" s="461">
        <v>0</v>
      </c>
      <c r="Y83" s="461">
        <f t="shared" si="14"/>
        <v>0</v>
      </c>
      <c r="Z83" s="461"/>
      <c r="BC83">
        <v>1</v>
      </c>
      <c r="BD83">
        <v>2007</v>
      </c>
      <c r="BE83" s="94">
        <v>1.5</v>
      </c>
    </row>
    <row r="84" spans="1:57">
      <c r="A84" s="53">
        <v>78</v>
      </c>
      <c r="B84">
        <v>6</v>
      </c>
      <c r="C84" s="1">
        <v>38991</v>
      </c>
      <c r="D84" s="53" t="s">
        <v>53</v>
      </c>
      <c r="E84">
        <v>2006</v>
      </c>
      <c r="F84" s="53" t="s">
        <v>224</v>
      </c>
      <c r="G84" s="21">
        <v>559300</v>
      </c>
      <c r="H84" s="9">
        <v>304</v>
      </c>
      <c r="I84">
        <v>1</v>
      </c>
      <c r="J84" s="21">
        <v>2365839.0000000005</v>
      </c>
      <c r="K84" s="21">
        <v>1465366</v>
      </c>
      <c r="L84" s="102">
        <v>2006</v>
      </c>
      <c r="M84" s="94">
        <f t="shared" si="15"/>
        <v>4.2300000000000004</v>
      </c>
      <c r="N84" s="5"/>
      <c r="O84" s="5"/>
      <c r="P84" s="13"/>
      <c r="Q84" s="5"/>
      <c r="S84" s="124">
        <v>58</v>
      </c>
      <c r="T84" s="124">
        <v>2004</v>
      </c>
      <c r="U84" s="163" t="s">
        <v>53</v>
      </c>
      <c r="V84" s="124">
        <v>0</v>
      </c>
      <c r="W84" s="461">
        <f t="shared" si="13"/>
        <v>30</v>
      </c>
      <c r="X84" s="461">
        <v>1</v>
      </c>
      <c r="Y84" s="461">
        <f t="shared" si="14"/>
        <v>0</v>
      </c>
      <c r="Z84" s="461"/>
      <c r="BC84">
        <v>1</v>
      </c>
      <c r="BD84">
        <v>2007</v>
      </c>
      <c r="BE84" s="94">
        <v>0.7</v>
      </c>
    </row>
    <row r="85" spans="1:57">
      <c r="A85" s="53">
        <v>79</v>
      </c>
      <c r="B85">
        <v>13</v>
      </c>
      <c r="C85" s="1">
        <v>38991</v>
      </c>
      <c r="D85" s="53" t="s">
        <v>53</v>
      </c>
      <c r="E85">
        <v>2006</v>
      </c>
      <c r="F85" s="53" t="s">
        <v>224</v>
      </c>
      <c r="G85" s="21">
        <v>552521</v>
      </c>
      <c r="H85" s="9">
        <v>334</v>
      </c>
      <c r="I85">
        <v>1</v>
      </c>
      <c r="J85" s="21">
        <v>4641176.4000000004</v>
      </c>
      <c r="K85" s="21">
        <v>1370252.08</v>
      </c>
      <c r="L85" s="102">
        <v>2006</v>
      </c>
      <c r="M85" s="94">
        <f t="shared" si="15"/>
        <v>8.4</v>
      </c>
      <c r="N85" s="5"/>
      <c r="O85" s="5"/>
      <c r="P85" s="13"/>
      <c r="Q85" s="5"/>
      <c r="S85" s="124">
        <v>59</v>
      </c>
      <c r="T85" s="124">
        <v>2004</v>
      </c>
      <c r="U85" s="516" t="s">
        <v>54</v>
      </c>
      <c r="V85" s="124">
        <v>1</v>
      </c>
      <c r="W85" s="461">
        <f t="shared" si="13"/>
        <v>29</v>
      </c>
      <c r="X85" s="461">
        <v>2</v>
      </c>
      <c r="Y85" s="461">
        <f t="shared" si="14"/>
        <v>2</v>
      </c>
      <c r="Z85" s="461"/>
      <c r="BC85">
        <v>1</v>
      </c>
      <c r="BD85">
        <v>2007</v>
      </c>
      <c r="BE85" s="94">
        <v>2.8</v>
      </c>
    </row>
    <row r="86" spans="1:57">
      <c r="A86" s="53">
        <v>80</v>
      </c>
      <c r="B86">
        <v>23</v>
      </c>
      <c r="C86" s="1">
        <v>39083</v>
      </c>
      <c r="D86" s="53" t="s">
        <v>44</v>
      </c>
      <c r="E86">
        <v>2007</v>
      </c>
      <c r="F86" s="53" t="s">
        <v>224</v>
      </c>
      <c r="G86" s="21">
        <v>578871</v>
      </c>
      <c r="H86" s="9">
        <v>365</v>
      </c>
      <c r="I86">
        <v>1</v>
      </c>
      <c r="J86" s="21">
        <v>839362.95</v>
      </c>
      <c r="K86" s="21">
        <v>395561.83070430002</v>
      </c>
      <c r="L86" s="102">
        <v>2006</v>
      </c>
      <c r="M86" s="94">
        <f t="shared" si="15"/>
        <v>1.45</v>
      </c>
      <c r="N86" s="5"/>
      <c r="O86" s="5"/>
      <c r="P86" s="13"/>
      <c r="Q86" s="5"/>
      <c r="S86" s="124">
        <v>60</v>
      </c>
      <c r="T86" s="124">
        <v>2004</v>
      </c>
      <c r="U86" s="163" t="s">
        <v>55</v>
      </c>
      <c r="V86" s="124">
        <v>1</v>
      </c>
      <c r="W86" s="461">
        <f t="shared" si="13"/>
        <v>29</v>
      </c>
      <c r="X86" s="461">
        <v>3</v>
      </c>
      <c r="Y86" s="461">
        <f t="shared" si="14"/>
        <v>3</v>
      </c>
      <c r="Z86" s="461"/>
      <c r="BC86">
        <v>1</v>
      </c>
      <c r="BD86">
        <v>2007</v>
      </c>
      <c r="BE86" s="94">
        <v>4.4000000000000004</v>
      </c>
    </row>
    <row r="87" spans="1:57">
      <c r="A87" s="53">
        <v>81</v>
      </c>
      <c r="B87">
        <v>19</v>
      </c>
      <c r="C87" s="1">
        <v>39083</v>
      </c>
      <c r="D87" s="53" t="s">
        <v>44</v>
      </c>
      <c r="E87">
        <v>2007</v>
      </c>
      <c r="F87" s="53" t="s">
        <v>224</v>
      </c>
      <c r="G87" s="21">
        <v>3066</v>
      </c>
      <c r="H87" t="s">
        <v>9</v>
      </c>
      <c r="I87">
        <v>1</v>
      </c>
      <c r="J87" s="21">
        <v>36792</v>
      </c>
      <c r="K87" s="21">
        <v>22995</v>
      </c>
      <c r="L87" s="102">
        <v>2006</v>
      </c>
      <c r="M87" s="94">
        <f t="shared" si="15"/>
        <v>12</v>
      </c>
      <c r="N87" s="5"/>
      <c r="O87" s="5"/>
      <c r="P87" s="13"/>
      <c r="Q87" s="5"/>
      <c r="S87" s="124">
        <v>61</v>
      </c>
      <c r="T87" s="516">
        <v>2005</v>
      </c>
      <c r="U87" s="163" t="s">
        <v>44</v>
      </c>
      <c r="V87" s="124">
        <v>3</v>
      </c>
      <c r="W87" s="461">
        <f t="shared" si="13"/>
        <v>27</v>
      </c>
      <c r="X87" s="461">
        <v>4</v>
      </c>
      <c r="Y87" s="461">
        <f t="shared" si="14"/>
        <v>12</v>
      </c>
      <c r="Z87" s="461"/>
      <c r="BC87">
        <v>1</v>
      </c>
      <c r="BD87">
        <v>2007</v>
      </c>
      <c r="BE87" s="94">
        <v>2.5166666666666666</v>
      </c>
    </row>
    <row r="88" spans="1:57">
      <c r="A88" s="53">
        <v>82</v>
      </c>
      <c r="B88">
        <v>20</v>
      </c>
      <c r="C88" s="1">
        <v>39083</v>
      </c>
      <c r="D88" s="53" t="s">
        <v>44</v>
      </c>
      <c r="E88">
        <v>2007</v>
      </c>
      <c r="F88" s="53" t="s">
        <v>224</v>
      </c>
      <c r="G88" s="21">
        <v>545161</v>
      </c>
      <c r="H88" s="9">
        <v>360</v>
      </c>
      <c r="I88">
        <v>1</v>
      </c>
      <c r="J88" s="21">
        <v>1962579.6</v>
      </c>
      <c r="K88" s="21">
        <v>731424.30532259995</v>
      </c>
      <c r="L88" s="102">
        <v>2006</v>
      </c>
      <c r="M88" s="94">
        <f t="shared" si="15"/>
        <v>3.6</v>
      </c>
      <c r="N88" s="5"/>
      <c r="O88" s="5"/>
      <c r="P88" s="13"/>
      <c r="Q88" s="5"/>
      <c r="S88" s="124">
        <v>62</v>
      </c>
      <c r="T88" s="516">
        <v>2005</v>
      </c>
      <c r="U88" s="516" t="s">
        <v>45</v>
      </c>
      <c r="V88" s="124">
        <v>4</v>
      </c>
      <c r="W88" s="461">
        <f t="shared" si="13"/>
        <v>26</v>
      </c>
      <c r="X88" s="461">
        <v>5</v>
      </c>
      <c r="Y88" s="461">
        <f t="shared" si="14"/>
        <v>20</v>
      </c>
      <c r="Z88" s="461"/>
    </row>
    <row r="89" spans="1:57">
      <c r="A89" s="53">
        <v>83</v>
      </c>
      <c r="B89">
        <v>24</v>
      </c>
      <c r="C89" s="1">
        <v>39083</v>
      </c>
      <c r="D89" s="52" t="s">
        <v>44</v>
      </c>
      <c r="E89" s="54">
        <v>2007</v>
      </c>
      <c r="F89" s="52" t="s">
        <v>224</v>
      </c>
      <c r="G89" s="21">
        <v>574401</v>
      </c>
      <c r="H89" s="9">
        <v>426</v>
      </c>
      <c r="I89">
        <v>1</v>
      </c>
      <c r="J89" s="21">
        <v>4384594.2808533004</v>
      </c>
      <c r="K89" s="21">
        <v>2048696.8617066001</v>
      </c>
      <c r="L89" s="102">
        <v>2006</v>
      </c>
      <c r="M89" s="94">
        <f t="shared" si="15"/>
        <v>7.6333333000000003</v>
      </c>
      <c r="N89" s="5"/>
      <c r="O89" s="5"/>
      <c r="P89" s="13"/>
      <c r="Q89" s="5"/>
      <c r="S89" s="124">
        <v>63</v>
      </c>
      <c r="T89" s="516">
        <v>2005</v>
      </c>
      <c r="U89" s="163" t="s">
        <v>46</v>
      </c>
      <c r="V89" s="124">
        <v>0</v>
      </c>
      <c r="W89" s="461">
        <f t="shared" si="13"/>
        <v>30</v>
      </c>
      <c r="X89" s="461">
        <v>6</v>
      </c>
      <c r="Y89" s="461">
        <f t="shared" si="14"/>
        <v>0</v>
      </c>
      <c r="Z89" s="461"/>
    </row>
    <row r="90" spans="1:57">
      <c r="A90" s="53">
        <v>84</v>
      </c>
      <c r="B90">
        <v>21</v>
      </c>
      <c r="C90" s="1">
        <v>39448</v>
      </c>
      <c r="D90" s="53" t="s">
        <v>44</v>
      </c>
      <c r="E90">
        <v>2008</v>
      </c>
      <c r="F90" s="53" t="s">
        <v>225</v>
      </c>
      <c r="G90" s="21">
        <v>680546</v>
      </c>
      <c r="H90" s="9">
        <v>396</v>
      </c>
      <c r="I90">
        <v>1</v>
      </c>
      <c r="J90" s="21">
        <v>319856.62</v>
      </c>
      <c r="K90" s="21">
        <v>217774.72</v>
      </c>
      <c r="L90" s="102">
        <v>2007</v>
      </c>
      <c r="M90" s="94">
        <f t="shared" si="15"/>
        <v>0.47</v>
      </c>
      <c r="N90" s="5"/>
      <c r="O90" s="5"/>
      <c r="P90" s="13"/>
      <c r="Q90" s="5"/>
      <c r="S90" s="124">
        <v>64</v>
      </c>
      <c r="T90" s="516">
        <v>2005</v>
      </c>
      <c r="U90" s="163" t="s">
        <v>47</v>
      </c>
      <c r="V90" s="124">
        <v>0</v>
      </c>
      <c r="W90" s="461">
        <f t="shared" si="13"/>
        <v>30</v>
      </c>
      <c r="X90" s="461">
        <v>7</v>
      </c>
      <c r="Y90" s="461">
        <f t="shared" si="14"/>
        <v>0</v>
      </c>
      <c r="Z90" s="461"/>
    </row>
    <row r="91" spans="1:57">
      <c r="A91" s="53">
        <v>85</v>
      </c>
      <c r="B91">
        <v>18</v>
      </c>
      <c r="C91" s="1">
        <v>39448</v>
      </c>
      <c r="D91" s="53" t="s">
        <v>44</v>
      </c>
      <c r="E91">
        <v>2008</v>
      </c>
      <c r="F91" s="53" t="s">
        <v>225</v>
      </c>
      <c r="G91" s="21">
        <v>553541</v>
      </c>
      <c r="H91" s="9">
        <v>426</v>
      </c>
      <c r="I91">
        <v>1</v>
      </c>
      <c r="J91" s="21">
        <v>1372781.68</v>
      </c>
      <c r="K91" s="21">
        <v>525863.94999999995</v>
      </c>
      <c r="L91" s="102">
        <v>2007</v>
      </c>
      <c r="M91" s="94">
        <f t="shared" si="15"/>
        <v>2.48</v>
      </c>
      <c r="N91" s="5"/>
      <c r="O91" s="5"/>
      <c r="P91" s="13"/>
      <c r="Q91" s="5"/>
      <c r="S91" s="124">
        <v>65</v>
      </c>
      <c r="T91" s="516">
        <v>2005</v>
      </c>
      <c r="U91" s="516" t="s">
        <v>48</v>
      </c>
      <c r="V91" s="124">
        <v>4</v>
      </c>
      <c r="W91" s="461">
        <f t="shared" si="13"/>
        <v>26</v>
      </c>
      <c r="X91" s="461">
        <v>8</v>
      </c>
      <c r="Y91" s="461">
        <f t="shared" si="14"/>
        <v>32</v>
      </c>
      <c r="Z91" s="461"/>
    </row>
    <row r="92" spans="1:57">
      <c r="A92" s="53">
        <v>86</v>
      </c>
      <c r="B92">
        <v>22</v>
      </c>
      <c r="C92" s="1">
        <v>39448</v>
      </c>
      <c r="D92" s="53" t="s">
        <v>44</v>
      </c>
      <c r="E92">
        <v>2008</v>
      </c>
      <c r="F92" s="53" t="s">
        <v>225</v>
      </c>
      <c r="G92" s="21">
        <v>655368</v>
      </c>
      <c r="H92" s="9">
        <v>396</v>
      </c>
      <c r="I92">
        <v>1</v>
      </c>
      <c r="J92" s="21">
        <v>380113.44</v>
      </c>
      <c r="K92" s="21">
        <v>144180.96</v>
      </c>
      <c r="L92" s="102">
        <v>2007</v>
      </c>
      <c r="M92" s="94">
        <f t="shared" si="15"/>
        <v>0.57999999999999996</v>
      </c>
      <c r="N92" s="5"/>
      <c r="O92" s="5"/>
      <c r="P92" s="13"/>
      <c r="Q92" s="5"/>
      <c r="S92" s="124">
        <v>66</v>
      </c>
      <c r="T92" s="516">
        <v>2005</v>
      </c>
      <c r="U92" s="163" t="s">
        <v>49</v>
      </c>
      <c r="V92" s="124">
        <v>0</v>
      </c>
      <c r="W92" s="461">
        <f t="shared" si="13"/>
        <v>30</v>
      </c>
      <c r="X92" s="461">
        <v>9</v>
      </c>
      <c r="Y92" s="461">
        <f t="shared" si="14"/>
        <v>0</v>
      </c>
      <c r="Z92" s="461"/>
    </row>
    <row r="93" spans="1:57">
      <c r="A93" s="53">
        <v>87</v>
      </c>
      <c r="B93">
        <v>9</v>
      </c>
      <c r="C93" s="1">
        <v>39448</v>
      </c>
      <c r="D93" s="53" t="s">
        <v>44</v>
      </c>
      <c r="E93">
        <v>2008</v>
      </c>
      <c r="F93" s="53" t="s">
        <v>225</v>
      </c>
      <c r="G93" s="21">
        <v>614889</v>
      </c>
      <c r="H93" s="9">
        <v>426</v>
      </c>
      <c r="I93">
        <v>1</v>
      </c>
      <c r="J93" s="21">
        <v>922333.5</v>
      </c>
      <c r="K93" s="21">
        <v>633335.67000000004</v>
      </c>
      <c r="L93" s="102">
        <v>2007</v>
      </c>
      <c r="M93" s="94">
        <f t="shared" si="15"/>
        <v>1.5</v>
      </c>
      <c r="N93" s="5"/>
      <c r="O93" s="5"/>
      <c r="P93" s="13"/>
      <c r="Q93" s="5"/>
      <c r="S93" s="124">
        <v>67</v>
      </c>
      <c r="T93" s="516">
        <v>2005</v>
      </c>
      <c r="U93" s="163" t="s">
        <v>50</v>
      </c>
      <c r="V93" s="124">
        <v>1</v>
      </c>
      <c r="W93" s="461">
        <f t="shared" si="13"/>
        <v>29</v>
      </c>
      <c r="X93" s="461">
        <v>10</v>
      </c>
      <c r="Y93" s="461">
        <f t="shared" si="14"/>
        <v>10</v>
      </c>
      <c r="Z93" s="461"/>
    </row>
    <row r="94" spans="1:57">
      <c r="A94" s="53">
        <v>88</v>
      </c>
      <c r="B94">
        <v>3</v>
      </c>
      <c r="C94" s="1">
        <v>39479</v>
      </c>
      <c r="D94" s="53" t="s">
        <v>45</v>
      </c>
      <c r="E94">
        <v>2008</v>
      </c>
      <c r="F94" s="53" t="s">
        <v>225</v>
      </c>
      <c r="G94" s="21">
        <v>598331</v>
      </c>
      <c r="H94" s="9">
        <v>444</v>
      </c>
      <c r="I94">
        <v>1</v>
      </c>
      <c r="J94" s="21">
        <v>418831.69999999995</v>
      </c>
      <c r="K94" s="21">
        <v>89749.65</v>
      </c>
      <c r="L94" s="102">
        <v>2007</v>
      </c>
      <c r="M94" s="94">
        <f t="shared" si="15"/>
        <v>0.7</v>
      </c>
      <c r="S94" s="124">
        <v>68</v>
      </c>
      <c r="T94" s="516">
        <v>2005</v>
      </c>
      <c r="U94" s="516" t="s">
        <v>51</v>
      </c>
      <c r="V94" s="124">
        <v>1</v>
      </c>
      <c r="W94" s="461">
        <f t="shared" si="13"/>
        <v>29</v>
      </c>
      <c r="X94" s="461">
        <v>11</v>
      </c>
      <c r="Y94" s="461">
        <f t="shared" si="14"/>
        <v>11</v>
      </c>
      <c r="Z94" s="461"/>
    </row>
    <row r="95" spans="1:57">
      <c r="A95" s="53">
        <v>89</v>
      </c>
      <c r="B95">
        <v>11</v>
      </c>
      <c r="C95" s="1">
        <v>39508</v>
      </c>
      <c r="D95" s="107" t="s">
        <v>46</v>
      </c>
      <c r="E95" s="53">
        <v>2008</v>
      </c>
      <c r="F95" s="53" t="s">
        <v>225</v>
      </c>
      <c r="G95" s="21">
        <v>564703</v>
      </c>
      <c r="H95" s="9">
        <v>388</v>
      </c>
      <c r="I95">
        <v>1</v>
      </c>
      <c r="J95" s="21">
        <v>1581168.4</v>
      </c>
      <c r="K95" s="21">
        <v>451762.4</v>
      </c>
      <c r="L95" s="102">
        <v>2007</v>
      </c>
      <c r="M95" s="94">
        <f>J95/G95</f>
        <v>2.8</v>
      </c>
      <c r="S95" s="124">
        <v>69</v>
      </c>
      <c r="T95" s="516">
        <v>2005</v>
      </c>
      <c r="U95" s="163" t="s">
        <v>52</v>
      </c>
      <c r="V95" s="124">
        <v>0</v>
      </c>
      <c r="W95" s="461">
        <f t="shared" si="13"/>
        <v>30</v>
      </c>
      <c r="X95" s="351">
        <v>0</v>
      </c>
      <c r="Y95" s="461">
        <f t="shared" si="14"/>
        <v>0</v>
      </c>
      <c r="Z95" s="461"/>
    </row>
    <row r="96" spans="1:57">
      <c r="A96" s="53">
        <v>90</v>
      </c>
      <c r="B96">
        <v>19</v>
      </c>
      <c r="C96" s="1">
        <v>39508</v>
      </c>
      <c r="D96" s="107" t="s">
        <v>46</v>
      </c>
      <c r="E96" s="53">
        <v>2008</v>
      </c>
      <c r="F96" s="53" t="s">
        <v>225</v>
      </c>
      <c r="G96" s="21">
        <v>35800</v>
      </c>
      <c r="H96" t="s">
        <v>9</v>
      </c>
      <c r="I96" s="48">
        <v>1</v>
      </c>
      <c r="J96" s="21">
        <v>157520</v>
      </c>
      <c r="K96" s="21">
        <v>110980</v>
      </c>
      <c r="L96" s="102">
        <v>2007</v>
      </c>
      <c r="M96" s="94">
        <f t="shared" si="15"/>
        <v>4.4000000000000004</v>
      </c>
      <c r="S96" s="124">
        <v>70</v>
      </c>
      <c r="T96" s="516">
        <v>2005</v>
      </c>
      <c r="U96" s="163" t="s">
        <v>53</v>
      </c>
      <c r="V96" s="124">
        <v>0</v>
      </c>
      <c r="W96" s="461">
        <f t="shared" si="13"/>
        <v>30</v>
      </c>
      <c r="X96" s="461">
        <v>1</v>
      </c>
      <c r="Y96" s="461">
        <f t="shared" si="14"/>
        <v>0</v>
      </c>
      <c r="Z96" s="461"/>
    </row>
    <row r="97" spans="1:26">
      <c r="A97" s="53">
        <v>91</v>
      </c>
      <c r="B97">
        <v>6</v>
      </c>
      <c r="C97" s="1">
        <v>39569</v>
      </c>
      <c r="D97" s="52" t="s">
        <v>48</v>
      </c>
      <c r="E97" s="54">
        <v>2008</v>
      </c>
      <c r="F97" s="52" t="s">
        <v>225</v>
      </c>
      <c r="G97" s="21">
        <v>597803</v>
      </c>
      <c r="H97" s="9">
        <v>427</v>
      </c>
      <c r="I97">
        <v>1</v>
      </c>
      <c r="J97" s="21">
        <v>1504470.8833333333</v>
      </c>
      <c r="K97" s="21">
        <v>667546.68333333323</v>
      </c>
      <c r="L97" s="102">
        <v>2007</v>
      </c>
      <c r="M97" s="94">
        <f t="shared" si="15"/>
        <v>2.5166666666666666</v>
      </c>
      <c r="S97" s="124">
        <v>71</v>
      </c>
      <c r="T97" s="516">
        <v>2005</v>
      </c>
      <c r="U97" s="516" t="s">
        <v>54</v>
      </c>
      <c r="V97" s="124">
        <v>1</v>
      </c>
      <c r="W97" s="461">
        <f t="shared" si="13"/>
        <v>29</v>
      </c>
      <c r="X97" s="461">
        <v>2</v>
      </c>
      <c r="Y97" s="461">
        <f t="shared" si="14"/>
        <v>2</v>
      </c>
      <c r="Z97" s="461"/>
    </row>
    <row r="98" spans="1:26">
      <c r="A98" s="53">
        <v>92</v>
      </c>
      <c r="B98">
        <v>13</v>
      </c>
      <c r="C98" s="4">
        <v>39753</v>
      </c>
      <c r="D98" s="108" t="s">
        <v>54</v>
      </c>
      <c r="E98" s="2">
        <v>2008</v>
      </c>
      <c r="F98" s="53" t="s">
        <v>247</v>
      </c>
      <c r="G98" s="21">
        <v>678000</v>
      </c>
      <c r="H98" s="21">
        <v>366</v>
      </c>
      <c r="I98">
        <v>1</v>
      </c>
      <c r="J98" s="21">
        <v>1762800</v>
      </c>
      <c r="K98" s="21">
        <v>786480</v>
      </c>
      <c r="L98" s="102">
        <v>2008</v>
      </c>
      <c r="M98" s="94">
        <f t="shared" si="15"/>
        <v>2.6</v>
      </c>
      <c r="S98" s="124">
        <v>72</v>
      </c>
      <c r="T98" s="516">
        <v>2005</v>
      </c>
      <c r="U98" s="163" t="s">
        <v>55</v>
      </c>
      <c r="V98" s="124">
        <v>3</v>
      </c>
      <c r="W98" s="461">
        <f t="shared" si="13"/>
        <v>27</v>
      </c>
      <c r="X98" s="461">
        <v>3</v>
      </c>
      <c r="Y98" s="461">
        <f t="shared" si="14"/>
        <v>9</v>
      </c>
      <c r="Z98" s="461"/>
    </row>
    <row r="99" spans="1:26">
      <c r="A99" s="53">
        <v>93</v>
      </c>
      <c r="B99">
        <v>18</v>
      </c>
      <c r="C99" s="4">
        <v>39783</v>
      </c>
      <c r="D99" s="108" t="s">
        <v>55</v>
      </c>
      <c r="E99" s="2">
        <v>2008</v>
      </c>
      <c r="F99" s="53" t="s">
        <v>247</v>
      </c>
      <c r="G99" s="21">
        <v>500000</v>
      </c>
      <c r="H99" s="21">
        <v>761</v>
      </c>
      <c r="I99">
        <v>1</v>
      </c>
      <c r="J99" s="21">
        <v>2545833.3333333335</v>
      </c>
      <c r="K99" s="21">
        <v>1120833.3333333333</v>
      </c>
      <c r="L99" s="102">
        <v>2008</v>
      </c>
      <c r="M99" s="94">
        <f t="shared" si="15"/>
        <v>5.0916666666666668</v>
      </c>
      <c r="S99" s="124">
        <v>73</v>
      </c>
      <c r="T99" s="516">
        <v>2006</v>
      </c>
      <c r="U99" s="163" t="s">
        <v>44</v>
      </c>
      <c r="V99" s="124">
        <v>4</v>
      </c>
      <c r="W99" s="461">
        <f t="shared" si="13"/>
        <v>26</v>
      </c>
      <c r="X99" s="461">
        <v>4</v>
      </c>
      <c r="Y99" s="461">
        <f t="shared" si="14"/>
        <v>16</v>
      </c>
      <c r="Z99" s="461"/>
    </row>
    <row r="100" spans="1:26">
      <c r="A100" s="53">
        <v>94</v>
      </c>
      <c r="B100">
        <v>24</v>
      </c>
      <c r="C100" s="4">
        <v>39783</v>
      </c>
      <c r="D100" s="108" t="s">
        <v>55</v>
      </c>
      <c r="E100" s="2">
        <v>2008</v>
      </c>
      <c r="F100" s="53" t="s">
        <v>247</v>
      </c>
      <c r="G100" s="21">
        <v>620000</v>
      </c>
      <c r="H100" s="116">
        <v>396</v>
      </c>
      <c r="I100">
        <v>1</v>
      </c>
      <c r="J100" s="21">
        <v>2114200</v>
      </c>
      <c r="K100" s="21">
        <v>558000</v>
      </c>
      <c r="L100" s="102">
        <v>2008</v>
      </c>
      <c r="M100" s="94">
        <f t="shared" si="15"/>
        <v>3.41</v>
      </c>
      <c r="P100"/>
      <c r="S100" s="124">
        <v>74</v>
      </c>
      <c r="T100" s="516">
        <v>2006</v>
      </c>
      <c r="U100" s="516" t="s">
        <v>45</v>
      </c>
      <c r="V100" s="124">
        <v>4</v>
      </c>
      <c r="W100" s="461">
        <f t="shared" si="13"/>
        <v>26</v>
      </c>
      <c r="X100" s="461">
        <v>5</v>
      </c>
      <c r="Y100" s="461">
        <f t="shared" si="14"/>
        <v>20</v>
      </c>
      <c r="Z100" s="461"/>
    </row>
    <row r="101" spans="1:26">
      <c r="A101" s="53">
        <v>95</v>
      </c>
      <c r="B101">
        <v>19</v>
      </c>
      <c r="C101" s="4">
        <v>39814</v>
      </c>
      <c r="D101" s="28" t="s">
        <v>44</v>
      </c>
      <c r="E101" s="2">
        <v>2009</v>
      </c>
      <c r="F101" s="53" t="s">
        <v>247</v>
      </c>
      <c r="G101" s="21">
        <v>23147</v>
      </c>
      <c r="H101" s="21" t="s">
        <v>9</v>
      </c>
      <c r="I101" s="21">
        <v>1</v>
      </c>
      <c r="J101" s="21">
        <v>92588</v>
      </c>
      <c r="K101" s="21">
        <v>64811.6</v>
      </c>
      <c r="L101" s="102">
        <v>2008</v>
      </c>
      <c r="M101" s="94">
        <f t="shared" si="15"/>
        <v>4</v>
      </c>
      <c r="P101" s="53"/>
      <c r="Q101" s="53"/>
      <c r="S101" s="124">
        <v>75</v>
      </c>
      <c r="T101" s="516">
        <v>2006</v>
      </c>
      <c r="U101" s="163" t="s">
        <v>46</v>
      </c>
      <c r="V101" s="124">
        <v>2</v>
      </c>
      <c r="W101" s="461">
        <f t="shared" si="13"/>
        <v>28</v>
      </c>
      <c r="X101" s="461">
        <v>6</v>
      </c>
      <c r="Y101" s="461">
        <f t="shared" si="14"/>
        <v>12</v>
      </c>
      <c r="Z101" s="461"/>
    </row>
    <row r="102" spans="1:26">
      <c r="A102" s="53">
        <v>96</v>
      </c>
      <c r="B102">
        <v>20</v>
      </c>
      <c r="C102" s="4">
        <v>39814</v>
      </c>
      <c r="D102" s="53" t="s">
        <v>44</v>
      </c>
      <c r="E102">
        <v>2009</v>
      </c>
      <c r="F102" s="53" t="s">
        <v>247</v>
      </c>
      <c r="G102" s="21">
        <v>522214</v>
      </c>
      <c r="H102" s="116">
        <v>397</v>
      </c>
      <c r="I102" s="21">
        <v>1</v>
      </c>
      <c r="J102" s="21">
        <v>208885.6</v>
      </c>
      <c r="K102" s="21">
        <v>67887.820000000007</v>
      </c>
      <c r="L102" s="102">
        <v>2008</v>
      </c>
      <c r="M102" s="94">
        <f t="shared" si="15"/>
        <v>0.4</v>
      </c>
      <c r="P102" s="53"/>
      <c r="Q102" s="53"/>
      <c r="S102" s="124">
        <v>76</v>
      </c>
      <c r="T102" s="516">
        <v>2006</v>
      </c>
      <c r="U102" s="163" t="s">
        <v>47</v>
      </c>
      <c r="V102" s="124">
        <v>2</v>
      </c>
      <c r="W102" s="461">
        <f t="shared" si="13"/>
        <v>28</v>
      </c>
      <c r="X102" s="461">
        <v>7</v>
      </c>
      <c r="Y102" s="461">
        <f t="shared" si="14"/>
        <v>14</v>
      </c>
      <c r="Z102" s="461"/>
    </row>
    <row r="103" spans="1:26">
      <c r="A103" s="53">
        <v>97</v>
      </c>
      <c r="B103">
        <v>23</v>
      </c>
      <c r="C103" s="4">
        <v>39814</v>
      </c>
      <c r="D103" s="108" t="s">
        <v>44</v>
      </c>
      <c r="E103" s="2">
        <v>2009</v>
      </c>
      <c r="F103" s="53" t="s">
        <v>247</v>
      </c>
      <c r="G103" s="21">
        <v>573294</v>
      </c>
      <c r="H103" s="116">
        <v>397</v>
      </c>
      <c r="I103" s="21">
        <v>1</v>
      </c>
      <c r="J103" s="21">
        <v>470101.07999999996</v>
      </c>
      <c r="K103" s="21">
        <v>235050.53999999998</v>
      </c>
      <c r="L103" s="102">
        <v>2008</v>
      </c>
      <c r="M103" s="94">
        <f t="shared" si="15"/>
        <v>0.82</v>
      </c>
      <c r="P103" s="53"/>
      <c r="Q103" s="53"/>
      <c r="S103" s="124">
        <v>77</v>
      </c>
      <c r="T103" s="516">
        <v>2006</v>
      </c>
      <c r="U103" s="516" t="s">
        <v>48</v>
      </c>
      <c r="V103" s="124">
        <v>2</v>
      </c>
      <c r="W103" s="461">
        <f t="shared" si="13"/>
        <v>28</v>
      </c>
      <c r="X103" s="461">
        <v>8</v>
      </c>
      <c r="Y103" s="461">
        <f t="shared" si="14"/>
        <v>16</v>
      </c>
      <c r="Z103" s="461"/>
    </row>
    <row r="104" spans="1:26">
      <c r="A104" s="53">
        <v>98</v>
      </c>
      <c r="B104">
        <v>26</v>
      </c>
      <c r="C104" s="4">
        <v>39814</v>
      </c>
      <c r="D104" s="28" t="s">
        <v>44</v>
      </c>
      <c r="E104" s="2">
        <v>2009</v>
      </c>
      <c r="F104" s="53" t="s">
        <v>247</v>
      </c>
      <c r="G104" s="21">
        <v>656000</v>
      </c>
      <c r="H104" s="116">
        <v>245</v>
      </c>
      <c r="I104" s="21">
        <v>1</v>
      </c>
      <c r="J104" s="21">
        <v>328000</v>
      </c>
      <c r="K104" s="21">
        <v>0</v>
      </c>
      <c r="L104" s="102">
        <v>2008</v>
      </c>
      <c r="M104" s="94">
        <f t="shared" si="15"/>
        <v>0.5</v>
      </c>
      <c r="P104" s="53"/>
      <c r="Q104" s="53"/>
      <c r="S104" s="124">
        <v>78</v>
      </c>
      <c r="T104" s="516">
        <v>2006</v>
      </c>
      <c r="U104" s="163" t="s">
        <v>49</v>
      </c>
      <c r="V104" s="124">
        <v>0</v>
      </c>
      <c r="W104" s="461">
        <f t="shared" si="13"/>
        <v>30</v>
      </c>
      <c r="X104" s="461">
        <v>9</v>
      </c>
      <c r="Y104" s="461">
        <f t="shared" si="14"/>
        <v>0</v>
      </c>
      <c r="Z104" s="461"/>
    </row>
    <row r="105" spans="1:26">
      <c r="A105" s="53">
        <v>99</v>
      </c>
      <c r="B105">
        <v>2</v>
      </c>
      <c r="C105" s="4">
        <v>39845</v>
      </c>
      <c r="D105" s="28" t="s">
        <v>45</v>
      </c>
      <c r="E105" s="2">
        <v>2009</v>
      </c>
      <c r="F105" s="53" t="s">
        <v>247</v>
      </c>
      <c r="G105" s="21">
        <v>344170</v>
      </c>
      <c r="H105" s="116">
        <v>306</v>
      </c>
      <c r="I105" s="21">
        <v>1</v>
      </c>
      <c r="J105" s="21">
        <v>378587.00000000006</v>
      </c>
      <c r="K105" s="21">
        <v>120459.49999999999</v>
      </c>
      <c r="L105" s="102">
        <v>2008</v>
      </c>
      <c r="M105" s="94">
        <f t="shared" si="15"/>
        <v>1.1000000000000001</v>
      </c>
      <c r="P105" s="53"/>
      <c r="Q105" s="53"/>
      <c r="S105" s="124">
        <v>79</v>
      </c>
      <c r="T105" s="516">
        <v>2006</v>
      </c>
      <c r="U105" s="163" t="s">
        <v>50</v>
      </c>
      <c r="V105" s="124">
        <v>0</v>
      </c>
      <c r="W105" s="461">
        <f t="shared" si="13"/>
        <v>30</v>
      </c>
      <c r="X105" s="461">
        <v>10</v>
      </c>
      <c r="Y105" s="461">
        <f t="shared" si="14"/>
        <v>0</v>
      </c>
      <c r="Z105" s="461"/>
    </row>
    <row r="106" spans="1:26">
      <c r="A106" s="53">
        <v>100</v>
      </c>
      <c r="B106">
        <v>3</v>
      </c>
      <c r="C106" s="4">
        <v>39845</v>
      </c>
      <c r="D106" s="108" t="s">
        <v>45</v>
      </c>
      <c r="E106" s="2">
        <v>2009</v>
      </c>
      <c r="F106" s="53" t="s">
        <v>247</v>
      </c>
      <c r="G106" s="21">
        <v>282705</v>
      </c>
      <c r="H106" s="116">
        <v>92</v>
      </c>
      <c r="I106" s="21">
        <v>1</v>
      </c>
      <c r="J106" s="21">
        <v>461751.50000000006</v>
      </c>
      <c r="K106" s="21">
        <v>183758.25</v>
      </c>
      <c r="L106" s="102">
        <v>2008</v>
      </c>
      <c r="M106" s="94">
        <f t="shared" si="15"/>
        <v>1.6333333333333335</v>
      </c>
      <c r="P106" s="53"/>
      <c r="Q106" s="53"/>
      <c r="S106" s="124">
        <v>80</v>
      </c>
      <c r="T106" s="516">
        <v>2006</v>
      </c>
      <c r="U106" s="516" t="s">
        <v>51</v>
      </c>
      <c r="V106" s="124">
        <v>0</v>
      </c>
      <c r="W106" s="461">
        <f t="shared" si="13"/>
        <v>30</v>
      </c>
      <c r="X106" s="461">
        <v>11</v>
      </c>
      <c r="Y106" s="461">
        <f t="shared" si="14"/>
        <v>0</v>
      </c>
      <c r="Z106" s="461"/>
    </row>
    <row r="107" spans="1:26">
      <c r="A107" s="53">
        <v>101</v>
      </c>
      <c r="B107">
        <v>4</v>
      </c>
      <c r="C107" s="4">
        <v>39845</v>
      </c>
      <c r="D107" s="53" t="s">
        <v>45</v>
      </c>
      <c r="E107">
        <v>2009</v>
      </c>
      <c r="F107" s="53" t="s">
        <v>247</v>
      </c>
      <c r="G107" s="21">
        <v>277936</v>
      </c>
      <c r="H107" s="116">
        <v>62</v>
      </c>
      <c r="I107" s="21">
        <v>1</v>
      </c>
      <c r="J107" s="21">
        <v>301097.32406880002</v>
      </c>
      <c r="K107" s="21">
        <v>115806.6481376</v>
      </c>
      <c r="L107" s="102">
        <v>2008</v>
      </c>
      <c r="M107" s="94">
        <f t="shared" si="15"/>
        <v>1.0833333000000001</v>
      </c>
      <c r="P107" s="53"/>
      <c r="Q107" s="53"/>
      <c r="T107" s="516"/>
      <c r="U107" s="124" t="s">
        <v>767</v>
      </c>
      <c r="V107" s="124">
        <f>SUM(V59:V106)</f>
        <v>57</v>
      </c>
      <c r="X107" s="461"/>
      <c r="Y107" s="124">
        <f>SUM(Y59:Y106)</f>
        <v>326</v>
      </c>
      <c r="Z107" s="461"/>
    </row>
    <row r="108" spans="1:26">
      <c r="A108" s="53">
        <v>102</v>
      </c>
      <c r="B108">
        <v>8</v>
      </c>
      <c r="C108" s="4">
        <v>39845</v>
      </c>
      <c r="D108" s="108" t="s">
        <v>45</v>
      </c>
      <c r="E108" s="2">
        <v>2009</v>
      </c>
      <c r="F108" s="53" t="s">
        <v>247</v>
      </c>
      <c r="G108" s="21">
        <v>714079</v>
      </c>
      <c r="H108" s="116">
        <v>123</v>
      </c>
      <c r="I108" s="21">
        <v>1</v>
      </c>
      <c r="J108" s="21">
        <v>166618.40953070001</v>
      </c>
      <c r="K108" s="21">
        <v>47605.219061400006</v>
      </c>
      <c r="L108" s="102">
        <v>2008</v>
      </c>
      <c r="M108" s="94">
        <f t="shared" si="15"/>
        <v>0.23333330000000002</v>
      </c>
      <c r="P108" s="53"/>
      <c r="Q108" s="53"/>
      <c r="T108" s="516"/>
      <c r="X108" s="541" t="s">
        <v>768</v>
      </c>
      <c r="Y108" s="523">
        <f>Y107/V107</f>
        <v>5.7192982456140351</v>
      </c>
      <c r="Z108" s="461"/>
    </row>
    <row r="109" spans="1:26">
      <c r="A109" s="53">
        <v>103</v>
      </c>
      <c r="B109">
        <v>5</v>
      </c>
      <c r="C109" s="4">
        <v>39904</v>
      </c>
      <c r="D109" s="463" t="s">
        <v>47</v>
      </c>
      <c r="E109" s="54">
        <v>2009</v>
      </c>
      <c r="F109" s="463" t="s">
        <v>247</v>
      </c>
      <c r="G109" s="21">
        <v>41965</v>
      </c>
      <c r="H109" s="221" t="s">
        <v>9</v>
      </c>
      <c r="I109" s="21">
        <v>1</v>
      </c>
      <c r="J109" s="21">
        <v>23080.750000000004</v>
      </c>
      <c r="K109" s="21">
        <v>9442.125</v>
      </c>
      <c r="L109" s="102">
        <v>2008</v>
      </c>
      <c r="M109" s="94">
        <f t="shared" si="15"/>
        <v>0.55000000000000004</v>
      </c>
      <c r="Y109" s="542" t="s">
        <v>770</v>
      </c>
      <c r="Z109" s="461"/>
    </row>
    <row r="110" spans="1:26">
      <c r="A110" s="540" t="s">
        <v>814</v>
      </c>
      <c r="B110"/>
      <c r="C110" s="4"/>
      <c r="D110" s="108"/>
      <c r="E110" s="2"/>
      <c r="H110" s="116"/>
      <c r="I110" s="21"/>
      <c r="Z110" s="461"/>
    </row>
    <row r="111" spans="1:26">
      <c r="B111"/>
      <c r="C111" s="4"/>
      <c r="D111" s="108"/>
      <c r="E111" s="2"/>
      <c r="H111" s="79"/>
      <c r="I111" s="21"/>
      <c r="Z111" s="461"/>
    </row>
    <row r="112" spans="1:26">
      <c r="B112"/>
      <c r="S112" s="468" t="s">
        <v>759</v>
      </c>
      <c r="T112" s="516"/>
      <c r="U112" s="516"/>
      <c r="V112" s="516"/>
      <c r="W112" s="461"/>
      <c r="X112" s="516" t="s">
        <v>752</v>
      </c>
      <c r="Y112" s="516"/>
      <c r="Z112" s="461"/>
    </row>
    <row r="113" spans="2:28">
      <c r="B113"/>
      <c r="S113" s="515" t="s">
        <v>196</v>
      </c>
      <c r="T113" s="515" t="s">
        <v>0</v>
      </c>
      <c r="U113" s="515" t="s">
        <v>34</v>
      </c>
      <c r="V113" s="515" t="s">
        <v>215</v>
      </c>
      <c r="W113" s="515" t="s">
        <v>764</v>
      </c>
      <c r="X113" s="515" t="s">
        <v>765</v>
      </c>
      <c r="Y113" s="515" t="s">
        <v>766</v>
      </c>
    </row>
    <row r="114" spans="2:28">
      <c r="B114"/>
      <c r="C114" s="485" t="s">
        <v>702</v>
      </c>
      <c r="D114" s="28"/>
      <c r="E114" s="2"/>
      <c r="G114" s="115"/>
      <c r="S114" s="124">
        <v>81</v>
      </c>
      <c r="T114" s="546">
        <v>2006</v>
      </c>
      <c r="U114" s="163" t="s">
        <v>52</v>
      </c>
      <c r="V114" s="124">
        <v>0</v>
      </c>
      <c r="W114" s="461">
        <f t="shared" ref="W114:W117" si="16">30-V114</f>
        <v>30</v>
      </c>
      <c r="X114" s="461">
        <v>0</v>
      </c>
      <c r="Y114" s="461">
        <f t="shared" ref="Y114:Y117" si="17">V114*X114</f>
        <v>0</v>
      </c>
    </row>
    <row r="115" spans="2:28">
      <c r="B115"/>
      <c r="C115" s="4"/>
      <c r="D115" s="108"/>
      <c r="E115" s="2"/>
      <c r="H115" s="116"/>
      <c r="I115" s="21"/>
      <c r="J115" s="21" t="s">
        <v>423</v>
      </c>
      <c r="M115" s="94" t="s">
        <v>423</v>
      </c>
      <c r="S115" s="124">
        <v>82</v>
      </c>
      <c r="T115" s="546">
        <v>2006</v>
      </c>
      <c r="U115" s="163" t="s">
        <v>53</v>
      </c>
      <c r="V115" s="124">
        <v>2</v>
      </c>
      <c r="W115" s="461">
        <f t="shared" si="16"/>
        <v>28</v>
      </c>
      <c r="X115" s="461">
        <v>1</v>
      </c>
      <c r="Y115" s="461">
        <f t="shared" si="17"/>
        <v>2</v>
      </c>
    </row>
    <row r="116" spans="2:28">
      <c r="B116"/>
      <c r="C116" s="486" t="s">
        <v>35</v>
      </c>
      <c r="D116" s="487" t="s">
        <v>34</v>
      </c>
      <c r="E116" s="488" t="s">
        <v>0</v>
      </c>
      <c r="F116" s="484" t="s">
        <v>216</v>
      </c>
      <c r="G116" s="346" t="s">
        <v>239</v>
      </c>
      <c r="H116" s="489" t="s">
        <v>40</v>
      </c>
      <c r="I116" s="346" t="s">
        <v>273</v>
      </c>
      <c r="J116" s="346" t="s">
        <v>234</v>
      </c>
      <c r="K116" s="346" t="s">
        <v>226</v>
      </c>
      <c r="L116" s="490" t="s">
        <v>697</v>
      </c>
      <c r="M116" s="363" t="s">
        <v>235</v>
      </c>
      <c r="S116" s="124">
        <v>83</v>
      </c>
      <c r="T116" s="546">
        <v>2006</v>
      </c>
      <c r="U116" s="546" t="s">
        <v>54</v>
      </c>
      <c r="V116" s="124">
        <v>0</v>
      </c>
      <c r="W116" s="461">
        <f t="shared" si="16"/>
        <v>30</v>
      </c>
      <c r="X116" s="461">
        <v>2</v>
      </c>
      <c r="Y116" s="461">
        <f t="shared" si="17"/>
        <v>0</v>
      </c>
      <c r="Z116" s="461"/>
      <c r="AA116" s="424" t="s">
        <v>751</v>
      </c>
      <c r="AB116"/>
    </row>
    <row r="117" spans="2:28">
      <c r="B117"/>
      <c r="C117" s="7">
        <v>36465</v>
      </c>
      <c r="D117" s="28" t="s">
        <v>54</v>
      </c>
      <c r="E117" s="2">
        <v>1999</v>
      </c>
      <c r="F117" s="53" t="s">
        <v>217</v>
      </c>
      <c r="G117" s="115">
        <v>493149.75238095201</v>
      </c>
      <c r="H117" s="21">
        <v>214</v>
      </c>
      <c r="I117">
        <v>1</v>
      </c>
      <c r="J117" s="21">
        <v>3131500.9276190451</v>
      </c>
      <c r="K117" s="21">
        <v>1257531.8685714274</v>
      </c>
      <c r="L117" s="48">
        <v>1999</v>
      </c>
      <c r="M117" s="94">
        <v>6.35</v>
      </c>
      <c r="S117" s="124">
        <v>84</v>
      </c>
      <c r="T117" s="546">
        <v>2006</v>
      </c>
      <c r="U117" s="163" t="s">
        <v>55</v>
      </c>
      <c r="V117" s="124">
        <v>0</v>
      </c>
      <c r="W117" s="461">
        <f t="shared" si="16"/>
        <v>30</v>
      </c>
      <c r="X117" s="461">
        <v>3</v>
      </c>
      <c r="Y117" s="461">
        <f t="shared" si="17"/>
        <v>0</v>
      </c>
      <c r="Z117" s="461"/>
      <c r="AA117" s="467" t="s">
        <v>689</v>
      </c>
      <c r="AB117" t="s">
        <v>690</v>
      </c>
    </row>
    <row r="118" spans="2:28">
      <c r="B118"/>
      <c r="C118">
        <v>36647</v>
      </c>
      <c r="D118" s="53" t="s">
        <v>48</v>
      </c>
      <c r="E118">
        <v>2000</v>
      </c>
      <c r="F118" s="53" t="s">
        <v>217</v>
      </c>
      <c r="G118" s="21">
        <v>368740</v>
      </c>
      <c r="H118" s="21">
        <v>578</v>
      </c>
      <c r="I118">
        <v>0.5</v>
      </c>
      <c r="J118" s="21">
        <v>12822933.5</v>
      </c>
      <c r="K118" s="21">
        <v>5743125.5</v>
      </c>
      <c r="L118" s="48">
        <v>1999</v>
      </c>
      <c r="M118" s="94">
        <v>34.774999999999999</v>
      </c>
      <c r="S118" s="124">
        <v>85</v>
      </c>
      <c r="T118" s="546">
        <v>2007</v>
      </c>
      <c r="U118" s="163" t="s">
        <v>44</v>
      </c>
      <c r="V118" s="124">
        <v>4</v>
      </c>
      <c r="W118" s="461">
        <f t="shared" ref="W118" si="18">30-V118</f>
        <v>26</v>
      </c>
      <c r="X118" s="461">
        <v>4</v>
      </c>
      <c r="Y118" s="461">
        <f>V118*X118</f>
        <v>16</v>
      </c>
      <c r="Z118" s="461"/>
      <c r="AA118" s="18" t="s">
        <v>44</v>
      </c>
      <c r="AB118" s="48">
        <v>12</v>
      </c>
    </row>
    <row r="119" spans="2:28">
      <c r="C119">
        <v>36678</v>
      </c>
      <c r="D119" s="53" t="s">
        <v>49</v>
      </c>
      <c r="E119">
        <v>2000</v>
      </c>
      <c r="F119" s="53" t="s">
        <v>217</v>
      </c>
      <c r="G119" s="21">
        <v>379585</v>
      </c>
      <c r="H119" s="21">
        <v>517</v>
      </c>
      <c r="I119">
        <v>1</v>
      </c>
      <c r="J119" s="21">
        <v>9228133.1111111101</v>
      </c>
      <c r="K119" s="21">
        <v>4829164.722222222</v>
      </c>
      <c r="L119" s="48">
        <v>1999</v>
      </c>
      <c r="M119" s="94">
        <v>24.31111111111111</v>
      </c>
      <c r="S119" s="124">
        <v>86</v>
      </c>
      <c r="T119" s="516">
        <v>2007</v>
      </c>
      <c r="U119" s="516" t="s">
        <v>45</v>
      </c>
      <c r="V119" s="124">
        <v>0</v>
      </c>
      <c r="W119" s="461">
        <f t="shared" ref="W119:W133" si="19">30-V119</f>
        <v>30</v>
      </c>
      <c r="X119" s="461">
        <v>5</v>
      </c>
      <c r="Y119" s="461">
        <f t="shared" ref="Y119:Y153" si="20">V119*X119</f>
        <v>0</v>
      </c>
      <c r="Z119" s="461"/>
      <c r="AA119" s="18" t="s">
        <v>45</v>
      </c>
      <c r="AB119" s="48">
        <v>5</v>
      </c>
    </row>
    <row r="120" spans="2:28">
      <c r="C120">
        <v>36708</v>
      </c>
      <c r="D120" s="53" t="s">
        <v>50</v>
      </c>
      <c r="E120">
        <v>2000</v>
      </c>
      <c r="F120" s="53" t="s">
        <v>217</v>
      </c>
      <c r="G120" s="21">
        <v>455173</v>
      </c>
      <c r="H120" s="21">
        <v>457</v>
      </c>
      <c r="I120">
        <v>1</v>
      </c>
      <c r="J120" s="21">
        <v>9362908.6099999994</v>
      </c>
      <c r="K120" s="21">
        <v>3855315.3100000005</v>
      </c>
      <c r="L120" s="48">
        <v>1999</v>
      </c>
      <c r="M120" s="94">
        <v>20.57</v>
      </c>
      <c r="S120" s="124">
        <v>87</v>
      </c>
      <c r="T120" s="516">
        <v>2007</v>
      </c>
      <c r="U120" s="163" t="s">
        <v>46</v>
      </c>
      <c r="V120" s="124">
        <v>0</v>
      </c>
      <c r="W120" s="461">
        <f t="shared" si="19"/>
        <v>30</v>
      </c>
      <c r="X120" s="461">
        <v>6</v>
      </c>
      <c r="Y120" s="461">
        <f t="shared" si="20"/>
        <v>0</v>
      </c>
      <c r="Z120" s="461"/>
      <c r="AA120" s="18" t="s">
        <v>46</v>
      </c>
      <c r="AB120" s="48">
        <v>2</v>
      </c>
    </row>
    <row r="121" spans="2:28">
      <c r="C121">
        <v>37226</v>
      </c>
      <c r="D121" s="53" t="s">
        <v>55</v>
      </c>
      <c r="E121">
        <v>2001</v>
      </c>
      <c r="F121" s="53" t="s">
        <v>219</v>
      </c>
      <c r="G121" s="21">
        <v>585965</v>
      </c>
      <c r="H121" s="21">
        <v>275</v>
      </c>
      <c r="I121">
        <v>1</v>
      </c>
      <c r="J121" s="21">
        <v>6387018.4999999991</v>
      </c>
      <c r="K121" s="21">
        <v>2636842.5</v>
      </c>
      <c r="L121" s="48">
        <v>2001</v>
      </c>
      <c r="M121" s="94">
        <v>10.899999999999999</v>
      </c>
      <c r="S121" s="124">
        <v>88</v>
      </c>
      <c r="T121" s="516">
        <v>2007</v>
      </c>
      <c r="U121" s="163" t="s">
        <v>47</v>
      </c>
      <c r="V121" s="124">
        <v>0</v>
      </c>
      <c r="W121" s="461">
        <f t="shared" si="19"/>
        <v>30</v>
      </c>
      <c r="X121" s="461">
        <v>7</v>
      </c>
      <c r="Y121" s="461">
        <f t="shared" si="20"/>
        <v>0</v>
      </c>
      <c r="Z121" s="461"/>
      <c r="AA121" s="18" t="s">
        <v>47</v>
      </c>
      <c r="AB121" s="48">
        <v>1</v>
      </c>
    </row>
    <row r="122" spans="2:28">
      <c r="C122">
        <v>37288</v>
      </c>
      <c r="D122" s="53" t="s">
        <v>45</v>
      </c>
      <c r="E122">
        <v>2002</v>
      </c>
      <c r="F122" s="53" t="s">
        <v>219</v>
      </c>
      <c r="G122" s="21">
        <v>1078273</v>
      </c>
      <c r="H122" s="21">
        <v>488</v>
      </c>
      <c r="I122">
        <v>0.5</v>
      </c>
      <c r="J122" s="21">
        <v>6775867.5319999997</v>
      </c>
      <c r="K122" s="21">
        <v>2766848.5179999997</v>
      </c>
      <c r="L122" s="48">
        <v>2001</v>
      </c>
      <c r="M122" s="94">
        <v>6.2839999999999998</v>
      </c>
      <c r="S122" s="124">
        <v>89</v>
      </c>
      <c r="T122" s="516">
        <v>2007</v>
      </c>
      <c r="U122" s="516" t="s">
        <v>48</v>
      </c>
      <c r="V122" s="124">
        <v>0</v>
      </c>
      <c r="W122" s="461">
        <f t="shared" si="19"/>
        <v>30</v>
      </c>
      <c r="X122" s="461">
        <v>8</v>
      </c>
      <c r="Y122" s="461">
        <f t="shared" si="20"/>
        <v>0</v>
      </c>
      <c r="Z122" s="461"/>
      <c r="AA122" s="18" t="s">
        <v>48</v>
      </c>
      <c r="AB122" s="48">
        <v>1</v>
      </c>
    </row>
    <row r="123" spans="2:28">
      <c r="C123">
        <v>37316</v>
      </c>
      <c r="D123" s="53" t="s">
        <v>46</v>
      </c>
      <c r="E123">
        <v>2002</v>
      </c>
      <c r="F123" s="53" t="s">
        <v>219</v>
      </c>
      <c r="G123" s="21">
        <v>483799</v>
      </c>
      <c r="H123" s="21">
        <v>516</v>
      </c>
      <c r="I123">
        <v>1</v>
      </c>
      <c r="J123" s="21">
        <v>13401232.299999999</v>
      </c>
      <c r="K123" s="21">
        <v>3471257.8249999997</v>
      </c>
      <c r="L123" s="48">
        <v>2001</v>
      </c>
      <c r="M123" s="94">
        <v>27.7</v>
      </c>
      <c r="S123" s="124">
        <v>90</v>
      </c>
      <c r="T123" s="516">
        <v>2007</v>
      </c>
      <c r="U123" s="163" t="s">
        <v>49</v>
      </c>
      <c r="V123" s="124">
        <v>0</v>
      </c>
      <c r="W123" s="461">
        <f t="shared" si="19"/>
        <v>30</v>
      </c>
      <c r="X123" s="461">
        <v>9</v>
      </c>
      <c r="Y123" s="461">
        <f t="shared" si="20"/>
        <v>0</v>
      </c>
      <c r="Z123" s="461"/>
      <c r="AA123" s="18" t="s">
        <v>49</v>
      </c>
      <c r="AB123" s="48">
        <v>0</v>
      </c>
    </row>
    <row r="124" spans="2:28">
      <c r="C124">
        <v>37316</v>
      </c>
      <c r="D124" s="53" t="s">
        <v>46</v>
      </c>
      <c r="E124">
        <v>2002</v>
      </c>
      <c r="F124" s="53" t="s">
        <v>219</v>
      </c>
      <c r="G124" s="21">
        <v>1077375</v>
      </c>
      <c r="H124" s="21">
        <v>516</v>
      </c>
      <c r="I124">
        <v>0.5</v>
      </c>
      <c r="J124" s="21">
        <v>9434213.7500000019</v>
      </c>
      <c r="K124" s="21">
        <v>3663075</v>
      </c>
      <c r="L124" s="48">
        <v>2001</v>
      </c>
      <c r="M124" s="94">
        <v>8.7566666666666677</v>
      </c>
      <c r="S124" s="124">
        <v>91</v>
      </c>
      <c r="T124" s="516">
        <v>2007</v>
      </c>
      <c r="U124" s="163" t="s">
        <v>50</v>
      </c>
      <c r="V124" s="124">
        <v>0</v>
      </c>
      <c r="W124" s="461">
        <f t="shared" si="19"/>
        <v>30</v>
      </c>
      <c r="X124" s="461">
        <v>10</v>
      </c>
      <c r="Y124" s="461">
        <f t="shared" si="20"/>
        <v>0</v>
      </c>
      <c r="Z124" s="461"/>
      <c r="AA124" s="18" t="s">
        <v>50</v>
      </c>
      <c r="AB124" s="48">
        <v>0</v>
      </c>
    </row>
    <row r="125" spans="2:28">
      <c r="C125">
        <v>37347</v>
      </c>
      <c r="D125" s="53" t="s">
        <v>47</v>
      </c>
      <c r="E125">
        <v>2002</v>
      </c>
      <c r="F125" s="53" t="s">
        <v>219</v>
      </c>
      <c r="G125" s="21">
        <v>414064</v>
      </c>
      <c r="H125" s="21">
        <v>396</v>
      </c>
      <c r="I125">
        <v>1</v>
      </c>
      <c r="J125" s="21">
        <v>4202749.6000000006</v>
      </c>
      <c r="K125" s="21">
        <v>1378833.12</v>
      </c>
      <c r="L125" s="48">
        <v>2001</v>
      </c>
      <c r="M125" s="94">
        <v>10.150000000000002</v>
      </c>
      <c r="S125" s="124">
        <v>92</v>
      </c>
      <c r="T125" s="516">
        <v>2007</v>
      </c>
      <c r="U125" s="163" t="s">
        <v>51</v>
      </c>
      <c r="V125" s="124">
        <v>0</v>
      </c>
      <c r="W125" s="461">
        <f t="shared" si="19"/>
        <v>30</v>
      </c>
      <c r="X125" s="351">
        <v>11</v>
      </c>
      <c r="Y125" s="461">
        <f t="shared" si="20"/>
        <v>0</v>
      </c>
      <c r="Z125" s="461"/>
      <c r="AA125" s="18" t="s">
        <v>51</v>
      </c>
      <c r="AB125" s="48">
        <v>0</v>
      </c>
    </row>
    <row r="126" spans="2:28">
      <c r="C126">
        <v>37347</v>
      </c>
      <c r="D126" s="53" t="s">
        <v>47</v>
      </c>
      <c r="E126">
        <v>2002</v>
      </c>
      <c r="F126" s="53" t="s">
        <v>219</v>
      </c>
      <c r="G126" s="21">
        <v>939900</v>
      </c>
      <c r="H126" s="21">
        <v>424</v>
      </c>
      <c r="I126">
        <v>1</v>
      </c>
      <c r="J126" s="21">
        <v>23069845.5</v>
      </c>
      <c r="K126" s="21">
        <v>9283079</v>
      </c>
      <c r="L126" s="48">
        <v>2001</v>
      </c>
      <c r="M126" s="94">
        <v>24.545000000000002</v>
      </c>
      <c r="S126" s="124">
        <v>93</v>
      </c>
      <c r="T126" s="516">
        <v>2007</v>
      </c>
      <c r="U126" s="516" t="s">
        <v>52</v>
      </c>
      <c r="V126" s="124">
        <v>0</v>
      </c>
      <c r="W126" s="461">
        <f t="shared" si="19"/>
        <v>30</v>
      </c>
      <c r="X126" s="461">
        <v>0</v>
      </c>
      <c r="Y126" s="461">
        <f t="shared" si="20"/>
        <v>0</v>
      </c>
      <c r="Z126" s="461"/>
      <c r="AA126" s="18" t="s">
        <v>52</v>
      </c>
      <c r="AB126" s="48">
        <v>0</v>
      </c>
    </row>
    <row r="127" spans="2:28">
      <c r="C127">
        <v>37377</v>
      </c>
      <c r="D127" s="53" t="s">
        <v>48</v>
      </c>
      <c r="E127">
        <v>2002</v>
      </c>
      <c r="F127" s="53" t="s">
        <v>219</v>
      </c>
      <c r="G127" s="21">
        <v>114376</v>
      </c>
      <c r="H127" s="21">
        <v>485</v>
      </c>
      <c r="I127">
        <v>1</v>
      </c>
      <c r="J127" s="21">
        <v>3351216.8000000003</v>
      </c>
      <c r="K127" s="21">
        <v>1807140.8</v>
      </c>
      <c r="L127" s="48">
        <v>2001</v>
      </c>
      <c r="M127" s="94">
        <v>29.3</v>
      </c>
      <c r="S127" s="124">
        <v>94</v>
      </c>
      <c r="T127" s="516">
        <v>2007</v>
      </c>
      <c r="U127" s="163" t="s">
        <v>53</v>
      </c>
      <c r="V127" s="124">
        <v>0</v>
      </c>
      <c r="W127" s="461">
        <f t="shared" si="19"/>
        <v>30</v>
      </c>
      <c r="X127" s="461">
        <v>1</v>
      </c>
      <c r="Y127" s="461">
        <f t="shared" si="20"/>
        <v>0</v>
      </c>
      <c r="Z127" s="461"/>
      <c r="AA127" s="18" t="s">
        <v>53</v>
      </c>
      <c r="AB127" s="48">
        <v>0</v>
      </c>
    </row>
    <row r="128" spans="2:28">
      <c r="C128">
        <v>37408</v>
      </c>
      <c r="D128" s="53" t="s">
        <v>49</v>
      </c>
      <c r="E128">
        <v>2002</v>
      </c>
      <c r="F128" s="53" t="s">
        <v>219</v>
      </c>
      <c r="G128" s="21">
        <v>584156</v>
      </c>
      <c r="H128" s="21">
        <v>426</v>
      </c>
      <c r="I128">
        <v>1</v>
      </c>
      <c r="J128" s="21">
        <v>10164314.399999999</v>
      </c>
      <c r="K128" s="21">
        <v>2073753.7999999998</v>
      </c>
      <c r="L128" s="48">
        <v>2001</v>
      </c>
      <c r="M128" s="94">
        <v>17.399999999999999</v>
      </c>
      <c r="S128" s="124">
        <v>95</v>
      </c>
      <c r="T128" s="516">
        <v>2007</v>
      </c>
      <c r="U128" s="163" t="s">
        <v>54</v>
      </c>
      <c r="V128" s="124">
        <v>0</v>
      </c>
      <c r="W128" s="461">
        <f t="shared" si="19"/>
        <v>30</v>
      </c>
      <c r="X128" s="461">
        <v>2</v>
      </c>
      <c r="Y128" s="461">
        <f t="shared" si="20"/>
        <v>0</v>
      </c>
      <c r="Z128" s="461"/>
      <c r="AA128" s="18" t="s">
        <v>54</v>
      </c>
      <c r="AB128" s="48">
        <v>6</v>
      </c>
    </row>
    <row r="129" spans="3:28">
      <c r="C129">
        <v>37926</v>
      </c>
      <c r="D129" s="53" t="s">
        <v>54</v>
      </c>
      <c r="E129">
        <v>2003</v>
      </c>
      <c r="F129" s="53" t="s">
        <v>221</v>
      </c>
      <c r="G129" s="21">
        <v>653000</v>
      </c>
      <c r="H129" s="21">
        <v>335</v>
      </c>
      <c r="I129">
        <v>1</v>
      </c>
      <c r="J129" s="21">
        <v>3049510</v>
      </c>
      <c r="K129" s="21">
        <v>1371300</v>
      </c>
      <c r="L129" s="48">
        <v>2003</v>
      </c>
      <c r="M129" s="94">
        <v>4.67</v>
      </c>
      <c r="S129" s="124">
        <v>96</v>
      </c>
      <c r="T129" s="516">
        <v>2007</v>
      </c>
      <c r="U129" s="163" t="s">
        <v>55</v>
      </c>
      <c r="V129" s="124">
        <v>0</v>
      </c>
      <c r="W129" s="461">
        <f t="shared" si="19"/>
        <v>30</v>
      </c>
      <c r="X129" s="461">
        <v>3</v>
      </c>
      <c r="Y129" s="461">
        <f t="shared" si="20"/>
        <v>0</v>
      </c>
      <c r="Z129" s="461"/>
      <c r="AA129" s="18" t="s">
        <v>55</v>
      </c>
      <c r="AB129" s="48">
        <v>5</v>
      </c>
    </row>
    <row r="130" spans="3:28">
      <c r="C130">
        <v>37956</v>
      </c>
      <c r="D130" s="53" t="s">
        <v>55</v>
      </c>
      <c r="E130">
        <v>2003</v>
      </c>
      <c r="F130" s="53" t="s">
        <v>221</v>
      </c>
      <c r="G130" s="21">
        <v>664749</v>
      </c>
      <c r="H130" s="21">
        <v>303</v>
      </c>
      <c r="I130">
        <v>1</v>
      </c>
      <c r="J130" s="21">
        <v>1415915.3699999999</v>
      </c>
      <c r="K130" s="21">
        <v>930648.6</v>
      </c>
      <c r="L130" s="48">
        <v>2003</v>
      </c>
      <c r="M130" s="94">
        <v>2.13</v>
      </c>
      <c r="S130" s="124">
        <v>97</v>
      </c>
      <c r="T130" s="124">
        <v>2008</v>
      </c>
      <c r="U130" s="516" t="s">
        <v>44</v>
      </c>
      <c r="V130" s="124">
        <v>4</v>
      </c>
      <c r="W130" s="461">
        <f t="shared" si="19"/>
        <v>26</v>
      </c>
      <c r="X130" s="461">
        <v>4</v>
      </c>
      <c r="Y130" s="461">
        <f t="shared" si="20"/>
        <v>16</v>
      </c>
      <c r="Z130" s="461"/>
      <c r="AA130" s="18" t="s">
        <v>688</v>
      </c>
      <c r="AB130" s="48">
        <v>32</v>
      </c>
    </row>
    <row r="131" spans="3:28">
      <c r="C131">
        <v>37987</v>
      </c>
      <c r="D131" s="53" t="s">
        <v>44</v>
      </c>
      <c r="E131">
        <v>2004</v>
      </c>
      <c r="F131" s="53" t="s">
        <v>221</v>
      </c>
      <c r="G131" s="21">
        <v>420226</v>
      </c>
      <c r="H131" s="21">
        <v>334</v>
      </c>
      <c r="I131">
        <v>1</v>
      </c>
      <c r="J131" s="21">
        <v>1680904</v>
      </c>
      <c r="K131" s="21">
        <v>533687.02</v>
      </c>
      <c r="L131" s="48">
        <v>2003</v>
      </c>
      <c r="M131" s="94">
        <v>4</v>
      </c>
      <c r="S131" s="124">
        <v>98</v>
      </c>
      <c r="T131" s="124">
        <v>2008</v>
      </c>
      <c r="U131" s="163" t="s">
        <v>45</v>
      </c>
      <c r="V131" s="124">
        <v>1</v>
      </c>
      <c r="W131" s="461">
        <f t="shared" si="19"/>
        <v>29</v>
      </c>
      <c r="X131" s="461">
        <v>5</v>
      </c>
      <c r="Y131" s="461">
        <f t="shared" si="20"/>
        <v>5</v>
      </c>
      <c r="Z131" s="461"/>
    </row>
    <row r="132" spans="3:28">
      <c r="C132">
        <v>37987</v>
      </c>
      <c r="D132" s="53" t="s">
        <v>44</v>
      </c>
      <c r="E132">
        <v>2004</v>
      </c>
      <c r="F132" s="53" t="s">
        <v>221</v>
      </c>
      <c r="G132" s="21">
        <v>1745</v>
      </c>
      <c r="H132" s="21" t="s">
        <v>9</v>
      </c>
      <c r="I132">
        <v>0.5</v>
      </c>
      <c r="J132" s="21">
        <v>61685.75</v>
      </c>
      <c r="K132" s="21">
        <v>33853</v>
      </c>
      <c r="L132" s="48">
        <v>2003</v>
      </c>
      <c r="M132" s="94">
        <v>35.35</v>
      </c>
      <c r="S132" s="124">
        <v>99</v>
      </c>
      <c r="T132" s="124">
        <v>2008</v>
      </c>
      <c r="U132" s="163" t="s">
        <v>46</v>
      </c>
      <c r="V132" s="464">
        <v>2</v>
      </c>
      <c r="W132" s="461">
        <f t="shared" si="19"/>
        <v>28</v>
      </c>
      <c r="X132" s="461">
        <v>6</v>
      </c>
      <c r="Y132" s="461">
        <f t="shared" si="20"/>
        <v>12</v>
      </c>
      <c r="Z132" s="461"/>
    </row>
    <row r="133" spans="3:28">
      <c r="C133">
        <v>37987</v>
      </c>
      <c r="D133" s="53" t="s">
        <v>44</v>
      </c>
      <c r="E133">
        <v>2004</v>
      </c>
      <c r="F133" s="53" t="s">
        <v>221</v>
      </c>
      <c r="G133" s="21">
        <v>231784</v>
      </c>
      <c r="H133" s="21">
        <v>640</v>
      </c>
      <c r="I133">
        <v>1</v>
      </c>
      <c r="J133" s="21">
        <v>2341018.4</v>
      </c>
      <c r="K133" s="21">
        <v>1147330.8</v>
      </c>
      <c r="L133" s="48">
        <v>2003</v>
      </c>
      <c r="M133" s="94">
        <v>10.1</v>
      </c>
      <c r="S133" s="124">
        <v>100</v>
      </c>
      <c r="T133" s="124">
        <v>2008</v>
      </c>
      <c r="U133" s="163" t="s">
        <v>47</v>
      </c>
      <c r="V133" s="464">
        <v>0</v>
      </c>
      <c r="W133" s="461">
        <f t="shared" si="19"/>
        <v>30</v>
      </c>
      <c r="X133" s="461">
        <v>7</v>
      </c>
      <c r="Y133" s="461">
        <f t="shared" si="20"/>
        <v>0</v>
      </c>
      <c r="Z133" s="461"/>
    </row>
    <row r="134" spans="3:28">
      <c r="C134">
        <v>37987</v>
      </c>
      <c r="D134" s="53" t="s">
        <v>44</v>
      </c>
      <c r="E134">
        <v>2004</v>
      </c>
      <c r="F134" s="53" t="s">
        <v>221</v>
      </c>
      <c r="G134" s="21">
        <v>348700</v>
      </c>
      <c r="H134" s="21">
        <v>640</v>
      </c>
      <c r="I134">
        <v>1</v>
      </c>
      <c r="J134" s="21">
        <v>7277369</v>
      </c>
      <c r="K134" s="21">
        <v>3602071</v>
      </c>
      <c r="L134" s="48">
        <v>2003</v>
      </c>
      <c r="M134" s="94">
        <v>20.87</v>
      </c>
      <c r="S134" s="124">
        <v>101</v>
      </c>
      <c r="T134" s="124">
        <v>2008</v>
      </c>
      <c r="U134" s="516" t="s">
        <v>48</v>
      </c>
      <c r="V134" s="464">
        <v>1</v>
      </c>
      <c r="W134" s="461">
        <f t="shared" ref="W134:W153" si="21">30-V134</f>
        <v>29</v>
      </c>
      <c r="X134" s="461">
        <v>8</v>
      </c>
      <c r="Y134" s="461">
        <f t="shared" si="20"/>
        <v>8</v>
      </c>
      <c r="Z134" s="461"/>
    </row>
    <row r="135" spans="3:28">
      <c r="C135">
        <v>38018</v>
      </c>
      <c r="D135" s="53" t="s">
        <v>45</v>
      </c>
      <c r="E135">
        <v>2004</v>
      </c>
      <c r="F135" s="53" t="s">
        <v>221</v>
      </c>
      <c r="G135" s="21">
        <v>38000</v>
      </c>
      <c r="H135" s="21" t="s">
        <v>9</v>
      </c>
      <c r="I135">
        <v>0.5</v>
      </c>
      <c r="J135" s="21">
        <v>410400</v>
      </c>
      <c r="K135" s="21">
        <v>247000</v>
      </c>
      <c r="L135" s="48">
        <v>2003</v>
      </c>
      <c r="M135" s="94">
        <v>10.8</v>
      </c>
      <c r="S135" s="124">
        <v>102</v>
      </c>
      <c r="T135" s="124">
        <v>2008</v>
      </c>
      <c r="U135" s="163" t="s">
        <v>49</v>
      </c>
      <c r="V135" s="464">
        <v>0</v>
      </c>
      <c r="W135" s="461">
        <f t="shared" si="21"/>
        <v>30</v>
      </c>
      <c r="X135" s="461">
        <v>9</v>
      </c>
      <c r="Y135" s="461">
        <f t="shared" si="20"/>
        <v>0</v>
      </c>
      <c r="Z135" s="461"/>
    </row>
    <row r="136" spans="3:28">
      <c r="C136">
        <v>38047</v>
      </c>
      <c r="D136" s="53" t="s">
        <v>46</v>
      </c>
      <c r="E136">
        <v>2004</v>
      </c>
      <c r="F136" s="53" t="s">
        <v>221</v>
      </c>
      <c r="G136" s="21">
        <v>19743</v>
      </c>
      <c r="H136" s="21" t="s">
        <v>9</v>
      </c>
      <c r="I136">
        <v>0.5</v>
      </c>
      <c r="J136" s="21">
        <v>94766.399999999994</v>
      </c>
      <c r="K136" s="21">
        <v>41460.300000000003</v>
      </c>
      <c r="L136" s="48">
        <v>2003</v>
      </c>
      <c r="M136" s="94">
        <v>4.8</v>
      </c>
      <c r="S136" s="124">
        <v>103</v>
      </c>
      <c r="T136" s="124">
        <v>2008</v>
      </c>
      <c r="U136" s="163" t="s">
        <v>50</v>
      </c>
      <c r="V136" s="464">
        <v>0</v>
      </c>
      <c r="W136" s="461">
        <f t="shared" si="21"/>
        <v>30</v>
      </c>
      <c r="X136" s="461">
        <v>10</v>
      </c>
      <c r="Y136" s="461">
        <f t="shared" si="20"/>
        <v>0</v>
      </c>
      <c r="Z136" s="461"/>
    </row>
    <row r="137" spans="3:28">
      <c r="C137">
        <v>38078</v>
      </c>
      <c r="D137" s="53" t="s">
        <v>47</v>
      </c>
      <c r="E137">
        <v>2004</v>
      </c>
      <c r="F137" s="53" t="s">
        <v>221</v>
      </c>
      <c r="G137" s="21">
        <v>20919</v>
      </c>
      <c r="H137" s="21" t="s">
        <v>9</v>
      </c>
      <c r="I137">
        <v>0.5</v>
      </c>
      <c r="J137" s="21">
        <v>26357.94</v>
      </c>
      <c r="K137" s="21">
        <v>13388.16</v>
      </c>
      <c r="L137" s="48">
        <v>2003</v>
      </c>
      <c r="M137" s="94">
        <v>1.26</v>
      </c>
      <c r="S137" s="124">
        <v>104</v>
      </c>
      <c r="T137" s="124">
        <v>2008</v>
      </c>
      <c r="U137" s="163" t="s">
        <v>51</v>
      </c>
      <c r="V137" s="464">
        <v>0</v>
      </c>
      <c r="W137" s="461">
        <f t="shared" si="21"/>
        <v>30</v>
      </c>
      <c r="X137" s="461">
        <v>11</v>
      </c>
      <c r="Y137" s="461">
        <f t="shared" si="20"/>
        <v>0</v>
      </c>
      <c r="Z137" s="461"/>
    </row>
    <row r="138" spans="3:28">
      <c r="C138">
        <v>38078</v>
      </c>
      <c r="D138" s="53" t="s">
        <v>47</v>
      </c>
      <c r="E138">
        <v>2004</v>
      </c>
      <c r="F138" s="53" t="s">
        <v>221</v>
      </c>
      <c r="G138" s="21">
        <v>603918</v>
      </c>
      <c r="H138" s="21">
        <v>366</v>
      </c>
      <c r="I138">
        <v>1</v>
      </c>
      <c r="J138" s="21">
        <v>4070407.3200000003</v>
      </c>
      <c r="K138" s="21">
        <v>875681.1</v>
      </c>
      <c r="L138" s="48">
        <v>2003</v>
      </c>
      <c r="M138" s="94">
        <v>6.74</v>
      </c>
      <c r="S138" s="124">
        <v>105</v>
      </c>
      <c r="T138" s="124">
        <v>2008</v>
      </c>
      <c r="U138" s="516" t="s">
        <v>52</v>
      </c>
      <c r="V138" s="464">
        <v>0</v>
      </c>
      <c r="W138" s="461">
        <f t="shared" si="21"/>
        <v>30</v>
      </c>
      <c r="X138" s="461">
        <v>0</v>
      </c>
      <c r="Y138" s="461">
        <f t="shared" si="20"/>
        <v>0</v>
      </c>
      <c r="Z138" s="461"/>
    </row>
    <row r="139" spans="3:28">
      <c r="C139">
        <v>38078</v>
      </c>
      <c r="D139" s="53" t="s">
        <v>47</v>
      </c>
      <c r="E139">
        <v>2004</v>
      </c>
      <c r="F139" s="53" t="s">
        <v>221</v>
      </c>
      <c r="G139" s="21">
        <v>762157</v>
      </c>
      <c r="H139" s="21">
        <v>397</v>
      </c>
      <c r="I139">
        <v>1</v>
      </c>
      <c r="J139" s="21">
        <v>4931155.79</v>
      </c>
      <c r="K139" s="21">
        <v>1105127.6499999999</v>
      </c>
      <c r="L139" s="48">
        <v>2003</v>
      </c>
      <c r="M139" s="94">
        <v>6.47</v>
      </c>
      <c r="S139" s="124">
        <v>106</v>
      </c>
      <c r="T139" s="124">
        <v>2008</v>
      </c>
      <c r="U139" s="163" t="s">
        <v>53</v>
      </c>
      <c r="V139" s="464">
        <v>0</v>
      </c>
      <c r="W139" s="461">
        <f t="shared" si="21"/>
        <v>30</v>
      </c>
      <c r="X139" s="461">
        <v>1</v>
      </c>
      <c r="Y139" s="461">
        <f t="shared" si="20"/>
        <v>0</v>
      </c>
      <c r="Z139" s="461"/>
    </row>
    <row r="140" spans="3:28">
      <c r="C140">
        <v>38108</v>
      </c>
      <c r="D140" s="53" t="s">
        <v>48</v>
      </c>
      <c r="E140">
        <v>2004</v>
      </c>
      <c r="F140" s="53" t="s">
        <v>221</v>
      </c>
      <c r="G140" s="21">
        <v>553745</v>
      </c>
      <c r="H140" s="21">
        <v>608</v>
      </c>
      <c r="I140">
        <v>1</v>
      </c>
      <c r="J140" s="21">
        <v>19242638.75</v>
      </c>
      <c r="K140" s="21">
        <v>12431575.25</v>
      </c>
      <c r="L140" s="48">
        <v>2003</v>
      </c>
      <c r="M140" s="94">
        <v>34.75</v>
      </c>
      <c r="S140" s="124">
        <v>107</v>
      </c>
      <c r="T140" s="124">
        <v>2008</v>
      </c>
      <c r="U140" s="163" t="s">
        <v>54</v>
      </c>
      <c r="V140" s="124">
        <v>1</v>
      </c>
      <c r="W140" s="461">
        <f t="shared" si="21"/>
        <v>29</v>
      </c>
      <c r="X140" s="461">
        <v>2</v>
      </c>
      <c r="Y140" s="461">
        <f t="shared" si="20"/>
        <v>2</v>
      </c>
      <c r="Z140" s="461"/>
    </row>
    <row r="141" spans="3:28">
      <c r="C141">
        <v>38108</v>
      </c>
      <c r="D141" s="53" t="s">
        <v>48</v>
      </c>
      <c r="E141">
        <v>2004</v>
      </c>
      <c r="F141" s="53" t="s">
        <v>221</v>
      </c>
      <c r="G141" s="21">
        <v>473021</v>
      </c>
      <c r="H141" s="21">
        <v>546</v>
      </c>
      <c r="I141">
        <v>1</v>
      </c>
      <c r="J141" s="21">
        <v>10642972.5</v>
      </c>
      <c r="K141" s="21">
        <v>6243877.1999999993</v>
      </c>
      <c r="L141" s="48">
        <v>2003</v>
      </c>
      <c r="M141" s="94">
        <v>22.5</v>
      </c>
      <c r="S141" s="124">
        <v>108</v>
      </c>
      <c r="T141" s="124">
        <v>2008</v>
      </c>
      <c r="U141" s="163" t="s">
        <v>55</v>
      </c>
      <c r="V141" s="124">
        <v>2</v>
      </c>
      <c r="W141" s="461">
        <f t="shared" si="21"/>
        <v>28</v>
      </c>
      <c r="X141" s="461">
        <v>3</v>
      </c>
      <c r="Y141" s="461">
        <f t="shared" si="20"/>
        <v>6</v>
      </c>
      <c r="Z141" s="461"/>
    </row>
    <row r="142" spans="3:28">
      <c r="C142">
        <v>38108</v>
      </c>
      <c r="D142" s="53" t="s">
        <v>48</v>
      </c>
      <c r="E142">
        <v>2004</v>
      </c>
      <c r="F142" s="53" t="s">
        <v>221</v>
      </c>
      <c r="G142" s="21">
        <v>483726</v>
      </c>
      <c r="H142" s="21">
        <v>455</v>
      </c>
      <c r="I142">
        <v>1</v>
      </c>
      <c r="J142" s="21">
        <v>7546125.5999999996</v>
      </c>
      <c r="K142" s="21">
        <v>3773062.8</v>
      </c>
      <c r="L142" s="48">
        <v>2003</v>
      </c>
      <c r="M142" s="94">
        <v>15.6</v>
      </c>
      <c r="S142" s="124">
        <v>109</v>
      </c>
      <c r="T142" s="124">
        <v>2009</v>
      </c>
      <c r="U142" s="516" t="s">
        <v>44</v>
      </c>
      <c r="V142" s="124">
        <v>4</v>
      </c>
      <c r="W142" s="461">
        <f t="shared" si="21"/>
        <v>26</v>
      </c>
      <c r="X142" s="461">
        <v>4</v>
      </c>
      <c r="Y142" s="461">
        <f t="shared" si="20"/>
        <v>16</v>
      </c>
      <c r="Z142" s="461"/>
    </row>
    <row r="143" spans="3:28">
      <c r="C143">
        <v>38108</v>
      </c>
      <c r="D143" s="53" t="s">
        <v>48</v>
      </c>
      <c r="E143">
        <v>2004</v>
      </c>
      <c r="F143" s="53" t="s">
        <v>221</v>
      </c>
      <c r="G143" s="21">
        <v>402222</v>
      </c>
      <c r="H143" s="21">
        <v>366</v>
      </c>
      <c r="I143">
        <v>1</v>
      </c>
      <c r="J143" s="21">
        <v>6435552</v>
      </c>
      <c r="K143" s="21">
        <v>2936220.6</v>
      </c>
      <c r="L143" s="48">
        <v>2003</v>
      </c>
      <c r="M143" s="94">
        <v>16</v>
      </c>
      <c r="S143" s="124">
        <v>110</v>
      </c>
      <c r="T143" s="124">
        <v>2009</v>
      </c>
      <c r="U143" s="516" t="s">
        <v>45</v>
      </c>
      <c r="V143" s="124">
        <v>4</v>
      </c>
      <c r="W143" s="461">
        <f t="shared" si="21"/>
        <v>26</v>
      </c>
      <c r="X143" s="461">
        <v>5</v>
      </c>
      <c r="Y143" s="461">
        <f t="shared" si="20"/>
        <v>20</v>
      </c>
      <c r="Z143" s="461"/>
    </row>
    <row r="144" spans="3:28">
      <c r="C144">
        <v>38108</v>
      </c>
      <c r="D144" s="53" t="s">
        <v>48</v>
      </c>
      <c r="E144">
        <v>2004</v>
      </c>
      <c r="F144" s="53" t="s">
        <v>221</v>
      </c>
      <c r="G144" s="21">
        <v>662975</v>
      </c>
      <c r="H144" s="21">
        <v>152</v>
      </c>
      <c r="I144">
        <v>1</v>
      </c>
      <c r="J144" s="21">
        <v>2917090.0000000005</v>
      </c>
      <c r="K144" s="21">
        <v>165743.75</v>
      </c>
      <c r="L144" s="48">
        <v>2003</v>
      </c>
      <c r="M144" s="94">
        <v>4.4000000000000004</v>
      </c>
      <c r="S144" s="124">
        <v>111</v>
      </c>
      <c r="T144" s="124">
        <v>2009</v>
      </c>
      <c r="U144" s="163" t="s">
        <v>46</v>
      </c>
      <c r="V144" s="124">
        <v>0</v>
      </c>
      <c r="W144" s="461">
        <f t="shared" si="21"/>
        <v>30</v>
      </c>
      <c r="X144" s="461">
        <v>6</v>
      </c>
      <c r="Y144" s="461">
        <f t="shared" si="20"/>
        <v>0</v>
      </c>
      <c r="Z144" s="461"/>
    </row>
    <row r="145" spans="3:26">
      <c r="C145">
        <v>38139</v>
      </c>
      <c r="D145" s="53" t="s">
        <v>49</v>
      </c>
      <c r="E145">
        <v>2004</v>
      </c>
      <c r="F145" s="53" t="s">
        <v>221</v>
      </c>
      <c r="G145" s="21">
        <v>671000</v>
      </c>
      <c r="H145" s="21">
        <v>61</v>
      </c>
      <c r="I145">
        <v>1</v>
      </c>
      <c r="J145" s="21">
        <v>2751099.9999999995</v>
      </c>
      <c r="K145" s="21">
        <v>1140700</v>
      </c>
      <c r="L145" s="48">
        <v>2003</v>
      </c>
      <c r="M145" s="94">
        <v>4.0999999999999996</v>
      </c>
      <c r="S145" s="124">
        <v>112</v>
      </c>
      <c r="T145" s="124">
        <v>2009</v>
      </c>
      <c r="U145" s="163" t="s">
        <v>47</v>
      </c>
      <c r="V145" s="124">
        <v>1</v>
      </c>
      <c r="W145" s="461">
        <f t="shared" si="21"/>
        <v>29</v>
      </c>
      <c r="X145" s="461">
        <v>7</v>
      </c>
      <c r="Y145" s="461">
        <f t="shared" si="20"/>
        <v>7</v>
      </c>
      <c r="Z145" s="461"/>
    </row>
    <row r="146" spans="3:26">
      <c r="C146">
        <v>38139</v>
      </c>
      <c r="D146" s="53" t="s">
        <v>49</v>
      </c>
      <c r="E146">
        <v>2004</v>
      </c>
      <c r="F146" s="53" t="s">
        <v>221</v>
      </c>
      <c r="G146" s="21">
        <v>646794</v>
      </c>
      <c r="H146" s="21">
        <v>548</v>
      </c>
      <c r="I146">
        <v>1</v>
      </c>
      <c r="J146" s="21">
        <v>6661978.2000000002</v>
      </c>
      <c r="K146" s="21">
        <v>1875702.5999999999</v>
      </c>
      <c r="L146" s="48">
        <v>2003</v>
      </c>
      <c r="M146" s="94">
        <v>10.3</v>
      </c>
      <c r="S146" s="124">
        <v>113</v>
      </c>
      <c r="T146" s="124">
        <v>2009</v>
      </c>
      <c r="U146" s="516" t="s">
        <v>48</v>
      </c>
      <c r="V146" s="124">
        <v>0</v>
      </c>
      <c r="W146" s="461">
        <f t="shared" si="21"/>
        <v>30</v>
      </c>
      <c r="X146" s="461">
        <v>8</v>
      </c>
      <c r="Y146" s="461">
        <f t="shared" si="20"/>
        <v>0</v>
      </c>
      <c r="Z146" s="461"/>
    </row>
    <row r="147" spans="3:26">
      <c r="C147">
        <v>38200</v>
      </c>
      <c r="D147" s="53" t="s">
        <v>51</v>
      </c>
      <c r="E147">
        <v>2004</v>
      </c>
      <c r="F147" s="53" t="s">
        <v>221</v>
      </c>
      <c r="G147" s="21">
        <v>611960</v>
      </c>
      <c r="H147" s="21">
        <v>305</v>
      </c>
      <c r="I147">
        <v>1</v>
      </c>
      <c r="J147" s="21">
        <v>3953261.6</v>
      </c>
      <c r="K147" s="21">
        <v>1291235.5999999999</v>
      </c>
      <c r="L147" s="48">
        <v>2003</v>
      </c>
      <c r="M147" s="94">
        <v>6.46</v>
      </c>
      <c r="S147" s="124">
        <v>114</v>
      </c>
      <c r="T147" s="124">
        <v>2009</v>
      </c>
      <c r="U147" s="516" t="s">
        <v>49</v>
      </c>
      <c r="V147" s="124">
        <v>0</v>
      </c>
      <c r="W147" s="461">
        <f t="shared" si="21"/>
        <v>30</v>
      </c>
      <c r="X147" s="461">
        <v>9</v>
      </c>
      <c r="Y147" s="461">
        <f t="shared" si="20"/>
        <v>0</v>
      </c>
      <c r="Z147" s="461"/>
    </row>
    <row r="148" spans="3:26">
      <c r="C148">
        <v>38657</v>
      </c>
      <c r="D148" s="53" t="s">
        <v>54</v>
      </c>
      <c r="E148">
        <v>2005</v>
      </c>
      <c r="F148" s="53" t="s">
        <v>223</v>
      </c>
      <c r="G148" s="21">
        <v>136350</v>
      </c>
      <c r="H148" s="21">
        <v>273</v>
      </c>
      <c r="I148">
        <v>1</v>
      </c>
      <c r="J148" s="21">
        <v>906727.5</v>
      </c>
      <c r="K148" s="21">
        <v>388597.5</v>
      </c>
      <c r="L148" s="48">
        <v>2005</v>
      </c>
      <c r="M148" s="94">
        <v>6.65</v>
      </c>
      <c r="S148" s="124">
        <v>115</v>
      </c>
      <c r="T148" s="124">
        <v>2009</v>
      </c>
      <c r="U148" s="163" t="s">
        <v>50</v>
      </c>
      <c r="V148" s="124">
        <v>0</v>
      </c>
      <c r="W148" s="461">
        <f t="shared" si="21"/>
        <v>30</v>
      </c>
      <c r="X148" s="461">
        <v>10</v>
      </c>
      <c r="Y148" s="461">
        <f t="shared" si="20"/>
        <v>0</v>
      </c>
      <c r="Z148" s="461"/>
    </row>
    <row r="149" spans="3:26">
      <c r="C149">
        <v>38687</v>
      </c>
      <c r="D149" s="53" t="s">
        <v>55</v>
      </c>
      <c r="E149">
        <v>2005</v>
      </c>
      <c r="F149" s="53" t="s">
        <v>223</v>
      </c>
      <c r="G149" s="21">
        <v>352936</v>
      </c>
      <c r="H149" s="21">
        <v>669</v>
      </c>
      <c r="I149">
        <v>1</v>
      </c>
      <c r="J149" s="21">
        <v>6995191.5200000005</v>
      </c>
      <c r="K149" s="21">
        <v>5241099.5999999996</v>
      </c>
      <c r="L149" s="48">
        <v>2005</v>
      </c>
      <c r="M149" s="94">
        <v>19.82</v>
      </c>
      <c r="S149" s="124">
        <v>116</v>
      </c>
      <c r="T149" s="124">
        <v>2009</v>
      </c>
      <c r="U149" s="163" t="s">
        <v>51</v>
      </c>
      <c r="V149" s="124">
        <v>0</v>
      </c>
      <c r="W149" s="461">
        <f t="shared" si="21"/>
        <v>30</v>
      </c>
      <c r="X149" s="461">
        <v>11</v>
      </c>
      <c r="Y149" s="461">
        <f t="shared" si="20"/>
        <v>0</v>
      </c>
      <c r="Z149" s="461"/>
    </row>
    <row r="150" spans="3:26">
      <c r="C150">
        <v>38687</v>
      </c>
      <c r="D150" s="53" t="s">
        <v>55</v>
      </c>
      <c r="E150">
        <v>2005</v>
      </c>
      <c r="F150" s="53" t="s">
        <v>223</v>
      </c>
      <c r="G150" s="21">
        <v>660000</v>
      </c>
      <c r="H150" s="21">
        <v>275</v>
      </c>
      <c r="I150">
        <v>1</v>
      </c>
      <c r="J150" s="21">
        <v>1537800</v>
      </c>
      <c r="K150" s="21">
        <v>891000.00000000012</v>
      </c>
      <c r="L150" s="48">
        <v>2005</v>
      </c>
      <c r="M150" s="94">
        <v>2.33</v>
      </c>
      <c r="S150" s="124">
        <v>117</v>
      </c>
      <c r="T150" s="124">
        <v>2009</v>
      </c>
      <c r="U150" s="516" t="s">
        <v>52</v>
      </c>
      <c r="V150" s="124">
        <v>0</v>
      </c>
      <c r="W150" s="461">
        <f t="shared" si="21"/>
        <v>30</v>
      </c>
      <c r="X150" s="351">
        <v>0</v>
      </c>
      <c r="Y150" s="461">
        <f t="shared" si="20"/>
        <v>0</v>
      </c>
      <c r="Z150" s="461"/>
    </row>
    <row r="151" spans="3:26">
      <c r="C151">
        <v>38687</v>
      </c>
      <c r="D151" s="53" t="s">
        <v>55</v>
      </c>
      <c r="E151">
        <v>2005</v>
      </c>
      <c r="F151" s="53" t="s">
        <v>223</v>
      </c>
      <c r="G151" s="21">
        <v>497827</v>
      </c>
      <c r="H151" s="21">
        <v>669</v>
      </c>
      <c r="I151">
        <v>1</v>
      </c>
      <c r="J151" s="21">
        <v>8876255.4099999983</v>
      </c>
      <c r="K151" s="21">
        <v>5491031.8099999996</v>
      </c>
      <c r="L151" s="48">
        <v>2005</v>
      </c>
      <c r="M151" s="94">
        <v>17.829999999999998</v>
      </c>
      <c r="S151" s="124">
        <v>118</v>
      </c>
      <c r="T151" s="124">
        <v>2009</v>
      </c>
      <c r="U151" s="516" t="s">
        <v>53</v>
      </c>
      <c r="V151" s="124">
        <v>0</v>
      </c>
      <c r="W151" s="461">
        <f t="shared" si="21"/>
        <v>30</v>
      </c>
      <c r="X151" s="461">
        <v>1</v>
      </c>
      <c r="Y151" s="461">
        <f t="shared" si="20"/>
        <v>0</v>
      </c>
      <c r="Z151" s="461"/>
    </row>
    <row r="152" spans="3:26">
      <c r="C152">
        <v>38718</v>
      </c>
      <c r="D152" s="53" t="s">
        <v>44</v>
      </c>
      <c r="E152">
        <v>2006</v>
      </c>
      <c r="F152" s="53" t="s">
        <v>223</v>
      </c>
      <c r="G152" s="21">
        <v>723758</v>
      </c>
      <c r="H152" s="21">
        <v>426</v>
      </c>
      <c r="I152">
        <v>1</v>
      </c>
      <c r="J152" s="21">
        <v>4255697.04</v>
      </c>
      <c r="K152" s="21">
        <v>2511440.2600000002</v>
      </c>
      <c r="L152" s="48">
        <v>2005</v>
      </c>
      <c r="M152" s="94">
        <v>5.88</v>
      </c>
      <c r="S152" s="124">
        <v>119</v>
      </c>
      <c r="T152" s="124">
        <v>2009</v>
      </c>
      <c r="U152" s="163" t="s">
        <v>54</v>
      </c>
      <c r="V152" s="124">
        <v>5</v>
      </c>
      <c r="W152" s="461">
        <f t="shared" si="21"/>
        <v>25</v>
      </c>
      <c r="X152" s="461">
        <v>2</v>
      </c>
      <c r="Y152" s="461">
        <f t="shared" si="20"/>
        <v>10</v>
      </c>
      <c r="Z152" s="461"/>
    </row>
    <row r="153" spans="3:26">
      <c r="C153">
        <v>38718</v>
      </c>
      <c r="D153" s="53" t="s">
        <v>44</v>
      </c>
      <c r="E153">
        <v>2006</v>
      </c>
      <c r="F153" s="53" t="s">
        <v>223</v>
      </c>
      <c r="G153" s="21">
        <v>636000</v>
      </c>
      <c r="H153" s="21">
        <v>457</v>
      </c>
      <c r="I153">
        <v>1</v>
      </c>
      <c r="J153" s="21">
        <v>5615880</v>
      </c>
      <c r="K153" s="21">
        <v>2575800</v>
      </c>
      <c r="L153" s="48">
        <v>2005</v>
      </c>
      <c r="M153" s="94">
        <v>8.83</v>
      </c>
      <c r="S153" s="124">
        <v>120</v>
      </c>
      <c r="T153" s="124">
        <v>2009</v>
      </c>
      <c r="U153" s="163" t="s">
        <v>55</v>
      </c>
      <c r="V153" s="124">
        <v>3</v>
      </c>
      <c r="W153" s="461">
        <f t="shared" si="21"/>
        <v>27</v>
      </c>
      <c r="X153" s="461">
        <v>3</v>
      </c>
      <c r="Y153" s="461">
        <f t="shared" si="20"/>
        <v>9</v>
      </c>
      <c r="Z153" s="461"/>
    </row>
    <row r="154" spans="3:26">
      <c r="C154">
        <v>38718</v>
      </c>
      <c r="D154" s="53" t="s">
        <v>44</v>
      </c>
      <c r="E154">
        <v>2006</v>
      </c>
      <c r="F154" s="53" t="s">
        <v>223</v>
      </c>
      <c r="G154" s="21">
        <v>645000</v>
      </c>
      <c r="H154" s="21">
        <v>396</v>
      </c>
      <c r="I154">
        <v>0.5</v>
      </c>
      <c r="J154" s="21">
        <v>8501100</v>
      </c>
      <c r="K154" s="21">
        <v>2805750</v>
      </c>
      <c r="L154" s="48">
        <v>2005</v>
      </c>
      <c r="M154" s="94">
        <v>13.18</v>
      </c>
      <c r="U154" s="124" t="s">
        <v>767</v>
      </c>
      <c r="V154" s="124">
        <f>SUM(V114:V153)</f>
        <v>34</v>
      </c>
      <c r="X154" s="461"/>
      <c r="Y154" s="124">
        <f>SUM(Y114:Y153)</f>
        <v>129</v>
      </c>
    </row>
    <row r="155" spans="3:26">
      <c r="C155">
        <v>38718</v>
      </c>
      <c r="D155" s="53" t="s">
        <v>44</v>
      </c>
      <c r="E155">
        <v>2006</v>
      </c>
      <c r="F155" s="53" t="s">
        <v>223</v>
      </c>
      <c r="G155" s="21">
        <v>20000</v>
      </c>
      <c r="H155" s="21" t="s">
        <v>9</v>
      </c>
      <c r="I155">
        <v>1</v>
      </c>
      <c r="J155" s="21">
        <v>291600</v>
      </c>
      <c r="K155" s="21">
        <v>70000</v>
      </c>
      <c r="L155" s="48">
        <v>2005</v>
      </c>
      <c r="M155" s="94">
        <v>14.58</v>
      </c>
      <c r="X155" s="541" t="s">
        <v>768</v>
      </c>
      <c r="Y155" s="523">
        <f>Y154/V154</f>
        <v>3.7941176470588234</v>
      </c>
    </row>
    <row r="156" spans="3:26">
      <c r="C156">
        <v>38749</v>
      </c>
      <c r="D156" s="53" t="s">
        <v>45</v>
      </c>
      <c r="E156">
        <v>2006</v>
      </c>
      <c r="F156" s="53" t="s">
        <v>223</v>
      </c>
      <c r="G156" s="21">
        <v>706322</v>
      </c>
      <c r="H156" s="21">
        <v>365</v>
      </c>
      <c r="I156">
        <v>1</v>
      </c>
      <c r="J156" s="21">
        <v>3623431.86</v>
      </c>
      <c r="K156" s="21">
        <v>1850563.6400000001</v>
      </c>
      <c r="L156" s="48">
        <v>2005</v>
      </c>
      <c r="M156" s="94">
        <v>5.13</v>
      </c>
      <c r="X156" s="461"/>
      <c r="Y156" s="542" t="s">
        <v>771</v>
      </c>
    </row>
    <row r="157" spans="3:26">
      <c r="C157">
        <v>38749</v>
      </c>
      <c r="D157" s="53" t="s">
        <v>45</v>
      </c>
      <c r="E157">
        <v>2006</v>
      </c>
      <c r="F157" s="53" t="s">
        <v>223</v>
      </c>
      <c r="G157" s="21">
        <v>645000</v>
      </c>
      <c r="H157" s="21">
        <v>427</v>
      </c>
      <c r="I157">
        <v>0.5</v>
      </c>
      <c r="J157" s="21">
        <v>10094250</v>
      </c>
      <c r="K157" s="21">
        <v>5398649.9999999991</v>
      </c>
      <c r="L157" s="48">
        <v>2005</v>
      </c>
      <c r="M157" s="94">
        <v>15.65</v>
      </c>
      <c r="X157" s="461"/>
      <c r="Y157" s="461"/>
    </row>
    <row r="158" spans="3:26">
      <c r="C158">
        <v>38749</v>
      </c>
      <c r="D158" s="53" t="s">
        <v>45</v>
      </c>
      <c r="E158">
        <v>2006</v>
      </c>
      <c r="F158" s="53" t="s">
        <v>223</v>
      </c>
      <c r="G158" s="21">
        <v>614000</v>
      </c>
      <c r="H158" s="21">
        <v>427</v>
      </c>
      <c r="I158">
        <v>1</v>
      </c>
      <c r="J158" s="21">
        <v>1185020</v>
      </c>
      <c r="K158" s="21">
        <v>472780</v>
      </c>
      <c r="L158" s="48">
        <v>2005</v>
      </c>
      <c r="M158" s="94">
        <v>1.93</v>
      </c>
      <c r="X158" s="461"/>
      <c r="Y158" s="461"/>
    </row>
    <row r="159" spans="3:26">
      <c r="C159">
        <v>38749</v>
      </c>
      <c r="D159" s="53" t="s">
        <v>45</v>
      </c>
      <c r="E159">
        <v>2006</v>
      </c>
      <c r="F159" s="53" t="s">
        <v>223</v>
      </c>
      <c r="G159" s="21">
        <v>737000</v>
      </c>
      <c r="H159" s="21">
        <v>337</v>
      </c>
      <c r="I159">
        <v>0.5</v>
      </c>
      <c r="J159" s="21">
        <v>3942949.9999999995</v>
      </c>
      <c r="K159" s="21">
        <v>980210</v>
      </c>
      <c r="L159" s="48">
        <v>2005</v>
      </c>
      <c r="M159" s="94">
        <v>5.35</v>
      </c>
      <c r="X159" s="461"/>
      <c r="Y159" s="461"/>
    </row>
    <row r="160" spans="3:26">
      <c r="C160">
        <v>38777</v>
      </c>
      <c r="D160" s="53" t="s">
        <v>46</v>
      </c>
      <c r="E160">
        <v>2006</v>
      </c>
      <c r="F160" s="53" t="s">
        <v>223</v>
      </c>
      <c r="G160" s="21">
        <v>734574</v>
      </c>
      <c r="H160" s="21">
        <v>365</v>
      </c>
      <c r="I160">
        <v>0.5</v>
      </c>
      <c r="J160" s="21">
        <v>4054848.4799999995</v>
      </c>
      <c r="K160" s="21">
        <v>1285504.5</v>
      </c>
      <c r="L160" s="48">
        <v>2005</v>
      </c>
      <c r="M160" s="94">
        <v>5.52</v>
      </c>
      <c r="X160" s="461"/>
      <c r="Y160" s="461"/>
    </row>
    <row r="161" spans="3:25">
      <c r="C161">
        <v>38777</v>
      </c>
      <c r="D161" s="53" t="s">
        <v>46</v>
      </c>
      <c r="E161">
        <v>2006</v>
      </c>
      <c r="F161" s="53" t="s">
        <v>223</v>
      </c>
      <c r="G161" s="21">
        <v>566012</v>
      </c>
      <c r="H161" s="21">
        <v>90</v>
      </c>
      <c r="I161">
        <v>1</v>
      </c>
      <c r="J161" s="21">
        <v>4601677.5600000005</v>
      </c>
      <c r="K161" s="21">
        <v>1528232.4000000001</v>
      </c>
      <c r="L161" s="48">
        <v>2005</v>
      </c>
      <c r="M161" s="94">
        <v>8.1300000000000008</v>
      </c>
      <c r="X161" s="461"/>
      <c r="Y161" s="461"/>
    </row>
    <row r="162" spans="3:25">
      <c r="C162">
        <v>38808</v>
      </c>
      <c r="D162" s="53" t="s">
        <v>47</v>
      </c>
      <c r="E162">
        <v>2006</v>
      </c>
      <c r="F162" s="53" t="s">
        <v>223</v>
      </c>
      <c r="G162" s="21">
        <v>728391</v>
      </c>
      <c r="H162" s="21">
        <v>182</v>
      </c>
      <c r="I162">
        <v>1</v>
      </c>
      <c r="J162" s="21">
        <v>1602460.2000000002</v>
      </c>
      <c r="K162" s="21">
        <v>437034.6</v>
      </c>
      <c r="L162" s="48">
        <v>2005</v>
      </c>
      <c r="M162" s="94">
        <v>2.2000000000000002</v>
      </c>
      <c r="X162" s="461"/>
      <c r="Y162" s="461"/>
    </row>
    <row r="163" spans="3:25">
      <c r="C163">
        <v>38808</v>
      </c>
      <c r="D163" s="53" t="s">
        <v>47</v>
      </c>
      <c r="E163">
        <v>2006</v>
      </c>
      <c r="F163" s="53" t="s">
        <v>223</v>
      </c>
      <c r="G163" s="21">
        <v>39104</v>
      </c>
      <c r="H163" s="21" t="s">
        <v>9</v>
      </c>
      <c r="I163">
        <v>1</v>
      </c>
      <c r="J163" s="21">
        <v>243617.92000000001</v>
      </c>
      <c r="K163" s="21">
        <v>110664.32000000001</v>
      </c>
      <c r="L163" s="48">
        <v>2005</v>
      </c>
      <c r="M163" s="94">
        <v>6.23</v>
      </c>
      <c r="X163" s="461"/>
      <c r="Y163" s="461"/>
    </row>
    <row r="164" spans="3:25">
      <c r="C164">
        <v>38838</v>
      </c>
      <c r="D164" s="53" t="s">
        <v>48</v>
      </c>
      <c r="E164">
        <v>2006</v>
      </c>
      <c r="F164" s="53" t="s">
        <v>223</v>
      </c>
      <c r="G164" s="21">
        <v>631392</v>
      </c>
      <c r="H164" s="21">
        <v>426</v>
      </c>
      <c r="I164">
        <v>1</v>
      </c>
      <c r="J164" s="21">
        <v>2134104.96</v>
      </c>
      <c r="K164" s="21">
        <v>896576.6399999999</v>
      </c>
      <c r="L164" s="48">
        <v>2005</v>
      </c>
      <c r="M164" s="94">
        <v>3.38</v>
      </c>
      <c r="X164" s="461"/>
      <c r="Y164" s="461"/>
    </row>
    <row r="165" spans="3:25">
      <c r="C165">
        <v>38838</v>
      </c>
      <c r="D165" s="53" t="s">
        <v>48</v>
      </c>
      <c r="E165">
        <v>2006</v>
      </c>
      <c r="F165" s="53" t="s">
        <v>223</v>
      </c>
      <c r="G165" s="21">
        <v>199936</v>
      </c>
      <c r="H165" s="21">
        <v>454</v>
      </c>
      <c r="I165">
        <v>1</v>
      </c>
      <c r="J165" s="21">
        <v>995681.28000000003</v>
      </c>
      <c r="K165" s="21">
        <v>469849.60000000003</v>
      </c>
      <c r="L165" s="48">
        <v>2005</v>
      </c>
      <c r="M165" s="94">
        <v>4.9800000000000004</v>
      </c>
      <c r="X165" s="461"/>
      <c r="Y165" s="461"/>
    </row>
    <row r="166" spans="3:25">
      <c r="C166">
        <v>39448</v>
      </c>
      <c r="D166" s="53" t="s">
        <v>44</v>
      </c>
      <c r="E166">
        <v>2008</v>
      </c>
      <c r="F166" s="53" t="s">
        <v>225</v>
      </c>
      <c r="G166" s="21">
        <v>680546</v>
      </c>
      <c r="H166" s="21">
        <v>396</v>
      </c>
      <c r="I166">
        <v>1</v>
      </c>
      <c r="J166" s="21">
        <v>319856.62</v>
      </c>
      <c r="K166" s="21">
        <v>217774.72</v>
      </c>
      <c r="L166" s="48">
        <v>2007</v>
      </c>
      <c r="M166" s="94">
        <v>0.47</v>
      </c>
    </row>
    <row r="167" spans="3:25">
      <c r="C167">
        <v>39448</v>
      </c>
      <c r="D167" s="53" t="s">
        <v>44</v>
      </c>
      <c r="E167">
        <v>2008</v>
      </c>
      <c r="F167" s="53" t="s">
        <v>225</v>
      </c>
      <c r="G167" s="21">
        <v>553541</v>
      </c>
      <c r="H167" s="21">
        <v>426</v>
      </c>
      <c r="I167">
        <v>1</v>
      </c>
      <c r="J167" s="21">
        <v>1372781.68</v>
      </c>
      <c r="K167" s="21">
        <v>525863.94999999995</v>
      </c>
      <c r="L167" s="48">
        <v>2007</v>
      </c>
      <c r="M167" s="94">
        <v>2.48</v>
      </c>
    </row>
    <row r="168" spans="3:25">
      <c r="C168">
        <v>39448</v>
      </c>
      <c r="D168" s="53" t="s">
        <v>44</v>
      </c>
      <c r="E168">
        <v>2008</v>
      </c>
      <c r="F168" s="53" t="s">
        <v>225</v>
      </c>
      <c r="G168" s="21">
        <v>655368</v>
      </c>
      <c r="H168" s="21">
        <v>396</v>
      </c>
      <c r="I168">
        <v>1</v>
      </c>
      <c r="J168" s="21">
        <v>380113.44</v>
      </c>
      <c r="K168" s="21">
        <v>144180.96</v>
      </c>
      <c r="L168" s="48">
        <v>2007</v>
      </c>
      <c r="M168" s="94">
        <v>0.57999999999999996</v>
      </c>
    </row>
    <row r="169" spans="3:25">
      <c r="C169">
        <v>39448</v>
      </c>
      <c r="D169" s="53" t="s">
        <v>44</v>
      </c>
      <c r="E169">
        <v>2008</v>
      </c>
      <c r="F169" s="53" t="s">
        <v>225</v>
      </c>
      <c r="G169" s="21">
        <v>614889</v>
      </c>
      <c r="H169" s="21">
        <v>426</v>
      </c>
      <c r="I169">
        <v>1</v>
      </c>
      <c r="J169" s="21">
        <v>922333.5</v>
      </c>
      <c r="K169" s="21">
        <v>633335.67000000004</v>
      </c>
      <c r="L169" s="48">
        <v>2007</v>
      </c>
      <c r="M169" s="94">
        <v>1.5</v>
      </c>
    </row>
    <row r="170" spans="3:25">
      <c r="C170">
        <v>39479</v>
      </c>
      <c r="D170" s="53" t="s">
        <v>45</v>
      </c>
      <c r="E170">
        <v>2008</v>
      </c>
      <c r="F170" s="53" t="s">
        <v>225</v>
      </c>
      <c r="G170" s="21">
        <v>598331</v>
      </c>
      <c r="H170" s="21">
        <v>444</v>
      </c>
      <c r="I170">
        <v>1</v>
      </c>
      <c r="J170" s="21">
        <v>418831.69999999995</v>
      </c>
      <c r="K170" s="21">
        <v>89749.65</v>
      </c>
      <c r="L170" s="48">
        <v>2007</v>
      </c>
      <c r="M170" s="94">
        <v>0.7</v>
      </c>
    </row>
    <row r="171" spans="3:25">
      <c r="C171">
        <v>39508</v>
      </c>
      <c r="D171" s="53" t="s">
        <v>46</v>
      </c>
      <c r="E171">
        <v>2008</v>
      </c>
      <c r="F171" s="53" t="s">
        <v>225</v>
      </c>
      <c r="G171" s="21">
        <v>564703</v>
      </c>
      <c r="H171" s="21">
        <v>388</v>
      </c>
      <c r="I171">
        <v>1</v>
      </c>
      <c r="J171" s="21">
        <v>1581168.4</v>
      </c>
      <c r="K171" s="21">
        <v>451762.4</v>
      </c>
      <c r="L171" s="48">
        <v>2007</v>
      </c>
      <c r="M171" s="94">
        <v>2.8</v>
      </c>
    </row>
    <row r="172" spans="3:25">
      <c r="C172">
        <v>39508</v>
      </c>
      <c r="D172" s="53" t="s">
        <v>46</v>
      </c>
      <c r="E172">
        <v>2008</v>
      </c>
      <c r="F172" s="53" t="s">
        <v>225</v>
      </c>
      <c r="G172" s="21">
        <v>35800</v>
      </c>
      <c r="H172" s="21" t="s">
        <v>9</v>
      </c>
      <c r="I172">
        <v>1</v>
      </c>
      <c r="J172" s="21">
        <v>157520</v>
      </c>
      <c r="K172" s="21">
        <v>110980</v>
      </c>
      <c r="L172" s="48">
        <v>2007</v>
      </c>
      <c r="M172" s="94">
        <v>4.4000000000000004</v>
      </c>
    </row>
    <row r="173" spans="3:25">
      <c r="C173">
        <v>39569</v>
      </c>
      <c r="D173" s="53" t="s">
        <v>48</v>
      </c>
      <c r="E173">
        <v>2008</v>
      </c>
      <c r="F173" s="53" t="s">
        <v>225</v>
      </c>
      <c r="G173" s="21">
        <v>597803</v>
      </c>
      <c r="H173" s="21">
        <v>427</v>
      </c>
      <c r="I173">
        <v>1</v>
      </c>
      <c r="J173" s="21">
        <v>1504470.8833333333</v>
      </c>
      <c r="K173" s="21">
        <v>667546.68333333323</v>
      </c>
      <c r="L173" s="48">
        <v>2007</v>
      </c>
      <c r="M173" s="94">
        <v>2.5166666666666666</v>
      </c>
    </row>
    <row r="178" spans="3:13">
      <c r="C178" s="485" t="s">
        <v>703</v>
      </c>
    </row>
    <row r="179" spans="3:13">
      <c r="C179" s="4"/>
      <c r="D179" s="108"/>
      <c r="E179" s="2"/>
      <c r="H179" s="116"/>
      <c r="I179" s="21"/>
      <c r="J179" s="21" t="s">
        <v>423</v>
      </c>
      <c r="M179" s="94" t="s">
        <v>423</v>
      </c>
    </row>
    <row r="180" spans="3:13">
      <c r="C180" s="486" t="s">
        <v>35</v>
      </c>
      <c r="D180" s="487" t="s">
        <v>34</v>
      </c>
      <c r="E180" s="488" t="s">
        <v>0</v>
      </c>
      <c r="F180" s="484" t="s">
        <v>216</v>
      </c>
      <c r="G180" s="346" t="s">
        <v>239</v>
      </c>
      <c r="H180" s="489" t="s">
        <v>40</v>
      </c>
      <c r="I180" s="346" t="s">
        <v>273</v>
      </c>
      <c r="J180" s="346" t="s">
        <v>234</v>
      </c>
      <c r="K180" s="346" t="s">
        <v>226</v>
      </c>
      <c r="L180" s="490" t="s">
        <v>697</v>
      </c>
      <c r="M180" s="363" t="s">
        <v>235</v>
      </c>
    </row>
    <row r="181" spans="3:13">
      <c r="C181">
        <v>36831</v>
      </c>
      <c r="D181" s="53" t="s">
        <v>54</v>
      </c>
      <c r="E181">
        <v>2000</v>
      </c>
      <c r="F181" s="53" t="s">
        <v>218</v>
      </c>
      <c r="G181" s="21">
        <v>583351</v>
      </c>
      <c r="H181" s="21">
        <v>336</v>
      </c>
      <c r="I181">
        <v>1</v>
      </c>
      <c r="J181" s="21">
        <v>5998792.7833333332</v>
      </c>
      <c r="K181" s="21">
        <v>2984812.6166666672</v>
      </c>
      <c r="L181" s="48">
        <v>2000</v>
      </c>
      <c r="M181" s="94">
        <v>10.283333333333333</v>
      </c>
    </row>
    <row r="182" spans="3:13">
      <c r="C182">
        <v>36951</v>
      </c>
      <c r="D182" s="53" t="s">
        <v>46</v>
      </c>
      <c r="E182">
        <v>2001</v>
      </c>
      <c r="F182" s="53" t="s">
        <v>218</v>
      </c>
      <c r="G182" s="21">
        <v>1065999</v>
      </c>
      <c r="H182" s="21">
        <v>151</v>
      </c>
      <c r="I182">
        <v>1</v>
      </c>
      <c r="J182" s="21">
        <v>6513253.8900000006</v>
      </c>
      <c r="K182" s="21">
        <v>1140618.9300000002</v>
      </c>
      <c r="L182" s="48">
        <v>2000</v>
      </c>
      <c r="M182" s="94">
        <v>6.11</v>
      </c>
    </row>
    <row r="183" spans="3:13">
      <c r="C183">
        <v>37012</v>
      </c>
      <c r="D183" s="53" t="s">
        <v>48</v>
      </c>
      <c r="E183">
        <v>2001</v>
      </c>
      <c r="F183" s="53" t="s">
        <v>218</v>
      </c>
      <c r="G183" s="21">
        <v>265362</v>
      </c>
      <c r="H183" s="21">
        <v>547</v>
      </c>
      <c r="I183">
        <v>1</v>
      </c>
      <c r="J183" s="21">
        <v>793432.38</v>
      </c>
      <c r="K183" s="21">
        <v>235508.77499999999</v>
      </c>
      <c r="L183" s="48">
        <v>2000</v>
      </c>
      <c r="M183" s="94">
        <v>2.99</v>
      </c>
    </row>
    <row r="184" spans="3:13">
      <c r="C184">
        <v>37012</v>
      </c>
      <c r="D184" s="53" t="s">
        <v>48</v>
      </c>
      <c r="E184">
        <v>2001</v>
      </c>
      <c r="F184" s="53" t="s">
        <v>218</v>
      </c>
      <c r="G184" s="21">
        <v>1106770</v>
      </c>
      <c r="H184" s="21">
        <v>212</v>
      </c>
      <c r="I184">
        <v>1</v>
      </c>
      <c r="J184" s="21">
        <v>4928288.7</v>
      </c>
      <c r="K184" s="21">
        <v>1826170.5</v>
      </c>
      <c r="L184" s="48">
        <v>2000</v>
      </c>
      <c r="M184" s="94">
        <v>4.4528571428571428</v>
      </c>
    </row>
    <row r="185" spans="3:13">
      <c r="C185">
        <v>37043</v>
      </c>
      <c r="D185" s="53" t="s">
        <v>49</v>
      </c>
      <c r="E185">
        <v>2001</v>
      </c>
      <c r="F185" s="53" t="s">
        <v>218</v>
      </c>
      <c r="G185" s="21">
        <v>408909</v>
      </c>
      <c r="H185" s="21">
        <v>92</v>
      </c>
      <c r="I185">
        <v>1</v>
      </c>
      <c r="J185" s="21">
        <v>3383721.9750000001</v>
      </c>
      <c r="K185" s="21">
        <v>143118.15</v>
      </c>
      <c r="L185" s="48">
        <v>2000</v>
      </c>
      <c r="M185" s="94">
        <v>8.2750000000000004</v>
      </c>
    </row>
    <row r="186" spans="3:13">
      <c r="C186">
        <v>37043</v>
      </c>
      <c r="D186" s="53" t="s">
        <v>49</v>
      </c>
      <c r="E186">
        <v>2001</v>
      </c>
      <c r="F186" s="53" t="s">
        <v>218</v>
      </c>
      <c r="G186" s="21">
        <v>349468</v>
      </c>
      <c r="H186" s="21">
        <v>61</v>
      </c>
      <c r="I186">
        <v>1</v>
      </c>
      <c r="J186" s="21">
        <v>3704360.8</v>
      </c>
      <c r="K186" s="21">
        <v>209680.8</v>
      </c>
      <c r="L186" s="48">
        <v>2000</v>
      </c>
      <c r="M186" s="94">
        <v>10.6</v>
      </c>
    </row>
    <row r="187" spans="3:13">
      <c r="C187">
        <v>37043</v>
      </c>
      <c r="D187" s="53" t="s">
        <v>49</v>
      </c>
      <c r="E187">
        <v>2001</v>
      </c>
      <c r="F187" s="53" t="s">
        <v>218</v>
      </c>
      <c r="G187" s="21">
        <v>1153953</v>
      </c>
      <c r="H187" s="21">
        <v>120</v>
      </c>
      <c r="I187">
        <v>1</v>
      </c>
      <c r="J187" s="21">
        <v>5273565.21</v>
      </c>
      <c r="K187" s="21">
        <v>1534757.49</v>
      </c>
      <c r="L187" s="48">
        <v>2000</v>
      </c>
      <c r="M187" s="94">
        <v>4.57</v>
      </c>
    </row>
    <row r="188" spans="3:13">
      <c r="C188">
        <v>37073</v>
      </c>
      <c r="D188" s="53" t="s">
        <v>50</v>
      </c>
      <c r="E188">
        <v>2001</v>
      </c>
      <c r="F188" s="53" t="s">
        <v>218</v>
      </c>
      <c r="G188" s="21">
        <v>498493</v>
      </c>
      <c r="H188" s="21">
        <v>426</v>
      </c>
      <c r="I188">
        <v>1</v>
      </c>
      <c r="J188" s="21">
        <v>11839208.75</v>
      </c>
      <c r="K188" s="21">
        <v>4087642.5999999996</v>
      </c>
      <c r="L188" s="48">
        <v>2000</v>
      </c>
      <c r="M188" s="94">
        <v>23.75</v>
      </c>
    </row>
    <row r="189" spans="3:13">
      <c r="C189">
        <v>37622</v>
      </c>
      <c r="D189" s="53" t="s">
        <v>44</v>
      </c>
      <c r="E189">
        <v>2003</v>
      </c>
      <c r="F189" s="53" t="s">
        <v>220</v>
      </c>
      <c r="G189" s="21">
        <v>215709</v>
      </c>
      <c r="H189" s="21">
        <v>396</v>
      </c>
      <c r="I189">
        <v>1</v>
      </c>
      <c r="J189" s="21">
        <v>2006093.7000000002</v>
      </c>
      <c r="K189" s="21">
        <v>862836</v>
      </c>
      <c r="L189" s="48">
        <v>2002</v>
      </c>
      <c r="M189" s="94">
        <v>9.3000000000000007</v>
      </c>
    </row>
    <row r="190" spans="3:13">
      <c r="C190">
        <v>37622</v>
      </c>
      <c r="D190" s="53" t="s">
        <v>44</v>
      </c>
      <c r="E190">
        <v>2003</v>
      </c>
      <c r="F190" s="53" t="s">
        <v>220</v>
      </c>
      <c r="G190" s="21">
        <v>574017</v>
      </c>
      <c r="H190" s="21">
        <v>275</v>
      </c>
      <c r="I190">
        <v>1</v>
      </c>
      <c r="J190" s="21">
        <v>918427.20000000007</v>
      </c>
      <c r="K190" s="21">
        <v>344410.2</v>
      </c>
      <c r="L190" s="48">
        <v>2002</v>
      </c>
      <c r="M190" s="94">
        <v>1.6</v>
      </c>
    </row>
    <row r="191" spans="3:13">
      <c r="C191">
        <v>37653</v>
      </c>
      <c r="D191" s="53" t="s">
        <v>45</v>
      </c>
      <c r="E191">
        <v>2003</v>
      </c>
      <c r="F191" s="53" t="s">
        <v>220</v>
      </c>
      <c r="G191" s="21">
        <v>570429</v>
      </c>
      <c r="H191" s="21">
        <v>306</v>
      </c>
      <c r="I191">
        <v>1</v>
      </c>
      <c r="J191" s="21">
        <v>1768329.9000000001</v>
      </c>
      <c r="K191" s="21">
        <v>570429</v>
      </c>
      <c r="L191" s="48">
        <v>2002</v>
      </c>
      <c r="M191" s="94">
        <v>3.1</v>
      </c>
    </row>
    <row r="192" spans="3:13">
      <c r="C192">
        <v>37681</v>
      </c>
      <c r="D192" s="53" t="s">
        <v>46</v>
      </c>
      <c r="E192">
        <v>2003</v>
      </c>
      <c r="F192" s="53" t="s">
        <v>220</v>
      </c>
      <c r="G192" s="21">
        <v>26322</v>
      </c>
      <c r="H192" s="21" t="s">
        <v>9</v>
      </c>
      <c r="I192">
        <v>1</v>
      </c>
      <c r="J192" s="21">
        <v>223737</v>
      </c>
      <c r="K192" s="21">
        <v>113184.59999999999</v>
      </c>
      <c r="L192" s="48">
        <v>2002</v>
      </c>
      <c r="M192" s="94">
        <v>8.5</v>
      </c>
    </row>
    <row r="193" spans="3:13">
      <c r="C193">
        <v>37681</v>
      </c>
      <c r="D193" s="53" t="s">
        <v>46</v>
      </c>
      <c r="E193">
        <v>2003</v>
      </c>
      <c r="F193" s="53" t="s">
        <v>220</v>
      </c>
      <c r="G193" s="21">
        <v>293723</v>
      </c>
      <c r="H193" s="21">
        <v>881</v>
      </c>
      <c r="I193">
        <v>1</v>
      </c>
      <c r="J193" s="21">
        <v>3163396.71</v>
      </c>
      <c r="K193" s="21">
        <v>1503861.76</v>
      </c>
      <c r="L193" s="48">
        <v>2002</v>
      </c>
      <c r="M193" s="94">
        <v>10.77</v>
      </c>
    </row>
    <row r="194" spans="3:13">
      <c r="C194">
        <v>38292</v>
      </c>
      <c r="D194" s="53" t="s">
        <v>54</v>
      </c>
      <c r="E194">
        <v>2004</v>
      </c>
      <c r="F194" s="53" t="s">
        <v>222</v>
      </c>
      <c r="G194" s="21">
        <v>150000</v>
      </c>
      <c r="H194" s="21">
        <v>639</v>
      </c>
      <c r="I194">
        <v>1</v>
      </c>
      <c r="J194" s="21">
        <v>2239500</v>
      </c>
      <c r="K194" s="21">
        <v>1548000</v>
      </c>
      <c r="L194" s="48">
        <v>2004</v>
      </c>
      <c r="M194" s="94">
        <v>14.93</v>
      </c>
    </row>
    <row r="195" spans="3:13">
      <c r="C195">
        <v>38322</v>
      </c>
      <c r="D195" s="53" t="s">
        <v>55</v>
      </c>
      <c r="E195">
        <v>2004</v>
      </c>
      <c r="F195" s="53" t="s">
        <v>222</v>
      </c>
      <c r="G195" s="21">
        <v>651500</v>
      </c>
      <c r="H195" s="21">
        <v>366</v>
      </c>
      <c r="I195">
        <v>1</v>
      </c>
      <c r="J195" s="21">
        <v>4677770</v>
      </c>
      <c r="K195" s="21">
        <v>1355120</v>
      </c>
      <c r="L195" s="48">
        <v>2004</v>
      </c>
      <c r="M195" s="94">
        <v>7.18</v>
      </c>
    </row>
    <row r="196" spans="3:13">
      <c r="C196">
        <v>38353</v>
      </c>
      <c r="D196" s="53" t="s">
        <v>44</v>
      </c>
      <c r="E196">
        <v>2005</v>
      </c>
      <c r="F196" s="53" t="s">
        <v>222</v>
      </c>
      <c r="G196" s="21">
        <v>532979</v>
      </c>
      <c r="H196" s="21">
        <v>641</v>
      </c>
      <c r="I196">
        <v>1</v>
      </c>
      <c r="J196" s="21">
        <v>1902735.03</v>
      </c>
      <c r="K196" s="21">
        <v>1518990.1500000001</v>
      </c>
      <c r="L196" s="48">
        <v>2004</v>
      </c>
      <c r="M196" s="94">
        <v>3.57</v>
      </c>
    </row>
    <row r="197" spans="3:13">
      <c r="C197">
        <v>38353</v>
      </c>
      <c r="D197" s="53" t="s">
        <v>44</v>
      </c>
      <c r="E197">
        <v>2005</v>
      </c>
      <c r="F197" s="53" t="s">
        <v>222</v>
      </c>
      <c r="G197" s="21">
        <v>409675</v>
      </c>
      <c r="H197" s="21">
        <v>700</v>
      </c>
      <c r="I197">
        <v>1</v>
      </c>
      <c r="J197" s="21">
        <v>8717884</v>
      </c>
      <c r="K197" s="21">
        <v>3871428.7499999995</v>
      </c>
      <c r="L197" s="48">
        <v>2004</v>
      </c>
      <c r="M197" s="94">
        <v>21.28</v>
      </c>
    </row>
    <row r="198" spans="3:13">
      <c r="C198">
        <v>38353</v>
      </c>
      <c r="D198" s="53" t="s">
        <v>44</v>
      </c>
      <c r="E198">
        <v>2005</v>
      </c>
      <c r="F198" s="53" t="s">
        <v>222</v>
      </c>
      <c r="G198" s="21">
        <v>1000</v>
      </c>
      <c r="H198" s="21" t="s">
        <v>9</v>
      </c>
      <c r="I198">
        <v>1</v>
      </c>
      <c r="J198" s="21">
        <v>20700</v>
      </c>
      <c r="K198" s="21">
        <v>14900</v>
      </c>
      <c r="L198" s="48">
        <v>2004</v>
      </c>
      <c r="M198" s="94">
        <v>20.7</v>
      </c>
    </row>
    <row r="199" spans="3:13">
      <c r="C199">
        <v>38384</v>
      </c>
      <c r="D199" s="53" t="s">
        <v>45</v>
      </c>
      <c r="E199">
        <v>2005</v>
      </c>
      <c r="F199" s="53" t="s">
        <v>222</v>
      </c>
      <c r="G199" s="21">
        <v>536340</v>
      </c>
      <c r="H199" s="21">
        <v>366</v>
      </c>
      <c r="I199">
        <v>1</v>
      </c>
      <c r="J199" s="21">
        <v>4596433.8</v>
      </c>
      <c r="K199" s="21">
        <v>2896236</v>
      </c>
      <c r="L199" s="48">
        <v>2004</v>
      </c>
      <c r="M199" s="94">
        <v>8.57</v>
      </c>
    </row>
    <row r="200" spans="3:13">
      <c r="C200">
        <v>38384</v>
      </c>
      <c r="D200" s="53" t="s">
        <v>45</v>
      </c>
      <c r="E200">
        <v>2005</v>
      </c>
      <c r="F200" s="53" t="s">
        <v>222</v>
      </c>
      <c r="G200" s="21">
        <v>450000</v>
      </c>
      <c r="H200" s="21">
        <v>731</v>
      </c>
      <c r="I200">
        <v>1</v>
      </c>
      <c r="J200" s="21">
        <v>2461500</v>
      </c>
      <c r="K200" s="21">
        <v>1620000</v>
      </c>
      <c r="L200" s="48">
        <v>2004</v>
      </c>
      <c r="M200" s="94">
        <v>5.47</v>
      </c>
    </row>
    <row r="201" spans="3:13">
      <c r="C201">
        <v>38384</v>
      </c>
      <c r="D201" s="53" t="s">
        <v>45</v>
      </c>
      <c r="E201">
        <v>2005</v>
      </c>
      <c r="F201" s="53" t="s">
        <v>222</v>
      </c>
      <c r="G201" s="21">
        <v>551000</v>
      </c>
      <c r="H201" s="21">
        <v>306</v>
      </c>
      <c r="I201">
        <v>1</v>
      </c>
      <c r="J201" s="21">
        <v>1157100</v>
      </c>
      <c r="K201" s="21">
        <v>369170</v>
      </c>
      <c r="L201" s="48">
        <v>2004</v>
      </c>
      <c r="M201" s="94">
        <v>2.1</v>
      </c>
    </row>
    <row r="202" spans="3:13">
      <c r="C202">
        <v>38384</v>
      </c>
      <c r="D202" s="53" t="s">
        <v>45</v>
      </c>
      <c r="E202">
        <v>2005</v>
      </c>
      <c r="F202" s="53" t="s">
        <v>222</v>
      </c>
      <c r="G202" s="21">
        <v>520163.5</v>
      </c>
      <c r="H202" s="21">
        <v>366</v>
      </c>
      <c r="I202">
        <v>1</v>
      </c>
      <c r="J202" s="21">
        <v>2897310.6950000003</v>
      </c>
      <c r="K202" s="21">
        <v>988310.64999999991</v>
      </c>
      <c r="L202" s="48">
        <v>2004</v>
      </c>
      <c r="M202" s="94">
        <v>5.57</v>
      </c>
    </row>
    <row r="203" spans="3:13">
      <c r="C203">
        <v>38473</v>
      </c>
      <c r="D203" s="53" t="s">
        <v>48</v>
      </c>
      <c r="E203">
        <v>2005</v>
      </c>
      <c r="F203" s="53" t="s">
        <v>222</v>
      </c>
      <c r="G203" s="21">
        <v>729301</v>
      </c>
      <c r="H203" s="21">
        <v>181</v>
      </c>
      <c r="I203">
        <v>1</v>
      </c>
      <c r="J203" s="21">
        <v>1589876.1800000002</v>
      </c>
      <c r="K203" s="21">
        <v>816817.12000000011</v>
      </c>
      <c r="L203" s="48">
        <v>2004</v>
      </c>
      <c r="M203" s="94">
        <v>2.1800000000000002</v>
      </c>
    </row>
    <row r="204" spans="3:13">
      <c r="C204">
        <v>38473</v>
      </c>
      <c r="D204" s="53" t="s">
        <v>48</v>
      </c>
      <c r="E204">
        <v>2005</v>
      </c>
      <c r="F204" s="53" t="s">
        <v>222</v>
      </c>
      <c r="G204" s="21">
        <v>772971</v>
      </c>
      <c r="H204" s="21">
        <v>61</v>
      </c>
      <c r="I204">
        <v>1</v>
      </c>
      <c r="J204" s="21">
        <v>1143997.08</v>
      </c>
      <c r="K204" s="21">
        <v>363296.37</v>
      </c>
      <c r="L204" s="48">
        <v>2004</v>
      </c>
      <c r="M204" s="94">
        <v>1.4800000000000002</v>
      </c>
    </row>
    <row r="205" spans="3:13">
      <c r="C205">
        <v>38473</v>
      </c>
      <c r="D205" s="53" t="s">
        <v>48</v>
      </c>
      <c r="E205">
        <v>2005</v>
      </c>
      <c r="F205" s="53" t="s">
        <v>222</v>
      </c>
      <c r="G205" s="21">
        <v>579191</v>
      </c>
      <c r="H205" s="21">
        <v>578</v>
      </c>
      <c r="I205">
        <v>1</v>
      </c>
      <c r="J205" s="21">
        <v>2727989.61</v>
      </c>
      <c r="K205" s="21">
        <v>1378474.5799999998</v>
      </c>
      <c r="L205" s="48">
        <v>2004</v>
      </c>
      <c r="M205" s="94">
        <v>4.71</v>
      </c>
    </row>
    <row r="206" spans="3:13">
      <c r="C206">
        <v>38473</v>
      </c>
      <c r="D206" s="53" t="s">
        <v>48</v>
      </c>
      <c r="E206">
        <v>2005</v>
      </c>
      <c r="F206" s="53" t="s">
        <v>222</v>
      </c>
      <c r="G206" s="21">
        <v>646758</v>
      </c>
      <c r="H206" s="21">
        <v>517</v>
      </c>
      <c r="I206">
        <v>1</v>
      </c>
      <c r="J206" s="21">
        <v>3544233.8400000003</v>
      </c>
      <c r="K206" s="21">
        <v>1248242.94</v>
      </c>
      <c r="L206" s="48">
        <v>2004</v>
      </c>
      <c r="M206" s="94">
        <v>5.48</v>
      </c>
    </row>
    <row r="207" spans="3:13">
      <c r="C207">
        <v>38534</v>
      </c>
      <c r="D207" s="53" t="s">
        <v>50</v>
      </c>
      <c r="E207">
        <v>2005</v>
      </c>
      <c r="F207" s="53" t="s">
        <v>222</v>
      </c>
      <c r="G207" s="21">
        <v>600000</v>
      </c>
      <c r="H207" s="21">
        <v>212</v>
      </c>
      <c r="I207">
        <v>1</v>
      </c>
      <c r="J207" s="21">
        <v>810000</v>
      </c>
      <c r="K207" s="21">
        <v>132000</v>
      </c>
      <c r="L207" s="48">
        <v>2004</v>
      </c>
      <c r="M207" s="94">
        <v>1.35</v>
      </c>
    </row>
    <row r="208" spans="3:13">
      <c r="C208">
        <v>38565</v>
      </c>
      <c r="D208" s="53" t="s">
        <v>51</v>
      </c>
      <c r="E208">
        <v>2005</v>
      </c>
      <c r="F208" s="53" t="s">
        <v>222</v>
      </c>
      <c r="G208" s="21">
        <v>20000</v>
      </c>
      <c r="H208" s="21" t="s">
        <v>9</v>
      </c>
      <c r="I208">
        <v>1</v>
      </c>
      <c r="J208" s="21">
        <v>91000</v>
      </c>
      <c r="K208" s="21">
        <v>16000</v>
      </c>
      <c r="L208" s="48">
        <v>2004</v>
      </c>
      <c r="M208" s="94">
        <v>4.55</v>
      </c>
    </row>
    <row r="209" spans="3:13">
      <c r="C209">
        <v>38991</v>
      </c>
      <c r="D209" s="53" t="s">
        <v>53</v>
      </c>
      <c r="E209">
        <v>2006</v>
      </c>
      <c r="F209" s="53" t="s">
        <v>224</v>
      </c>
      <c r="G209" s="21">
        <v>559300</v>
      </c>
      <c r="H209" s="21">
        <v>304</v>
      </c>
      <c r="I209">
        <v>1</v>
      </c>
      <c r="J209" s="21">
        <v>2365839.0000000005</v>
      </c>
      <c r="K209" s="21">
        <v>1465366</v>
      </c>
      <c r="L209" s="48">
        <v>2006</v>
      </c>
      <c r="M209" s="94">
        <v>4.2300000000000004</v>
      </c>
    </row>
    <row r="210" spans="3:13">
      <c r="C210">
        <v>38991</v>
      </c>
      <c r="D210" s="53" t="s">
        <v>53</v>
      </c>
      <c r="E210">
        <v>2006</v>
      </c>
      <c r="F210" s="53" t="s">
        <v>224</v>
      </c>
      <c r="G210" s="21">
        <v>552521</v>
      </c>
      <c r="H210" s="21">
        <v>334</v>
      </c>
      <c r="I210">
        <v>1</v>
      </c>
      <c r="J210" s="21">
        <v>4641176.4000000004</v>
      </c>
      <c r="K210" s="21">
        <v>1370252.08</v>
      </c>
      <c r="L210" s="48">
        <v>2006</v>
      </c>
      <c r="M210" s="94">
        <v>8.4</v>
      </c>
    </row>
    <row r="211" spans="3:13">
      <c r="C211">
        <v>39083</v>
      </c>
      <c r="D211" s="53" t="s">
        <v>44</v>
      </c>
      <c r="E211">
        <v>2007</v>
      </c>
      <c r="F211" s="53" t="s">
        <v>224</v>
      </c>
      <c r="G211" s="21">
        <v>578871</v>
      </c>
      <c r="H211" s="21">
        <v>365</v>
      </c>
      <c r="I211">
        <v>1</v>
      </c>
      <c r="J211" s="21">
        <v>839362.95</v>
      </c>
      <c r="K211" s="21">
        <v>395561.83070430002</v>
      </c>
      <c r="L211" s="48">
        <v>2006</v>
      </c>
      <c r="M211" s="94">
        <v>1.45</v>
      </c>
    </row>
    <row r="212" spans="3:13">
      <c r="C212">
        <v>39083</v>
      </c>
      <c r="D212" s="53" t="s">
        <v>44</v>
      </c>
      <c r="E212">
        <v>2007</v>
      </c>
      <c r="F212" s="53" t="s">
        <v>224</v>
      </c>
      <c r="G212" s="21">
        <v>3066</v>
      </c>
      <c r="H212" s="21" t="s">
        <v>9</v>
      </c>
      <c r="I212">
        <v>1</v>
      </c>
      <c r="J212" s="21">
        <v>36792</v>
      </c>
      <c r="K212" s="21">
        <v>22995</v>
      </c>
      <c r="L212" s="48">
        <v>2006</v>
      </c>
      <c r="M212" s="94">
        <v>12</v>
      </c>
    </row>
    <row r="213" spans="3:13">
      <c r="C213">
        <v>39083</v>
      </c>
      <c r="D213" s="53" t="s">
        <v>44</v>
      </c>
      <c r="E213">
        <v>2007</v>
      </c>
      <c r="F213" s="53" t="s">
        <v>224</v>
      </c>
      <c r="G213" s="21">
        <v>545161</v>
      </c>
      <c r="H213" s="21">
        <v>360</v>
      </c>
      <c r="I213">
        <v>1</v>
      </c>
      <c r="J213" s="21">
        <v>1962579.6</v>
      </c>
      <c r="K213" s="21">
        <v>731424.30532259995</v>
      </c>
      <c r="L213" s="48">
        <v>2006</v>
      </c>
      <c r="M213" s="94">
        <v>3.6</v>
      </c>
    </row>
    <row r="214" spans="3:13">
      <c r="C214">
        <v>39083</v>
      </c>
      <c r="D214" s="53" t="s">
        <v>44</v>
      </c>
      <c r="E214">
        <v>2007</v>
      </c>
      <c r="F214" s="53" t="s">
        <v>224</v>
      </c>
      <c r="G214" s="21">
        <v>574401</v>
      </c>
      <c r="H214" s="21">
        <v>426</v>
      </c>
      <c r="I214">
        <v>1</v>
      </c>
      <c r="J214" s="21">
        <v>4384594.2808533004</v>
      </c>
      <c r="K214" s="21">
        <v>2048696.8617066001</v>
      </c>
      <c r="L214" s="48">
        <v>2006</v>
      </c>
      <c r="M214" s="94">
        <v>7.6333333000000003</v>
      </c>
    </row>
    <row r="215" spans="3:13">
      <c r="C215">
        <v>39753</v>
      </c>
      <c r="D215" s="53" t="s">
        <v>54</v>
      </c>
      <c r="E215">
        <v>2008</v>
      </c>
      <c r="F215" s="53" t="s">
        <v>247</v>
      </c>
      <c r="G215" s="21">
        <v>678000</v>
      </c>
      <c r="H215" s="21">
        <v>366</v>
      </c>
      <c r="I215">
        <v>1</v>
      </c>
      <c r="J215" s="21">
        <v>1762800</v>
      </c>
      <c r="K215" s="21">
        <v>786480</v>
      </c>
      <c r="L215" s="48">
        <v>2008</v>
      </c>
      <c r="M215" s="94">
        <v>2.6</v>
      </c>
    </row>
    <row r="216" spans="3:13">
      <c r="C216">
        <v>39783</v>
      </c>
      <c r="D216" s="53" t="s">
        <v>55</v>
      </c>
      <c r="E216">
        <v>2008</v>
      </c>
      <c r="F216" s="53" t="s">
        <v>247</v>
      </c>
      <c r="G216" s="21">
        <v>500000</v>
      </c>
      <c r="H216" s="21">
        <v>761</v>
      </c>
      <c r="I216">
        <v>1</v>
      </c>
      <c r="J216" s="21">
        <v>2545833.3333333335</v>
      </c>
      <c r="K216" s="21">
        <v>1120833.3333333333</v>
      </c>
      <c r="L216" s="48">
        <v>2008</v>
      </c>
      <c r="M216" s="94">
        <v>5.0916666666666668</v>
      </c>
    </row>
    <row r="217" spans="3:13">
      <c r="C217">
        <v>39783</v>
      </c>
      <c r="D217" s="53" t="s">
        <v>55</v>
      </c>
      <c r="E217">
        <v>2008</v>
      </c>
      <c r="F217" s="53" t="s">
        <v>247</v>
      </c>
      <c r="G217" s="21">
        <v>620000</v>
      </c>
      <c r="H217" s="21">
        <v>396</v>
      </c>
      <c r="I217">
        <v>1</v>
      </c>
      <c r="J217" s="21">
        <v>2114200</v>
      </c>
      <c r="K217" s="21">
        <v>558000</v>
      </c>
      <c r="L217" s="48">
        <v>2008</v>
      </c>
      <c r="M217" s="94">
        <v>3.41</v>
      </c>
    </row>
    <row r="218" spans="3:13">
      <c r="C218">
        <v>39814</v>
      </c>
      <c r="D218" s="53" t="s">
        <v>44</v>
      </c>
      <c r="E218">
        <v>2009</v>
      </c>
      <c r="F218" s="53" t="s">
        <v>247</v>
      </c>
      <c r="G218" s="21">
        <v>23147</v>
      </c>
      <c r="H218" s="21" t="s">
        <v>9</v>
      </c>
      <c r="I218">
        <v>1</v>
      </c>
      <c r="J218" s="21">
        <v>92588</v>
      </c>
      <c r="K218" s="21">
        <v>64811.6</v>
      </c>
      <c r="L218" s="48">
        <v>2008</v>
      </c>
      <c r="M218" s="94">
        <v>4</v>
      </c>
    </row>
    <row r="219" spans="3:13">
      <c r="C219">
        <v>39814</v>
      </c>
      <c r="D219" s="53" t="s">
        <v>44</v>
      </c>
      <c r="E219">
        <v>2009</v>
      </c>
      <c r="F219" s="53" t="s">
        <v>247</v>
      </c>
      <c r="G219" s="21">
        <v>522214</v>
      </c>
      <c r="H219" s="21">
        <v>397</v>
      </c>
      <c r="I219">
        <v>1</v>
      </c>
      <c r="J219" s="21">
        <v>208885.6</v>
      </c>
      <c r="K219" s="21">
        <v>67887.820000000007</v>
      </c>
      <c r="L219" s="48">
        <v>2008</v>
      </c>
      <c r="M219" s="94">
        <v>0.4</v>
      </c>
    </row>
    <row r="220" spans="3:13">
      <c r="C220">
        <v>39814</v>
      </c>
      <c r="D220" s="53" t="s">
        <v>44</v>
      </c>
      <c r="E220">
        <v>2009</v>
      </c>
      <c r="F220" s="53" t="s">
        <v>247</v>
      </c>
      <c r="G220" s="21">
        <v>573294</v>
      </c>
      <c r="H220" s="21">
        <v>397</v>
      </c>
      <c r="I220">
        <v>1</v>
      </c>
      <c r="J220" s="21">
        <v>470101.07999999996</v>
      </c>
      <c r="K220" s="21">
        <v>235050.53999999998</v>
      </c>
      <c r="L220" s="48">
        <v>2008</v>
      </c>
      <c r="M220" s="94">
        <v>0.82</v>
      </c>
    </row>
    <row r="221" spans="3:13">
      <c r="C221">
        <v>39814</v>
      </c>
      <c r="D221" s="53" t="s">
        <v>44</v>
      </c>
      <c r="E221">
        <v>2009</v>
      </c>
      <c r="F221" s="53" t="s">
        <v>247</v>
      </c>
      <c r="G221" s="21">
        <v>656000</v>
      </c>
      <c r="H221" s="21">
        <v>245</v>
      </c>
      <c r="I221">
        <v>1</v>
      </c>
      <c r="J221" s="21">
        <v>328000</v>
      </c>
      <c r="K221" s="21">
        <v>0</v>
      </c>
      <c r="L221" s="48">
        <v>2008</v>
      </c>
      <c r="M221" s="94">
        <v>0.5</v>
      </c>
    </row>
    <row r="222" spans="3:13">
      <c r="C222">
        <v>39845</v>
      </c>
      <c r="D222" s="53" t="s">
        <v>45</v>
      </c>
      <c r="E222">
        <v>2009</v>
      </c>
      <c r="F222" s="53" t="s">
        <v>247</v>
      </c>
      <c r="G222" s="21">
        <v>344170</v>
      </c>
      <c r="H222" s="21">
        <v>306</v>
      </c>
      <c r="I222">
        <v>1</v>
      </c>
      <c r="J222" s="21">
        <v>378587.00000000006</v>
      </c>
      <c r="K222" s="21">
        <v>120459.49999999999</v>
      </c>
      <c r="L222" s="48">
        <v>2008</v>
      </c>
      <c r="M222" s="94">
        <v>1.1000000000000001</v>
      </c>
    </row>
    <row r="223" spans="3:13">
      <c r="C223">
        <v>39845</v>
      </c>
      <c r="D223" s="53" t="s">
        <v>45</v>
      </c>
      <c r="E223">
        <v>2009</v>
      </c>
      <c r="F223" s="53" t="s">
        <v>247</v>
      </c>
      <c r="G223" s="21">
        <v>282705</v>
      </c>
      <c r="H223" s="21">
        <v>92</v>
      </c>
      <c r="I223">
        <v>1</v>
      </c>
      <c r="J223" s="21">
        <v>461751.50000000006</v>
      </c>
      <c r="K223" s="21">
        <v>183758.25</v>
      </c>
      <c r="L223" s="48">
        <v>2008</v>
      </c>
      <c r="M223" s="94">
        <v>1.6333333333333335</v>
      </c>
    </row>
    <row r="224" spans="3:13">
      <c r="C224">
        <v>39845</v>
      </c>
      <c r="D224" s="53" t="s">
        <v>45</v>
      </c>
      <c r="E224">
        <v>2009</v>
      </c>
      <c r="F224" s="53" t="s">
        <v>247</v>
      </c>
      <c r="G224" s="21">
        <v>277936</v>
      </c>
      <c r="H224" s="21">
        <v>62</v>
      </c>
      <c r="I224">
        <v>1</v>
      </c>
      <c r="J224" s="21">
        <v>301097.32406880002</v>
      </c>
      <c r="K224" s="21">
        <v>115806.6481376</v>
      </c>
      <c r="L224" s="48">
        <v>2008</v>
      </c>
      <c r="M224" s="94">
        <v>1.0833333000000001</v>
      </c>
    </row>
    <row r="225" spans="3:13">
      <c r="C225">
        <v>39845</v>
      </c>
      <c r="D225" s="53" t="s">
        <v>45</v>
      </c>
      <c r="E225">
        <v>2009</v>
      </c>
      <c r="F225" s="53" t="s">
        <v>247</v>
      </c>
      <c r="G225" s="21">
        <v>714079</v>
      </c>
      <c r="H225" s="21">
        <v>123</v>
      </c>
      <c r="I225">
        <v>1</v>
      </c>
      <c r="J225" s="21">
        <v>166618.40953070001</v>
      </c>
      <c r="K225" s="21">
        <v>47605.219061400006</v>
      </c>
      <c r="L225" s="48">
        <v>2008</v>
      </c>
      <c r="M225" s="94">
        <v>0.23333330000000002</v>
      </c>
    </row>
    <row r="226" spans="3:13">
      <c r="C226">
        <v>39904</v>
      </c>
      <c r="D226" s="53" t="s">
        <v>47</v>
      </c>
      <c r="E226">
        <v>2009</v>
      </c>
      <c r="F226" s="53" t="s">
        <v>247</v>
      </c>
      <c r="G226" s="21">
        <v>41965</v>
      </c>
      <c r="H226" s="21" t="s">
        <v>9</v>
      </c>
      <c r="I226">
        <v>1</v>
      </c>
      <c r="J226" s="21">
        <v>23080.750000000004</v>
      </c>
      <c r="K226" s="21">
        <v>9442.125</v>
      </c>
      <c r="L226" s="48">
        <v>2008</v>
      </c>
      <c r="M226" s="94">
        <v>0.55000000000000004</v>
      </c>
    </row>
  </sheetData>
  <sortState ref="B100:T116">
    <sortCondition ref="E100:E116"/>
    <sortCondition ref="D100:D116" customList="Jan,Feb,Mar,Apr,May,Jun,Jul,Aug,Sep,Oct,Nov,Dec"/>
  </sortState>
  <mergeCells count="2">
    <mergeCell ref="AD5:AH5"/>
    <mergeCell ref="T3:U3"/>
  </mergeCells>
  <phoneticPr fontId="16" type="noConversion"/>
  <pageMargins left="0.7" right="0.7" top="0.75" bottom="0.75" header="0.3" footer="0.3"/>
  <pageSetup orientation="portrait" horizontalDpi="1200" verticalDpi="1200" r:id="rId5"/>
  <drawing r:id="rId6"/>
  <legacyDrawing r:id="rId7"/>
</worksheet>
</file>

<file path=xl/worksheets/sheet6.xml><?xml version="1.0" encoding="utf-8"?>
<worksheet xmlns="http://schemas.openxmlformats.org/spreadsheetml/2006/main" xmlns:r="http://schemas.openxmlformats.org/officeDocument/2006/relationships">
  <dimension ref="A1:K71"/>
  <sheetViews>
    <sheetView workbookViewId="0">
      <selection activeCell="F3" sqref="F3"/>
    </sheetView>
  </sheetViews>
  <sheetFormatPr defaultRowHeight="14.25"/>
  <cols>
    <col min="1" max="1" width="11.5703125" style="444" bestFit="1" customWidth="1"/>
    <col min="2" max="4" width="9.7109375" customWidth="1"/>
    <col min="5" max="5" width="9.85546875" bestFit="1" customWidth="1"/>
    <col min="6" max="6" width="9.7109375" bestFit="1" customWidth="1"/>
    <col min="8" max="8" width="12.42578125" customWidth="1"/>
  </cols>
  <sheetData>
    <row r="1" spans="1:6" ht="15">
      <c r="A1" s="443" t="s">
        <v>671</v>
      </c>
    </row>
    <row r="2" spans="1:6" ht="15">
      <c r="A2" s="443"/>
      <c r="B2" s="124"/>
      <c r="C2" s="124"/>
      <c r="D2" s="124"/>
      <c r="E2" s="124" t="s">
        <v>672</v>
      </c>
      <c r="F2" s="124" t="s">
        <v>672</v>
      </c>
    </row>
    <row r="3" spans="1:6">
      <c r="B3" s="124"/>
      <c r="C3" s="124"/>
      <c r="D3" s="124"/>
      <c r="E3" s="124" t="s">
        <v>673</v>
      </c>
      <c r="F3" s="124" t="s">
        <v>824</v>
      </c>
    </row>
    <row r="4" spans="1:6">
      <c r="B4" s="551" t="s">
        <v>674</v>
      </c>
      <c r="C4" s="551"/>
      <c r="D4" s="551"/>
      <c r="E4" s="129" t="s">
        <v>211</v>
      </c>
      <c r="F4" s="129" t="s">
        <v>211</v>
      </c>
    </row>
    <row r="5" spans="1:6">
      <c r="A5" s="445" t="s">
        <v>0</v>
      </c>
      <c r="B5" s="440" t="s">
        <v>675</v>
      </c>
      <c r="C5" s="440" t="s">
        <v>676</v>
      </c>
      <c r="D5" s="440" t="s">
        <v>677</v>
      </c>
      <c r="E5" s="440" t="s">
        <v>212</v>
      </c>
      <c r="F5" s="440" t="s">
        <v>212</v>
      </c>
    </row>
    <row r="6" spans="1:6">
      <c r="A6" s="444">
        <v>1990</v>
      </c>
      <c r="B6" s="155">
        <v>3</v>
      </c>
      <c r="C6" s="334">
        <v>286</v>
      </c>
      <c r="D6" s="334">
        <v>617</v>
      </c>
      <c r="E6" s="21">
        <v>906.45500000000004</v>
      </c>
      <c r="F6" s="94">
        <f>E6/1000</f>
        <v>0.90645500000000001</v>
      </c>
    </row>
    <row r="7" spans="1:6">
      <c r="A7" s="444">
        <v>1991</v>
      </c>
      <c r="B7" s="155">
        <v>0</v>
      </c>
      <c r="C7" s="334">
        <v>2484</v>
      </c>
      <c r="D7" s="334">
        <v>2110</v>
      </c>
      <c r="E7" s="21">
        <v>4593.701</v>
      </c>
      <c r="F7" s="94">
        <f t="shared" ref="F7:F25" si="0">E7/1000</f>
        <v>4.5937010000000003</v>
      </c>
    </row>
    <row r="8" spans="1:6">
      <c r="A8" s="444">
        <v>1992</v>
      </c>
      <c r="B8" s="155">
        <v>0</v>
      </c>
      <c r="C8" s="334">
        <v>769</v>
      </c>
      <c r="D8" s="334">
        <v>2885</v>
      </c>
      <c r="E8" s="21">
        <v>3653.694</v>
      </c>
      <c r="F8" s="94">
        <f t="shared" si="0"/>
        <v>3.6536939999999998</v>
      </c>
    </row>
    <row r="9" spans="1:6">
      <c r="A9" s="444">
        <v>1993</v>
      </c>
      <c r="B9" s="155">
        <v>0</v>
      </c>
      <c r="C9" s="155">
        <v>0</v>
      </c>
      <c r="D9" s="334">
        <v>3092.0349999999999</v>
      </c>
      <c r="E9" s="21">
        <v>3092.0349999999999</v>
      </c>
      <c r="F9" s="94">
        <f t="shared" si="0"/>
        <v>3.0920349999999996</v>
      </c>
    </row>
    <row r="10" spans="1:6">
      <c r="A10" s="444">
        <v>1994</v>
      </c>
      <c r="B10" s="155">
        <v>0</v>
      </c>
      <c r="C10" s="155">
        <v>0</v>
      </c>
      <c r="D10" s="334">
        <v>4724.3590000000004</v>
      </c>
      <c r="E10" s="21">
        <v>4724.3590000000004</v>
      </c>
      <c r="F10" s="94">
        <f t="shared" si="0"/>
        <v>4.7243590000000006</v>
      </c>
    </row>
    <row r="11" spans="1:6">
      <c r="A11" s="444">
        <v>1995</v>
      </c>
      <c r="B11" s="155">
        <v>0</v>
      </c>
      <c r="C11" s="155">
        <v>0</v>
      </c>
      <c r="D11" s="334">
        <v>5882.3410000000003</v>
      </c>
      <c r="E11" s="21">
        <v>5882.3410000000003</v>
      </c>
      <c r="F11" s="94">
        <f t="shared" si="0"/>
        <v>5.8823410000000003</v>
      </c>
    </row>
    <row r="12" spans="1:6">
      <c r="A12" s="444">
        <v>1996</v>
      </c>
      <c r="B12" s="155">
        <v>0</v>
      </c>
      <c r="C12" s="155">
        <v>0</v>
      </c>
      <c r="D12" s="334">
        <v>8347.32</v>
      </c>
      <c r="E12" s="21">
        <v>8347.32</v>
      </c>
      <c r="F12" s="94">
        <f t="shared" si="0"/>
        <v>8.3473199999999999</v>
      </c>
    </row>
    <row r="13" spans="1:6">
      <c r="A13" s="444">
        <v>1997</v>
      </c>
      <c r="B13" s="155">
        <v>0</v>
      </c>
      <c r="C13" s="155">
        <v>0</v>
      </c>
      <c r="D13" s="334">
        <v>11018.370999999999</v>
      </c>
      <c r="E13" s="21">
        <v>11018.370999999999</v>
      </c>
      <c r="F13" s="94">
        <f t="shared" si="0"/>
        <v>11.018370999999998</v>
      </c>
    </row>
    <row r="14" spans="1:6">
      <c r="A14" s="444">
        <v>1998</v>
      </c>
      <c r="B14" s="155">
        <v>0</v>
      </c>
      <c r="C14" s="155">
        <v>0</v>
      </c>
      <c r="D14" s="334">
        <v>14323.634</v>
      </c>
      <c r="E14" s="21">
        <v>14323.634</v>
      </c>
      <c r="F14" s="94">
        <f t="shared" si="0"/>
        <v>14.323634</v>
      </c>
    </row>
    <row r="15" spans="1:6">
      <c r="A15" s="444">
        <v>1999</v>
      </c>
      <c r="B15" s="155">
        <v>0</v>
      </c>
      <c r="C15" s="155">
        <v>0</v>
      </c>
      <c r="D15" s="334">
        <v>16992.023000000001</v>
      </c>
      <c r="E15" s="21">
        <v>16992.023000000001</v>
      </c>
      <c r="F15" s="94">
        <f t="shared" si="0"/>
        <v>16.992023</v>
      </c>
    </row>
    <row r="16" spans="1:6">
      <c r="A16" s="444">
        <v>2000</v>
      </c>
      <c r="B16" s="155">
        <v>0</v>
      </c>
      <c r="C16" s="155">
        <v>0</v>
      </c>
      <c r="D16" s="79">
        <v>15575.808000000001</v>
      </c>
      <c r="E16" s="21">
        <v>15575.808000000001</v>
      </c>
      <c r="F16" s="94">
        <f t="shared" si="0"/>
        <v>15.575808</v>
      </c>
    </row>
    <row r="17" spans="1:6">
      <c r="A17" s="444">
        <v>2001</v>
      </c>
      <c r="B17" s="155">
        <v>0</v>
      </c>
      <c r="C17" s="155">
        <v>0</v>
      </c>
      <c r="D17" s="79">
        <v>17312.827000000001</v>
      </c>
      <c r="E17" s="21">
        <v>17312.827000000001</v>
      </c>
      <c r="F17" s="94">
        <f t="shared" si="0"/>
        <v>17.312827000000002</v>
      </c>
    </row>
    <row r="18" spans="1:6">
      <c r="A18" s="444">
        <v>2002</v>
      </c>
      <c r="B18" s="155">
        <v>0</v>
      </c>
      <c r="C18" s="155">
        <v>0</v>
      </c>
      <c r="D18" s="79">
        <v>20840.866999999998</v>
      </c>
      <c r="E18" s="21">
        <v>20840.866999999998</v>
      </c>
      <c r="F18" s="94">
        <f t="shared" si="0"/>
        <v>20.840866999999999</v>
      </c>
    </row>
    <row r="19" spans="1:6">
      <c r="A19" s="444">
        <v>2003</v>
      </c>
      <c r="B19" s="155">
        <v>0</v>
      </c>
      <c r="C19" s="155">
        <v>0</v>
      </c>
      <c r="D19" s="79">
        <v>16438.332999999999</v>
      </c>
      <c r="E19" s="21">
        <v>16438.332999999999</v>
      </c>
      <c r="F19" s="94">
        <f t="shared" si="0"/>
        <v>16.438333</v>
      </c>
    </row>
    <row r="20" spans="1:6">
      <c r="A20" s="444">
        <v>2004</v>
      </c>
      <c r="B20" s="155">
        <v>0</v>
      </c>
      <c r="C20" s="155">
        <v>0</v>
      </c>
      <c r="D20" s="79">
        <v>20232.844000000001</v>
      </c>
      <c r="E20" s="21">
        <v>20232.844000000001</v>
      </c>
      <c r="F20" s="94">
        <f t="shared" si="0"/>
        <v>20.232844</v>
      </c>
    </row>
    <row r="21" spans="1:6">
      <c r="A21" s="444">
        <v>2005</v>
      </c>
      <c r="B21" s="155">
        <v>0</v>
      </c>
      <c r="C21" s="155">
        <v>0</v>
      </c>
      <c r="D21" s="79">
        <v>17167.415000000001</v>
      </c>
      <c r="E21" s="21">
        <v>17167.415000000001</v>
      </c>
      <c r="F21" s="94">
        <f t="shared" si="0"/>
        <v>17.167415000000002</v>
      </c>
    </row>
    <row r="22" spans="1:6">
      <c r="A22" s="444">
        <v>2006</v>
      </c>
      <c r="B22" s="155">
        <v>0</v>
      </c>
      <c r="C22" s="155">
        <v>0</v>
      </c>
      <c r="D22" s="79">
        <v>26244.225999999999</v>
      </c>
      <c r="E22" s="21">
        <v>26244.225999999999</v>
      </c>
      <c r="F22" s="94">
        <f t="shared" si="0"/>
        <v>26.244225999999998</v>
      </c>
    </row>
    <row r="23" spans="1:6">
      <c r="A23" s="444">
        <v>2007</v>
      </c>
      <c r="B23" s="155">
        <v>0</v>
      </c>
      <c r="C23" s="155">
        <v>0</v>
      </c>
      <c r="D23" s="79">
        <v>14760</v>
      </c>
      <c r="E23" s="21">
        <v>14760</v>
      </c>
      <c r="F23" s="94">
        <f t="shared" si="0"/>
        <v>14.76</v>
      </c>
    </row>
    <row r="24" spans="1:6">
      <c r="A24" s="444">
        <v>2008</v>
      </c>
      <c r="B24" s="155">
        <v>0</v>
      </c>
      <c r="C24" s="155">
        <v>0</v>
      </c>
      <c r="D24" s="79">
        <v>21998</v>
      </c>
      <c r="E24" s="21">
        <v>21998</v>
      </c>
      <c r="F24" s="94">
        <f t="shared" si="0"/>
        <v>21.998000000000001</v>
      </c>
    </row>
    <row r="25" spans="1:6">
      <c r="A25" s="444">
        <v>2009</v>
      </c>
      <c r="B25" s="155">
        <v>0</v>
      </c>
      <c r="C25" s="155">
        <v>0</v>
      </c>
      <c r="D25" s="79">
        <v>18501</v>
      </c>
      <c r="E25" s="21">
        <f>12462+1176+4863</f>
        <v>18501</v>
      </c>
      <c r="F25" s="94">
        <f t="shared" si="0"/>
        <v>18.501000000000001</v>
      </c>
    </row>
    <row r="63" spans="6:8" ht="15" thickBot="1"/>
    <row r="64" spans="6:8">
      <c r="F64" s="76" t="s">
        <v>200</v>
      </c>
      <c r="G64" s="76" t="s">
        <v>201</v>
      </c>
      <c r="H64" s="76" t="s">
        <v>202</v>
      </c>
    </row>
    <row r="65" spans="6:11">
      <c r="F65" s="6">
        <v>0.89976100143406179</v>
      </c>
      <c r="G65" s="6">
        <v>15.283422560753987</v>
      </c>
      <c r="H65" s="84">
        <v>2.9734151415761679E-2</v>
      </c>
    </row>
    <row r="66" spans="6:11">
      <c r="F66" s="6">
        <v>5.8871695646532808E-2</v>
      </c>
      <c r="G66" s="6"/>
      <c r="H66" s="6"/>
    </row>
    <row r="67" spans="6:11" ht="15" thickBot="1">
      <c r="F67" s="75"/>
      <c r="G67" s="75"/>
      <c r="H67" s="75"/>
    </row>
    <row r="68" spans="6:11" ht="15" thickBot="1"/>
    <row r="69" spans="6:11">
      <c r="F69" s="76" t="s">
        <v>204</v>
      </c>
      <c r="G69" s="76" t="s">
        <v>205</v>
      </c>
      <c r="H69" s="76" t="s">
        <v>206</v>
      </c>
      <c r="I69" s="76" t="s">
        <v>207</v>
      </c>
      <c r="J69" s="76" t="s">
        <v>208</v>
      </c>
      <c r="K69" s="76" t="s">
        <v>209</v>
      </c>
    </row>
    <row r="70" spans="6:11">
      <c r="F70" s="6">
        <v>0.55866937915346571</v>
      </c>
      <c r="G70" s="6">
        <v>0.61537622579255191</v>
      </c>
      <c r="H70" s="6">
        <v>-0.54518930876950855</v>
      </c>
      <c r="I70" s="6">
        <v>0.77735887293032624</v>
      </c>
      <c r="J70" s="6">
        <v>-0.54518930876950855</v>
      </c>
      <c r="K70" s="6">
        <v>0.77735887293032624</v>
      </c>
    </row>
    <row r="71" spans="6:11" ht="15" thickBot="1">
      <c r="F71" s="75">
        <v>3.9094018162314783</v>
      </c>
      <c r="G71" s="75">
        <v>2.97341514157617E-2</v>
      </c>
      <c r="H71" s="75">
        <v>1.5491182125027415E-5</v>
      </c>
      <c r="I71" s="75">
        <v>1.5112494386908986E-4</v>
      </c>
      <c r="J71" s="75">
        <v>1.5491182125027415E-5</v>
      </c>
      <c r="K71" s="75">
        <v>1.5112494386908986E-4</v>
      </c>
    </row>
  </sheetData>
  <mergeCells count="1">
    <mergeCell ref="B4:D4"/>
  </mergeCells>
  <phoneticPr fontId="16" type="noConversion"/>
  <pageMargins left="0.7" right="0.7" top="0.75" bottom="0.75" header="0.3" footer="0.3"/>
  <pageSetup orientation="portrait" horizontalDpi="1200" verticalDpi="1200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E74"/>
  <sheetViews>
    <sheetView workbookViewId="0">
      <selection activeCell="C9" sqref="C9"/>
    </sheetView>
  </sheetViews>
  <sheetFormatPr defaultRowHeight="12.75"/>
  <cols>
    <col min="1" max="1" width="12" style="53" customWidth="1"/>
    <col min="2" max="2" width="22.28515625" style="53" bestFit="1" customWidth="1"/>
    <col min="3" max="3" width="72.140625" customWidth="1"/>
    <col min="4" max="4" width="11.5703125" bestFit="1" customWidth="1"/>
  </cols>
  <sheetData>
    <row r="1" spans="1:3">
      <c r="A1" s="221" t="s">
        <v>427</v>
      </c>
    </row>
    <row r="5" spans="1:3">
      <c r="B5" s="124" t="s">
        <v>424</v>
      </c>
    </row>
    <row r="6" spans="1:3">
      <c r="A6" s="124" t="s">
        <v>210</v>
      </c>
      <c r="B6" s="124" t="s">
        <v>428</v>
      </c>
      <c r="C6" s="53"/>
    </row>
    <row r="7" spans="1:3">
      <c r="A7" s="141" t="s">
        <v>429</v>
      </c>
      <c r="B7" s="141" t="s">
        <v>425</v>
      </c>
      <c r="C7" s="141" t="s">
        <v>426</v>
      </c>
    </row>
    <row r="8" spans="1:3">
      <c r="A8" s="53">
        <v>2001</v>
      </c>
      <c r="B8" s="124" t="s">
        <v>262</v>
      </c>
      <c r="C8" s="118" t="s">
        <v>405</v>
      </c>
    </row>
    <row r="9" spans="1:3">
      <c r="A9" s="53">
        <v>2002</v>
      </c>
      <c r="B9" s="53">
        <v>92</v>
      </c>
      <c r="C9" s="118" t="s">
        <v>404</v>
      </c>
    </row>
    <row r="10" spans="1:3">
      <c r="A10" s="53">
        <v>2003</v>
      </c>
      <c r="B10" s="53">
        <v>14.7</v>
      </c>
      <c r="C10" s="118" t="s">
        <v>407</v>
      </c>
    </row>
    <row r="11" spans="1:3">
      <c r="A11" s="53">
        <v>2004</v>
      </c>
      <c r="B11" s="53">
        <v>63.4</v>
      </c>
      <c r="C11" s="118" t="s">
        <v>406</v>
      </c>
    </row>
    <row r="12" spans="1:3">
      <c r="A12" s="53">
        <v>2005</v>
      </c>
      <c r="B12" s="53">
        <f>(31.3+29.3)/2</f>
        <v>30.3</v>
      </c>
      <c r="C12" s="118" t="s">
        <v>258</v>
      </c>
    </row>
    <row r="13" spans="1:3">
      <c r="A13" s="53">
        <v>2006</v>
      </c>
      <c r="B13" s="53">
        <f>(12.5+15.8)/2</f>
        <v>14.15</v>
      </c>
      <c r="C13" s="118" t="s">
        <v>259</v>
      </c>
    </row>
    <row r="14" spans="1:3">
      <c r="A14" s="53">
        <v>2007</v>
      </c>
      <c r="B14" s="53">
        <f>(27.1+15.3)/2</f>
        <v>21.200000000000003</v>
      </c>
      <c r="C14" s="118" t="s">
        <v>260</v>
      </c>
    </row>
    <row r="15" spans="1:3">
      <c r="A15" s="53">
        <v>2008</v>
      </c>
      <c r="B15" s="53">
        <f>(3.8+15.2)/2</f>
        <v>9.5</v>
      </c>
      <c r="C15" s="118" t="s">
        <v>261</v>
      </c>
    </row>
    <row r="16" spans="1:3">
      <c r="A16" s="53">
        <v>2009</v>
      </c>
      <c r="B16" s="53">
        <f>(1.4+2.7)/2</f>
        <v>2.0499999999999998</v>
      </c>
      <c r="C16" s="118" t="s">
        <v>659</v>
      </c>
    </row>
    <row r="17" spans="1:5">
      <c r="A17" s="18"/>
    </row>
    <row r="18" spans="1:5">
      <c r="A18" s="18"/>
    </row>
    <row r="20" spans="1:5">
      <c r="A20" s="50"/>
    </row>
    <row r="21" spans="1:5">
      <c r="A21" s="18"/>
    </row>
    <row r="22" spans="1:5">
      <c r="A22" s="18"/>
    </row>
    <row r="23" spans="1:5">
      <c r="A23" s="18"/>
    </row>
    <row r="25" spans="1:5">
      <c r="A25" s="274"/>
      <c r="B25" s="274"/>
      <c r="C25" s="3"/>
      <c r="D25" s="3"/>
      <c r="E25" s="3"/>
    </row>
    <row r="26" spans="1:5">
      <c r="A26" s="274"/>
      <c r="B26" s="274"/>
      <c r="C26" s="3"/>
      <c r="D26" s="3"/>
      <c r="E26" s="3"/>
    </row>
    <row r="27" spans="1:5">
      <c r="A27" s="66"/>
      <c r="B27" s="276"/>
      <c r="C27" s="3"/>
      <c r="D27" s="3"/>
      <c r="E27" s="3"/>
    </row>
    <row r="28" spans="1:5">
      <c r="A28" s="66"/>
      <c r="B28" s="276"/>
      <c r="C28" s="3"/>
      <c r="D28" s="3"/>
      <c r="E28" s="3"/>
    </row>
    <row r="29" spans="1:5">
      <c r="A29" s="66"/>
      <c r="B29" s="274"/>
      <c r="C29" s="3"/>
      <c r="D29" s="3"/>
      <c r="E29" s="3"/>
    </row>
    <row r="30" spans="1:5">
      <c r="A30" s="66"/>
      <c r="B30" s="276"/>
      <c r="C30" s="3"/>
      <c r="D30" s="3"/>
      <c r="E30" s="3"/>
    </row>
    <row r="31" spans="1:5">
      <c r="A31" s="69"/>
      <c r="B31" s="274"/>
      <c r="C31" s="3"/>
      <c r="D31" s="3"/>
      <c r="E31" s="3"/>
    </row>
    <row r="32" spans="1:5">
      <c r="A32" s="69"/>
      <c r="B32" s="274"/>
      <c r="C32" s="3"/>
      <c r="D32" s="3"/>
      <c r="E32" s="3"/>
    </row>
    <row r="33" spans="1:5">
      <c r="A33" s="69"/>
      <c r="B33" s="274"/>
      <c r="C33" s="3"/>
      <c r="D33" s="3"/>
      <c r="E33" s="3"/>
    </row>
    <row r="34" spans="1:5">
      <c r="A34" s="69"/>
      <c r="B34" s="274"/>
      <c r="C34" s="3"/>
      <c r="D34" s="3"/>
      <c r="E34" s="3"/>
    </row>
    <row r="35" spans="1:5">
      <c r="A35" s="69"/>
      <c r="B35" s="274"/>
      <c r="C35" s="3"/>
      <c r="D35" s="3"/>
      <c r="E35" s="3"/>
    </row>
    <row r="36" spans="1:5">
      <c r="A36" s="69"/>
      <c r="B36" s="274"/>
      <c r="C36" s="3"/>
      <c r="D36" s="3"/>
      <c r="E36" s="3"/>
    </row>
    <row r="37" spans="1:5">
      <c r="A37" s="69"/>
      <c r="B37" s="274"/>
      <c r="C37" s="3"/>
      <c r="D37" s="3"/>
      <c r="E37" s="3"/>
    </row>
    <row r="38" spans="1:5">
      <c r="A38" s="69"/>
      <c r="B38" s="274"/>
      <c r="C38" s="3"/>
      <c r="D38" s="3"/>
      <c r="E38" s="3"/>
    </row>
    <row r="39" spans="1:5">
      <c r="A39" s="69"/>
      <c r="B39" s="274"/>
      <c r="C39" s="3"/>
      <c r="D39" s="3"/>
      <c r="E39" s="3"/>
    </row>
    <row r="40" spans="1:5">
      <c r="A40" s="69"/>
      <c r="B40" s="274"/>
      <c r="C40" s="3"/>
      <c r="D40" s="3"/>
      <c r="E40" s="3"/>
    </row>
    <row r="41" spans="1:5">
      <c r="A41" s="69"/>
      <c r="B41" s="274"/>
      <c r="C41" s="3"/>
      <c r="D41" s="3"/>
      <c r="E41" s="3"/>
    </row>
    <row r="42" spans="1:5">
      <c r="A42" s="274"/>
      <c r="B42" s="274"/>
      <c r="C42" s="3"/>
      <c r="D42" s="3"/>
      <c r="E42" s="3"/>
    </row>
    <row r="43" spans="1:5">
      <c r="A43" s="274"/>
      <c r="B43" s="274"/>
      <c r="C43" s="3"/>
      <c r="D43" s="3"/>
      <c r="E43" s="3"/>
    </row>
    <row r="44" spans="1:5">
      <c r="A44" s="274"/>
      <c r="B44" s="274"/>
      <c r="C44" s="3"/>
      <c r="D44" s="3"/>
      <c r="E44" s="3"/>
    </row>
    <row r="45" spans="1:5">
      <c r="A45" s="274"/>
      <c r="B45" s="274"/>
      <c r="C45" s="3"/>
      <c r="D45" s="3"/>
      <c r="E45" s="3"/>
    </row>
    <row r="46" spans="1:5">
      <c r="A46" s="274"/>
      <c r="B46" s="274"/>
      <c r="C46" s="3"/>
      <c r="D46" s="3"/>
      <c r="E46" s="3"/>
    </row>
    <row r="47" spans="1:5">
      <c r="A47" s="274"/>
      <c r="B47" s="282"/>
      <c r="C47" s="3"/>
      <c r="D47" s="3"/>
      <c r="E47" s="3"/>
    </row>
    <row r="48" spans="1:5">
      <c r="A48" s="274"/>
      <c r="B48" s="282"/>
      <c r="C48" s="3"/>
      <c r="D48" s="3"/>
      <c r="E48" s="3"/>
    </row>
    <row r="49" spans="1:5">
      <c r="A49" s="274"/>
      <c r="B49" s="274"/>
      <c r="C49" s="3"/>
      <c r="D49" s="3"/>
      <c r="E49" s="3"/>
    </row>
    <row r="50" spans="1:5">
      <c r="A50" s="274"/>
      <c r="B50" s="274"/>
      <c r="C50" s="3"/>
      <c r="D50" s="3"/>
      <c r="E50" s="3"/>
    </row>
    <row r="51" spans="1:5">
      <c r="A51" s="274"/>
      <c r="B51" s="274"/>
      <c r="C51" s="3"/>
      <c r="D51" s="3"/>
      <c r="E51" s="3"/>
    </row>
    <row r="52" spans="1:5">
      <c r="A52" s="274"/>
      <c r="B52" s="274"/>
      <c r="C52" s="3"/>
      <c r="D52" s="3"/>
      <c r="E52" s="3"/>
    </row>
    <row r="53" spans="1:5">
      <c r="A53" s="274"/>
      <c r="B53" s="274"/>
      <c r="C53" s="3"/>
      <c r="D53" s="3"/>
      <c r="E53" s="3"/>
    </row>
    <row r="54" spans="1:5">
      <c r="A54" s="274"/>
      <c r="B54" s="274"/>
      <c r="C54" s="3"/>
      <c r="D54" s="3"/>
      <c r="E54" s="3"/>
    </row>
    <row r="55" spans="1:5">
      <c r="A55" s="274"/>
      <c r="B55" s="274"/>
      <c r="C55" s="3"/>
      <c r="D55" s="3"/>
      <c r="E55" s="3"/>
    </row>
    <row r="56" spans="1:5">
      <c r="A56" s="274"/>
      <c r="B56" s="274"/>
      <c r="C56" s="3"/>
      <c r="D56" s="3"/>
      <c r="E56" s="3"/>
    </row>
    <row r="57" spans="1:5">
      <c r="A57" s="274"/>
      <c r="B57" s="274"/>
      <c r="C57" s="3"/>
      <c r="D57" s="3"/>
      <c r="E57" s="3"/>
    </row>
    <row r="58" spans="1:5">
      <c r="A58" s="274"/>
      <c r="B58" s="274"/>
      <c r="C58" s="3"/>
      <c r="D58" s="3"/>
      <c r="E58" s="3"/>
    </row>
    <row r="59" spans="1:5">
      <c r="A59" s="274"/>
      <c r="B59" s="274"/>
      <c r="C59" s="3"/>
      <c r="D59" s="3"/>
      <c r="E59" s="3"/>
    </row>
    <row r="60" spans="1:5">
      <c r="A60" s="19"/>
      <c r="B60" s="274"/>
      <c r="C60" s="3"/>
      <c r="D60" s="3"/>
      <c r="E60" s="3"/>
    </row>
    <row r="61" spans="1:5">
      <c r="A61" s="274"/>
      <c r="B61" s="274"/>
      <c r="C61" s="3"/>
      <c r="D61" s="3"/>
      <c r="E61" s="3"/>
    </row>
    <row r="62" spans="1:5">
      <c r="A62" s="274"/>
      <c r="B62" s="274"/>
      <c r="C62" s="3"/>
      <c r="D62" s="3"/>
      <c r="E62" s="3"/>
    </row>
    <row r="63" spans="1:5">
      <c r="A63" s="274"/>
      <c r="B63" s="274"/>
      <c r="C63" s="3"/>
      <c r="D63" s="3"/>
      <c r="E63" s="3"/>
    </row>
    <row r="64" spans="1:5">
      <c r="A64" s="66"/>
      <c r="B64" s="274"/>
      <c r="C64" s="3"/>
      <c r="D64" s="3"/>
      <c r="E64" s="3"/>
    </row>
    <row r="65" spans="1:5">
      <c r="A65" s="66"/>
      <c r="B65" s="274"/>
      <c r="C65" s="275"/>
      <c r="D65" s="66"/>
      <c r="E65" s="3"/>
    </row>
    <row r="66" spans="1:5">
      <c r="A66" s="66"/>
      <c r="B66" s="274"/>
      <c r="C66" s="275"/>
      <c r="D66" s="3"/>
      <c r="E66" s="3"/>
    </row>
    <row r="67" spans="1:5">
      <c r="A67" s="66"/>
      <c r="B67" s="274"/>
      <c r="C67" s="275"/>
      <c r="D67" s="3"/>
      <c r="E67" s="3"/>
    </row>
    <row r="68" spans="1:5">
      <c r="A68" s="66"/>
      <c r="B68" s="274"/>
      <c r="C68" s="275"/>
      <c r="D68" s="66"/>
      <c r="E68" s="3"/>
    </row>
    <row r="69" spans="1:5">
      <c r="A69" s="66"/>
      <c r="B69" s="274"/>
      <c r="C69" s="3"/>
      <c r="D69" s="3"/>
      <c r="E69" s="3"/>
    </row>
    <row r="70" spans="1:5">
      <c r="A70" s="66"/>
      <c r="B70" s="274"/>
      <c r="C70" s="3"/>
      <c r="D70" s="3"/>
      <c r="E70" s="3"/>
    </row>
    <row r="71" spans="1:5">
      <c r="A71" s="66"/>
      <c r="B71" s="274"/>
      <c r="C71" s="3"/>
      <c r="D71" s="3"/>
      <c r="E71" s="3"/>
    </row>
    <row r="72" spans="1:5">
      <c r="A72" s="274"/>
      <c r="B72" s="283"/>
      <c r="C72" s="275"/>
      <c r="D72" s="42"/>
      <c r="E72" s="3"/>
    </row>
    <row r="73" spans="1:5">
      <c r="A73" s="274"/>
      <c r="B73" s="274"/>
      <c r="C73" s="3"/>
      <c r="D73" s="3"/>
      <c r="E73" s="3"/>
    </row>
    <row r="74" spans="1:5">
      <c r="A74" s="274"/>
      <c r="B74" s="274"/>
      <c r="C74" s="3"/>
      <c r="D74" s="3"/>
      <c r="E74" s="3"/>
    </row>
  </sheetData>
  <pageMargins left="0.7" right="0.7" top="0.75" bottom="0.75" header="0.3" footer="0.3"/>
  <pageSetup orientation="portrait" horizontalDpi="1200" verticalDpi="1200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4:X94"/>
  <sheetViews>
    <sheetView topLeftCell="A37" workbookViewId="0">
      <selection activeCell="G69" sqref="G69"/>
    </sheetView>
  </sheetViews>
  <sheetFormatPr defaultRowHeight="12.75"/>
  <cols>
    <col min="1" max="1" width="11.42578125" customWidth="1"/>
    <col min="5" max="5" width="11" bestFit="1" customWidth="1"/>
    <col min="6" max="7" width="10.140625" bestFit="1" customWidth="1"/>
    <col min="12" max="13" width="9.28515625" bestFit="1" customWidth="1"/>
    <col min="14" max="14" width="3" style="3" customWidth="1"/>
    <col min="15" max="16" width="9.28515625" bestFit="1" customWidth="1"/>
    <col min="17" max="17" width="10.42578125" bestFit="1" customWidth="1"/>
    <col min="18" max="19" width="9.28515625" bestFit="1" customWidth="1"/>
    <col min="20" max="20" width="12" bestFit="1" customWidth="1"/>
    <col min="21" max="21" width="10.42578125" bestFit="1" customWidth="1"/>
    <col min="23" max="23" width="10.7109375" customWidth="1"/>
  </cols>
  <sheetData>
    <row r="4" spans="1:21">
      <c r="A4" s="118" t="s">
        <v>546</v>
      </c>
    </row>
    <row r="8" spans="1:21">
      <c r="C8" s="141" t="s">
        <v>196</v>
      </c>
      <c r="D8" s="131" t="s">
        <v>543</v>
      </c>
      <c r="E8" s="54"/>
      <c r="F8" s="131" t="s">
        <v>544</v>
      </c>
      <c r="G8" s="54"/>
      <c r="I8" t="s">
        <v>501</v>
      </c>
    </row>
    <row r="9" spans="1:21">
      <c r="C9">
        <v>101</v>
      </c>
      <c r="D9" t="s">
        <v>496</v>
      </c>
      <c r="F9" t="s">
        <v>497</v>
      </c>
      <c r="I9" s="207" t="s">
        <v>503</v>
      </c>
    </row>
    <row r="10" spans="1:21">
      <c r="C10">
        <v>102</v>
      </c>
      <c r="D10" t="s">
        <v>498</v>
      </c>
      <c r="F10" t="s">
        <v>497</v>
      </c>
      <c r="I10" s="48" t="s">
        <v>506</v>
      </c>
      <c r="N10" s="349"/>
      <c r="T10" s="94"/>
      <c r="U10" s="21"/>
    </row>
    <row r="11" spans="1:21">
      <c r="C11">
        <v>103</v>
      </c>
      <c r="D11" t="s">
        <v>499</v>
      </c>
      <c r="F11" t="s">
        <v>497</v>
      </c>
      <c r="H11" s="118"/>
      <c r="N11" s="349"/>
      <c r="T11" s="94"/>
      <c r="U11" s="21"/>
    </row>
    <row r="12" spans="1:21">
      <c r="C12">
        <v>104</v>
      </c>
      <c r="D12" t="s">
        <v>500</v>
      </c>
      <c r="F12" t="s">
        <v>497</v>
      </c>
      <c r="N12" s="349"/>
      <c r="T12" s="94"/>
      <c r="U12" s="21"/>
    </row>
    <row r="13" spans="1:21">
      <c r="C13">
        <v>105</v>
      </c>
      <c r="D13" t="s">
        <v>502</v>
      </c>
      <c r="F13" t="s">
        <v>497</v>
      </c>
      <c r="I13" s="320"/>
      <c r="J13" s="278" t="s">
        <v>548</v>
      </c>
      <c r="N13" s="349"/>
      <c r="T13" s="94"/>
      <c r="U13" s="21"/>
    </row>
    <row r="14" spans="1:21">
      <c r="C14">
        <v>106</v>
      </c>
      <c r="D14" t="s">
        <v>504</v>
      </c>
      <c r="F14" s="321" t="s">
        <v>505</v>
      </c>
      <c r="I14" s="322"/>
      <c r="J14" s="278" t="s">
        <v>549</v>
      </c>
      <c r="N14" s="349"/>
      <c r="T14" s="94"/>
      <c r="U14" s="21"/>
    </row>
    <row r="15" spans="1:21">
      <c r="C15">
        <v>107</v>
      </c>
      <c r="D15" t="s">
        <v>507</v>
      </c>
      <c r="F15" s="321" t="s">
        <v>505</v>
      </c>
      <c r="N15" s="349"/>
      <c r="Q15" s="551" t="s">
        <v>438</v>
      </c>
      <c r="R15" s="551"/>
      <c r="S15" s="551"/>
      <c r="T15" s="551"/>
      <c r="U15" s="21"/>
    </row>
    <row r="16" spans="1:21">
      <c r="K16" s="118"/>
      <c r="L16" s="124" t="s">
        <v>547</v>
      </c>
      <c r="M16" s="118"/>
      <c r="N16" s="349"/>
      <c r="Q16" s="118"/>
      <c r="R16" s="124" t="s">
        <v>547</v>
      </c>
      <c r="S16" s="118"/>
      <c r="T16" s="118"/>
      <c r="U16" s="323"/>
    </row>
    <row r="17" spans="2:22">
      <c r="C17" s="124" t="s">
        <v>553</v>
      </c>
      <c r="D17" s="96" t="s">
        <v>508</v>
      </c>
      <c r="E17" s="96" t="s">
        <v>509</v>
      </c>
      <c r="F17" s="96" t="s">
        <v>510</v>
      </c>
      <c r="G17" s="96" t="s">
        <v>511</v>
      </c>
      <c r="H17" s="96" t="s">
        <v>512</v>
      </c>
      <c r="I17" s="96" t="s">
        <v>513</v>
      </c>
      <c r="J17" s="96" t="s">
        <v>514</v>
      </c>
      <c r="K17" s="124" t="s">
        <v>545</v>
      </c>
      <c r="L17" s="124" t="s">
        <v>545</v>
      </c>
      <c r="M17" s="118" t="s">
        <v>545</v>
      </c>
      <c r="N17" s="350"/>
      <c r="O17" s="124"/>
      <c r="P17" s="124"/>
      <c r="Q17" s="124" t="s">
        <v>431</v>
      </c>
      <c r="R17" s="124" t="s">
        <v>431</v>
      </c>
      <c r="S17" s="124" t="s">
        <v>431</v>
      </c>
      <c r="T17" s="324" t="s">
        <v>516</v>
      </c>
      <c r="U17" s="67" t="s">
        <v>517</v>
      </c>
      <c r="V17" s="67" t="s">
        <v>517</v>
      </c>
    </row>
    <row r="18" spans="2:22">
      <c r="B18" s="53" t="s">
        <v>518</v>
      </c>
      <c r="C18" s="124" t="s">
        <v>554</v>
      </c>
      <c r="D18" s="551" t="s">
        <v>838</v>
      </c>
      <c r="E18" s="554"/>
      <c r="F18" s="554"/>
      <c r="G18" s="554"/>
      <c r="H18" s="554"/>
      <c r="I18" s="554"/>
      <c r="J18" s="554"/>
      <c r="K18" s="118" t="s">
        <v>433</v>
      </c>
      <c r="L18" s="124" t="s">
        <v>433</v>
      </c>
      <c r="M18" s="118" t="s">
        <v>433</v>
      </c>
      <c r="N18" s="350"/>
      <c r="O18" s="551" t="s">
        <v>438</v>
      </c>
      <c r="P18" s="554"/>
      <c r="Q18" s="118" t="s">
        <v>433</v>
      </c>
      <c r="R18" s="124" t="s">
        <v>433</v>
      </c>
      <c r="S18" s="124" t="s">
        <v>433</v>
      </c>
      <c r="T18" s="324" t="s">
        <v>519</v>
      </c>
      <c r="U18" s="67" t="s">
        <v>433</v>
      </c>
      <c r="V18" s="67" t="s">
        <v>433</v>
      </c>
    </row>
    <row r="19" spans="2:22" ht="13.5" thickBot="1">
      <c r="B19" s="325" t="s">
        <v>429</v>
      </c>
      <c r="C19" s="325" t="s">
        <v>520</v>
      </c>
      <c r="D19" s="326">
        <v>101</v>
      </c>
      <c r="E19" s="326">
        <v>102</v>
      </c>
      <c r="F19" s="326">
        <v>103</v>
      </c>
      <c r="G19" s="326">
        <v>104</v>
      </c>
      <c r="H19" s="326">
        <v>105</v>
      </c>
      <c r="I19" s="348">
        <v>106</v>
      </c>
      <c r="J19" s="348">
        <v>107</v>
      </c>
      <c r="K19" s="141" t="s">
        <v>550</v>
      </c>
      <c r="L19" s="141" t="s">
        <v>551</v>
      </c>
      <c r="M19" s="131" t="s">
        <v>552</v>
      </c>
      <c r="N19" s="352"/>
      <c r="O19" s="327" t="s">
        <v>521</v>
      </c>
      <c r="P19" s="327" t="s">
        <v>522</v>
      </c>
      <c r="Q19" s="141" t="s">
        <v>550</v>
      </c>
      <c r="R19" s="141" t="s">
        <v>551</v>
      </c>
      <c r="S19" s="141" t="s">
        <v>552</v>
      </c>
      <c r="T19" s="328" t="s">
        <v>524</v>
      </c>
      <c r="U19" s="90" t="s">
        <v>525</v>
      </c>
      <c r="V19" s="126" t="s">
        <v>828</v>
      </c>
    </row>
    <row r="20" spans="2:22">
      <c r="B20" s="10">
        <v>1950</v>
      </c>
      <c r="C20" s="53" t="s">
        <v>526</v>
      </c>
      <c r="D20" s="329">
        <v>200</v>
      </c>
      <c r="E20" s="13">
        <v>35000</v>
      </c>
      <c r="F20" s="46">
        <v>7500</v>
      </c>
      <c r="G20" s="46">
        <v>3500</v>
      </c>
      <c r="H20" s="46">
        <v>1500</v>
      </c>
      <c r="I20" s="46">
        <v>1500</v>
      </c>
      <c r="J20" s="46">
        <v>7500</v>
      </c>
      <c r="K20" s="49">
        <f t="shared" ref="K20:K44" si="0">SUM(D20:J20)</f>
        <v>56700</v>
      </c>
      <c r="L20" s="56">
        <f>AVERAGE($K$20:$K$49)</f>
        <v>467378.13333333336</v>
      </c>
      <c r="M20" s="48">
        <f>LN(((K20-L20)/L20)+1)</f>
        <v>-2.1093644266509326</v>
      </c>
      <c r="N20" s="160"/>
      <c r="O20" s="330">
        <v>35000</v>
      </c>
      <c r="P20" s="331">
        <v>400</v>
      </c>
      <c r="Q20" s="21">
        <f t="shared" ref="Q20:Q49" si="1">K20+SUM(O20:P20)</f>
        <v>92100</v>
      </c>
      <c r="R20" s="21">
        <f>AVERAGE($Q$20:$Q$49)</f>
        <v>715315.19999999995</v>
      </c>
      <c r="S20" s="48">
        <f t="shared" ref="S20:S49" si="2">LN(Q20/R20)</f>
        <v>-2.0498483414525506</v>
      </c>
      <c r="T20" s="332"/>
      <c r="U20" s="333"/>
      <c r="V20" s="94"/>
    </row>
    <row r="21" spans="2:22">
      <c r="B21" s="10">
        <v>1952</v>
      </c>
      <c r="C21" s="53" t="s">
        <v>526</v>
      </c>
      <c r="D21" s="269">
        <v>3500</v>
      </c>
      <c r="E21" s="13">
        <v>35000</v>
      </c>
      <c r="F21" s="269">
        <v>75000</v>
      </c>
      <c r="G21" s="269">
        <v>35000</v>
      </c>
      <c r="H21" s="269">
        <v>7500</v>
      </c>
      <c r="I21" s="269">
        <v>3500</v>
      </c>
      <c r="J21" s="269">
        <v>15000</v>
      </c>
      <c r="K21" s="49">
        <f t="shared" si="0"/>
        <v>174500</v>
      </c>
      <c r="L21" s="56">
        <f>$L$20</f>
        <v>467378.13333333336</v>
      </c>
      <c r="M21" s="48">
        <f>LN(((K21-L21)/L21)+1)</f>
        <v>-0.98521389574215679</v>
      </c>
      <c r="N21" s="160"/>
      <c r="O21" s="334">
        <v>15000</v>
      </c>
      <c r="P21" s="269">
        <v>7500</v>
      </c>
      <c r="Q21" s="21">
        <f t="shared" si="1"/>
        <v>197000</v>
      </c>
      <c r="R21" s="21">
        <f t="shared" ref="R21:R49" si="3">AVERAGE($Q$20:$Q$49)</f>
        <v>715315.19999999995</v>
      </c>
      <c r="S21" s="48">
        <f t="shared" si="2"/>
        <v>-1.2895195559758235</v>
      </c>
      <c r="T21" s="94">
        <f>(Q21-Q20)/Q20/0.01</f>
        <v>113.89793702497286</v>
      </c>
      <c r="U21" s="21"/>
      <c r="V21" s="94"/>
    </row>
    <row r="22" spans="2:22">
      <c r="B22">
        <v>1954</v>
      </c>
      <c r="C22" s="53" t="s">
        <v>526</v>
      </c>
      <c r="D22" s="269">
        <v>15000</v>
      </c>
      <c r="E22" s="49">
        <v>75000</v>
      </c>
      <c r="F22" s="269">
        <v>7500</v>
      </c>
      <c r="G22" s="269">
        <v>15000</v>
      </c>
      <c r="H22" s="269">
        <v>15000</v>
      </c>
      <c r="I22" s="269">
        <v>400</v>
      </c>
      <c r="J22" s="335">
        <v>400</v>
      </c>
      <c r="K22" s="49">
        <f t="shared" si="0"/>
        <v>128300</v>
      </c>
      <c r="L22" s="56">
        <f t="shared" ref="L22:L49" si="4">$L$20</f>
        <v>467378.13333333336</v>
      </c>
      <c r="M22" s="48">
        <f t="shared" ref="M22:M49" si="5">LN(((K22-L22)/L22)+1)</f>
        <v>-1.2927673657630478</v>
      </c>
      <c r="N22" s="46"/>
      <c r="O22" s="21">
        <v>15000</v>
      </c>
      <c r="P22" s="269">
        <v>7500</v>
      </c>
      <c r="Q22" s="21">
        <f t="shared" si="1"/>
        <v>150800</v>
      </c>
      <c r="R22" s="21">
        <f t="shared" si="3"/>
        <v>715315.19999999995</v>
      </c>
      <c r="S22" s="48">
        <f t="shared" si="2"/>
        <v>-1.5567688291399562</v>
      </c>
      <c r="T22" s="94">
        <f>(Q22-Q21)/Q21/0.01</f>
        <v>-23.45177664974619</v>
      </c>
      <c r="U22" s="21">
        <v>103743.11278691409</v>
      </c>
      <c r="V22" s="21">
        <f>Q22+U22</f>
        <v>254543.11278691411</v>
      </c>
    </row>
    <row r="23" spans="2:22">
      <c r="B23">
        <v>1956</v>
      </c>
      <c r="C23" s="53" t="s">
        <v>526</v>
      </c>
      <c r="D23" s="269">
        <v>35000</v>
      </c>
      <c r="E23" s="49">
        <v>35000</v>
      </c>
      <c r="F23" s="269">
        <v>3500</v>
      </c>
      <c r="G23" s="269">
        <v>3500</v>
      </c>
      <c r="H23" s="269">
        <v>15000</v>
      </c>
      <c r="I23" s="269">
        <v>3500</v>
      </c>
      <c r="J23" s="335">
        <v>400</v>
      </c>
      <c r="K23" s="49">
        <f t="shared" si="0"/>
        <v>95900</v>
      </c>
      <c r="L23" s="56">
        <f t="shared" si="4"/>
        <v>467378.13333333336</v>
      </c>
      <c r="M23" s="48">
        <f t="shared" si="5"/>
        <v>-1.5838326554952464</v>
      </c>
      <c r="N23" s="46"/>
      <c r="O23" s="21">
        <v>75000</v>
      </c>
      <c r="P23" s="269">
        <v>15000</v>
      </c>
      <c r="Q23" s="21">
        <f t="shared" si="1"/>
        <v>185900</v>
      </c>
      <c r="R23" s="21">
        <f t="shared" si="3"/>
        <v>715315.19999999995</v>
      </c>
      <c r="S23" s="48">
        <f t="shared" si="2"/>
        <v>-1.3475143899864135</v>
      </c>
      <c r="T23" s="94">
        <f t="shared" ref="T23:T49" si="6">(Q23-Q22)/Q22/0.01</f>
        <v>23.275862068965516</v>
      </c>
      <c r="U23" s="21">
        <v>286265.62872998934</v>
      </c>
      <c r="V23" s="21">
        <f t="shared" ref="V23:V49" si="7">Q23+U23</f>
        <v>472165.62872998934</v>
      </c>
    </row>
    <row r="24" spans="2:22">
      <c r="B24">
        <v>1958</v>
      </c>
      <c r="C24" s="53" t="s">
        <v>526</v>
      </c>
      <c r="D24" s="269">
        <v>25000</v>
      </c>
      <c r="E24" s="49">
        <v>35000</v>
      </c>
      <c r="F24" s="269">
        <v>35000</v>
      </c>
      <c r="G24" s="269">
        <v>3500</v>
      </c>
      <c r="H24" s="269">
        <v>3500</v>
      </c>
      <c r="I24" s="269">
        <v>750</v>
      </c>
      <c r="J24" s="269">
        <v>7500</v>
      </c>
      <c r="K24" s="49">
        <f t="shared" si="0"/>
        <v>110250</v>
      </c>
      <c r="L24" s="56">
        <f t="shared" si="4"/>
        <v>467378.13333333336</v>
      </c>
      <c r="M24" s="48">
        <f t="shared" si="5"/>
        <v>-1.4443881230576836</v>
      </c>
      <c r="N24" s="46"/>
      <c r="O24" s="21">
        <v>75000</v>
      </c>
      <c r="P24" s="269">
        <v>15000</v>
      </c>
      <c r="Q24" s="21">
        <f t="shared" si="1"/>
        <v>200250</v>
      </c>
      <c r="R24" s="21">
        <f t="shared" si="3"/>
        <v>715315.19999999995</v>
      </c>
      <c r="S24" s="48">
        <f t="shared" si="2"/>
        <v>-1.2731566987653433</v>
      </c>
      <c r="T24" s="94">
        <f t="shared" si="6"/>
        <v>7.7192038730500272</v>
      </c>
      <c r="U24" s="21">
        <v>346420.73423005571</v>
      </c>
      <c r="V24" s="21">
        <f t="shared" si="7"/>
        <v>546670.73423005571</v>
      </c>
    </row>
    <row r="25" spans="2:22">
      <c r="B25">
        <v>1960</v>
      </c>
      <c r="C25" s="53" t="s">
        <v>526</v>
      </c>
      <c r="D25" s="269">
        <v>7500</v>
      </c>
      <c r="E25" s="49">
        <v>7500</v>
      </c>
      <c r="F25" s="269">
        <v>15000</v>
      </c>
      <c r="G25" s="269">
        <v>3500</v>
      </c>
      <c r="H25" s="269">
        <v>400</v>
      </c>
      <c r="I25" s="269">
        <v>1500</v>
      </c>
      <c r="J25" s="269">
        <v>750</v>
      </c>
      <c r="K25" s="336">
        <f t="shared" si="0"/>
        <v>36150</v>
      </c>
      <c r="L25" s="56">
        <f t="shared" si="4"/>
        <v>467378.13333333336</v>
      </c>
      <c r="M25" s="48">
        <f t="shared" si="5"/>
        <v>-2.5594616887798649</v>
      </c>
      <c r="N25" s="46"/>
      <c r="O25" s="21">
        <v>35000</v>
      </c>
      <c r="P25" s="269">
        <v>7500</v>
      </c>
      <c r="Q25" s="336">
        <f t="shared" si="1"/>
        <v>78650</v>
      </c>
      <c r="R25" s="21">
        <f t="shared" si="3"/>
        <v>715315.19999999995</v>
      </c>
      <c r="S25" s="48">
        <f t="shared" si="2"/>
        <v>-2.2077156552095252</v>
      </c>
      <c r="T25" s="94">
        <f t="shared" si="6"/>
        <v>-60.724094881398251</v>
      </c>
      <c r="U25" s="21">
        <v>136607.98942498345</v>
      </c>
      <c r="V25" s="21">
        <f t="shared" si="7"/>
        <v>215257.98942498345</v>
      </c>
    </row>
    <row r="26" spans="2:22">
      <c r="B26">
        <v>1962</v>
      </c>
      <c r="C26" s="53" t="s">
        <v>526</v>
      </c>
      <c r="D26" s="269">
        <v>15000</v>
      </c>
      <c r="E26" s="49">
        <v>35000</v>
      </c>
      <c r="F26" s="269">
        <v>35000</v>
      </c>
      <c r="G26" s="269">
        <v>15000</v>
      </c>
      <c r="H26" s="337">
        <v>35000</v>
      </c>
      <c r="I26" s="269">
        <v>200</v>
      </c>
      <c r="J26" s="269">
        <v>35000</v>
      </c>
      <c r="K26" s="49">
        <f t="shared" si="0"/>
        <v>170200</v>
      </c>
      <c r="L26" s="56">
        <f t="shared" si="4"/>
        <v>467378.13333333336</v>
      </c>
      <c r="M26" s="48">
        <f t="shared" si="5"/>
        <v>-1.0101644212453649</v>
      </c>
      <c r="N26" s="46"/>
      <c r="O26" s="21">
        <v>100000</v>
      </c>
      <c r="P26" s="269">
        <v>7500</v>
      </c>
      <c r="Q26" s="21">
        <f t="shared" si="1"/>
        <v>277700</v>
      </c>
      <c r="R26" s="21">
        <f t="shared" si="3"/>
        <v>715315.19999999995</v>
      </c>
      <c r="S26" s="48">
        <f t="shared" si="2"/>
        <v>-0.94618189040105805</v>
      </c>
      <c r="T26" s="94">
        <f t="shared" si="6"/>
        <v>253.08328035600763</v>
      </c>
      <c r="U26" s="21">
        <v>317257.93863462028</v>
      </c>
      <c r="V26" s="21">
        <f t="shared" si="7"/>
        <v>594957.93863462028</v>
      </c>
    </row>
    <row r="27" spans="2:22">
      <c r="B27">
        <v>1964</v>
      </c>
      <c r="C27" s="53" t="s">
        <v>526</v>
      </c>
      <c r="D27" s="269">
        <v>1500</v>
      </c>
      <c r="E27" s="336">
        <v>3500</v>
      </c>
      <c r="F27" s="269">
        <v>7500</v>
      </c>
      <c r="G27" s="269">
        <v>3500</v>
      </c>
      <c r="H27" s="269">
        <v>400</v>
      </c>
      <c r="I27" s="269">
        <v>750</v>
      </c>
      <c r="J27" s="269">
        <v>35000</v>
      </c>
      <c r="K27" s="49">
        <f t="shared" si="0"/>
        <v>52150</v>
      </c>
      <c r="L27" s="56">
        <f t="shared" si="4"/>
        <v>467378.13333333336</v>
      </c>
      <c r="M27" s="48">
        <f t="shared" si="5"/>
        <v>-2.1930144559378566</v>
      </c>
      <c r="N27" s="46"/>
      <c r="O27" s="21">
        <v>150000</v>
      </c>
      <c r="P27" s="269">
        <v>15000</v>
      </c>
      <c r="Q27" s="21">
        <f t="shared" si="1"/>
        <v>217150</v>
      </c>
      <c r="R27" s="21">
        <f t="shared" si="3"/>
        <v>715315.19999999995</v>
      </c>
      <c r="S27" s="48">
        <f t="shared" si="2"/>
        <v>-1.192134925732981</v>
      </c>
      <c r="T27" s="94">
        <f t="shared" si="6"/>
        <v>-21.804105149441842</v>
      </c>
      <c r="U27" s="21">
        <v>305839.47531262605</v>
      </c>
      <c r="V27" s="21">
        <f t="shared" si="7"/>
        <v>522989.47531262605</v>
      </c>
    </row>
    <row r="28" spans="2:22">
      <c r="B28">
        <v>1966</v>
      </c>
      <c r="C28" s="53" t="s">
        <v>526</v>
      </c>
      <c r="D28" s="269">
        <v>15000</v>
      </c>
      <c r="E28" s="49">
        <v>7500</v>
      </c>
      <c r="F28" s="269">
        <v>7500</v>
      </c>
      <c r="G28" s="335">
        <v>1500</v>
      </c>
      <c r="H28" s="269">
        <v>200</v>
      </c>
      <c r="I28" s="269">
        <v>3500</v>
      </c>
      <c r="J28" s="269">
        <v>75000</v>
      </c>
      <c r="K28" s="49">
        <f t="shared" si="0"/>
        <v>110200</v>
      </c>
      <c r="L28" s="56">
        <f t="shared" si="4"/>
        <v>467378.13333333336</v>
      </c>
      <c r="M28" s="48">
        <f t="shared" si="5"/>
        <v>-1.4448417406658245</v>
      </c>
      <c r="N28" s="46"/>
      <c r="O28" s="21">
        <v>220000</v>
      </c>
      <c r="P28" s="269">
        <v>35000</v>
      </c>
      <c r="Q28" s="21">
        <f t="shared" si="1"/>
        <v>365200</v>
      </c>
      <c r="R28" s="21">
        <f t="shared" si="3"/>
        <v>715315.19999999995</v>
      </c>
      <c r="S28" s="48">
        <f t="shared" si="2"/>
        <v>-0.67227813599299846</v>
      </c>
      <c r="T28" s="94">
        <f t="shared" si="6"/>
        <v>68.178678332949573</v>
      </c>
      <c r="U28" s="21">
        <v>927606.54478952044</v>
      </c>
      <c r="V28" s="21">
        <f t="shared" si="7"/>
        <v>1292806.5447895206</v>
      </c>
    </row>
    <row r="29" spans="2:22">
      <c r="B29">
        <v>1968</v>
      </c>
      <c r="C29" s="53" t="s">
        <v>526</v>
      </c>
      <c r="D29" s="269">
        <v>7500</v>
      </c>
      <c r="E29" s="49">
        <v>62500</v>
      </c>
      <c r="F29" s="269">
        <v>7500</v>
      </c>
      <c r="G29" s="269">
        <v>3500</v>
      </c>
      <c r="H29" s="269">
        <v>75</v>
      </c>
      <c r="I29" s="269">
        <v>200</v>
      </c>
      <c r="J29" s="269">
        <v>55000</v>
      </c>
      <c r="K29" s="49">
        <f t="shared" si="0"/>
        <v>136275</v>
      </c>
      <c r="L29" s="56">
        <f t="shared" si="4"/>
        <v>467378.13333333336</v>
      </c>
      <c r="M29" s="48">
        <f t="shared" si="5"/>
        <v>-1.2324637344342944</v>
      </c>
      <c r="N29" s="46"/>
      <c r="O29" s="21">
        <v>162500</v>
      </c>
      <c r="P29" s="269">
        <v>40000</v>
      </c>
      <c r="Q29" s="21">
        <f t="shared" si="1"/>
        <v>338775</v>
      </c>
      <c r="R29" s="21">
        <f t="shared" si="3"/>
        <v>715315.19999999995</v>
      </c>
      <c r="S29" s="48">
        <f t="shared" si="2"/>
        <v>-0.74738711450503437</v>
      </c>
      <c r="T29" s="94">
        <f t="shared" si="6"/>
        <v>-7.2357612267250815</v>
      </c>
      <c r="U29" s="21">
        <v>864012.72673719842</v>
      </c>
      <c r="V29" s="21">
        <f t="shared" si="7"/>
        <v>1202787.7267371984</v>
      </c>
    </row>
    <row r="30" spans="2:22">
      <c r="B30">
        <v>1970</v>
      </c>
      <c r="C30" s="53" t="s">
        <v>526</v>
      </c>
      <c r="D30" s="269">
        <v>3500</v>
      </c>
      <c r="E30" s="49">
        <v>35000</v>
      </c>
      <c r="F30" s="269">
        <v>25000</v>
      </c>
      <c r="G30" s="269">
        <v>75000</v>
      </c>
      <c r="H30" s="269">
        <v>4000</v>
      </c>
      <c r="I30" s="269">
        <v>400</v>
      </c>
      <c r="J30" s="269">
        <v>35000</v>
      </c>
      <c r="K30" s="49">
        <f t="shared" si="0"/>
        <v>177900</v>
      </c>
      <c r="L30" s="56">
        <f t="shared" si="4"/>
        <v>467378.13333333336</v>
      </c>
      <c r="M30" s="48">
        <f t="shared" si="5"/>
        <v>-0.96591704271284928</v>
      </c>
      <c r="N30" s="46"/>
      <c r="O30" s="21">
        <v>150000</v>
      </c>
      <c r="P30" s="269">
        <v>100000</v>
      </c>
      <c r="Q30" s="21">
        <f t="shared" si="1"/>
        <v>427900</v>
      </c>
      <c r="R30" s="21">
        <f t="shared" si="3"/>
        <v>715315.19999999995</v>
      </c>
      <c r="S30" s="48">
        <f t="shared" si="2"/>
        <v>-0.51383376129104064</v>
      </c>
      <c r="T30" s="94">
        <f t="shared" si="6"/>
        <v>26.308021548225224</v>
      </c>
      <c r="U30" s="21">
        <v>853212.54026207863</v>
      </c>
      <c r="V30" s="21">
        <f t="shared" si="7"/>
        <v>1281112.5402620786</v>
      </c>
    </row>
    <row r="31" spans="2:22">
      <c r="B31">
        <v>1972</v>
      </c>
      <c r="C31" s="53" t="s">
        <v>527</v>
      </c>
      <c r="D31" s="269">
        <v>20000</v>
      </c>
      <c r="E31" s="49">
        <v>15000</v>
      </c>
      <c r="F31" s="269">
        <v>75000</v>
      </c>
      <c r="G31" s="269">
        <v>75000</v>
      </c>
      <c r="H31" s="269">
        <v>400</v>
      </c>
      <c r="I31" s="269">
        <v>400</v>
      </c>
      <c r="J31" s="269">
        <v>3000</v>
      </c>
      <c r="K31" s="49">
        <f t="shared" si="0"/>
        <v>188800</v>
      </c>
      <c r="L31" s="56">
        <f t="shared" si="4"/>
        <v>467378.13333333336</v>
      </c>
      <c r="M31" s="48">
        <f t="shared" si="5"/>
        <v>-0.90645038367323838</v>
      </c>
      <c r="N31" s="46"/>
      <c r="O31" s="336">
        <v>9500</v>
      </c>
      <c r="P31" s="269">
        <v>100000</v>
      </c>
      <c r="Q31" s="21">
        <f t="shared" si="1"/>
        <v>298300</v>
      </c>
      <c r="R31" s="21">
        <f t="shared" si="3"/>
        <v>715315.19999999995</v>
      </c>
      <c r="S31" s="48">
        <f t="shared" si="2"/>
        <v>-0.87462359319310912</v>
      </c>
      <c r="T31" s="94">
        <f t="shared" si="6"/>
        <v>-30.287450338864218</v>
      </c>
      <c r="U31" s="21">
        <v>299145.89742690878</v>
      </c>
      <c r="V31" s="21">
        <f t="shared" si="7"/>
        <v>597445.89742690884</v>
      </c>
    </row>
    <row r="32" spans="2:22">
      <c r="B32">
        <v>1974</v>
      </c>
      <c r="C32" s="53" t="s">
        <v>527</v>
      </c>
      <c r="D32" s="269">
        <v>20000</v>
      </c>
      <c r="E32" s="49">
        <v>100000</v>
      </c>
      <c r="F32" s="269">
        <v>190000</v>
      </c>
      <c r="G32" s="269">
        <v>81000</v>
      </c>
      <c r="H32" s="269">
        <v>200</v>
      </c>
      <c r="I32" s="269">
        <v>1500</v>
      </c>
      <c r="J32" s="269">
        <v>15000</v>
      </c>
      <c r="K32" s="49">
        <f t="shared" si="0"/>
        <v>407700</v>
      </c>
      <c r="L32" s="56">
        <f t="shared" si="4"/>
        <v>467378.13333333336</v>
      </c>
      <c r="M32" s="48">
        <f t="shared" si="5"/>
        <v>-0.13660702755943099</v>
      </c>
      <c r="N32" s="46"/>
      <c r="O32" s="21">
        <v>30000</v>
      </c>
      <c r="P32" s="269">
        <v>70000</v>
      </c>
      <c r="Q32" s="21">
        <f t="shared" si="1"/>
        <v>507700</v>
      </c>
      <c r="R32" s="21">
        <f t="shared" si="3"/>
        <v>715315.19999999995</v>
      </c>
      <c r="S32" s="48">
        <f t="shared" si="2"/>
        <v>-0.3428325627604632</v>
      </c>
      <c r="T32" s="94">
        <f t="shared" si="6"/>
        <v>70.197787462286286</v>
      </c>
      <c r="U32" s="21">
        <v>645002.75423200289</v>
      </c>
      <c r="V32" s="21">
        <f t="shared" si="7"/>
        <v>1152702.7542320029</v>
      </c>
    </row>
    <row r="33" spans="2:22">
      <c r="B33">
        <v>1976</v>
      </c>
      <c r="C33" s="53" t="s">
        <v>527</v>
      </c>
      <c r="D33" s="243">
        <v>250</v>
      </c>
      <c r="E33" s="49">
        <v>500000</v>
      </c>
      <c r="F33" s="337">
        <v>275000</v>
      </c>
      <c r="G33" s="269">
        <v>55000</v>
      </c>
      <c r="H33" s="269">
        <v>25</v>
      </c>
      <c r="I33" s="269">
        <v>1500</v>
      </c>
      <c r="J33" s="269">
        <v>100000</v>
      </c>
      <c r="K33" s="49">
        <f t="shared" si="0"/>
        <v>931775</v>
      </c>
      <c r="L33" s="56">
        <f t="shared" si="4"/>
        <v>467378.13333333336</v>
      </c>
      <c r="M33" s="48">
        <f t="shared" si="5"/>
        <v>0.68995273184633155</v>
      </c>
      <c r="N33" s="46"/>
      <c r="O33" s="21">
        <v>150000</v>
      </c>
      <c r="P33" s="269">
        <v>7000</v>
      </c>
      <c r="Q33" s="21">
        <f t="shared" si="1"/>
        <v>1088775</v>
      </c>
      <c r="R33" s="21">
        <f t="shared" si="3"/>
        <v>715315.19999999995</v>
      </c>
      <c r="S33" s="48">
        <f t="shared" si="2"/>
        <v>0.42008520530178972</v>
      </c>
      <c r="T33" s="94">
        <f t="shared" si="6"/>
        <v>114.45243253890091</v>
      </c>
      <c r="U33" s="21">
        <v>2465903.7292540241</v>
      </c>
      <c r="V33" s="21">
        <f t="shared" si="7"/>
        <v>3554678.7292540241</v>
      </c>
    </row>
    <row r="34" spans="2:22">
      <c r="B34">
        <v>1978</v>
      </c>
      <c r="C34" s="53" t="s">
        <v>527</v>
      </c>
      <c r="D34" s="269">
        <v>13000</v>
      </c>
      <c r="E34" s="49">
        <v>222000</v>
      </c>
      <c r="F34" s="269">
        <v>20000</v>
      </c>
      <c r="G34" s="269">
        <v>25000</v>
      </c>
      <c r="H34" s="269" t="s">
        <v>528</v>
      </c>
      <c r="I34" s="269">
        <v>150</v>
      </c>
      <c r="J34" s="269">
        <v>120000</v>
      </c>
      <c r="K34" s="49">
        <f t="shared" si="0"/>
        <v>400150</v>
      </c>
      <c r="L34" s="56">
        <f t="shared" si="4"/>
        <v>467378.13333333336</v>
      </c>
      <c r="M34" s="48">
        <f t="shared" si="5"/>
        <v>-0.15529916057158352</v>
      </c>
      <c r="N34" s="46"/>
      <c r="O34" s="21">
        <v>275000</v>
      </c>
      <c r="P34" s="269">
        <v>13000</v>
      </c>
      <c r="Q34" s="21">
        <f t="shared" si="1"/>
        <v>688150</v>
      </c>
      <c r="R34" s="21">
        <f t="shared" si="3"/>
        <v>715315.19999999995</v>
      </c>
      <c r="S34" s="48">
        <f t="shared" si="2"/>
        <v>-3.8716447288270305E-2</v>
      </c>
      <c r="T34" s="94">
        <f t="shared" si="6"/>
        <v>-36.795940391724649</v>
      </c>
      <c r="U34" s="21">
        <v>798672.28341831232</v>
      </c>
      <c r="V34" s="21">
        <f t="shared" si="7"/>
        <v>1486822.2834183122</v>
      </c>
    </row>
    <row r="35" spans="2:22">
      <c r="B35">
        <v>1980</v>
      </c>
      <c r="C35" s="53" t="s">
        <v>527</v>
      </c>
      <c r="D35" s="269">
        <v>30000</v>
      </c>
      <c r="E35" s="49">
        <v>300000</v>
      </c>
      <c r="F35" s="269">
        <v>20000</v>
      </c>
      <c r="G35" s="269">
        <v>25000</v>
      </c>
      <c r="H35" s="269">
        <v>400</v>
      </c>
      <c r="I35" s="269">
        <v>600</v>
      </c>
      <c r="J35" s="269">
        <v>340000</v>
      </c>
      <c r="K35" s="49">
        <f t="shared" si="0"/>
        <v>716000</v>
      </c>
      <c r="L35" s="56">
        <f t="shared" si="4"/>
        <v>467378.13333333336</v>
      </c>
      <c r="M35" s="48">
        <f t="shared" si="5"/>
        <v>0.42654152957600688</v>
      </c>
      <c r="N35" s="46"/>
      <c r="O35" s="21">
        <v>250000</v>
      </c>
      <c r="P35" s="269">
        <v>25000</v>
      </c>
      <c r="Q35" s="21">
        <f t="shared" si="1"/>
        <v>991000</v>
      </c>
      <c r="R35" s="21">
        <f t="shared" si="3"/>
        <v>715315.19999999995</v>
      </c>
      <c r="S35" s="48">
        <f t="shared" si="2"/>
        <v>0.32599124961617604</v>
      </c>
      <c r="T35" s="94">
        <f t="shared" si="6"/>
        <v>44.009300297900168</v>
      </c>
      <c r="U35" s="21">
        <v>799360.39095379144</v>
      </c>
      <c r="V35" s="21">
        <f t="shared" si="7"/>
        <v>1790360.3909537913</v>
      </c>
    </row>
    <row r="36" spans="2:22">
      <c r="B36">
        <v>1982</v>
      </c>
      <c r="C36" s="53" t="s">
        <v>527</v>
      </c>
      <c r="D36" s="269">
        <v>3500</v>
      </c>
      <c r="E36" s="49">
        <v>70000</v>
      </c>
      <c r="F36" s="269">
        <v>24000</v>
      </c>
      <c r="G36" s="269">
        <v>35000</v>
      </c>
      <c r="H36" s="269">
        <v>100</v>
      </c>
      <c r="I36" s="269">
        <v>650</v>
      </c>
      <c r="J36" s="269">
        <v>85000</v>
      </c>
      <c r="K36" s="49">
        <f t="shared" si="0"/>
        <v>218250</v>
      </c>
      <c r="L36" s="56">
        <f t="shared" si="4"/>
        <v>467378.13333333336</v>
      </c>
      <c r="M36" s="48">
        <f t="shared" si="5"/>
        <v>-0.76149744266492725</v>
      </c>
      <c r="N36" s="46"/>
      <c r="O36" s="21">
        <v>150000</v>
      </c>
      <c r="P36" s="269">
        <v>12000</v>
      </c>
      <c r="Q36" s="21">
        <f t="shared" si="1"/>
        <v>380250</v>
      </c>
      <c r="R36" s="21">
        <f t="shared" si="3"/>
        <v>715315.19999999995</v>
      </c>
      <c r="S36" s="48">
        <f t="shared" si="2"/>
        <v>-0.6318943535744096</v>
      </c>
      <c r="T36" s="94">
        <f t="shared" si="6"/>
        <v>-61.629667003027244</v>
      </c>
      <c r="U36" s="21">
        <v>121160.54958008442</v>
      </c>
      <c r="V36" s="21">
        <f t="shared" si="7"/>
        <v>501410.54958008439</v>
      </c>
    </row>
    <row r="37" spans="2:22">
      <c r="B37">
        <v>1984</v>
      </c>
      <c r="C37" s="53" t="s">
        <v>527</v>
      </c>
      <c r="D37" s="269">
        <v>10000</v>
      </c>
      <c r="E37" s="49">
        <v>100000</v>
      </c>
      <c r="F37" s="269">
        <v>22000</v>
      </c>
      <c r="G37" s="269">
        <v>4000</v>
      </c>
      <c r="H37" s="269" t="s">
        <v>529</v>
      </c>
      <c r="I37" s="269">
        <v>450</v>
      </c>
      <c r="J37" s="269">
        <v>50000</v>
      </c>
      <c r="K37" s="49">
        <f t="shared" si="0"/>
        <v>186450</v>
      </c>
      <c r="L37" s="56">
        <f t="shared" si="4"/>
        <v>467378.13333333336</v>
      </c>
      <c r="M37" s="48">
        <f t="shared" si="5"/>
        <v>-0.91897553075980898</v>
      </c>
      <c r="N37" s="46"/>
      <c r="O37" s="21">
        <v>85000</v>
      </c>
      <c r="P37" s="269">
        <v>7000</v>
      </c>
      <c r="Q37" s="21">
        <f t="shared" si="1"/>
        <v>278450</v>
      </c>
      <c r="R37" s="21">
        <f t="shared" si="3"/>
        <v>715315.19999999995</v>
      </c>
      <c r="S37" s="48">
        <f t="shared" si="2"/>
        <v>-0.9434847746781343</v>
      </c>
      <c r="T37" s="94">
        <f t="shared" si="6"/>
        <v>-26.771860618014465</v>
      </c>
      <c r="U37" s="21">
        <v>159433.95434238194</v>
      </c>
      <c r="V37" s="21">
        <f t="shared" si="7"/>
        <v>437883.95434238191</v>
      </c>
    </row>
    <row r="38" spans="2:22">
      <c r="B38">
        <v>1986</v>
      </c>
      <c r="C38" s="53" t="s">
        <v>527</v>
      </c>
      <c r="D38" s="269">
        <v>24000</v>
      </c>
      <c r="E38" s="49">
        <v>250000</v>
      </c>
      <c r="F38" s="269">
        <v>31000</v>
      </c>
      <c r="G38" s="269">
        <v>24000</v>
      </c>
      <c r="H38" s="269">
        <v>20</v>
      </c>
      <c r="I38" s="269">
        <v>500</v>
      </c>
      <c r="J38" s="269">
        <v>150000</v>
      </c>
      <c r="K38" s="49">
        <f t="shared" si="0"/>
        <v>479520</v>
      </c>
      <c r="L38" s="56">
        <f t="shared" si="4"/>
        <v>467378.13333333336</v>
      </c>
      <c r="M38" s="48">
        <f t="shared" si="5"/>
        <v>2.5646966183714308E-2</v>
      </c>
      <c r="N38" s="46"/>
      <c r="O38" s="21">
        <v>240000</v>
      </c>
      <c r="P38" s="269">
        <v>120000</v>
      </c>
      <c r="Q38" s="21">
        <f t="shared" si="1"/>
        <v>839520</v>
      </c>
      <c r="R38" s="21">
        <f t="shared" si="3"/>
        <v>715315.19999999995</v>
      </c>
      <c r="S38" s="48">
        <f t="shared" si="2"/>
        <v>0.16010701522458981</v>
      </c>
      <c r="T38" s="94">
        <f t="shared" si="6"/>
        <v>201.49757586640331</v>
      </c>
      <c r="U38" s="21">
        <v>317041.59744107968</v>
      </c>
      <c r="V38" s="21">
        <f t="shared" si="7"/>
        <v>1156561.5974410796</v>
      </c>
    </row>
    <row r="39" spans="2:22">
      <c r="B39">
        <v>1988</v>
      </c>
      <c r="C39" s="53" t="s">
        <v>527</v>
      </c>
      <c r="D39" s="269">
        <v>12000</v>
      </c>
      <c r="E39" s="49">
        <v>475000</v>
      </c>
      <c r="F39" s="269">
        <v>92000</v>
      </c>
      <c r="G39" s="269">
        <v>125000</v>
      </c>
      <c r="H39" s="269" t="s">
        <v>529</v>
      </c>
      <c r="I39" s="269">
        <v>7100</v>
      </c>
      <c r="J39" s="269">
        <v>225000</v>
      </c>
      <c r="K39" s="49">
        <f t="shared" si="0"/>
        <v>936100</v>
      </c>
      <c r="L39" s="56">
        <f t="shared" si="4"/>
        <v>467378.13333333336</v>
      </c>
      <c r="M39" s="48">
        <f t="shared" si="5"/>
        <v>0.69458367099306051</v>
      </c>
      <c r="N39" s="46"/>
      <c r="O39" s="21">
        <v>300000</v>
      </c>
      <c r="P39" s="337">
        <v>145000</v>
      </c>
      <c r="Q39" s="21">
        <f t="shared" si="1"/>
        <v>1381100</v>
      </c>
      <c r="R39" s="21">
        <f t="shared" si="3"/>
        <v>715315.19999999995</v>
      </c>
      <c r="S39" s="48">
        <f t="shared" si="2"/>
        <v>0.65791227737007107</v>
      </c>
      <c r="T39" s="94">
        <f t="shared" si="6"/>
        <v>64.510672765389742</v>
      </c>
      <c r="U39" s="21">
        <v>757023.70052701025</v>
      </c>
      <c r="V39" s="21">
        <f t="shared" si="7"/>
        <v>2138123.7005270105</v>
      </c>
    </row>
    <row r="40" spans="2:22">
      <c r="B40">
        <v>1990</v>
      </c>
      <c r="C40" s="53" t="s">
        <v>527</v>
      </c>
      <c r="D40" s="269">
        <v>40000</v>
      </c>
      <c r="E40" s="49">
        <v>600000</v>
      </c>
      <c r="F40" s="269">
        <v>200000</v>
      </c>
      <c r="G40" s="338">
        <v>250000</v>
      </c>
      <c r="H40" s="269">
        <v>100</v>
      </c>
      <c r="I40" s="269">
        <v>10000</v>
      </c>
      <c r="J40" s="269">
        <v>250000</v>
      </c>
      <c r="K40" s="49">
        <f t="shared" si="0"/>
        <v>1350100</v>
      </c>
      <c r="L40" s="56">
        <f t="shared" si="4"/>
        <v>467378.13333333336</v>
      </c>
      <c r="M40" s="48">
        <f t="shared" si="5"/>
        <v>1.0607953053785619</v>
      </c>
      <c r="N40" s="46"/>
      <c r="O40" s="21">
        <v>350000</v>
      </c>
      <c r="P40" s="269">
        <v>100000</v>
      </c>
      <c r="Q40" s="21">
        <f t="shared" si="1"/>
        <v>1800100</v>
      </c>
      <c r="R40" s="21">
        <f t="shared" si="3"/>
        <v>715315.19999999995</v>
      </c>
      <c r="S40" s="48">
        <f t="shared" si="2"/>
        <v>0.9228742131828469</v>
      </c>
      <c r="T40" s="94">
        <f t="shared" si="6"/>
        <v>30.338136268192024</v>
      </c>
      <c r="U40" s="21">
        <v>3595918.2085689167</v>
      </c>
      <c r="V40" s="21">
        <f t="shared" si="7"/>
        <v>5396018.2085689167</v>
      </c>
    </row>
    <row r="41" spans="2:22">
      <c r="B41">
        <v>1992</v>
      </c>
      <c r="C41" s="53" t="s">
        <v>527</v>
      </c>
      <c r="D41" s="269">
        <v>17150</v>
      </c>
      <c r="E41" s="49">
        <v>600000</v>
      </c>
      <c r="F41" s="269">
        <v>31500</v>
      </c>
      <c r="G41" s="269">
        <v>24000</v>
      </c>
      <c r="H41" s="269">
        <v>24</v>
      </c>
      <c r="I41" s="269">
        <v>18800</v>
      </c>
      <c r="J41" s="269">
        <v>85700</v>
      </c>
      <c r="K41" s="49">
        <f t="shared" si="0"/>
        <v>777174</v>
      </c>
      <c r="L41" s="56">
        <f t="shared" si="4"/>
        <v>467378.13333333336</v>
      </c>
      <c r="M41" s="48">
        <f t="shared" si="5"/>
        <v>0.50852562613652563</v>
      </c>
      <c r="N41" s="46"/>
      <c r="O41" s="21">
        <v>700000</v>
      </c>
      <c r="P41" s="269">
        <v>13000</v>
      </c>
      <c r="Q41" s="21">
        <f t="shared" si="1"/>
        <v>1490174</v>
      </c>
      <c r="R41" s="21">
        <f t="shared" si="3"/>
        <v>715315.19999999995</v>
      </c>
      <c r="S41" s="48">
        <f t="shared" si="2"/>
        <v>0.73392488593110194</v>
      </c>
      <c r="T41" s="94">
        <f t="shared" si="6"/>
        <v>-17.217154602522083</v>
      </c>
      <c r="U41" s="21">
        <v>692115.54989207012</v>
      </c>
      <c r="V41" s="21">
        <f t="shared" si="7"/>
        <v>2182289.5498920702</v>
      </c>
    </row>
    <row r="42" spans="2:22">
      <c r="B42">
        <v>1994</v>
      </c>
      <c r="C42" s="53" t="s">
        <v>527</v>
      </c>
      <c r="D42" s="269">
        <v>27000</v>
      </c>
      <c r="E42" s="49">
        <v>510000</v>
      </c>
      <c r="F42" s="269">
        <v>20500</v>
      </c>
      <c r="G42" s="269">
        <v>13600</v>
      </c>
      <c r="H42" s="269">
        <v>40</v>
      </c>
      <c r="I42" s="269">
        <v>9500</v>
      </c>
      <c r="J42" s="269">
        <v>70000</v>
      </c>
      <c r="K42" s="49">
        <f t="shared" si="0"/>
        <v>650640</v>
      </c>
      <c r="L42" s="56">
        <f t="shared" si="4"/>
        <v>467378.13333333336</v>
      </c>
      <c r="M42" s="48">
        <f t="shared" si="5"/>
        <v>0.33081785647388101</v>
      </c>
      <c r="N42" s="46"/>
      <c r="O42" s="21">
        <v>192000</v>
      </c>
      <c r="P42" s="243">
        <v>750</v>
      </c>
      <c r="Q42" s="21">
        <f t="shared" si="1"/>
        <v>843390</v>
      </c>
      <c r="R42" s="21">
        <f t="shared" si="3"/>
        <v>715315.19999999995</v>
      </c>
      <c r="S42" s="48">
        <f t="shared" si="2"/>
        <v>0.16470619975813969</v>
      </c>
      <c r="T42" s="94">
        <f t="shared" si="6"/>
        <v>-43.403253579783303</v>
      </c>
      <c r="U42" s="21">
        <v>130585.11616975346</v>
      </c>
      <c r="V42" s="21">
        <f t="shared" si="7"/>
        <v>973975.11616975348</v>
      </c>
    </row>
    <row r="43" spans="2:22">
      <c r="B43">
        <v>1996</v>
      </c>
      <c r="C43" s="53" t="s">
        <v>527</v>
      </c>
      <c r="D43" s="269">
        <v>60000</v>
      </c>
      <c r="E43" s="49">
        <v>816000</v>
      </c>
      <c r="F43" s="269">
        <v>45600</v>
      </c>
      <c r="G43" s="269">
        <v>198000</v>
      </c>
      <c r="H43" s="269">
        <v>310</v>
      </c>
      <c r="I43" s="338">
        <v>50000</v>
      </c>
      <c r="J43" s="269">
        <v>75000</v>
      </c>
      <c r="K43" s="49">
        <f t="shared" si="0"/>
        <v>1244910</v>
      </c>
      <c r="L43" s="56">
        <f t="shared" si="4"/>
        <v>467378.13333333336</v>
      </c>
      <c r="M43" s="48">
        <f t="shared" si="5"/>
        <v>0.97967987974455595</v>
      </c>
      <c r="N43" s="46"/>
      <c r="O43" s="21">
        <v>430000</v>
      </c>
      <c r="P43" s="269">
        <v>12000</v>
      </c>
      <c r="Q43" s="21">
        <f t="shared" si="1"/>
        <v>1686910</v>
      </c>
      <c r="R43" s="21">
        <f t="shared" si="3"/>
        <v>715315.19999999995</v>
      </c>
      <c r="S43" s="48">
        <f t="shared" si="2"/>
        <v>0.85793044726855427</v>
      </c>
      <c r="T43" s="94">
        <f t="shared" si="6"/>
        <v>100.01541398404059</v>
      </c>
      <c r="U43" s="21">
        <v>33600.105186400986</v>
      </c>
      <c r="V43" s="21">
        <f t="shared" si="7"/>
        <v>1720510.1051864009</v>
      </c>
    </row>
    <row r="44" spans="2:22">
      <c r="B44">
        <v>1998</v>
      </c>
      <c r="C44" s="53" t="s">
        <v>527</v>
      </c>
      <c r="D44" s="337">
        <v>64000</v>
      </c>
      <c r="E44" s="49">
        <v>737000</v>
      </c>
      <c r="F44" s="269">
        <v>111750</v>
      </c>
      <c r="G44" s="269">
        <v>120000</v>
      </c>
      <c r="H44" s="269">
        <v>80</v>
      </c>
      <c r="I44" s="269">
        <v>10000</v>
      </c>
      <c r="J44" s="269">
        <v>80000</v>
      </c>
      <c r="K44" s="49">
        <f t="shared" si="0"/>
        <v>1122830</v>
      </c>
      <c r="L44" s="56">
        <f t="shared" si="4"/>
        <v>467378.13333333336</v>
      </c>
      <c r="M44" s="48">
        <f t="shared" si="5"/>
        <v>0.87646892566313817</v>
      </c>
      <c r="N44" s="46"/>
      <c r="O44" s="21">
        <v>500000</v>
      </c>
      <c r="P44" s="269">
        <v>17000</v>
      </c>
      <c r="Q44" s="21">
        <f t="shared" si="1"/>
        <v>1639830</v>
      </c>
      <c r="R44" s="21">
        <f t="shared" si="3"/>
        <v>715315.19999999995</v>
      </c>
      <c r="S44" s="48">
        <f t="shared" si="2"/>
        <v>0.82962457219492947</v>
      </c>
      <c r="T44" s="94">
        <f t="shared" si="6"/>
        <v>-2.7909017078563765</v>
      </c>
      <c r="U44" s="21">
        <v>70422.178172500891</v>
      </c>
      <c r="V44" s="21">
        <f t="shared" si="7"/>
        <v>1710252.1781725008</v>
      </c>
    </row>
    <row r="45" spans="2:22">
      <c r="B45">
        <v>2000</v>
      </c>
      <c r="C45" s="53" t="s">
        <v>527</v>
      </c>
      <c r="D45" s="49">
        <v>55000</v>
      </c>
      <c r="E45" s="339">
        <v>1700000</v>
      </c>
      <c r="F45" s="49">
        <v>76034</v>
      </c>
      <c r="G45" s="49">
        <v>215000</v>
      </c>
      <c r="H45" s="49">
        <v>50</v>
      </c>
      <c r="I45" s="49">
        <v>24300</v>
      </c>
      <c r="J45" s="339">
        <v>500000</v>
      </c>
      <c r="K45" s="339">
        <f>SUM(D45:J45)</f>
        <v>2570384</v>
      </c>
      <c r="L45" s="56">
        <f t="shared" si="4"/>
        <v>467378.13333333336</v>
      </c>
      <c r="M45" s="48">
        <f t="shared" si="5"/>
        <v>1.7046719456855293</v>
      </c>
      <c r="N45" s="46"/>
      <c r="O45" s="339">
        <v>760000</v>
      </c>
      <c r="P45" s="21">
        <v>87000</v>
      </c>
      <c r="Q45" s="339">
        <f t="shared" si="1"/>
        <v>3417384</v>
      </c>
      <c r="R45" s="21">
        <f t="shared" si="3"/>
        <v>715315.19999999995</v>
      </c>
      <c r="S45" s="48">
        <f t="shared" si="2"/>
        <v>1.5639073403674719</v>
      </c>
      <c r="T45" s="94">
        <f t="shared" si="6"/>
        <v>108.39867547245751</v>
      </c>
      <c r="U45" s="21">
        <v>1061929.4087705498</v>
      </c>
      <c r="V45" s="21">
        <f t="shared" si="7"/>
        <v>4479313.40877055</v>
      </c>
    </row>
    <row r="46" spans="2:22">
      <c r="B46">
        <v>2002</v>
      </c>
      <c r="C46" s="124" t="s">
        <v>530</v>
      </c>
      <c r="D46" s="49">
        <v>625</v>
      </c>
      <c r="E46" s="49">
        <v>11110</v>
      </c>
      <c r="F46" s="336">
        <v>1711</v>
      </c>
      <c r="G46" s="49">
        <v>29286</v>
      </c>
      <c r="H46" s="49">
        <v>30</v>
      </c>
      <c r="I46" s="336">
        <v>29</v>
      </c>
      <c r="J46" s="49">
        <v>8167</v>
      </c>
      <c r="K46" s="49">
        <f>SUM(D46:J46)</f>
        <v>50958</v>
      </c>
      <c r="L46" s="56">
        <f t="shared" si="4"/>
        <v>467378.13333333336</v>
      </c>
      <c r="M46" s="48">
        <f t="shared" si="5"/>
        <v>-2.2161368733587108</v>
      </c>
      <c r="N46" s="46"/>
      <c r="O46" s="21">
        <v>18209</v>
      </c>
      <c r="P46" s="21">
        <v>41152</v>
      </c>
      <c r="Q46" s="21">
        <f t="shared" si="1"/>
        <v>110319</v>
      </c>
      <c r="R46" s="21">
        <f t="shared" si="3"/>
        <v>715315.19999999995</v>
      </c>
      <c r="S46" s="48">
        <f t="shared" si="2"/>
        <v>-1.8693471158093702</v>
      </c>
      <c r="T46" s="94">
        <f t="shared" si="6"/>
        <v>-96.771828977955067</v>
      </c>
      <c r="U46" s="21">
        <v>15058.022339120123</v>
      </c>
      <c r="V46" s="21">
        <f t="shared" si="7"/>
        <v>125377.02233912013</v>
      </c>
    </row>
    <row r="47" spans="2:22">
      <c r="B47">
        <v>2004</v>
      </c>
      <c r="C47" s="53" t="s">
        <v>531</v>
      </c>
      <c r="D47" s="49">
        <v>18650</v>
      </c>
      <c r="E47" s="49">
        <v>129554</v>
      </c>
      <c r="F47" s="49">
        <v>23683</v>
      </c>
      <c r="G47" s="49">
        <v>69412</v>
      </c>
      <c r="H47" s="49">
        <v>144</v>
      </c>
      <c r="I47" s="49">
        <v>2098</v>
      </c>
      <c r="J47" s="49">
        <v>137224</v>
      </c>
      <c r="K47" s="49">
        <f>SUM(D47:J47)</f>
        <v>380765</v>
      </c>
      <c r="L47" s="56">
        <f t="shared" si="4"/>
        <v>467378.13333333336</v>
      </c>
      <c r="M47" s="48">
        <f t="shared" si="5"/>
        <v>-0.20495625045627944</v>
      </c>
      <c r="N47" s="160"/>
      <c r="O47" s="21">
        <v>661557</v>
      </c>
      <c r="P47" s="21">
        <v>32640</v>
      </c>
      <c r="Q47" s="21">
        <f t="shared" si="1"/>
        <v>1074962</v>
      </c>
      <c r="R47" s="21">
        <f t="shared" si="3"/>
        <v>715315.19999999995</v>
      </c>
      <c r="S47" s="48">
        <f t="shared" si="2"/>
        <v>0.4073173063859572</v>
      </c>
      <c r="T47" s="94">
        <f t="shared" si="6"/>
        <v>874.41238589907448</v>
      </c>
      <c r="U47" s="21">
        <v>70707.119061735604</v>
      </c>
      <c r="V47" s="21">
        <f t="shared" si="7"/>
        <v>1145669.1190617357</v>
      </c>
    </row>
    <row r="48" spans="2:22">
      <c r="B48">
        <v>2006</v>
      </c>
      <c r="C48" s="124" t="s">
        <v>530</v>
      </c>
      <c r="D48" s="49">
        <v>1218</v>
      </c>
      <c r="E48" s="49">
        <v>74818</v>
      </c>
      <c r="F48" s="49">
        <v>3423</v>
      </c>
      <c r="G48" s="49">
        <v>14661</v>
      </c>
      <c r="H48" s="322">
        <v>7</v>
      </c>
      <c r="I48" s="49">
        <v>89</v>
      </c>
      <c r="J48" s="49">
        <v>10801</v>
      </c>
      <c r="K48" s="49">
        <f>SUM(D48:J48)</f>
        <v>105017</v>
      </c>
      <c r="L48" s="56">
        <f t="shared" si="4"/>
        <v>467378.13333333336</v>
      </c>
      <c r="M48" s="48">
        <f>LN(((K48-L48)/L48)+1)</f>
        <v>-1.4930163955703717</v>
      </c>
      <c r="N48" s="160"/>
      <c r="O48" s="21">
        <v>181820</v>
      </c>
      <c r="P48" s="21">
        <v>49459</v>
      </c>
      <c r="Q48" s="21">
        <f t="shared" si="1"/>
        <v>336296</v>
      </c>
      <c r="R48" s="21">
        <f t="shared" si="3"/>
        <v>715315.19999999995</v>
      </c>
      <c r="S48" s="48">
        <f t="shared" si="2"/>
        <v>-0.75473156018045884</v>
      </c>
      <c r="T48" s="94">
        <f t="shared" si="6"/>
        <v>-68.715545293694106</v>
      </c>
      <c r="U48" s="49">
        <v>24857.409617902729</v>
      </c>
      <c r="V48" s="21">
        <f t="shared" si="7"/>
        <v>361153.40961790271</v>
      </c>
    </row>
    <row r="49" spans="2:23">
      <c r="B49" s="401">
        <v>2008</v>
      </c>
      <c r="C49" s="402" t="s">
        <v>526</v>
      </c>
      <c r="D49" s="403">
        <v>4156</v>
      </c>
      <c r="E49" s="403">
        <v>33761</v>
      </c>
      <c r="F49" s="403">
        <v>2057</v>
      </c>
      <c r="G49" s="403">
        <v>3646</v>
      </c>
      <c r="H49" s="403">
        <v>61</v>
      </c>
      <c r="I49" s="403">
        <v>760</v>
      </c>
      <c r="J49" s="403">
        <v>10855</v>
      </c>
      <c r="K49" s="403">
        <f>SUM(D49:J49)</f>
        <v>55296</v>
      </c>
      <c r="L49" s="404">
        <f t="shared" si="4"/>
        <v>467378.13333333336</v>
      </c>
      <c r="M49" s="405">
        <f t="shared" si="5"/>
        <v>-2.134438064203048</v>
      </c>
      <c r="N49" s="160"/>
      <c r="O49" s="407">
        <v>15085</v>
      </c>
      <c r="P49" s="403">
        <v>5040</v>
      </c>
      <c r="Q49" s="407">
        <f t="shared" si="1"/>
        <v>75421</v>
      </c>
      <c r="R49" s="407">
        <f t="shared" si="3"/>
        <v>715315.19999999995</v>
      </c>
      <c r="S49" s="405">
        <f t="shared" si="2"/>
        <v>-2.2496375338890302</v>
      </c>
      <c r="T49" s="409">
        <f t="shared" si="6"/>
        <v>-77.573030901348815</v>
      </c>
      <c r="U49" s="49">
        <v>1385.817041584505</v>
      </c>
      <c r="V49" s="21">
        <f t="shared" si="7"/>
        <v>76806.817041584509</v>
      </c>
    </row>
    <row r="50" spans="2:23">
      <c r="C50" t="s">
        <v>533</v>
      </c>
      <c r="D50" s="336">
        <f>MIN(D20:D49)</f>
        <v>200</v>
      </c>
      <c r="E50" s="336">
        <f t="shared" ref="E50:K50" si="8">MIN(E20:E49)</f>
        <v>3500</v>
      </c>
      <c r="F50" s="336">
        <f t="shared" si="8"/>
        <v>1711</v>
      </c>
      <c r="G50" s="336">
        <f t="shared" si="8"/>
        <v>1500</v>
      </c>
      <c r="H50" s="336">
        <f t="shared" si="8"/>
        <v>7</v>
      </c>
      <c r="I50" s="336">
        <f t="shared" si="8"/>
        <v>29</v>
      </c>
      <c r="J50" s="336">
        <f t="shared" si="8"/>
        <v>400</v>
      </c>
      <c r="K50" s="336">
        <f t="shared" si="8"/>
        <v>36150</v>
      </c>
      <c r="N50" s="46"/>
      <c r="O50" s="336">
        <f>MIN(O20:O49)</f>
        <v>9500</v>
      </c>
      <c r="P50" s="336">
        <f>MIN(P20:P49)</f>
        <v>400</v>
      </c>
      <c r="Q50" s="336">
        <f>MIN(Q20:Q49)</f>
        <v>75421</v>
      </c>
    </row>
    <row r="51" spans="2:23">
      <c r="C51" t="s">
        <v>535</v>
      </c>
      <c r="D51" s="339">
        <f>MAX(D20:D49)</f>
        <v>64000</v>
      </c>
      <c r="E51" s="339">
        <f t="shared" ref="E51:K51" si="9">MAX(E20:E49)</f>
        <v>1700000</v>
      </c>
      <c r="F51" s="339">
        <f t="shared" si="9"/>
        <v>275000</v>
      </c>
      <c r="G51" s="339">
        <f t="shared" si="9"/>
        <v>250000</v>
      </c>
      <c r="H51" s="339">
        <f t="shared" si="9"/>
        <v>35000</v>
      </c>
      <c r="I51" s="339">
        <f t="shared" si="9"/>
        <v>50000</v>
      </c>
      <c r="J51" s="339">
        <f t="shared" si="9"/>
        <v>500000</v>
      </c>
      <c r="K51" s="339">
        <f t="shared" si="9"/>
        <v>2570384</v>
      </c>
      <c r="N51" s="46"/>
      <c r="O51" s="339">
        <f>MAX(O20:O49)</f>
        <v>760000</v>
      </c>
      <c r="P51" s="339">
        <f>MAX(P20:P49)</f>
        <v>145000</v>
      </c>
      <c r="Q51" s="339">
        <f>MAX(Q20:Q49)</f>
        <v>3417384</v>
      </c>
      <c r="R51" s="356">
        <f>MEDIAN(Q20:Q49)</f>
        <v>372725</v>
      </c>
      <c r="S51" s="357" t="s">
        <v>534</v>
      </c>
      <c r="T51" s="358"/>
      <c r="U51" s="359"/>
      <c r="V51" s="360"/>
    </row>
    <row r="52" spans="2:23">
      <c r="C52" s="53" t="s">
        <v>257</v>
      </c>
      <c r="D52" s="341">
        <f>D51/D50</f>
        <v>320</v>
      </c>
      <c r="E52" s="341">
        <f t="shared" ref="E52:K52" si="10">E51/E50</f>
        <v>485.71428571428572</v>
      </c>
      <c r="F52" s="341">
        <f t="shared" si="10"/>
        <v>160.72472238457041</v>
      </c>
      <c r="G52" s="341">
        <f t="shared" si="10"/>
        <v>166.66666666666666</v>
      </c>
      <c r="H52" s="341">
        <f t="shared" si="10"/>
        <v>5000</v>
      </c>
      <c r="I52" s="341">
        <f t="shared" si="10"/>
        <v>1724.1379310344828</v>
      </c>
      <c r="J52" s="341">
        <f t="shared" si="10"/>
        <v>1250</v>
      </c>
      <c r="K52" s="341">
        <f t="shared" si="10"/>
        <v>71.1032918395574</v>
      </c>
      <c r="N52" s="353"/>
      <c r="O52" s="341">
        <f>O51/O50</f>
        <v>80</v>
      </c>
      <c r="P52" s="341">
        <f>P51/P50</f>
        <v>362.5</v>
      </c>
      <c r="Q52" s="341">
        <f>Q51/Q50</f>
        <v>45.310775513451162</v>
      </c>
      <c r="R52" s="361">
        <f>MEDIAN(Q30:Q49)</f>
        <v>841455</v>
      </c>
      <c r="S52" s="362" t="s">
        <v>536</v>
      </c>
      <c r="T52" s="363"/>
      <c r="U52" s="346"/>
      <c r="V52" s="364"/>
    </row>
    <row r="53" spans="2:23">
      <c r="C53" s="342" t="s">
        <v>537</v>
      </c>
      <c r="D53">
        <v>1998</v>
      </c>
      <c r="E53">
        <v>1996</v>
      </c>
      <c r="F53">
        <v>1976</v>
      </c>
      <c r="G53">
        <v>1990</v>
      </c>
      <c r="H53">
        <v>1962</v>
      </c>
      <c r="I53">
        <v>1996</v>
      </c>
      <c r="J53">
        <v>1980</v>
      </c>
      <c r="N53" s="349"/>
      <c r="O53" s="48">
        <v>1992</v>
      </c>
      <c r="P53" s="48">
        <v>1988</v>
      </c>
      <c r="Q53" s="44"/>
      <c r="R53" s="118"/>
      <c r="T53" s="94"/>
      <c r="U53" s="21"/>
    </row>
    <row r="54" spans="2:23">
      <c r="C54" s="342" t="s">
        <v>538</v>
      </c>
      <c r="D54" s="343">
        <f>D45/D44</f>
        <v>0.859375</v>
      </c>
      <c r="E54" s="343">
        <f>E44/E43</f>
        <v>0.90318627450980393</v>
      </c>
      <c r="F54" s="343">
        <f>F34/F33</f>
        <v>7.2727272727272724E-2</v>
      </c>
      <c r="G54" s="343">
        <f>G41/G40</f>
        <v>9.6000000000000002E-2</v>
      </c>
      <c r="H54" s="343">
        <f>H27/H26</f>
        <v>1.1428571428571429E-2</v>
      </c>
      <c r="I54" s="343">
        <f>I44/I43</f>
        <v>0.2</v>
      </c>
      <c r="J54" s="343">
        <f>J36/J35</f>
        <v>0.25</v>
      </c>
      <c r="K54" s="343"/>
      <c r="L54" s="343"/>
      <c r="M54" s="343"/>
      <c r="N54" s="354"/>
      <c r="O54" s="343">
        <f>O42/O41</f>
        <v>0.2742857142857143</v>
      </c>
      <c r="P54" s="343">
        <f>P40/P39</f>
        <v>0.68965517241379315</v>
      </c>
      <c r="Q54" s="343"/>
      <c r="R54" s="118"/>
      <c r="T54" s="344"/>
      <c r="U54" s="323"/>
    </row>
    <row r="55" spans="2:23">
      <c r="C55" s="342"/>
      <c r="D55" s="343"/>
      <c r="E55" s="343"/>
      <c r="F55" s="343"/>
      <c r="G55" s="343"/>
      <c r="H55" s="343"/>
      <c r="I55" s="343"/>
      <c r="J55" s="343"/>
      <c r="K55" s="343"/>
      <c r="L55" s="343"/>
      <c r="M55" s="343"/>
      <c r="N55" s="354"/>
      <c r="O55" s="343"/>
      <c r="P55" s="343"/>
      <c r="Q55" s="343"/>
      <c r="R55" s="118"/>
      <c r="T55" s="344"/>
      <c r="U55" s="323"/>
    </row>
    <row r="56" spans="2:23">
      <c r="C56" s="342"/>
      <c r="D56" s="343"/>
      <c r="E56" s="343"/>
      <c r="F56" s="343"/>
      <c r="G56" s="343"/>
      <c r="H56" s="343"/>
      <c r="I56" s="343"/>
      <c r="J56" s="343"/>
      <c r="K56" s="118"/>
      <c r="L56" s="124" t="s">
        <v>547</v>
      </c>
      <c r="M56" s="118"/>
      <c r="N56" s="354"/>
      <c r="O56" s="343"/>
      <c r="P56" s="343"/>
      <c r="Q56" s="551" t="s">
        <v>438</v>
      </c>
      <c r="R56" s="551"/>
      <c r="S56" s="551"/>
      <c r="T56" s="551"/>
      <c r="U56" s="323"/>
      <c r="V56" s="323"/>
      <c r="W56" s="118" t="s">
        <v>521</v>
      </c>
    </row>
    <row r="57" spans="2:23">
      <c r="C57" s="124" t="s">
        <v>553</v>
      </c>
      <c r="D57" s="96" t="s">
        <v>508</v>
      </c>
      <c r="E57" s="96" t="s">
        <v>509</v>
      </c>
      <c r="F57" s="96" t="s">
        <v>510</v>
      </c>
      <c r="G57" s="96" t="s">
        <v>511</v>
      </c>
      <c r="H57" s="96" t="s">
        <v>512</v>
      </c>
      <c r="I57" s="96" t="s">
        <v>513</v>
      </c>
      <c r="J57" s="96" t="s">
        <v>514</v>
      </c>
      <c r="K57" s="124" t="s">
        <v>545</v>
      </c>
      <c r="L57" s="124" t="s">
        <v>545</v>
      </c>
      <c r="M57" s="118" t="s">
        <v>545</v>
      </c>
      <c r="N57" s="350"/>
      <c r="O57" s="124"/>
      <c r="P57" s="124"/>
      <c r="Q57" s="124" t="s">
        <v>431</v>
      </c>
      <c r="R57" s="124" t="s">
        <v>515</v>
      </c>
      <c r="S57" s="124" t="s">
        <v>431</v>
      </c>
      <c r="T57" s="324" t="s">
        <v>516</v>
      </c>
      <c r="U57" s="67" t="s">
        <v>517</v>
      </c>
      <c r="V57" s="67" t="s">
        <v>517</v>
      </c>
      <c r="W57" s="124" t="s">
        <v>811</v>
      </c>
    </row>
    <row r="58" spans="2:23">
      <c r="B58" s="53" t="s">
        <v>539</v>
      </c>
      <c r="C58" s="124" t="s">
        <v>554</v>
      </c>
      <c r="D58" s="551" t="s">
        <v>838</v>
      </c>
      <c r="E58" s="554"/>
      <c r="F58" s="554"/>
      <c r="G58" s="554"/>
      <c r="H58" s="554"/>
      <c r="I58" s="554"/>
      <c r="J58" s="554"/>
      <c r="K58" s="118" t="s">
        <v>433</v>
      </c>
      <c r="L58" s="124" t="s">
        <v>433</v>
      </c>
      <c r="M58" s="118" t="s">
        <v>433</v>
      </c>
      <c r="N58" s="350"/>
      <c r="O58" s="551" t="s">
        <v>438</v>
      </c>
      <c r="P58" s="554"/>
      <c r="Q58" s="53" t="s">
        <v>433</v>
      </c>
      <c r="R58" s="124" t="s">
        <v>433</v>
      </c>
      <c r="S58" s="124" t="s">
        <v>433</v>
      </c>
      <c r="T58" s="324" t="s">
        <v>519</v>
      </c>
      <c r="U58" s="67" t="s">
        <v>433</v>
      </c>
      <c r="V58" s="67" t="s">
        <v>433</v>
      </c>
      <c r="W58" s="118" t="s">
        <v>521</v>
      </c>
    </row>
    <row r="59" spans="2:23" ht="13.5" thickBot="1">
      <c r="B59" s="325" t="s">
        <v>429</v>
      </c>
      <c r="C59" s="325" t="s">
        <v>520</v>
      </c>
      <c r="D59" s="326">
        <v>101</v>
      </c>
      <c r="E59" s="326">
        <v>102</v>
      </c>
      <c r="F59" s="326">
        <v>103</v>
      </c>
      <c r="G59" s="326">
        <v>104</v>
      </c>
      <c r="H59" s="326">
        <v>105</v>
      </c>
      <c r="I59" s="348">
        <v>106</v>
      </c>
      <c r="J59" s="348">
        <v>107</v>
      </c>
      <c r="K59" s="141" t="s">
        <v>550</v>
      </c>
      <c r="L59" s="141" t="s">
        <v>551</v>
      </c>
      <c r="M59" s="131" t="s">
        <v>552</v>
      </c>
      <c r="N59" s="352"/>
      <c r="O59" s="327" t="s">
        <v>521</v>
      </c>
      <c r="P59" s="327" t="s">
        <v>522</v>
      </c>
      <c r="Q59" s="141" t="s">
        <v>523</v>
      </c>
      <c r="R59" s="141" t="s">
        <v>551</v>
      </c>
      <c r="S59" s="141" t="s">
        <v>552</v>
      </c>
      <c r="T59" s="328" t="s">
        <v>524</v>
      </c>
      <c r="U59" s="90" t="s">
        <v>525</v>
      </c>
      <c r="V59" s="126" t="s">
        <v>828</v>
      </c>
      <c r="W59" s="124" t="s">
        <v>811</v>
      </c>
    </row>
    <row r="60" spans="2:23">
      <c r="B60" s="59">
        <v>1951</v>
      </c>
      <c r="C60" s="53" t="s">
        <v>526</v>
      </c>
      <c r="D60" s="269">
        <v>7500</v>
      </c>
      <c r="E60" s="13">
        <v>100000</v>
      </c>
      <c r="F60" s="46">
        <v>7500</v>
      </c>
      <c r="G60" s="46">
        <v>7500</v>
      </c>
      <c r="H60" s="46">
        <v>750</v>
      </c>
      <c r="I60" s="46">
        <v>3500</v>
      </c>
      <c r="J60" s="46">
        <v>7500</v>
      </c>
      <c r="K60" s="21">
        <f t="shared" ref="K60:K89" si="11">SUM(D60:J60)</f>
        <v>134250</v>
      </c>
      <c r="L60" s="56">
        <f>AVERAGE($K$74:$K$103)</f>
        <v>265240.39136671746</v>
      </c>
      <c r="M60" s="48">
        <f>LN(((K60-L60)/L60)+1)</f>
        <v>-0.68093281862982247</v>
      </c>
      <c r="N60" s="245"/>
      <c r="O60" s="334">
        <v>15000</v>
      </c>
      <c r="P60" s="334">
        <v>400</v>
      </c>
      <c r="Q60" s="21">
        <f t="shared" ref="Q60:Q89" si="12">K60+SUM(O60:P60)</f>
        <v>149650</v>
      </c>
      <c r="R60" s="21">
        <f>AVERAGE($Q$74:$Q$103)</f>
        <v>512953.49029446411</v>
      </c>
      <c r="S60" s="48">
        <f>LN(Q60/R60)</f>
        <v>-1.2318859445679693</v>
      </c>
      <c r="T60" s="332"/>
      <c r="U60" s="48"/>
      <c r="V60" s="48"/>
      <c r="W60" s="94">
        <f>O60/Q60/0.01</f>
        <v>10.023387905111926</v>
      </c>
    </row>
    <row r="61" spans="2:23">
      <c r="B61" s="59">
        <v>1953</v>
      </c>
      <c r="C61" s="53" t="s">
        <v>526</v>
      </c>
      <c r="D61" s="21">
        <v>3500</v>
      </c>
      <c r="E61" s="21">
        <v>35000</v>
      </c>
      <c r="F61" s="21">
        <v>3500</v>
      </c>
      <c r="G61" s="21">
        <v>35000</v>
      </c>
      <c r="H61" s="339">
        <v>1500</v>
      </c>
      <c r="I61" s="21">
        <v>1500</v>
      </c>
      <c r="J61" s="21">
        <v>3500</v>
      </c>
      <c r="K61" s="21">
        <f t="shared" si="11"/>
        <v>83500</v>
      </c>
      <c r="L61" s="56">
        <f>AVERAGE($K$74:$K$103)</f>
        <v>265240.39136671746</v>
      </c>
      <c r="M61" s="48">
        <f>LN(((K61-L61)/L61)+1)</f>
        <v>-1.1557899201619866</v>
      </c>
      <c r="N61" s="46"/>
      <c r="O61" s="21">
        <v>7500</v>
      </c>
      <c r="P61" s="339">
        <v>750</v>
      </c>
      <c r="Q61" s="21">
        <f t="shared" si="12"/>
        <v>91750</v>
      </c>
      <c r="R61" s="21">
        <f t="shared" ref="R61:R89" si="13">AVERAGE($Q$74:$Q$103)</f>
        <v>512953.49029446411</v>
      </c>
      <c r="S61" s="48">
        <f t="shared" ref="S61:S88" si="14">LN(((Q61-R61)/R61)+1)</f>
        <v>-1.7211176919319977</v>
      </c>
      <c r="T61" s="94">
        <f t="shared" ref="T61:T89" si="15">(Q61-Q60)/Q60/0.01</f>
        <v>-38.690277313732039</v>
      </c>
      <c r="U61" s="48"/>
      <c r="V61" s="48"/>
      <c r="W61" s="94">
        <f t="shared" ref="W61:W89" si="16">O61/Q61/0.01</f>
        <v>8.1743869209809255</v>
      </c>
    </row>
    <row r="62" spans="2:23">
      <c r="B62" s="59">
        <v>1955</v>
      </c>
      <c r="C62" s="53" t="s">
        <v>526</v>
      </c>
      <c r="D62" s="21">
        <v>35000</v>
      </c>
      <c r="E62" s="21">
        <v>75000</v>
      </c>
      <c r="F62" s="21">
        <v>3500</v>
      </c>
      <c r="G62" s="21">
        <v>35000</v>
      </c>
      <c r="H62" s="339">
        <v>1500</v>
      </c>
      <c r="I62" s="21">
        <v>3500</v>
      </c>
      <c r="J62" s="21">
        <v>7500</v>
      </c>
      <c r="K62" s="21">
        <f t="shared" si="11"/>
        <v>161000</v>
      </c>
      <c r="L62" s="56">
        <f t="shared" ref="L62:L89" si="17">AVERAGE($K$74:$K$103)</f>
        <v>265240.39136671746</v>
      </c>
      <c r="M62" s="48">
        <f>LN(((K62-L62)/L62)+1)</f>
        <v>-0.49923218703433347</v>
      </c>
      <c r="N62" s="46"/>
      <c r="O62" s="21">
        <v>75000</v>
      </c>
      <c r="P62" s="21">
        <v>25</v>
      </c>
      <c r="Q62" s="21">
        <f t="shared" si="12"/>
        <v>236025</v>
      </c>
      <c r="R62" s="21">
        <f t="shared" si="13"/>
        <v>512953.49029446411</v>
      </c>
      <c r="S62" s="48">
        <f t="shared" si="14"/>
        <v>-0.77624744724809713</v>
      </c>
      <c r="T62" s="94">
        <f t="shared" si="15"/>
        <v>157.24795640326977</v>
      </c>
      <c r="U62" s="48"/>
      <c r="V62" s="48"/>
      <c r="W62" s="94">
        <f t="shared" si="16"/>
        <v>31.776294884016526</v>
      </c>
    </row>
    <row r="63" spans="2:23">
      <c r="B63" s="59">
        <v>1957</v>
      </c>
      <c r="C63" s="53" t="s">
        <v>526</v>
      </c>
      <c r="D63" s="339">
        <v>40000</v>
      </c>
      <c r="E63" s="21">
        <v>30000</v>
      </c>
      <c r="F63" s="21">
        <v>7500</v>
      </c>
      <c r="G63" s="21">
        <v>35000</v>
      </c>
      <c r="H63" s="21">
        <v>750</v>
      </c>
      <c r="I63" s="21">
        <v>3500</v>
      </c>
      <c r="J63" s="336">
        <v>750</v>
      </c>
      <c r="K63" s="21">
        <f t="shared" si="11"/>
        <v>117500</v>
      </c>
      <c r="L63" s="56">
        <f t="shared" si="17"/>
        <v>265240.39136671746</v>
      </c>
      <c r="M63" s="48">
        <f t="shared" ref="M63:M89" si="18">LN(((K63-L63)/L63)+1)</f>
        <v>-0.81419821843458307</v>
      </c>
      <c r="N63" s="46"/>
      <c r="O63" s="21">
        <v>75000</v>
      </c>
      <c r="P63" s="21">
        <v>400</v>
      </c>
      <c r="Q63" s="21">
        <f t="shared" si="12"/>
        <v>192900</v>
      </c>
      <c r="R63" s="21">
        <f t="shared" si="13"/>
        <v>512953.49029446411</v>
      </c>
      <c r="S63" s="48">
        <f t="shared" si="14"/>
        <v>-0.97801325895499402</v>
      </c>
      <c r="T63" s="94">
        <f t="shared" si="15"/>
        <v>-18.271369558309498</v>
      </c>
      <c r="U63" s="48"/>
      <c r="V63" s="48"/>
      <c r="W63" s="94">
        <f t="shared" si="16"/>
        <v>38.880248833592532</v>
      </c>
    </row>
    <row r="64" spans="2:23">
      <c r="B64" s="59">
        <v>1959</v>
      </c>
      <c r="C64" s="53" t="s">
        <v>526</v>
      </c>
      <c r="D64" s="21">
        <v>1500</v>
      </c>
      <c r="E64" s="336">
        <v>1500</v>
      </c>
      <c r="F64" s="21">
        <v>7500</v>
      </c>
      <c r="G64" s="21">
        <v>35000</v>
      </c>
      <c r="H64" s="21">
        <v>400</v>
      </c>
      <c r="I64" s="21">
        <v>200</v>
      </c>
      <c r="J64" s="21">
        <v>7500</v>
      </c>
      <c r="K64" s="21">
        <f t="shared" si="11"/>
        <v>53600</v>
      </c>
      <c r="L64" s="56">
        <f t="shared" si="17"/>
        <v>265240.39136671746</v>
      </c>
      <c r="M64" s="48">
        <f t="shared" si="18"/>
        <v>-1.5990874839420399</v>
      </c>
      <c r="N64" s="46"/>
      <c r="O64" s="21">
        <v>175000</v>
      </c>
      <c r="P64" s="21">
        <v>25</v>
      </c>
      <c r="Q64" s="21">
        <f t="shared" si="12"/>
        <v>228625</v>
      </c>
      <c r="R64" s="21">
        <f t="shared" si="13"/>
        <v>512953.49029446411</v>
      </c>
      <c r="S64" s="48">
        <f t="shared" si="14"/>
        <v>-0.80810207215564767</v>
      </c>
      <c r="T64" s="94">
        <f t="shared" si="15"/>
        <v>18.519958527734577</v>
      </c>
      <c r="U64" s="21">
        <v>366892.13585816592</v>
      </c>
      <c r="V64" s="21">
        <f t="shared" ref="V64:V89" si="19">Q64+U64</f>
        <v>595517.13585816592</v>
      </c>
      <c r="W64" s="94">
        <f t="shared" si="16"/>
        <v>76.544559868780752</v>
      </c>
    </row>
    <row r="65" spans="2:23">
      <c r="B65" s="59">
        <v>1961</v>
      </c>
      <c r="C65" s="53" t="s">
        <v>526</v>
      </c>
      <c r="D65" s="21">
        <v>15000</v>
      </c>
      <c r="E65" s="21">
        <v>35000</v>
      </c>
      <c r="F65" s="21">
        <v>3500</v>
      </c>
      <c r="G65" s="21">
        <v>35000</v>
      </c>
      <c r="H65" s="339">
        <v>1500</v>
      </c>
      <c r="I65" s="21">
        <v>25</v>
      </c>
      <c r="J65" s="339">
        <v>35000</v>
      </c>
      <c r="K65" s="21">
        <f t="shared" si="11"/>
        <v>125025</v>
      </c>
      <c r="L65" s="56">
        <f t="shared" si="17"/>
        <v>265240.39136671746</v>
      </c>
      <c r="M65" s="48">
        <f t="shared" si="18"/>
        <v>-0.75212283471382912</v>
      </c>
      <c r="N65" s="46"/>
      <c r="O65" s="21">
        <v>100000</v>
      </c>
      <c r="P65" s="21">
        <v>25</v>
      </c>
      <c r="Q65" s="21">
        <f t="shared" si="12"/>
        <v>225050</v>
      </c>
      <c r="R65" s="21">
        <f t="shared" si="13"/>
        <v>512953.49029446411</v>
      </c>
      <c r="S65" s="48">
        <f t="shared" si="14"/>
        <v>-0.82386257912773553</v>
      </c>
      <c r="T65" s="94">
        <f t="shared" si="15"/>
        <v>-1.5636960087479497</v>
      </c>
      <c r="U65" s="21">
        <v>382414.34711235081</v>
      </c>
      <c r="V65" s="21">
        <f t="shared" si="19"/>
        <v>607464.34711235086</v>
      </c>
      <c r="W65" s="94">
        <f t="shared" si="16"/>
        <v>44.434570095534326</v>
      </c>
    </row>
    <row r="66" spans="2:23">
      <c r="B66" s="59">
        <v>1963</v>
      </c>
      <c r="C66" s="53" t="s">
        <v>526</v>
      </c>
      <c r="D66" s="21">
        <v>7000</v>
      </c>
      <c r="E66" s="21">
        <v>35000</v>
      </c>
      <c r="F66" s="21">
        <v>7500</v>
      </c>
      <c r="G66" s="21">
        <v>35000</v>
      </c>
      <c r="H66" s="21">
        <v>200</v>
      </c>
      <c r="I66" s="21" t="s">
        <v>528</v>
      </c>
      <c r="J66" s="21">
        <v>7500</v>
      </c>
      <c r="K66" s="21">
        <f t="shared" si="11"/>
        <v>92200</v>
      </c>
      <c r="L66" s="56">
        <f t="shared" si="17"/>
        <v>265240.39136671746</v>
      </c>
      <c r="M66" s="48">
        <f t="shared" si="18"/>
        <v>-1.0566764214562483</v>
      </c>
      <c r="N66" s="46"/>
      <c r="O66" s="21">
        <v>100000</v>
      </c>
      <c r="P66" s="21" t="s">
        <v>532</v>
      </c>
      <c r="Q66" s="21">
        <f t="shared" si="12"/>
        <v>192200</v>
      </c>
      <c r="R66" s="21">
        <f t="shared" si="13"/>
        <v>512953.49029446411</v>
      </c>
      <c r="S66" s="48">
        <f t="shared" si="14"/>
        <v>-0.9816486823304853</v>
      </c>
      <c r="T66" s="94">
        <f t="shared" si="15"/>
        <v>-14.596756276383028</v>
      </c>
      <c r="U66" s="21">
        <v>231833.79410041208</v>
      </c>
      <c r="V66" s="21">
        <f t="shared" si="19"/>
        <v>424033.79410041205</v>
      </c>
      <c r="W66" s="94">
        <f t="shared" si="16"/>
        <v>52.029136316337144</v>
      </c>
    </row>
    <row r="67" spans="2:23">
      <c r="B67" s="59">
        <v>1965</v>
      </c>
      <c r="C67" s="53" t="s">
        <v>526</v>
      </c>
      <c r="D67" s="21">
        <v>3500</v>
      </c>
      <c r="E67" s="21">
        <v>35000</v>
      </c>
      <c r="F67" s="21">
        <v>3500</v>
      </c>
      <c r="G67" s="21">
        <v>35000</v>
      </c>
      <c r="H67" s="21" t="s">
        <v>528</v>
      </c>
      <c r="I67" s="21">
        <v>25</v>
      </c>
      <c r="J67" s="21">
        <v>15000</v>
      </c>
      <c r="K67" s="21">
        <f t="shared" si="11"/>
        <v>92025</v>
      </c>
      <c r="L67" s="56">
        <f t="shared" si="17"/>
        <v>265240.39136671746</v>
      </c>
      <c r="M67" s="48">
        <f t="shared" si="18"/>
        <v>-1.0585762727537118</v>
      </c>
      <c r="N67" s="46"/>
      <c r="O67" s="21">
        <v>50000</v>
      </c>
      <c r="P67" s="21" t="s">
        <v>528</v>
      </c>
      <c r="Q67" s="21">
        <f t="shared" si="12"/>
        <v>142025</v>
      </c>
      <c r="R67" s="21">
        <f t="shared" si="13"/>
        <v>512953.49029446411</v>
      </c>
      <c r="S67" s="48">
        <f t="shared" si="14"/>
        <v>-1.2841820804234867</v>
      </c>
      <c r="T67" s="94">
        <f t="shared" si="15"/>
        <v>-26.105619146722162</v>
      </c>
      <c r="U67" s="21">
        <v>98532.868368954776</v>
      </c>
      <c r="V67" s="21">
        <f t="shared" si="19"/>
        <v>240557.86836895478</v>
      </c>
      <c r="W67" s="94">
        <f t="shared" si="16"/>
        <v>35.205069530012324</v>
      </c>
    </row>
    <row r="68" spans="2:23">
      <c r="B68" s="59">
        <v>1967</v>
      </c>
      <c r="C68" s="53" t="s">
        <v>526</v>
      </c>
      <c r="D68" s="21">
        <v>15000</v>
      </c>
      <c r="E68" s="21">
        <v>75000</v>
      </c>
      <c r="F68" s="21">
        <v>3500</v>
      </c>
      <c r="G68" s="21">
        <v>7500</v>
      </c>
      <c r="H68" s="21" t="s">
        <v>528</v>
      </c>
      <c r="I68" s="21">
        <v>25</v>
      </c>
      <c r="J68" s="21">
        <v>3500</v>
      </c>
      <c r="K68" s="21">
        <f t="shared" si="11"/>
        <v>104525</v>
      </c>
      <c r="L68" s="56">
        <f t="shared" si="17"/>
        <v>265240.39136671746</v>
      </c>
      <c r="M68" s="48">
        <f t="shared" si="18"/>
        <v>-0.93121027477616791</v>
      </c>
      <c r="N68" s="46"/>
      <c r="O68" s="21">
        <v>75000</v>
      </c>
      <c r="P68" s="21">
        <v>25</v>
      </c>
      <c r="Q68" s="21">
        <f t="shared" si="12"/>
        <v>179550</v>
      </c>
      <c r="R68" s="21">
        <f t="shared" si="13"/>
        <v>512953.49029446411</v>
      </c>
      <c r="S68" s="48">
        <f t="shared" si="14"/>
        <v>-1.0497314581945856</v>
      </c>
      <c r="T68" s="94">
        <f t="shared" si="15"/>
        <v>26.421404682274247</v>
      </c>
      <c r="U68" s="21">
        <v>405421.21810984949</v>
      </c>
      <c r="V68" s="21">
        <f t="shared" si="19"/>
        <v>584971.21810984949</v>
      </c>
      <c r="W68" s="94">
        <f t="shared" si="16"/>
        <v>41.771094402673349</v>
      </c>
    </row>
    <row r="69" spans="2:23">
      <c r="B69" s="59">
        <v>1969</v>
      </c>
      <c r="C69" s="53" t="s">
        <v>526</v>
      </c>
      <c r="D69" s="21">
        <v>3000</v>
      </c>
      <c r="E69" s="21">
        <v>45000</v>
      </c>
      <c r="F69" s="21">
        <v>200</v>
      </c>
      <c r="G69" s="21">
        <v>20000</v>
      </c>
      <c r="H69" s="21" t="s">
        <v>528</v>
      </c>
      <c r="I69" s="21">
        <v>25</v>
      </c>
      <c r="J69" s="21">
        <v>1500</v>
      </c>
      <c r="K69" s="21">
        <f t="shared" si="11"/>
        <v>69725</v>
      </c>
      <c r="L69" s="56">
        <f t="shared" si="17"/>
        <v>265240.39136671746</v>
      </c>
      <c r="M69" s="48">
        <f t="shared" si="18"/>
        <v>-1.3360776185052439</v>
      </c>
      <c r="N69" s="333"/>
      <c r="O69" s="21">
        <v>50000</v>
      </c>
      <c r="P69" s="21" t="s">
        <v>528</v>
      </c>
      <c r="Q69" s="21">
        <f t="shared" si="12"/>
        <v>119725</v>
      </c>
      <c r="R69" s="21">
        <f t="shared" si="13"/>
        <v>512953.49029446411</v>
      </c>
      <c r="S69" s="48">
        <f t="shared" si="14"/>
        <v>-1.4549877326380041</v>
      </c>
      <c r="T69" s="94">
        <f t="shared" si="15"/>
        <v>-33.319409635199108</v>
      </c>
      <c r="U69" s="21">
        <v>63313.801681850033</v>
      </c>
      <c r="V69" s="21">
        <f t="shared" si="19"/>
        <v>183038.80168185005</v>
      </c>
      <c r="W69" s="94">
        <f t="shared" si="16"/>
        <v>41.762372102735434</v>
      </c>
    </row>
    <row r="70" spans="2:23">
      <c r="B70" s="59">
        <v>1971</v>
      </c>
      <c r="C70" s="53" t="s">
        <v>527</v>
      </c>
      <c r="D70" s="21">
        <v>15000</v>
      </c>
      <c r="E70" s="21">
        <v>220000</v>
      </c>
      <c r="F70" s="21">
        <v>7500</v>
      </c>
      <c r="G70" s="339">
        <v>210000</v>
      </c>
      <c r="H70" s="21">
        <v>25</v>
      </c>
      <c r="I70" s="21">
        <v>1500</v>
      </c>
      <c r="J70" s="21">
        <v>3500</v>
      </c>
      <c r="K70" s="21">
        <f t="shared" si="11"/>
        <v>457525</v>
      </c>
      <c r="L70" s="56">
        <f t="shared" si="17"/>
        <v>265240.39136671746</v>
      </c>
      <c r="M70" s="48">
        <f t="shared" si="18"/>
        <v>0.5451949760125494</v>
      </c>
      <c r="N70" s="46"/>
      <c r="O70" s="21">
        <v>150000</v>
      </c>
      <c r="P70" s="21">
        <v>200</v>
      </c>
      <c r="Q70" s="21">
        <f t="shared" si="12"/>
        <v>607725</v>
      </c>
      <c r="R70" s="21">
        <f t="shared" si="13"/>
        <v>512953.49029446411</v>
      </c>
      <c r="S70" s="48">
        <f t="shared" si="14"/>
        <v>0.16953729814822144</v>
      </c>
      <c r="T70" s="94">
        <f t="shared" si="15"/>
        <v>407.60075172269779</v>
      </c>
      <c r="U70" s="21">
        <v>439365.93967705354</v>
      </c>
      <c r="V70" s="21">
        <f t="shared" si="19"/>
        <v>1047090.9396770536</v>
      </c>
      <c r="W70" s="94">
        <f t="shared" si="16"/>
        <v>24.68221646303838</v>
      </c>
    </row>
    <row r="71" spans="2:23">
      <c r="B71" s="59">
        <v>1973</v>
      </c>
      <c r="C71" s="53" t="s">
        <v>527</v>
      </c>
      <c r="D71" s="21">
        <v>15000</v>
      </c>
      <c r="E71" s="21">
        <v>300000</v>
      </c>
      <c r="F71" s="21">
        <v>20000</v>
      </c>
      <c r="G71" s="21">
        <v>80000</v>
      </c>
      <c r="H71" s="21">
        <v>300</v>
      </c>
      <c r="I71" s="21">
        <v>1600</v>
      </c>
      <c r="J71" s="21">
        <v>3000</v>
      </c>
      <c r="K71" s="21">
        <f t="shared" si="11"/>
        <v>419900</v>
      </c>
      <c r="L71" s="56">
        <f t="shared" si="17"/>
        <v>265240.39136671746</v>
      </c>
      <c r="M71" s="48">
        <f t="shared" si="18"/>
        <v>0.45938003567135099</v>
      </c>
      <c r="N71" s="46"/>
      <c r="O71" s="21">
        <v>200000</v>
      </c>
      <c r="P71" s="21">
        <v>75</v>
      </c>
      <c r="Q71" s="21">
        <f t="shared" si="12"/>
        <v>619975</v>
      </c>
      <c r="R71" s="21">
        <f t="shared" si="13"/>
        <v>512953.49029446411</v>
      </c>
      <c r="S71" s="48">
        <f t="shared" si="14"/>
        <v>0.18949397577883767</v>
      </c>
      <c r="T71" s="94">
        <f t="shared" si="15"/>
        <v>2.0157143444814678</v>
      </c>
      <c r="U71" s="21">
        <v>544570.74854816147</v>
      </c>
      <c r="V71" s="21">
        <f t="shared" si="19"/>
        <v>1164545.7485481615</v>
      </c>
      <c r="W71" s="94">
        <f t="shared" si="16"/>
        <v>32.259365296987781</v>
      </c>
    </row>
    <row r="72" spans="2:23">
      <c r="B72" s="59">
        <v>1975</v>
      </c>
      <c r="C72" s="53" t="s">
        <v>527</v>
      </c>
      <c r="D72" s="21">
        <v>8000</v>
      </c>
      <c r="E72" s="339">
        <v>800000</v>
      </c>
      <c r="F72" s="21">
        <v>9000</v>
      </c>
      <c r="G72" s="21">
        <v>40000</v>
      </c>
      <c r="H72" s="21">
        <v>50</v>
      </c>
      <c r="I72" s="21">
        <v>1600</v>
      </c>
      <c r="J72" s="21">
        <v>20000</v>
      </c>
      <c r="K72" s="21">
        <f t="shared" si="11"/>
        <v>878650</v>
      </c>
      <c r="L72" s="56">
        <f t="shared" si="17"/>
        <v>265240.39136671746</v>
      </c>
      <c r="M72" s="48">
        <f t="shared" si="18"/>
        <v>1.1977500866220587</v>
      </c>
      <c r="N72" s="46"/>
      <c r="O72" s="21">
        <v>150000</v>
      </c>
      <c r="P72" s="21">
        <v>25</v>
      </c>
      <c r="Q72" s="21">
        <f t="shared" si="12"/>
        <v>1028675</v>
      </c>
      <c r="R72" s="21">
        <f t="shared" si="13"/>
        <v>512953.49029446411</v>
      </c>
      <c r="S72" s="48">
        <f t="shared" si="14"/>
        <v>0.69584166645725531</v>
      </c>
      <c r="T72" s="94">
        <f t="shared" si="15"/>
        <v>65.922012984394527</v>
      </c>
      <c r="U72" s="21">
        <v>460258.81314854394</v>
      </c>
      <c r="V72" s="21">
        <f t="shared" si="19"/>
        <v>1488933.8131485439</v>
      </c>
      <c r="W72" s="94">
        <f t="shared" si="16"/>
        <v>14.581865020536128</v>
      </c>
    </row>
    <row r="73" spans="2:23">
      <c r="B73" s="59">
        <v>1977</v>
      </c>
      <c r="C73" s="53" t="s">
        <v>527</v>
      </c>
      <c r="D73" s="21">
        <v>8000</v>
      </c>
      <c r="E73" s="21">
        <v>75000</v>
      </c>
      <c r="F73" s="339">
        <v>25000</v>
      </c>
      <c r="G73" s="21">
        <v>25000</v>
      </c>
      <c r="H73" s="21" t="s">
        <v>528</v>
      </c>
      <c r="I73" s="21">
        <v>400</v>
      </c>
      <c r="J73" s="21">
        <v>4000</v>
      </c>
      <c r="K73" s="21">
        <f t="shared" si="11"/>
        <v>137400</v>
      </c>
      <c r="L73" s="56">
        <f t="shared" si="17"/>
        <v>265240.39136671746</v>
      </c>
      <c r="M73" s="48">
        <f t="shared" si="18"/>
        <v>-0.65774017223054759</v>
      </c>
      <c r="N73" s="333"/>
      <c r="O73" s="21">
        <v>16000</v>
      </c>
      <c r="P73" s="21" t="s">
        <v>529</v>
      </c>
      <c r="Q73" s="21">
        <f t="shared" si="12"/>
        <v>153400</v>
      </c>
      <c r="R73" s="21">
        <f t="shared" si="13"/>
        <v>512953.49029446411</v>
      </c>
      <c r="S73" s="48">
        <f t="shared" si="14"/>
        <v>-1.2071362899335214</v>
      </c>
      <c r="T73" s="85">
        <f t="shared" si="15"/>
        <v>-85.087612705665052</v>
      </c>
      <c r="U73" s="21">
        <v>278336.55218918581</v>
      </c>
      <c r="V73" s="21">
        <f t="shared" si="19"/>
        <v>431736.55218918581</v>
      </c>
      <c r="W73" s="94">
        <f t="shared" si="16"/>
        <v>10.430247718383312</v>
      </c>
    </row>
    <row r="74" spans="2:23">
      <c r="B74" s="59">
        <v>1979</v>
      </c>
      <c r="C74" s="53" t="s">
        <v>527</v>
      </c>
      <c r="D74" s="21">
        <v>30000</v>
      </c>
      <c r="E74" s="21">
        <v>100000</v>
      </c>
      <c r="F74" s="21">
        <v>300</v>
      </c>
      <c r="G74" s="21">
        <v>22000</v>
      </c>
      <c r="H74" s="21">
        <v>500</v>
      </c>
      <c r="I74" s="21">
        <v>200</v>
      </c>
      <c r="J74" s="21">
        <v>5000</v>
      </c>
      <c r="K74" s="21">
        <f t="shared" si="11"/>
        <v>158000</v>
      </c>
      <c r="L74" s="56">
        <f t="shared" si="17"/>
        <v>265240.39136671746</v>
      </c>
      <c r="M74" s="48">
        <f t="shared" si="18"/>
        <v>-0.51804151899182993</v>
      </c>
      <c r="N74" s="333"/>
      <c r="O74" s="21">
        <v>21000</v>
      </c>
      <c r="P74" s="21" t="s">
        <v>528</v>
      </c>
      <c r="Q74" s="21">
        <f t="shared" si="12"/>
        <v>179000</v>
      </c>
      <c r="R74" s="21">
        <f t="shared" si="13"/>
        <v>512953.49029446411</v>
      </c>
      <c r="S74" s="48">
        <f t="shared" si="14"/>
        <v>-1.0527993730259222</v>
      </c>
      <c r="T74" s="85">
        <f t="shared" si="15"/>
        <v>16.688396349413299</v>
      </c>
      <c r="U74" s="21">
        <v>266437.88964459859</v>
      </c>
      <c r="V74" s="21">
        <f t="shared" si="19"/>
        <v>445437.88964459859</v>
      </c>
      <c r="W74" s="94">
        <f t="shared" si="16"/>
        <v>11.731843575418994</v>
      </c>
    </row>
    <row r="75" spans="2:23">
      <c r="B75" s="59">
        <v>1981</v>
      </c>
      <c r="C75" s="53" t="s">
        <v>527</v>
      </c>
      <c r="D75" s="21">
        <v>30000</v>
      </c>
      <c r="E75" s="21">
        <v>600000</v>
      </c>
      <c r="F75" s="21">
        <v>6000</v>
      </c>
      <c r="G75" s="21">
        <v>180000</v>
      </c>
      <c r="H75" s="21">
        <v>200</v>
      </c>
      <c r="I75" s="21">
        <v>300</v>
      </c>
      <c r="J75" s="21">
        <v>7000</v>
      </c>
      <c r="K75" s="21">
        <f t="shared" si="11"/>
        <v>823500</v>
      </c>
      <c r="L75" s="56">
        <f t="shared" si="17"/>
        <v>265240.39136671746</v>
      </c>
      <c r="M75" s="48">
        <f t="shared" si="18"/>
        <v>1.1329269975988985</v>
      </c>
      <c r="N75" s="46"/>
      <c r="O75" s="21">
        <v>20000</v>
      </c>
      <c r="P75" s="336">
        <v>4</v>
      </c>
      <c r="Q75" s="21">
        <f t="shared" si="12"/>
        <v>843504</v>
      </c>
      <c r="R75" s="21">
        <f t="shared" si="13"/>
        <v>512953.49029446411</v>
      </c>
      <c r="S75" s="48">
        <f t="shared" si="14"/>
        <v>0.49737946525392274</v>
      </c>
      <c r="T75" s="85">
        <f t="shared" si="15"/>
        <v>371.2312849162011</v>
      </c>
      <c r="U75" s="21">
        <v>680956.99372709834</v>
      </c>
      <c r="V75" s="21">
        <f t="shared" si="19"/>
        <v>1524460.9937270982</v>
      </c>
      <c r="W75" s="94">
        <f t="shared" si="16"/>
        <v>2.371061666571824</v>
      </c>
    </row>
    <row r="76" spans="2:23">
      <c r="B76" s="59">
        <v>1983</v>
      </c>
      <c r="C76" s="53" t="s">
        <v>527</v>
      </c>
      <c r="D76" s="21">
        <v>35000</v>
      </c>
      <c r="E76" s="339">
        <v>800000</v>
      </c>
      <c r="F76" s="21">
        <v>7000</v>
      </c>
      <c r="G76" s="21">
        <v>125000</v>
      </c>
      <c r="H76" s="21">
        <v>1000</v>
      </c>
      <c r="I76" s="21">
        <v>2550</v>
      </c>
      <c r="J76" s="21">
        <v>9000</v>
      </c>
      <c r="K76" s="339">
        <f t="shared" si="11"/>
        <v>979550</v>
      </c>
      <c r="L76" s="56">
        <f t="shared" si="17"/>
        <v>265240.39136671746</v>
      </c>
      <c r="M76" s="48">
        <f t="shared" si="18"/>
        <v>1.3064567305152446</v>
      </c>
      <c r="N76" s="46"/>
      <c r="O76" s="21">
        <v>300000</v>
      </c>
      <c r="P76" s="21" t="s">
        <v>528</v>
      </c>
      <c r="Q76" s="21">
        <f t="shared" si="12"/>
        <v>1279550</v>
      </c>
      <c r="R76" s="21">
        <f t="shared" si="13"/>
        <v>512953.49029446411</v>
      </c>
      <c r="S76" s="48">
        <f t="shared" si="14"/>
        <v>0.91407855373440194</v>
      </c>
      <c r="T76" s="85">
        <f t="shared" si="15"/>
        <v>51.694597773098884</v>
      </c>
      <c r="U76" s="21">
        <v>1005820.9282460859</v>
      </c>
      <c r="V76" s="21">
        <f t="shared" si="19"/>
        <v>2285370.928246086</v>
      </c>
      <c r="W76" s="94">
        <f t="shared" si="16"/>
        <v>23.445742643898246</v>
      </c>
    </row>
    <row r="77" spans="2:23">
      <c r="B77" s="59">
        <v>1985</v>
      </c>
      <c r="C77" s="53" t="s">
        <v>527</v>
      </c>
      <c r="D77" s="21">
        <v>28000</v>
      </c>
      <c r="E77" s="21">
        <v>500000</v>
      </c>
      <c r="F77" s="21">
        <v>9850</v>
      </c>
      <c r="G77" s="21">
        <v>105000</v>
      </c>
      <c r="H77" s="21">
        <v>50</v>
      </c>
      <c r="I77" s="21">
        <v>2000</v>
      </c>
      <c r="J77" s="21">
        <v>13000</v>
      </c>
      <c r="K77" s="21">
        <f t="shared" si="11"/>
        <v>657900</v>
      </c>
      <c r="L77" s="56">
        <f t="shared" si="17"/>
        <v>265240.39136671746</v>
      </c>
      <c r="M77" s="48">
        <f t="shared" si="18"/>
        <v>0.9084163920731555</v>
      </c>
      <c r="N77" s="46"/>
      <c r="O77" s="21">
        <v>140000</v>
      </c>
      <c r="P77" s="21">
        <v>50</v>
      </c>
      <c r="Q77" s="21">
        <f t="shared" si="12"/>
        <v>797950</v>
      </c>
      <c r="R77" s="21">
        <f t="shared" si="13"/>
        <v>512953.49029446411</v>
      </c>
      <c r="S77" s="48">
        <f t="shared" si="14"/>
        <v>0.44186075997851804</v>
      </c>
      <c r="T77" s="85">
        <f t="shared" si="15"/>
        <v>-37.638232191004647</v>
      </c>
      <c r="U77" s="21">
        <v>872944.58647326694</v>
      </c>
      <c r="V77" s="21">
        <f t="shared" si="19"/>
        <v>1670894.5864732671</v>
      </c>
      <c r="W77" s="94">
        <f t="shared" si="16"/>
        <v>17.544958957328152</v>
      </c>
    </row>
    <row r="78" spans="2:23">
      <c r="B78" s="59">
        <v>1987</v>
      </c>
      <c r="C78" s="53" t="s">
        <v>527</v>
      </c>
      <c r="D78" s="21">
        <v>1500</v>
      </c>
      <c r="E78" s="21">
        <v>60000</v>
      </c>
      <c r="F78" s="21">
        <v>7000</v>
      </c>
      <c r="G78" s="21">
        <v>38000</v>
      </c>
      <c r="H78" s="21" t="s">
        <v>528</v>
      </c>
      <c r="I78" s="336">
        <v>6</v>
      </c>
      <c r="J78" s="21">
        <v>4000</v>
      </c>
      <c r="K78" s="21">
        <f t="shared" si="11"/>
        <v>110506</v>
      </c>
      <c r="L78" s="56">
        <f t="shared" si="17"/>
        <v>265240.39136671746</v>
      </c>
      <c r="M78" s="48">
        <f t="shared" si="18"/>
        <v>-0.87556673389257311</v>
      </c>
      <c r="N78" s="333"/>
      <c r="O78" s="336">
        <v>6000</v>
      </c>
      <c r="P78" s="21" t="s">
        <v>528</v>
      </c>
      <c r="Q78" s="21">
        <f t="shared" si="12"/>
        <v>116506</v>
      </c>
      <c r="R78" s="21">
        <f t="shared" si="13"/>
        <v>512953.49029446411</v>
      </c>
      <c r="S78" s="48">
        <f t="shared" si="14"/>
        <v>-1.4822424050411893</v>
      </c>
      <c r="T78" s="85">
        <f t="shared" si="15"/>
        <v>-85.399335797982332</v>
      </c>
      <c r="U78" s="21">
        <v>118251.02536094829</v>
      </c>
      <c r="V78" s="21">
        <f t="shared" si="19"/>
        <v>234757.02536094829</v>
      </c>
      <c r="W78" s="94">
        <f t="shared" si="16"/>
        <v>5.1499493588313054</v>
      </c>
    </row>
    <row r="79" spans="2:23">
      <c r="B79" s="59">
        <v>1989</v>
      </c>
      <c r="C79" s="53" t="s">
        <v>527</v>
      </c>
      <c r="D79" s="21">
        <v>5000</v>
      </c>
      <c r="E79" s="21">
        <v>130000</v>
      </c>
      <c r="F79" s="21">
        <v>9000</v>
      </c>
      <c r="G79" s="21">
        <v>60000</v>
      </c>
      <c r="H79" s="21" t="s">
        <v>529</v>
      </c>
      <c r="I79" s="21" t="s">
        <v>529</v>
      </c>
      <c r="J79" s="21">
        <v>10000</v>
      </c>
      <c r="K79" s="21">
        <f t="shared" si="11"/>
        <v>214000</v>
      </c>
      <c r="L79" s="56">
        <f t="shared" si="17"/>
        <v>265240.39136671746</v>
      </c>
      <c r="M79" s="48">
        <f t="shared" si="18"/>
        <v>-0.21466053699694518</v>
      </c>
      <c r="N79" s="46"/>
      <c r="O79" s="21">
        <v>10000</v>
      </c>
      <c r="P79" s="49" t="s">
        <v>528</v>
      </c>
      <c r="Q79" s="21">
        <f t="shared" si="12"/>
        <v>224000</v>
      </c>
      <c r="R79" s="21">
        <f t="shared" si="13"/>
        <v>512953.49029446411</v>
      </c>
      <c r="S79" s="48">
        <f t="shared" si="14"/>
        <v>-0.82853912701163757</v>
      </c>
      <c r="T79" s="85">
        <f t="shared" si="15"/>
        <v>92.264776063035384</v>
      </c>
      <c r="U79" s="21">
        <v>786855.0928883343</v>
      </c>
      <c r="V79" s="21">
        <f t="shared" si="19"/>
        <v>1010855.0928883343</v>
      </c>
      <c r="W79" s="94">
        <f t="shared" si="16"/>
        <v>4.4642857142857144</v>
      </c>
    </row>
    <row r="80" spans="2:23">
      <c r="B80" s="59">
        <v>1991</v>
      </c>
      <c r="C80" s="53" t="s">
        <v>527</v>
      </c>
      <c r="D80" s="21">
        <v>3000</v>
      </c>
      <c r="E80" s="21">
        <v>37175</v>
      </c>
      <c r="F80" s="21">
        <v>3000</v>
      </c>
      <c r="G80" s="21">
        <v>1300</v>
      </c>
      <c r="H80" s="21">
        <v>10</v>
      </c>
      <c r="I80" s="21">
        <v>300</v>
      </c>
      <c r="J80" s="21">
        <v>4000</v>
      </c>
      <c r="K80" s="21">
        <f t="shared" si="11"/>
        <v>48785</v>
      </c>
      <c r="L80" s="56">
        <f t="shared" si="17"/>
        <v>265240.39136671746</v>
      </c>
      <c r="M80" s="48">
        <f t="shared" si="18"/>
        <v>-1.693213663458883</v>
      </c>
      <c r="N80" s="333"/>
      <c r="O80" s="21">
        <v>17500</v>
      </c>
      <c r="P80" s="21">
        <v>500</v>
      </c>
      <c r="Q80" s="336">
        <f t="shared" si="12"/>
        <v>66785</v>
      </c>
      <c r="R80" s="21">
        <f t="shared" si="13"/>
        <v>512953.49029446411</v>
      </c>
      <c r="S80" s="48">
        <f t="shared" si="14"/>
        <v>-2.0387066744376088</v>
      </c>
      <c r="T80" s="85">
        <f t="shared" si="15"/>
        <v>-70.185267857142847</v>
      </c>
      <c r="U80" s="21">
        <v>149472.23994812582</v>
      </c>
      <c r="V80" s="21">
        <f t="shared" si="19"/>
        <v>216257.23994812582</v>
      </c>
      <c r="W80" s="94">
        <f t="shared" si="16"/>
        <v>26.203488807366924</v>
      </c>
    </row>
    <row r="81" spans="2:24">
      <c r="B81" s="59">
        <v>1993</v>
      </c>
      <c r="C81" s="53" t="s">
        <v>527</v>
      </c>
      <c r="D81" s="21">
        <v>5400</v>
      </c>
      <c r="E81" s="21">
        <v>112000</v>
      </c>
      <c r="F81" s="21">
        <v>125</v>
      </c>
      <c r="G81" s="21">
        <v>4700</v>
      </c>
      <c r="H81" s="21">
        <v>6</v>
      </c>
      <c r="I81" s="21">
        <v>1591</v>
      </c>
      <c r="J81" s="21">
        <v>25000</v>
      </c>
      <c r="K81" s="21">
        <f t="shared" si="11"/>
        <v>148822</v>
      </c>
      <c r="L81" s="56">
        <f t="shared" si="17"/>
        <v>265240.39136671746</v>
      </c>
      <c r="M81" s="48">
        <f t="shared" si="18"/>
        <v>-0.57788559108609416</v>
      </c>
      <c r="N81" s="46"/>
      <c r="O81" s="21">
        <v>200000</v>
      </c>
      <c r="P81" s="21" t="s">
        <v>528</v>
      </c>
      <c r="Q81" s="21">
        <f t="shared" si="12"/>
        <v>348822</v>
      </c>
      <c r="R81" s="21">
        <f t="shared" si="13"/>
        <v>512953.49029446411</v>
      </c>
      <c r="S81" s="48">
        <f t="shared" si="14"/>
        <v>-0.38562341542640016</v>
      </c>
      <c r="T81" s="85">
        <f t="shared" si="15"/>
        <v>422.30590701504826</v>
      </c>
      <c r="U81" s="21">
        <v>519675.25192994898</v>
      </c>
      <c r="V81" s="21">
        <f t="shared" si="19"/>
        <v>868497.25192994904</v>
      </c>
      <c r="W81" s="94">
        <f t="shared" si="16"/>
        <v>57.335833175659786</v>
      </c>
    </row>
    <row r="82" spans="2:24">
      <c r="B82" s="59">
        <v>1995</v>
      </c>
      <c r="C82" s="53" t="s">
        <v>527</v>
      </c>
      <c r="D82" s="21">
        <v>5800</v>
      </c>
      <c r="E82" s="21">
        <v>114000</v>
      </c>
      <c r="F82" s="21">
        <v>1450</v>
      </c>
      <c r="G82" s="21">
        <v>2700</v>
      </c>
      <c r="H82" s="21" t="s">
        <v>528</v>
      </c>
      <c r="I82" s="21">
        <v>1815</v>
      </c>
      <c r="J82" s="339">
        <v>35000</v>
      </c>
      <c r="K82" s="21">
        <f t="shared" si="11"/>
        <v>160765</v>
      </c>
      <c r="L82" s="56">
        <f t="shared" si="17"/>
        <v>265240.39136671746</v>
      </c>
      <c r="M82" s="48">
        <f t="shared" si="18"/>
        <v>-0.50069288065721684</v>
      </c>
      <c r="N82" s="46"/>
      <c r="O82" s="21">
        <v>80000</v>
      </c>
      <c r="P82" s="21" t="s">
        <v>528</v>
      </c>
      <c r="Q82" s="21">
        <f t="shared" si="12"/>
        <v>240765</v>
      </c>
      <c r="R82" s="21">
        <f t="shared" si="13"/>
        <v>512953.49029446411</v>
      </c>
      <c r="S82" s="48">
        <f t="shared" si="14"/>
        <v>-0.7563638248333866</v>
      </c>
      <c r="T82" s="85">
        <f t="shared" si="15"/>
        <v>-30.97769062731135</v>
      </c>
      <c r="U82" s="21">
        <v>369243.32306219626</v>
      </c>
      <c r="V82" s="21">
        <f t="shared" si="19"/>
        <v>610008.32306219626</v>
      </c>
      <c r="W82" s="94">
        <f t="shared" si="16"/>
        <v>33.227420929121756</v>
      </c>
      <c r="X82" s="430" t="s">
        <v>812</v>
      </c>
    </row>
    <row r="83" spans="2:24">
      <c r="B83" s="59">
        <v>1997</v>
      </c>
      <c r="C83" s="53" t="s">
        <v>527</v>
      </c>
      <c r="D83" s="336">
        <v>800</v>
      </c>
      <c r="E83" s="21">
        <v>18000</v>
      </c>
      <c r="F83" s="21">
        <v>500</v>
      </c>
      <c r="G83" s="336">
        <v>30</v>
      </c>
      <c r="H83" s="336">
        <v>1</v>
      </c>
      <c r="I83" s="21">
        <v>3600</v>
      </c>
      <c r="J83" s="21">
        <v>3500</v>
      </c>
      <c r="K83" s="21">
        <f t="shared" si="11"/>
        <v>26431</v>
      </c>
      <c r="L83" s="56">
        <f t="shared" si="17"/>
        <v>265240.39136671746</v>
      </c>
      <c r="M83" s="48">
        <f t="shared" si="18"/>
        <v>-2.306098988325695</v>
      </c>
      <c r="N83" s="46"/>
      <c r="O83" s="21">
        <v>320000</v>
      </c>
      <c r="P83" s="21" t="s">
        <v>528</v>
      </c>
      <c r="Q83" s="21">
        <f t="shared" si="12"/>
        <v>346431</v>
      </c>
      <c r="R83" s="21">
        <f t="shared" si="13"/>
        <v>512953.49029446411</v>
      </c>
      <c r="S83" s="48">
        <f t="shared" si="14"/>
        <v>-0.39250151426570073</v>
      </c>
      <c r="T83" s="85">
        <f t="shared" si="15"/>
        <v>43.887608248707245</v>
      </c>
      <c r="U83" s="21">
        <v>326135.95484663045</v>
      </c>
      <c r="V83" s="21">
        <f t="shared" si="19"/>
        <v>672566.95484663045</v>
      </c>
      <c r="W83" s="94">
        <f t="shared" si="16"/>
        <v>92.370486474940165</v>
      </c>
      <c r="X83" s="550">
        <f>SUM(O83:O88)/SUM(Q83:Q88)</f>
        <v>0.90073155971066576</v>
      </c>
    </row>
    <row r="84" spans="2:24">
      <c r="B84" s="59">
        <v>1999</v>
      </c>
      <c r="C84" s="53" t="s">
        <v>527</v>
      </c>
      <c r="D84" s="21">
        <v>2100</v>
      </c>
      <c r="E84" s="21">
        <v>30100</v>
      </c>
      <c r="F84" s="345" t="s">
        <v>540</v>
      </c>
      <c r="G84" s="340" t="s">
        <v>532</v>
      </c>
      <c r="H84" s="21">
        <v>80</v>
      </c>
      <c r="I84" s="21">
        <v>150</v>
      </c>
      <c r="J84" s="340" t="s">
        <v>528</v>
      </c>
      <c r="K84" s="21">
        <f t="shared" si="11"/>
        <v>32430</v>
      </c>
      <c r="L84" s="56">
        <f t="shared" si="17"/>
        <v>265240.39136671746</v>
      </c>
      <c r="M84" s="48">
        <f t="shared" si="18"/>
        <v>-2.1015526316995703</v>
      </c>
      <c r="N84" s="46"/>
      <c r="O84" s="21">
        <v>550000</v>
      </c>
      <c r="P84" s="21" t="s">
        <v>528</v>
      </c>
      <c r="Q84" s="21">
        <f t="shared" si="12"/>
        <v>582430</v>
      </c>
      <c r="R84" s="21">
        <f t="shared" si="13"/>
        <v>512953.49029446411</v>
      </c>
      <c r="S84" s="48">
        <f t="shared" si="14"/>
        <v>0.12702382767816439</v>
      </c>
      <c r="T84" s="85">
        <f t="shared" si="15"/>
        <v>68.122945117498148</v>
      </c>
      <c r="U84" s="21">
        <v>20596.137448862872</v>
      </c>
      <c r="V84" s="21">
        <f t="shared" si="19"/>
        <v>603026.13744886289</v>
      </c>
      <c r="W84" s="94">
        <f t="shared" si="16"/>
        <v>94.431948903730927</v>
      </c>
    </row>
    <row r="85" spans="2:24">
      <c r="B85" s="59">
        <v>2001</v>
      </c>
      <c r="C85" s="53" t="s">
        <v>527</v>
      </c>
      <c r="D85" s="21">
        <v>22000</v>
      </c>
      <c r="E85" s="21">
        <v>96000</v>
      </c>
      <c r="F85" s="21">
        <v>1100</v>
      </c>
      <c r="G85" s="21">
        <v>947</v>
      </c>
      <c r="H85" s="21">
        <v>350</v>
      </c>
      <c r="I85" s="49">
        <v>17000</v>
      </c>
      <c r="J85" s="21">
        <v>2800</v>
      </c>
      <c r="K85" s="49">
        <f t="shared" si="11"/>
        <v>140197</v>
      </c>
      <c r="L85" s="56">
        <f t="shared" si="17"/>
        <v>265240.39136671746</v>
      </c>
      <c r="M85" s="48">
        <f t="shared" si="18"/>
        <v>-0.6375879756501005</v>
      </c>
      <c r="N85" s="46"/>
      <c r="O85" s="339">
        <v>1350000</v>
      </c>
      <c r="P85" s="21">
        <v>150</v>
      </c>
      <c r="Q85" s="339">
        <f t="shared" si="12"/>
        <v>1490347</v>
      </c>
      <c r="R85" s="21">
        <f t="shared" si="13"/>
        <v>512953.49029446411</v>
      </c>
      <c r="S85" s="48">
        <f t="shared" si="14"/>
        <v>1.0665790788651546</v>
      </c>
      <c r="T85" s="85">
        <f t="shared" si="15"/>
        <v>155.88431227787029</v>
      </c>
      <c r="U85" s="21">
        <v>210004.74914240133</v>
      </c>
      <c r="V85" s="21">
        <f t="shared" si="19"/>
        <v>1700351.7491424014</v>
      </c>
      <c r="W85" s="94">
        <f t="shared" si="16"/>
        <v>90.582931357596578</v>
      </c>
    </row>
    <row r="86" spans="2:24">
      <c r="B86" s="59">
        <v>2003</v>
      </c>
      <c r="C86" s="53" t="s">
        <v>530</v>
      </c>
      <c r="D86" s="21">
        <v>929</v>
      </c>
      <c r="E86" s="21">
        <v>16582</v>
      </c>
      <c r="F86" s="21">
        <v>375</v>
      </c>
      <c r="G86" s="21">
        <v>2627</v>
      </c>
      <c r="H86" s="21">
        <v>43</v>
      </c>
      <c r="I86" s="21">
        <v>101</v>
      </c>
      <c r="J86" s="21">
        <v>4182</v>
      </c>
      <c r="K86" s="336">
        <f t="shared" si="11"/>
        <v>24839</v>
      </c>
      <c r="L86" s="56">
        <f t="shared" si="17"/>
        <v>265240.39136671746</v>
      </c>
      <c r="M86" s="48">
        <f t="shared" si="18"/>
        <v>-2.3682215534128321</v>
      </c>
      <c r="N86" s="46"/>
      <c r="O86" s="21">
        <v>161876</v>
      </c>
      <c r="P86" s="21">
        <v>46</v>
      </c>
      <c r="Q86" s="21">
        <f t="shared" si="12"/>
        <v>186761</v>
      </c>
      <c r="R86" s="21">
        <f t="shared" si="13"/>
        <v>512953.49029446411</v>
      </c>
      <c r="S86" s="48">
        <f t="shared" si="14"/>
        <v>-1.0103554543126518</v>
      </c>
      <c r="T86" s="85">
        <f t="shared" si="15"/>
        <v>-87.468623079054737</v>
      </c>
      <c r="U86" s="21">
        <v>0</v>
      </c>
      <c r="V86" s="21">
        <f t="shared" si="19"/>
        <v>186761</v>
      </c>
      <c r="W86" s="94">
        <f t="shared" si="16"/>
        <v>86.675483639517893</v>
      </c>
    </row>
    <row r="87" spans="2:24">
      <c r="B87" s="53">
        <v>2005</v>
      </c>
      <c r="C87" s="53" t="s">
        <v>530</v>
      </c>
      <c r="D87" s="21">
        <v>2668</v>
      </c>
      <c r="E87" s="21">
        <v>29389</v>
      </c>
      <c r="F87" s="336">
        <v>54</v>
      </c>
      <c r="G87" s="21">
        <v>68</v>
      </c>
      <c r="H87" s="21">
        <v>15</v>
      </c>
      <c r="I87" s="21">
        <v>2755</v>
      </c>
      <c r="J87" s="21">
        <v>4120</v>
      </c>
      <c r="K87" s="21">
        <f t="shared" si="11"/>
        <v>39069</v>
      </c>
      <c r="L87" s="56">
        <f t="shared" si="17"/>
        <v>265240.39136671746</v>
      </c>
      <c r="M87" s="48">
        <f t="shared" si="18"/>
        <v>-1.9153072383651204</v>
      </c>
      <c r="N87" s="355"/>
      <c r="O87" s="21">
        <v>223444</v>
      </c>
      <c r="P87" s="21" t="s">
        <v>528</v>
      </c>
      <c r="Q87" s="21">
        <f t="shared" si="12"/>
        <v>262513</v>
      </c>
      <c r="R87" s="21">
        <f t="shared" si="13"/>
        <v>512953.49029446411</v>
      </c>
      <c r="S87" s="48">
        <f t="shared" si="14"/>
        <v>-0.66988457425173831</v>
      </c>
      <c r="T87" s="94">
        <f t="shared" si="15"/>
        <v>40.56093081532012</v>
      </c>
      <c r="U87" s="21">
        <v>20750.759067019935</v>
      </c>
      <c r="V87" s="21">
        <f t="shared" si="19"/>
        <v>283263.75906701991</v>
      </c>
      <c r="W87" s="94">
        <f t="shared" si="16"/>
        <v>85.117308476151649</v>
      </c>
    </row>
    <row r="88" spans="2:24">
      <c r="B88" s="53">
        <v>2007</v>
      </c>
      <c r="C88" s="53" t="s">
        <v>526</v>
      </c>
      <c r="D88" s="21">
        <v>9488</v>
      </c>
      <c r="E88" s="21">
        <v>36850</v>
      </c>
      <c r="F88" s="21">
        <v>175</v>
      </c>
      <c r="G88" s="21">
        <v>739</v>
      </c>
      <c r="H88" s="21">
        <v>22</v>
      </c>
      <c r="I88" s="21">
        <v>701</v>
      </c>
      <c r="J88" s="21">
        <v>5112</v>
      </c>
      <c r="K88" s="21">
        <f t="shared" si="11"/>
        <v>53087</v>
      </c>
      <c r="L88" s="56">
        <f t="shared" si="17"/>
        <v>265240.39136671746</v>
      </c>
      <c r="M88" s="48">
        <f t="shared" si="18"/>
        <v>-1.608704474836758</v>
      </c>
      <c r="N88" s="355"/>
      <c r="O88" s="21">
        <v>264227</v>
      </c>
      <c r="P88" s="21" t="s">
        <v>528</v>
      </c>
      <c r="Q88" s="21">
        <f t="shared" si="12"/>
        <v>317314</v>
      </c>
      <c r="R88" s="21">
        <f t="shared" si="13"/>
        <v>512953.49029446411</v>
      </c>
      <c r="S88" s="48">
        <f t="shared" si="14"/>
        <v>-0.48029335896913428</v>
      </c>
      <c r="T88" s="94">
        <f t="shared" si="15"/>
        <v>20.875537592423996</v>
      </c>
      <c r="U88" s="21">
        <v>3551.9419506586905</v>
      </c>
      <c r="V88" s="21">
        <f t="shared" si="19"/>
        <v>320865.94195065869</v>
      </c>
      <c r="W88" s="94">
        <f t="shared" si="16"/>
        <v>83.269884089576877</v>
      </c>
    </row>
    <row r="89" spans="2:24">
      <c r="B89" s="406">
        <v>2009</v>
      </c>
      <c r="C89" s="402" t="s">
        <v>526</v>
      </c>
      <c r="D89" s="407">
        <v>12008</v>
      </c>
      <c r="E89" s="407">
        <v>354378</v>
      </c>
      <c r="F89" s="407">
        <v>536</v>
      </c>
      <c r="G89" s="407">
        <v>1817</v>
      </c>
      <c r="H89" s="407">
        <v>1450</v>
      </c>
      <c r="I89" s="408">
        <v>34078</v>
      </c>
      <c r="J89" s="407">
        <v>12991</v>
      </c>
      <c r="K89" s="403">
        <f t="shared" si="11"/>
        <v>417258</v>
      </c>
      <c r="L89" s="404">
        <f t="shared" si="17"/>
        <v>265240.39136671746</v>
      </c>
      <c r="M89" s="405">
        <f t="shared" si="18"/>
        <v>0.45306818349692463</v>
      </c>
      <c r="N89" s="355"/>
      <c r="O89" s="407">
        <v>489023</v>
      </c>
      <c r="P89" s="407">
        <v>3</v>
      </c>
      <c r="Q89" s="407">
        <f t="shared" si="12"/>
        <v>906284</v>
      </c>
      <c r="R89" s="407">
        <f t="shared" si="13"/>
        <v>512953.49029446411</v>
      </c>
      <c r="S89" s="405">
        <f>LN(((Q89-R89)/R89)+1)</f>
        <v>0.56916754383983248</v>
      </c>
      <c r="T89" s="409">
        <f t="shared" si="15"/>
        <v>185.6110981551397</v>
      </c>
      <c r="U89" s="407">
        <v>46718.863214609126</v>
      </c>
      <c r="V89" s="21">
        <f t="shared" si="19"/>
        <v>953002.8632146091</v>
      </c>
      <c r="W89" s="94">
        <f t="shared" si="16"/>
        <v>53.9591342228264</v>
      </c>
    </row>
    <row r="90" spans="2:24">
      <c r="C90" t="s">
        <v>533</v>
      </c>
      <c r="D90" s="336">
        <f>MIN(D60:D89)</f>
        <v>800</v>
      </c>
      <c r="E90" s="336">
        <f t="shared" ref="E90:K90" si="20">MIN(E60:E89)</f>
        <v>1500</v>
      </c>
      <c r="F90" s="336">
        <f t="shared" si="20"/>
        <v>54</v>
      </c>
      <c r="G90" s="336">
        <f t="shared" si="20"/>
        <v>30</v>
      </c>
      <c r="H90" s="336">
        <f t="shared" si="20"/>
        <v>1</v>
      </c>
      <c r="I90" s="336">
        <f t="shared" si="20"/>
        <v>6</v>
      </c>
      <c r="J90" s="336">
        <f t="shared" si="20"/>
        <v>750</v>
      </c>
      <c r="K90" s="336">
        <f t="shared" si="20"/>
        <v>24839</v>
      </c>
      <c r="M90" s="322">
        <f t="shared" ref="M90:Q90" si="21">MIN(M60:M89)</f>
        <v>-2.3682215534128321</v>
      </c>
      <c r="N90" s="46"/>
      <c r="O90" s="336">
        <f t="shared" si="21"/>
        <v>6000</v>
      </c>
      <c r="P90" s="336">
        <f t="shared" si="21"/>
        <v>3</v>
      </c>
      <c r="Q90" s="336">
        <f t="shared" si="21"/>
        <v>66785</v>
      </c>
      <c r="R90" s="2"/>
      <c r="S90" s="2"/>
      <c r="T90" s="85"/>
      <c r="U90" s="21"/>
    </row>
    <row r="91" spans="2:24">
      <c r="C91" t="s">
        <v>535</v>
      </c>
      <c r="D91" s="339">
        <f>MAX(D60:D89)</f>
        <v>40000</v>
      </c>
      <c r="E91" s="339">
        <f t="shared" ref="E91:K91" si="22">MAX(E60:E89)</f>
        <v>800000</v>
      </c>
      <c r="F91" s="339">
        <f t="shared" si="22"/>
        <v>25000</v>
      </c>
      <c r="G91" s="339">
        <f t="shared" si="22"/>
        <v>210000</v>
      </c>
      <c r="H91" s="339">
        <f t="shared" si="22"/>
        <v>1500</v>
      </c>
      <c r="I91" s="339">
        <f t="shared" si="22"/>
        <v>34078</v>
      </c>
      <c r="J91" s="339">
        <f t="shared" si="22"/>
        <v>35000</v>
      </c>
      <c r="K91" s="339">
        <f t="shared" si="22"/>
        <v>979550</v>
      </c>
      <c r="M91" s="320">
        <f t="shared" ref="M91:Q91" si="23">MAX(M60:M89)</f>
        <v>1.3064567305152446</v>
      </c>
      <c r="N91" s="46"/>
      <c r="O91" s="339">
        <f t="shared" si="23"/>
        <v>1350000</v>
      </c>
      <c r="P91" s="339">
        <f t="shared" si="23"/>
        <v>750</v>
      </c>
      <c r="Q91" s="339">
        <f t="shared" si="23"/>
        <v>1490347</v>
      </c>
      <c r="R91" s="356">
        <f>MEDIAN(Q60:Q89)</f>
        <v>232325</v>
      </c>
      <c r="S91" s="357" t="s">
        <v>541</v>
      </c>
      <c r="T91" s="358"/>
      <c r="U91" s="359"/>
      <c r="V91" s="360"/>
    </row>
    <row r="92" spans="2:24">
      <c r="C92" s="53" t="s">
        <v>257</v>
      </c>
      <c r="D92" s="340">
        <f>D91/D90</f>
        <v>50</v>
      </c>
      <c r="E92" s="340">
        <f t="shared" ref="E92:K92" si="24">E91/E90</f>
        <v>533.33333333333337</v>
      </c>
      <c r="F92" s="340">
        <f t="shared" si="24"/>
        <v>462.96296296296299</v>
      </c>
      <c r="G92" s="340">
        <f t="shared" si="24"/>
        <v>7000</v>
      </c>
      <c r="H92" s="340">
        <f t="shared" si="24"/>
        <v>1500</v>
      </c>
      <c r="I92" s="340">
        <f t="shared" si="24"/>
        <v>5679.666666666667</v>
      </c>
      <c r="J92" s="340">
        <f t="shared" si="24"/>
        <v>46.666666666666664</v>
      </c>
      <c r="K92" s="341">
        <f t="shared" si="24"/>
        <v>39.435967631547165</v>
      </c>
      <c r="N92" s="16"/>
      <c r="O92" s="56">
        <f>O91/O90</f>
        <v>225</v>
      </c>
      <c r="P92" s="56">
        <f>P91/P90</f>
        <v>250</v>
      </c>
      <c r="Q92" s="56">
        <f>Q91/Q90</f>
        <v>22.315594819195926</v>
      </c>
      <c r="R92" s="361">
        <f>MEDIAN(Q70:Q89)</f>
        <v>347626.5</v>
      </c>
      <c r="S92" s="362" t="s">
        <v>542</v>
      </c>
      <c r="T92" s="363"/>
      <c r="U92" s="346"/>
      <c r="V92" s="364"/>
    </row>
    <row r="93" spans="2:24">
      <c r="C93" s="342" t="s">
        <v>537</v>
      </c>
      <c r="D93">
        <v>1957</v>
      </c>
      <c r="E93" s="347">
        <v>1983</v>
      </c>
      <c r="F93">
        <v>1977</v>
      </c>
      <c r="G93">
        <v>1971</v>
      </c>
      <c r="H93" s="47">
        <v>1961</v>
      </c>
      <c r="I93">
        <v>1997</v>
      </c>
      <c r="J93">
        <v>1995</v>
      </c>
      <c r="N93" s="349"/>
      <c r="O93">
        <v>1999</v>
      </c>
      <c r="P93">
        <v>1953</v>
      </c>
    </row>
    <row r="94" spans="2:24">
      <c r="C94" s="342" t="s">
        <v>538</v>
      </c>
      <c r="D94" s="343">
        <f>D64/D63</f>
        <v>3.7499999999999999E-2</v>
      </c>
      <c r="E94" s="427">
        <f>E77/E76</f>
        <v>0.625</v>
      </c>
      <c r="F94" s="343">
        <f>F74/F73</f>
        <v>1.2E-2</v>
      </c>
      <c r="G94" s="343">
        <f>G71/G70</f>
        <v>0.38095238095238093</v>
      </c>
      <c r="H94" s="427">
        <f>H66/H65</f>
        <v>0.13333333333333333</v>
      </c>
      <c r="I94" s="343">
        <f>I84/I83</f>
        <v>4.1666666666666664E-2</v>
      </c>
      <c r="J94" s="343">
        <f>J83/J82</f>
        <v>0.1</v>
      </c>
    </row>
  </sheetData>
  <mergeCells count="6">
    <mergeCell ref="D18:J18"/>
    <mergeCell ref="D58:J58"/>
    <mergeCell ref="O18:P18"/>
    <mergeCell ref="O58:P58"/>
    <mergeCell ref="Q15:T15"/>
    <mergeCell ref="Q56:T56"/>
  </mergeCells>
  <pageMargins left="0.7" right="0.7" top="0.75" bottom="0.75" header="0.3" footer="0.3"/>
  <pageSetup orientation="portrait" horizontalDpi="1200" verticalDpi="1200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>
  <dimension ref="A1:CH99"/>
  <sheetViews>
    <sheetView topLeftCell="A19" workbookViewId="0">
      <pane xSplit="3405" ySplit="2805" activePane="bottomRight"/>
      <selection activeCell="A19" sqref="A19"/>
      <selection pane="topRight" activeCell="D19" sqref="D19"/>
      <selection pane="bottomLeft" activeCell="A29" sqref="A29"/>
      <selection pane="bottomRight" activeCell="G5" sqref="G5"/>
    </sheetView>
  </sheetViews>
  <sheetFormatPr defaultRowHeight="12.75"/>
  <cols>
    <col min="2" max="2" width="10.42578125" bestFit="1" customWidth="1"/>
    <col min="75" max="75" width="10.5703125" bestFit="1" customWidth="1"/>
    <col min="76" max="76" width="10.28515625" bestFit="1" customWidth="1"/>
    <col min="77" max="77" width="9.28515625" bestFit="1" customWidth="1"/>
    <col min="80" max="83" width="11.140625" customWidth="1"/>
    <col min="84" max="84" width="11.85546875" bestFit="1" customWidth="1"/>
    <col min="85" max="85" width="13.5703125" bestFit="1" customWidth="1"/>
    <col min="86" max="86" width="18.5703125" bestFit="1" customWidth="1"/>
  </cols>
  <sheetData>
    <row r="1" spans="1:26">
      <c r="A1" s="118" t="s">
        <v>642</v>
      </c>
    </row>
    <row r="2" spans="1:26">
      <c r="B2" s="118" t="s">
        <v>839</v>
      </c>
    </row>
    <row r="4" spans="1:26">
      <c r="B4" s="141" t="s">
        <v>196</v>
      </c>
      <c r="C4" s="551" t="s">
        <v>543</v>
      </c>
      <c r="D4" s="551"/>
      <c r="F4" s="141" t="s">
        <v>196</v>
      </c>
      <c r="G4" s="551" t="s">
        <v>543</v>
      </c>
      <c r="H4" s="551"/>
      <c r="J4" s="141" t="s">
        <v>196</v>
      </c>
      <c r="K4" s="551" t="s">
        <v>543</v>
      </c>
      <c r="L4" s="551"/>
      <c r="N4" s="141" t="s">
        <v>196</v>
      </c>
      <c r="O4" s="551" t="s">
        <v>543</v>
      </c>
      <c r="P4" s="551"/>
      <c r="R4" s="416" t="s">
        <v>655</v>
      </c>
      <c r="S4" s="551" t="s">
        <v>656</v>
      </c>
      <c r="T4" s="551"/>
      <c r="U4" s="551"/>
      <c r="V4" s="551"/>
      <c r="W4" s="551"/>
      <c r="X4" s="551"/>
      <c r="Y4" s="551"/>
      <c r="Z4" s="54"/>
    </row>
    <row r="5" spans="1:26">
      <c r="B5" s="53">
        <v>1</v>
      </c>
      <c r="C5" s="11" t="s">
        <v>577</v>
      </c>
      <c r="D5" s="5"/>
      <c r="F5" s="53">
        <v>17</v>
      </c>
      <c r="G5" s="410" t="s">
        <v>593</v>
      </c>
      <c r="J5" s="53">
        <v>33</v>
      </c>
      <c r="K5" s="410" t="s">
        <v>609</v>
      </c>
      <c r="N5">
        <v>49</v>
      </c>
      <c r="O5" s="410" t="s">
        <v>625</v>
      </c>
      <c r="R5" s="124" t="s">
        <v>570</v>
      </c>
      <c r="S5" s="118" t="s">
        <v>646</v>
      </c>
    </row>
    <row r="6" spans="1:26">
      <c r="B6" s="53">
        <v>2</v>
      </c>
      <c r="C6" s="410" t="s">
        <v>578</v>
      </c>
      <c r="F6" s="53">
        <v>18</v>
      </c>
      <c r="G6" s="410" t="s">
        <v>594</v>
      </c>
      <c r="J6" s="53">
        <v>34</v>
      </c>
      <c r="K6" s="410" t="s">
        <v>610</v>
      </c>
      <c r="N6">
        <v>50</v>
      </c>
      <c r="O6" s="410" t="s">
        <v>626</v>
      </c>
      <c r="R6" s="124" t="s">
        <v>569</v>
      </c>
      <c r="S6" s="118" t="s">
        <v>647</v>
      </c>
    </row>
    <row r="7" spans="1:26">
      <c r="B7" s="53">
        <v>3</v>
      </c>
      <c r="C7" s="410" t="s">
        <v>579</v>
      </c>
      <c r="F7" s="53">
        <v>19</v>
      </c>
      <c r="G7" s="410" t="s">
        <v>595</v>
      </c>
      <c r="J7" s="53">
        <v>35</v>
      </c>
      <c r="K7" s="410" t="s">
        <v>611</v>
      </c>
      <c r="N7">
        <v>51</v>
      </c>
      <c r="O7" s="410" t="s">
        <v>627</v>
      </c>
      <c r="R7" s="124" t="s">
        <v>571</v>
      </c>
      <c r="S7" s="118" t="s">
        <v>648</v>
      </c>
    </row>
    <row r="8" spans="1:26">
      <c r="B8" s="53">
        <v>4</v>
      </c>
      <c r="C8" s="410" t="s">
        <v>580</v>
      </c>
      <c r="F8" s="53">
        <v>20</v>
      </c>
      <c r="G8" s="410" t="s">
        <v>596</v>
      </c>
      <c r="J8" s="53">
        <v>36</v>
      </c>
      <c r="K8" s="410" t="s">
        <v>612</v>
      </c>
      <c r="N8">
        <v>52</v>
      </c>
      <c r="O8" s="410" t="s">
        <v>628</v>
      </c>
      <c r="R8" s="124" t="s">
        <v>649</v>
      </c>
      <c r="S8" s="118" t="s">
        <v>650</v>
      </c>
    </row>
    <row r="9" spans="1:26">
      <c r="B9" s="53">
        <v>5</v>
      </c>
      <c r="C9" s="410" t="s">
        <v>581</v>
      </c>
      <c r="F9" s="53">
        <v>21</v>
      </c>
      <c r="G9" s="410" t="s">
        <v>597</v>
      </c>
      <c r="J9" s="53">
        <v>37</v>
      </c>
      <c r="K9" s="410" t="s">
        <v>613</v>
      </c>
      <c r="N9">
        <v>53</v>
      </c>
      <c r="O9" s="410" t="s">
        <v>629</v>
      </c>
      <c r="R9" s="124" t="s">
        <v>540</v>
      </c>
      <c r="S9" s="118" t="s">
        <v>651</v>
      </c>
    </row>
    <row r="10" spans="1:26">
      <c r="B10" s="53">
        <v>6</v>
      </c>
      <c r="C10" s="410" t="s">
        <v>582</v>
      </c>
      <c r="F10" s="53">
        <v>22</v>
      </c>
      <c r="G10" s="410" t="s">
        <v>598</v>
      </c>
      <c r="J10" s="53">
        <v>38</v>
      </c>
      <c r="K10" s="410" t="s">
        <v>614</v>
      </c>
      <c r="N10">
        <v>54</v>
      </c>
      <c r="O10" s="410" t="s">
        <v>630</v>
      </c>
      <c r="R10" s="124" t="s">
        <v>652</v>
      </c>
      <c r="S10" s="118" t="s">
        <v>653</v>
      </c>
    </row>
    <row r="11" spans="1:26">
      <c r="B11" s="53">
        <v>7</v>
      </c>
      <c r="C11" s="410" t="s">
        <v>583</v>
      </c>
      <c r="F11" s="53">
        <v>23</v>
      </c>
      <c r="G11" s="410" t="s">
        <v>599</v>
      </c>
      <c r="J11" s="53">
        <v>39</v>
      </c>
      <c r="K11" s="410" t="s">
        <v>615</v>
      </c>
      <c r="N11">
        <v>55</v>
      </c>
      <c r="O11" s="410" t="s">
        <v>631</v>
      </c>
      <c r="R11" s="124" t="s">
        <v>572</v>
      </c>
      <c r="S11" s="118" t="s">
        <v>654</v>
      </c>
    </row>
    <row r="12" spans="1:26">
      <c r="B12" s="53">
        <v>8</v>
      </c>
      <c r="C12" s="11" t="s">
        <v>584</v>
      </c>
      <c r="D12" s="5"/>
      <c r="F12" s="53">
        <v>24</v>
      </c>
      <c r="G12" s="410" t="s">
        <v>600</v>
      </c>
      <c r="J12" s="53">
        <v>40</v>
      </c>
      <c r="K12" s="410" t="s">
        <v>616</v>
      </c>
      <c r="N12">
        <v>56</v>
      </c>
      <c r="O12" s="410" t="s">
        <v>632</v>
      </c>
    </row>
    <row r="13" spans="1:26">
      <c r="B13" s="53">
        <v>9</v>
      </c>
      <c r="C13" s="410" t="s">
        <v>585</v>
      </c>
      <c r="F13" s="53">
        <v>25</v>
      </c>
      <c r="G13" s="410" t="s">
        <v>601</v>
      </c>
      <c r="J13" s="53">
        <v>41</v>
      </c>
      <c r="K13" s="410" t="s">
        <v>617</v>
      </c>
      <c r="N13">
        <v>57</v>
      </c>
      <c r="O13" s="410" t="s">
        <v>633</v>
      </c>
    </row>
    <row r="14" spans="1:26">
      <c r="B14" s="53">
        <v>10</v>
      </c>
      <c r="C14" s="410" t="s">
        <v>586</v>
      </c>
      <c r="F14" s="53">
        <v>26</v>
      </c>
      <c r="G14" s="410" t="s">
        <v>602</v>
      </c>
      <c r="J14" s="53">
        <v>42</v>
      </c>
      <c r="K14" s="410" t="s">
        <v>618</v>
      </c>
      <c r="N14">
        <v>58</v>
      </c>
      <c r="O14" s="410" t="s">
        <v>634</v>
      </c>
    </row>
    <row r="15" spans="1:26">
      <c r="B15" s="53">
        <v>11</v>
      </c>
      <c r="C15" s="410" t="s">
        <v>587</v>
      </c>
      <c r="F15" s="53">
        <v>27</v>
      </c>
      <c r="G15" s="410" t="s">
        <v>603</v>
      </c>
      <c r="J15" s="53">
        <v>43</v>
      </c>
      <c r="K15" s="410" t="s">
        <v>619</v>
      </c>
      <c r="N15">
        <v>59</v>
      </c>
      <c r="O15" s="410" t="s">
        <v>635</v>
      </c>
    </row>
    <row r="16" spans="1:26">
      <c r="B16" s="53">
        <v>12</v>
      </c>
      <c r="C16" s="410" t="s">
        <v>588</v>
      </c>
      <c r="F16" s="53">
        <v>28</v>
      </c>
      <c r="G16" s="410" t="s">
        <v>604</v>
      </c>
      <c r="J16" s="53">
        <v>44</v>
      </c>
      <c r="K16" s="410" t="s">
        <v>620</v>
      </c>
      <c r="N16">
        <v>60</v>
      </c>
      <c r="O16" s="410" t="s">
        <v>636</v>
      </c>
    </row>
    <row r="17" spans="2:85">
      <c r="B17" s="53">
        <v>13</v>
      </c>
      <c r="C17" s="410" t="s">
        <v>589</v>
      </c>
      <c r="F17" s="53">
        <v>29</v>
      </c>
      <c r="G17" s="410" t="s">
        <v>605</v>
      </c>
      <c r="J17" s="53">
        <v>45</v>
      </c>
      <c r="K17" s="410" t="s">
        <v>621</v>
      </c>
      <c r="N17">
        <v>61</v>
      </c>
      <c r="O17" s="410" t="s">
        <v>637</v>
      </c>
    </row>
    <row r="18" spans="2:85">
      <c r="B18" s="53">
        <v>14</v>
      </c>
      <c r="C18" s="410" t="s">
        <v>590</v>
      </c>
      <c r="F18" s="53">
        <v>30</v>
      </c>
      <c r="G18" s="410" t="s">
        <v>606</v>
      </c>
      <c r="J18" s="53">
        <v>46</v>
      </c>
      <c r="K18" s="410" t="s">
        <v>622</v>
      </c>
      <c r="N18">
        <v>62</v>
      </c>
      <c r="O18" s="410" t="s">
        <v>638</v>
      </c>
    </row>
    <row r="19" spans="2:85">
      <c r="B19" s="53">
        <v>15</v>
      </c>
      <c r="C19" s="410" t="s">
        <v>591</v>
      </c>
      <c r="F19" s="53">
        <v>31</v>
      </c>
      <c r="G19" s="410" t="s">
        <v>607</v>
      </c>
      <c r="J19" s="53">
        <v>47</v>
      </c>
      <c r="K19" s="410" t="s">
        <v>623</v>
      </c>
      <c r="N19">
        <v>63</v>
      </c>
      <c r="O19" s="410" t="s">
        <v>639</v>
      </c>
    </row>
    <row r="20" spans="2:85">
      <c r="B20" s="53">
        <v>16</v>
      </c>
      <c r="C20" s="410" t="s">
        <v>592</v>
      </c>
      <c r="F20" s="53">
        <v>32</v>
      </c>
      <c r="G20" s="410" t="s">
        <v>608</v>
      </c>
      <c r="J20" s="53">
        <v>48</v>
      </c>
      <c r="K20" s="410" t="s">
        <v>624</v>
      </c>
      <c r="N20">
        <v>64</v>
      </c>
      <c r="O20" s="410" t="s">
        <v>640</v>
      </c>
    </row>
    <row r="22" spans="2:85">
      <c r="B22" s="381"/>
      <c r="C22" s="278" t="s">
        <v>644</v>
      </c>
    </row>
    <row r="23" spans="2:85">
      <c r="B23" s="415"/>
      <c r="C23" s="278" t="s">
        <v>643</v>
      </c>
      <c r="G23" s="207"/>
    </row>
    <row r="24" spans="2:85">
      <c r="B24" s="118"/>
      <c r="C24" s="118"/>
      <c r="D24" s="118"/>
      <c r="E24" s="118"/>
      <c r="F24" s="118"/>
      <c r="G24" s="207"/>
      <c r="H24" s="118"/>
      <c r="I24" s="118"/>
      <c r="J24" s="118"/>
      <c r="K24" s="118"/>
      <c r="L24" s="118"/>
      <c r="M24" s="118"/>
      <c r="N24" s="118"/>
      <c r="O24" s="118"/>
      <c r="P24" s="118"/>
      <c r="Q24" s="118"/>
      <c r="R24" s="118"/>
      <c r="S24" s="118"/>
      <c r="T24" s="118"/>
      <c r="U24" s="118"/>
      <c r="V24" s="118"/>
      <c r="W24" s="118"/>
      <c r="X24" s="118"/>
      <c r="Y24" s="118"/>
      <c r="Z24" s="118"/>
      <c r="AA24" s="118"/>
      <c r="AB24" s="118"/>
      <c r="AC24" s="118"/>
      <c r="AD24" s="118"/>
      <c r="AE24" s="118"/>
      <c r="AF24" s="118"/>
      <c r="AG24" s="118"/>
      <c r="AH24" s="118"/>
      <c r="AI24" s="118"/>
      <c r="AJ24" s="118"/>
      <c r="AK24" s="118"/>
      <c r="AL24" s="118"/>
      <c r="AM24" s="118"/>
      <c r="AN24" s="118"/>
      <c r="AO24" s="118"/>
      <c r="AP24" s="118"/>
      <c r="AQ24" s="118"/>
      <c r="AR24" s="118"/>
      <c r="AS24" s="118"/>
      <c r="AT24" s="118"/>
      <c r="AU24" s="118"/>
      <c r="AV24" s="118"/>
      <c r="AW24" s="118"/>
      <c r="AX24" s="118"/>
      <c r="AY24" s="118"/>
      <c r="AZ24" s="118"/>
      <c r="BA24" s="118"/>
      <c r="BB24" s="118"/>
      <c r="BC24" s="118"/>
      <c r="BD24" s="118"/>
      <c r="BE24" s="118"/>
      <c r="BF24" s="118"/>
      <c r="BG24" s="118"/>
      <c r="BH24" s="118"/>
      <c r="BI24" s="118"/>
      <c r="BJ24" s="118"/>
      <c r="BK24" s="118"/>
      <c r="BL24" s="118"/>
      <c r="BM24" s="118"/>
      <c r="BN24" s="118"/>
      <c r="BO24" s="118"/>
      <c r="BP24" s="118"/>
      <c r="BQ24" s="118"/>
      <c r="BR24" s="124"/>
      <c r="BS24" s="124"/>
      <c r="BT24" s="365"/>
      <c r="BU24" s="124"/>
      <c r="BV24" s="551" t="s">
        <v>555</v>
      </c>
      <c r="BW24" s="551"/>
      <c r="BX24" s="551"/>
      <c r="BY24" s="551"/>
      <c r="BZ24" s="124"/>
      <c r="CA24" s="365"/>
      <c r="CB24" s="551" t="s">
        <v>645</v>
      </c>
      <c r="CC24" s="551"/>
      <c r="CD24" s="551"/>
      <c r="CE24" s="551"/>
      <c r="CF24" s="324"/>
      <c r="CG24" s="124"/>
    </row>
    <row r="25" spans="2:85">
      <c r="B25" s="118"/>
      <c r="C25" s="118"/>
      <c r="D25" s="118"/>
      <c r="E25" s="118"/>
      <c r="F25" s="118"/>
      <c r="G25" s="118"/>
      <c r="H25" s="118"/>
      <c r="I25" s="118"/>
      <c r="J25" s="118"/>
      <c r="K25" s="118"/>
      <c r="L25" s="118"/>
      <c r="M25" s="118"/>
      <c r="N25" s="118"/>
      <c r="O25" s="118"/>
      <c r="P25" s="118"/>
      <c r="Q25" s="118"/>
      <c r="R25" s="118"/>
      <c r="S25" s="118"/>
      <c r="T25" s="118"/>
      <c r="U25" s="118"/>
      <c r="V25" s="118"/>
      <c r="W25" s="118"/>
      <c r="X25" s="118"/>
      <c r="Y25" s="118"/>
      <c r="Z25" s="118"/>
      <c r="AA25" s="118"/>
      <c r="AB25" s="118"/>
      <c r="AC25" s="118"/>
      <c r="AD25" s="118"/>
      <c r="AE25" s="118"/>
      <c r="AF25" s="118"/>
      <c r="AG25" s="118"/>
      <c r="AH25" s="118"/>
      <c r="AI25" s="118"/>
      <c r="AJ25" s="118"/>
      <c r="AK25" s="118"/>
      <c r="AL25" s="118"/>
      <c r="AM25" s="118"/>
      <c r="AN25" s="118"/>
      <c r="AO25" s="118"/>
      <c r="AP25" s="118"/>
      <c r="AQ25" s="118"/>
      <c r="AR25" s="118"/>
      <c r="AS25" s="118"/>
      <c r="AT25" s="118"/>
      <c r="AU25" s="118"/>
      <c r="AV25" s="118"/>
      <c r="AW25" s="118"/>
      <c r="AX25" s="118"/>
      <c r="AY25" s="118"/>
      <c r="AZ25" s="118"/>
      <c r="BA25" s="118"/>
      <c r="BB25" s="118"/>
      <c r="BC25" s="118"/>
      <c r="BD25" s="118"/>
      <c r="BE25" s="118"/>
      <c r="BF25" s="118"/>
      <c r="BG25" s="118"/>
      <c r="BH25" s="118"/>
      <c r="BI25" s="118"/>
      <c r="BJ25" s="118"/>
      <c r="BK25" s="118"/>
      <c r="BL25" s="118"/>
      <c r="BM25" s="118"/>
      <c r="BN25" s="118"/>
      <c r="BO25" s="118"/>
      <c r="BP25" s="118"/>
      <c r="BQ25" s="118"/>
      <c r="BR25" s="124" t="s">
        <v>547</v>
      </c>
      <c r="BS25" s="124"/>
      <c r="BT25" s="365"/>
      <c r="BU25" s="124"/>
      <c r="BV25" s="118"/>
      <c r="BW25" s="118"/>
      <c r="BX25" s="124" t="s">
        <v>547</v>
      </c>
      <c r="BY25" s="124"/>
      <c r="BZ25" s="129"/>
      <c r="CA25" s="351"/>
      <c r="CB25" s="118"/>
      <c r="CC25" s="118"/>
      <c r="CD25" s="124" t="s">
        <v>547</v>
      </c>
      <c r="CE25" s="124"/>
      <c r="CF25" s="324"/>
      <c r="CG25" s="124"/>
    </row>
    <row r="26" spans="2:85">
      <c r="B26" s="118"/>
      <c r="C26" s="118"/>
      <c r="D26" s="118"/>
      <c r="E26" s="118"/>
      <c r="F26" s="118"/>
      <c r="G26" s="118"/>
      <c r="H26" s="118"/>
      <c r="I26" s="118"/>
      <c r="J26" s="118"/>
      <c r="K26" s="118"/>
      <c r="L26" s="118"/>
      <c r="M26" s="118"/>
      <c r="N26" s="118"/>
      <c r="O26" s="118"/>
      <c r="P26" s="118"/>
      <c r="Q26" s="118"/>
      <c r="R26" s="118"/>
      <c r="S26" s="118"/>
      <c r="T26" s="118"/>
      <c r="U26" s="118"/>
      <c r="V26" s="118"/>
      <c r="W26" s="118"/>
      <c r="X26" s="118"/>
      <c r="Y26" s="118"/>
      <c r="Z26" s="118"/>
      <c r="AA26" s="118"/>
      <c r="AB26" s="118"/>
      <c r="AC26" s="118"/>
      <c r="AD26" s="118"/>
      <c r="AE26" s="118"/>
      <c r="AF26" s="118"/>
      <c r="AG26" s="118"/>
      <c r="AH26" s="118"/>
      <c r="AI26" s="118"/>
      <c r="AJ26" s="118"/>
      <c r="AK26" s="118"/>
      <c r="AL26" s="118"/>
      <c r="AM26" s="118"/>
      <c r="AN26" s="118"/>
      <c r="AO26" s="118"/>
      <c r="AP26" s="118"/>
      <c r="AQ26" s="118"/>
      <c r="AR26" s="118"/>
      <c r="AS26" s="118"/>
      <c r="AT26" s="118"/>
      <c r="AU26" s="118"/>
      <c r="AV26" s="118"/>
      <c r="AW26" s="118"/>
      <c r="AX26" s="118"/>
      <c r="AY26" s="118"/>
      <c r="AZ26" s="118"/>
      <c r="BA26" s="118"/>
      <c r="BB26" s="118"/>
      <c r="BC26" s="118"/>
      <c r="BD26" s="118"/>
      <c r="BE26" s="118"/>
      <c r="BF26" s="118"/>
      <c r="BG26" s="118"/>
      <c r="BH26" s="118"/>
      <c r="BI26" s="118"/>
      <c r="BJ26" s="118"/>
      <c r="BK26" s="118"/>
      <c r="BL26" s="118"/>
      <c r="BM26" s="118"/>
      <c r="BN26" s="118"/>
      <c r="BO26" s="118"/>
      <c r="BP26" s="124" t="s">
        <v>641</v>
      </c>
      <c r="BQ26" s="124" t="s">
        <v>641</v>
      </c>
      <c r="BR26" s="124" t="s">
        <v>641</v>
      </c>
      <c r="BS26" s="124" t="s">
        <v>641</v>
      </c>
      <c r="BT26" s="365"/>
      <c r="BU26" s="124"/>
      <c r="BV26" s="124" t="s">
        <v>556</v>
      </c>
      <c r="BW26" s="124" t="s">
        <v>556</v>
      </c>
      <c r="BX26" s="124" t="s">
        <v>556</v>
      </c>
      <c r="BY26" s="124" t="s">
        <v>556</v>
      </c>
      <c r="BZ26" s="124"/>
      <c r="CA26" s="365"/>
      <c r="CB26" s="124" t="s">
        <v>557</v>
      </c>
      <c r="CC26" s="124" t="s">
        <v>557</v>
      </c>
      <c r="CD26" s="124" t="s">
        <v>557</v>
      </c>
      <c r="CE26" s="124" t="s">
        <v>557</v>
      </c>
      <c r="CF26" s="324" t="s">
        <v>516</v>
      </c>
      <c r="CG26" s="129" t="s">
        <v>558</v>
      </c>
    </row>
    <row r="27" spans="2:85">
      <c r="B27" s="129" t="s">
        <v>559</v>
      </c>
      <c r="C27" s="118"/>
      <c r="D27" s="366"/>
      <c r="E27" s="366"/>
      <c r="F27" s="366"/>
      <c r="G27" s="366"/>
      <c r="H27" s="366" t="s">
        <v>560</v>
      </c>
      <c r="I27" s="366"/>
      <c r="J27" s="366"/>
      <c r="K27" s="366"/>
      <c r="L27" s="366" t="s">
        <v>560</v>
      </c>
      <c r="M27" s="366"/>
      <c r="N27" s="366"/>
      <c r="O27" s="366"/>
      <c r="P27" s="366" t="s">
        <v>560</v>
      </c>
      <c r="Q27" s="366"/>
      <c r="R27" s="366"/>
      <c r="S27" s="366"/>
      <c r="T27" s="366" t="s">
        <v>560</v>
      </c>
      <c r="U27" s="366"/>
      <c r="V27" s="367"/>
      <c r="W27" s="368"/>
      <c r="X27" s="369"/>
      <c r="Y27" s="369" t="s">
        <v>561</v>
      </c>
      <c r="Z27" s="369"/>
      <c r="AA27" s="369"/>
      <c r="AB27" s="369"/>
      <c r="AC27" s="369" t="s">
        <v>561</v>
      </c>
      <c r="AD27" s="369"/>
      <c r="AE27" s="369"/>
      <c r="AF27" s="369"/>
      <c r="AG27" s="369" t="s">
        <v>561</v>
      </c>
      <c r="AH27" s="369"/>
      <c r="AI27" s="369"/>
      <c r="AJ27" s="369"/>
      <c r="AK27" s="369" t="s">
        <v>561</v>
      </c>
      <c r="AL27" s="369"/>
      <c r="AM27" s="369"/>
      <c r="AN27" s="369"/>
      <c r="AO27" s="369" t="s">
        <v>561</v>
      </c>
      <c r="AP27" s="369"/>
      <c r="AQ27" s="369"/>
      <c r="AR27" s="369"/>
      <c r="AS27" s="369" t="s">
        <v>561</v>
      </c>
      <c r="AT27" s="369"/>
      <c r="AU27" s="369"/>
      <c r="AV27" s="369"/>
      <c r="AW27" s="369" t="s">
        <v>561</v>
      </c>
      <c r="AX27" s="370"/>
      <c r="AY27" s="371"/>
      <c r="AZ27" s="372"/>
      <c r="BA27" s="372" t="s">
        <v>562</v>
      </c>
      <c r="BB27" s="372"/>
      <c r="BC27" s="372"/>
      <c r="BD27" s="372"/>
      <c r="BE27" s="372" t="s">
        <v>562</v>
      </c>
      <c r="BF27" s="372"/>
      <c r="BG27" s="372"/>
      <c r="BH27" s="372"/>
      <c r="BI27" s="372" t="s">
        <v>562</v>
      </c>
      <c r="BJ27" s="372"/>
      <c r="BK27" s="372"/>
      <c r="BL27" s="372"/>
      <c r="BM27" s="373"/>
      <c r="BN27" s="555" t="s">
        <v>563</v>
      </c>
      <c r="BO27" s="551"/>
      <c r="BP27" s="118" t="s">
        <v>564</v>
      </c>
      <c r="BQ27" s="118" t="s">
        <v>564</v>
      </c>
      <c r="BR27" s="124" t="s">
        <v>564</v>
      </c>
      <c r="BS27" s="118" t="s">
        <v>564</v>
      </c>
      <c r="BT27" s="127"/>
      <c r="BU27" s="118"/>
      <c r="BV27" s="118" t="s">
        <v>564</v>
      </c>
      <c r="BW27" s="118" t="s">
        <v>564</v>
      </c>
      <c r="BX27" s="124" t="s">
        <v>564</v>
      </c>
      <c r="BY27" s="118" t="s">
        <v>564</v>
      </c>
      <c r="BZ27" s="118"/>
      <c r="CA27" s="127"/>
      <c r="CB27" s="118" t="s">
        <v>564</v>
      </c>
      <c r="CC27" s="118" t="s">
        <v>564</v>
      </c>
      <c r="CD27" s="124" t="s">
        <v>564</v>
      </c>
      <c r="CE27" s="118" t="s">
        <v>564</v>
      </c>
      <c r="CF27" s="324" t="s">
        <v>519</v>
      </c>
      <c r="CG27" s="124" t="s">
        <v>565</v>
      </c>
    </row>
    <row r="28" spans="2:85">
      <c r="B28" s="141" t="s">
        <v>566</v>
      </c>
      <c r="C28" s="374" t="s">
        <v>567</v>
      </c>
      <c r="D28" s="131">
        <v>1</v>
      </c>
      <c r="E28" s="131">
        <v>2</v>
      </c>
      <c r="F28" s="131">
        <v>3</v>
      </c>
      <c r="G28" s="131">
        <v>4</v>
      </c>
      <c r="H28" s="131">
        <v>5</v>
      </c>
      <c r="I28" s="131">
        <v>6</v>
      </c>
      <c r="J28" s="131">
        <v>7</v>
      </c>
      <c r="K28" s="131">
        <v>8</v>
      </c>
      <c r="L28" s="131">
        <v>9</v>
      </c>
      <c r="M28" s="131">
        <v>10</v>
      </c>
      <c r="N28" s="131">
        <v>11</v>
      </c>
      <c r="O28" s="131">
        <v>12</v>
      </c>
      <c r="P28" s="131">
        <v>13</v>
      </c>
      <c r="Q28" s="131">
        <v>14</v>
      </c>
      <c r="R28" s="131">
        <v>15</v>
      </c>
      <c r="S28" s="131">
        <v>16</v>
      </c>
      <c r="T28" s="131">
        <v>17</v>
      </c>
      <c r="U28" s="131">
        <v>18</v>
      </c>
      <c r="V28" s="131">
        <v>19</v>
      </c>
      <c r="W28" s="131">
        <v>20</v>
      </c>
      <c r="X28" s="131">
        <v>21</v>
      </c>
      <c r="Y28" s="131">
        <v>22</v>
      </c>
      <c r="Z28" s="131">
        <v>23</v>
      </c>
      <c r="AA28" s="131">
        <v>24</v>
      </c>
      <c r="AB28" s="131">
        <v>25</v>
      </c>
      <c r="AC28" s="131">
        <v>26</v>
      </c>
      <c r="AD28" s="131">
        <v>27</v>
      </c>
      <c r="AE28" s="131">
        <v>28</v>
      </c>
      <c r="AF28" s="131">
        <v>29</v>
      </c>
      <c r="AG28" s="131">
        <v>30</v>
      </c>
      <c r="AH28" s="131">
        <v>31</v>
      </c>
      <c r="AI28" s="131">
        <v>32</v>
      </c>
      <c r="AJ28" s="131">
        <v>33</v>
      </c>
      <c r="AK28" s="131">
        <v>34</v>
      </c>
      <c r="AL28" s="131">
        <v>35</v>
      </c>
      <c r="AM28" s="131">
        <v>36</v>
      </c>
      <c r="AN28" s="131">
        <v>37</v>
      </c>
      <c r="AO28" s="131">
        <v>38</v>
      </c>
      <c r="AP28" s="131">
        <v>39</v>
      </c>
      <c r="AQ28" s="131">
        <v>40</v>
      </c>
      <c r="AR28" s="131">
        <v>41</v>
      </c>
      <c r="AS28" s="131">
        <v>42</v>
      </c>
      <c r="AT28" s="131">
        <v>43</v>
      </c>
      <c r="AU28" s="131">
        <v>44</v>
      </c>
      <c r="AV28" s="131">
        <v>45</v>
      </c>
      <c r="AW28" s="131">
        <v>46</v>
      </c>
      <c r="AX28" s="131">
        <v>47</v>
      </c>
      <c r="AY28" s="131">
        <v>48</v>
      </c>
      <c r="AZ28" s="131">
        <v>49</v>
      </c>
      <c r="BA28" s="131">
        <v>50</v>
      </c>
      <c r="BB28" s="131">
        <v>51</v>
      </c>
      <c r="BC28" s="131">
        <v>52</v>
      </c>
      <c r="BD28" s="131">
        <v>53</v>
      </c>
      <c r="BE28" s="131">
        <v>54</v>
      </c>
      <c r="BF28" s="131">
        <v>55</v>
      </c>
      <c r="BG28" s="131">
        <v>56</v>
      </c>
      <c r="BH28" s="131">
        <v>57</v>
      </c>
      <c r="BI28" s="131">
        <v>58</v>
      </c>
      <c r="BJ28" s="131">
        <v>59</v>
      </c>
      <c r="BK28" s="131">
        <v>60</v>
      </c>
      <c r="BL28" s="131">
        <v>61</v>
      </c>
      <c r="BM28" s="131">
        <v>62</v>
      </c>
      <c r="BN28" s="131">
        <v>63</v>
      </c>
      <c r="BO28" s="131">
        <v>64</v>
      </c>
      <c r="BP28" s="141" t="s">
        <v>91</v>
      </c>
      <c r="BQ28" s="141" t="s">
        <v>550</v>
      </c>
      <c r="BR28" s="141" t="s">
        <v>551</v>
      </c>
      <c r="BS28" s="131" t="s">
        <v>552</v>
      </c>
      <c r="BT28" s="417"/>
      <c r="BU28" s="418"/>
      <c r="BV28" s="141" t="s">
        <v>91</v>
      </c>
      <c r="BW28" s="141" t="s">
        <v>550</v>
      </c>
      <c r="BX28" s="141" t="s">
        <v>551</v>
      </c>
      <c r="BY28" s="131" t="s">
        <v>552</v>
      </c>
      <c r="BZ28" s="375" t="s">
        <v>516</v>
      </c>
      <c r="CA28" s="376"/>
      <c r="CB28" s="141" t="s">
        <v>91</v>
      </c>
      <c r="CC28" s="141" t="s">
        <v>550</v>
      </c>
      <c r="CD28" s="141" t="s">
        <v>551</v>
      </c>
      <c r="CE28" s="131" t="s">
        <v>552</v>
      </c>
      <c r="CF28" s="328" t="s">
        <v>524</v>
      </c>
      <c r="CG28" s="141" t="s">
        <v>568</v>
      </c>
    </row>
    <row r="29" spans="2:85">
      <c r="B29" s="118">
        <f t="shared" ref="B29:B57" si="0">COUNT(D29:BO29)</f>
        <v>50</v>
      </c>
      <c r="C29" s="377">
        <v>1951</v>
      </c>
      <c r="D29" s="378">
        <v>400</v>
      </c>
      <c r="E29" s="378">
        <v>7500</v>
      </c>
      <c r="F29" s="378">
        <v>15000</v>
      </c>
      <c r="G29" s="378" t="s">
        <v>569</v>
      </c>
      <c r="H29" s="378">
        <v>1500</v>
      </c>
      <c r="I29" s="378">
        <v>200</v>
      </c>
      <c r="J29" s="378">
        <v>7500</v>
      </c>
      <c r="K29" s="378" t="s">
        <v>570</v>
      </c>
      <c r="L29" s="378">
        <v>3500</v>
      </c>
      <c r="M29" s="378">
        <v>44000</v>
      </c>
      <c r="N29" s="379" t="s">
        <v>571</v>
      </c>
      <c r="O29" s="378">
        <v>400</v>
      </c>
      <c r="P29" s="378">
        <v>75</v>
      </c>
      <c r="Q29" s="378">
        <v>25</v>
      </c>
      <c r="R29" s="378">
        <v>400</v>
      </c>
      <c r="S29" s="378">
        <v>400</v>
      </c>
      <c r="T29" s="379" t="s">
        <v>571</v>
      </c>
      <c r="U29" s="379" t="s">
        <v>571</v>
      </c>
      <c r="V29" s="378">
        <v>1500</v>
      </c>
      <c r="W29" s="378">
        <v>1500</v>
      </c>
      <c r="X29" s="378">
        <v>200</v>
      </c>
      <c r="Y29" s="378">
        <v>200</v>
      </c>
      <c r="Z29" s="378">
        <v>1670</v>
      </c>
      <c r="AA29" s="379" t="s">
        <v>571</v>
      </c>
      <c r="AB29" s="378">
        <v>200</v>
      </c>
      <c r="AC29" s="378">
        <v>4000</v>
      </c>
      <c r="AD29" s="378">
        <v>1500</v>
      </c>
      <c r="AE29" s="378">
        <v>2500</v>
      </c>
      <c r="AF29" s="379" t="s">
        <v>571</v>
      </c>
      <c r="AG29" s="378">
        <v>400</v>
      </c>
      <c r="AH29" s="378">
        <v>3500</v>
      </c>
      <c r="AI29" s="378">
        <v>200</v>
      </c>
      <c r="AJ29" s="378">
        <v>3500</v>
      </c>
      <c r="AK29" s="378">
        <v>15000</v>
      </c>
      <c r="AL29" s="378">
        <v>2000</v>
      </c>
      <c r="AM29" s="378">
        <v>4500</v>
      </c>
      <c r="AN29" s="379" t="s">
        <v>571</v>
      </c>
      <c r="AO29" s="378">
        <v>3500</v>
      </c>
      <c r="AP29" s="378">
        <v>200</v>
      </c>
      <c r="AQ29" s="378">
        <v>7500</v>
      </c>
      <c r="AR29" s="378">
        <v>3500</v>
      </c>
      <c r="AS29" s="378">
        <v>3500</v>
      </c>
      <c r="AT29" s="378">
        <v>80000</v>
      </c>
      <c r="AU29" s="378">
        <v>200</v>
      </c>
      <c r="AV29" s="378">
        <v>3500</v>
      </c>
      <c r="AW29" s="378">
        <v>400</v>
      </c>
      <c r="AX29" s="378">
        <v>245000</v>
      </c>
      <c r="AY29" s="378">
        <v>750</v>
      </c>
      <c r="AZ29" s="378">
        <v>1500</v>
      </c>
      <c r="BA29" s="378">
        <v>200</v>
      </c>
      <c r="BB29" s="378">
        <v>35000</v>
      </c>
      <c r="BC29" s="378">
        <v>35000</v>
      </c>
      <c r="BD29" s="378">
        <v>3500</v>
      </c>
      <c r="BE29" s="378">
        <v>3500</v>
      </c>
      <c r="BF29" s="378">
        <v>35000</v>
      </c>
      <c r="BG29" s="379" t="s">
        <v>571</v>
      </c>
      <c r="BH29" s="379" t="s">
        <v>571</v>
      </c>
      <c r="BI29" s="379" t="s">
        <v>571</v>
      </c>
      <c r="BJ29" s="379" t="s">
        <v>571</v>
      </c>
      <c r="BK29" s="379" t="s">
        <v>571</v>
      </c>
      <c r="BL29" s="378">
        <v>75</v>
      </c>
      <c r="BM29" s="378">
        <v>1500</v>
      </c>
      <c r="BN29" s="378">
        <v>3500</v>
      </c>
      <c r="BO29" s="378" t="s">
        <v>571</v>
      </c>
      <c r="BP29" s="273">
        <f>AVERAGE(D29:BO29)</f>
        <v>11801.9</v>
      </c>
      <c r="BQ29" s="273">
        <f>SUM(D29:BO29)</f>
        <v>590095</v>
      </c>
      <c r="BR29" s="125">
        <f>AVERAGE(BQ29:BQ57)</f>
        <v>449068.5172413793</v>
      </c>
      <c r="BS29" s="192">
        <f>LN(((BQ29-BR29)/BR29)+1)</f>
        <v>0.27310806514024299</v>
      </c>
      <c r="BT29" s="192"/>
      <c r="BU29" s="192"/>
      <c r="BV29" s="202">
        <f t="shared" ref="BV29:BV58" si="1">AVERAGE(E29,F29,M29,AE29,BB29,BC29)</f>
        <v>23166.666666666668</v>
      </c>
      <c r="BW29" s="202">
        <f t="shared" ref="BW29:BW58" si="2">SUM(E29,F29,M29,AE29,BB29,BC29)</f>
        <v>139000</v>
      </c>
      <c r="BX29" s="168">
        <f>AVERAGE(BW29:BW58)</f>
        <v>186722.66666666666</v>
      </c>
      <c r="BY29" s="192">
        <f t="shared" ref="BY29:BY57" si="3">LN(BW29/BX29)</f>
        <v>-0.29515051693939137</v>
      </c>
      <c r="BZ29" s="380"/>
      <c r="CA29" s="380"/>
      <c r="CB29" s="202">
        <f>AVERAGE(E29,F29,H29,M29,V29,AC29,AD29,AE29,AL29,AT29,BB29,BC29)</f>
        <v>19125</v>
      </c>
      <c r="CC29" s="202">
        <f>SUM(E29,F29,H29,M29,V29,AC29,AD29,AE29,AL29,AT29,BB29,BC29)</f>
        <v>229500</v>
      </c>
      <c r="CD29" s="243">
        <f>AVERAGE(CC29:CC58)</f>
        <v>292600.76666666666</v>
      </c>
      <c r="CE29" s="191">
        <f t="shared" ref="CE29:CE57" si="4">LN(CC29/CD29)</f>
        <v>-0.24290607926882213</v>
      </c>
      <c r="CF29" s="380"/>
      <c r="CG29" s="380">
        <f>(CC29-BW29)/CC29/0.01</f>
        <v>39.433551198257085</v>
      </c>
    </row>
    <row r="30" spans="2:85">
      <c r="B30" s="118">
        <f t="shared" si="0"/>
        <v>47</v>
      </c>
      <c r="C30" s="377">
        <v>1953</v>
      </c>
      <c r="D30" s="378">
        <v>1500</v>
      </c>
      <c r="E30" s="378">
        <v>3500</v>
      </c>
      <c r="F30" s="378">
        <v>11000</v>
      </c>
      <c r="G30" s="378">
        <v>1200</v>
      </c>
      <c r="H30" s="378">
        <v>1800</v>
      </c>
      <c r="I30" s="378" t="s">
        <v>572</v>
      </c>
      <c r="J30" s="378">
        <v>6500</v>
      </c>
      <c r="K30" s="378">
        <v>3500</v>
      </c>
      <c r="L30" s="378">
        <v>4500</v>
      </c>
      <c r="M30" s="378">
        <v>19000</v>
      </c>
      <c r="N30" s="378" t="s">
        <v>569</v>
      </c>
      <c r="O30" s="378">
        <v>75</v>
      </c>
      <c r="P30" s="378">
        <v>4000</v>
      </c>
      <c r="Q30" s="378">
        <v>75</v>
      </c>
      <c r="R30" s="378">
        <v>400</v>
      </c>
      <c r="S30" s="378">
        <v>1100</v>
      </c>
      <c r="T30" s="378">
        <v>1200</v>
      </c>
      <c r="U30" s="379" t="s">
        <v>571</v>
      </c>
      <c r="V30" s="378">
        <v>7500</v>
      </c>
      <c r="W30" s="378">
        <v>200</v>
      </c>
      <c r="X30" s="378">
        <v>200</v>
      </c>
      <c r="Y30" s="378">
        <v>400</v>
      </c>
      <c r="Z30" s="378">
        <v>1599</v>
      </c>
      <c r="AA30" s="379" t="s">
        <v>571</v>
      </c>
      <c r="AB30" s="378">
        <v>200</v>
      </c>
      <c r="AC30" s="378">
        <v>4500</v>
      </c>
      <c r="AD30" s="378">
        <v>3500</v>
      </c>
      <c r="AE30" s="378">
        <v>3500</v>
      </c>
      <c r="AF30" s="379" t="s">
        <v>571</v>
      </c>
      <c r="AG30" s="378">
        <v>1500</v>
      </c>
      <c r="AH30" s="378">
        <v>3500</v>
      </c>
      <c r="AI30" s="378">
        <v>750</v>
      </c>
      <c r="AJ30" s="378">
        <v>3500</v>
      </c>
      <c r="AK30" s="378">
        <v>3500</v>
      </c>
      <c r="AL30" s="378">
        <v>2500</v>
      </c>
      <c r="AM30" s="378">
        <v>1200</v>
      </c>
      <c r="AN30" s="379" t="s">
        <v>571</v>
      </c>
      <c r="AO30" s="378">
        <v>3200</v>
      </c>
      <c r="AP30" s="378">
        <v>200</v>
      </c>
      <c r="AQ30" s="378">
        <v>750</v>
      </c>
      <c r="AR30" s="378">
        <v>750</v>
      </c>
      <c r="AS30" s="378" t="s">
        <v>570</v>
      </c>
      <c r="AT30" s="378">
        <v>90000</v>
      </c>
      <c r="AU30" s="378">
        <v>1000</v>
      </c>
      <c r="AV30" s="378">
        <v>1500</v>
      </c>
      <c r="AW30" s="378">
        <v>200</v>
      </c>
      <c r="AX30" s="378">
        <v>125000</v>
      </c>
      <c r="AY30" s="379" t="s">
        <v>571</v>
      </c>
      <c r="AZ30" s="379" t="s">
        <v>571</v>
      </c>
      <c r="BA30" s="379" t="s">
        <v>571</v>
      </c>
      <c r="BB30" s="378">
        <v>15000</v>
      </c>
      <c r="BC30" s="378">
        <v>15000</v>
      </c>
      <c r="BD30" s="378">
        <v>1500</v>
      </c>
      <c r="BE30" s="378">
        <v>3500</v>
      </c>
      <c r="BF30" s="378">
        <v>7500</v>
      </c>
      <c r="BG30" s="379" t="s">
        <v>571</v>
      </c>
      <c r="BH30" s="379" t="s">
        <v>571</v>
      </c>
      <c r="BI30" s="379" t="s">
        <v>571</v>
      </c>
      <c r="BJ30" s="379" t="s">
        <v>571</v>
      </c>
      <c r="BK30" s="379" t="s">
        <v>571</v>
      </c>
      <c r="BL30" s="379" t="s">
        <v>571</v>
      </c>
      <c r="BM30" s="378">
        <v>1500</v>
      </c>
      <c r="BN30" s="378">
        <v>15000</v>
      </c>
      <c r="BO30" s="378" t="s">
        <v>571</v>
      </c>
      <c r="BP30" s="273">
        <f t="shared" ref="BP30:BP57" si="5">AVERAGE(D30:BO30)</f>
        <v>8063.8085106382978</v>
      </c>
      <c r="BQ30" s="273">
        <f t="shared" ref="BQ30:BQ58" si="6">SUM(D30:BO30)</f>
        <v>378999</v>
      </c>
      <c r="BR30" s="125">
        <f>$BR$29</f>
        <v>449068.5172413793</v>
      </c>
      <c r="BS30" s="192">
        <f t="shared" ref="BS30:BS56" si="7">LN(((BQ30-BR30)/BR30)+1)</f>
        <v>-0.16964190919031913</v>
      </c>
      <c r="BT30" s="192"/>
      <c r="BU30" s="192"/>
      <c r="BV30" s="202">
        <f t="shared" si="1"/>
        <v>11166.666666666666</v>
      </c>
      <c r="BW30" s="202">
        <f t="shared" si="2"/>
        <v>67000</v>
      </c>
      <c r="BX30" s="168">
        <f>$BX$29</f>
        <v>186722.66666666666</v>
      </c>
      <c r="BY30" s="192">
        <f t="shared" si="3"/>
        <v>-1.0249318306791171</v>
      </c>
      <c r="BZ30" s="380">
        <f>(BW30-BW29)/BW29/0.01</f>
        <v>-51.798561151079134</v>
      </c>
      <c r="CA30" s="380"/>
      <c r="CB30" s="202">
        <f t="shared" ref="CB30:CB58" si="8">AVERAGE(E30,F30,H30,M30,V30,AC30,AD30,AE30,AL30,AT30,BB30,BC30)</f>
        <v>14733.333333333334</v>
      </c>
      <c r="CC30" s="202">
        <f t="shared" ref="CC30:CC58" si="9">SUM(E30,F30,H30,M30,V30,AC30,AD30,AE30,AL30,AT30,BB30,BC30)</f>
        <v>176800</v>
      </c>
      <c r="CD30" s="202">
        <f>$CD$29</f>
        <v>292600.76666666666</v>
      </c>
      <c r="CE30" s="191">
        <f t="shared" si="4"/>
        <v>-0.50378995856587883</v>
      </c>
      <c r="CF30" s="380">
        <f>(CC30-CC29)/CC29/0.01</f>
        <v>-22.962962962962962</v>
      </c>
      <c r="CG30" s="380">
        <f t="shared" ref="CG30:CG57" si="10">(CC30-BW30)/CC30/0.01</f>
        <v>62.104072398190048</v>
      </c>
    </row>
    <row r="31" spans="2:85">
      <c r="B31" s="118">
        <f t="shared" si="0"/>
        <v>47</v>
      </c>
      <c r="C31" s="377">
        <v>1955</v>
      </c>
      <c r="D31" s="378">
        <v>3500</v>
      </c>
      <c r="E31" s="378">
        <v>3500</v>
      </c>
      <c r="F31" s="378">
        <v>25000</v>
      </c>
      <c r="G31" s="378">
        <v>550</v>
      </c>
      <c r="H31" s="378">
        <v>7000</v>
      </c>
      <c r="I31" s="378" t="s">
        <v>572</v>
      </c>
      <c r="J31" s="378">
        <v>12500</v>
      </c>
      <c r="K31" s="378">
        <v>750</v>
      </c>
      <c r="L31" s="378">
        <v>5500</v>
      </c>
      <c r="M31" s="378">
        <v>36000</v>
      </c>
      <c r="N31" s="379" t="s">
        <v>571</v>
      </c>
      <c r="O31" s="378">
        <v>200</v>
      </c>
      <c r="P31" s="378">
        <v>1800</v>
      </c>
      <c r="Q31" s="378">
        <v>400</v>
      </c>
      <c r="R31" s="378">
        <v>750</v>
      </c>
      <c r="S31" s="378">
        <v>12500</v>
      </c>
      <c r="T31" s="378">
        <v>2200</v>
      </c>
      <c r="U31" s="379" t="s">
        <v>571</v>
      </c>
      <c r="V31" s="378">
        <v>7500</v>
      </c>
      <c r="W31" s="378">
        <v>200</v>
      </c>
      <c r="X31" s="378">
        <v>200</v>
      </c>
      <c r="Y31" s="378">
        <v>400</v>
      </c>
      <c r="Z31" s="378">
        <v>1319</v>
      </c>
      <c r="AA31" s="379" t="s">
        <v>571</v>
      </c>
      <c r="AB31" s="378">
        <v>75</v>
      </c>
      <c r="AC31" s="378">
        <v>6000</v>
      </c>
      <c r="AD31" s="378">
        <v>750</v>
      </c>
      <c r="AE31" s="378">
        <v>750</v>
      </c>
      <c r="AF31" s="379" t="s">
        <v>571</v>
      </c>
      <c r="AG31" s="378">
        <v>3500</v>
      </c>
      <c r="AH31" s="378">
        <v>15000</v>
      </c>
      <c r="AI31" s="378">
        <v>25</v>
      </c>
      <c r="AJ31" s="378">
        <v>400</v>
      </c>
      <c r="AK31" s="378">
        <v>3500</v>
      </c>
      <c r="AL31" s="378">
        <v>35000</v>
      </c>
      <c r="AM31" s="378">
        <v>5000</v>
      </c>
      <c r="AN31" s="379" t="s">
        <v>571</v>
      </c>
      <c r="AO31" s="378">
        <v>750</v>
      </c>
      <c r="AP31" s="378">
        <v>25</v>
      </c>
      <c r="AQ31" s="378">
        <v>400</v>
      </c>
      <c r="AR31" s="378">
        <v>750</v>
      </c>
      <c r="AS31" s="378">
        <v>400</v>
      </c>
      <c r="AT31" s="378">
        <v>40000</v>
      </c>
      <c r="AU31" s="378">
        <v>75</v>
      </c>
      <c r="AV31" s="378">
        <v>750</v>
      </c>
      <c r="AW31" s="378">
        <v>25</v>
      </c>
      <c r="AX31" s="378">
        <v>85000</v>
      </c>
      <c r="AY31" s="379" t="s">
        <v>571</v>
      </c>
      <c r="AZ31" s="378">
        <v>400</v>
      </c>
      <c r="BA31" s="379" t="s">
        <v>571</v>
      </c>
      <c r="BB31" s="378">
        <v>3500</v>
      </c>
      <c r="BC31" s="378">
        <v>1500</v>
      </c>
      <c r="BD31" s="378">
        <v>400</v>
      </c>
      <c r="BE31" s="378" t="s">
        <v>571</v>
      </c>
      <c r="BF31" s="378">
        <v>3500</v>
      </c>
      <c r="BG31" s="379" t="s">
        <v>571</v>
      </c>
      <c r="BH31" s="379" t="s">
        <v>571</v>
      </c>
      <c r="BI31" s="379" t="s">
        <v>571</v>
      </c>
      <c r="BJ31" s="379" t="s">
        <v>571</v>
      </c>
      <c r="BK31" s="379" t="s">
        <v>571</v>
      </c>
      <c r="BL31" s="379" t="s">
        <v>571</v>
      </c>
      <c r="BM31" s="378" t="s">
        <v>572</v>
      </c>
      <c r="BN31" s="378">
        <v>22500</v>
      </c>
      <c r="BO31" s="378" t="s">
        <v>569</v>
      </c>
      <c r="BP31" s="273">
        <f t="shared" si="5"/>
        <v>7483.9148936170213</v>
      </c>
      <c r="BQ31" s="273">
        <f t="shared" si="6"/>
        <v>351744</v>
      </c>
      <c r="BR31" s="125">
        <f t="shared" ref="BR31:BR57" si="11">$BR$29</f>
        <v>449068.5172413793</v>
      </c>
      <c r="BS31" s="192">
        <f t="shared" si="7"/>
        <v>-0.244271837467117</v>
      </c>
      <c r="BT31" s="192"/>
      <c r="BU31" s="192"/>
      <c r="BV31" s="202">
        <f t="shared" si="1"/>
        <v>11708.333333333334</v>
      </c>
      <c r="BW31" s="202">
        <f t="shared" si="2"/>
        <v>70250</v>
      </c>
      <c r="BX31" s="168">
        <f t="shared" ref="BX31:BX58" si="12">$BX$29</f>
        <v>186722.66666666666</v>
      </c>
      <c r="BY31" s="192">
        <f t="shared" si="3"/>
        <v>-0.97756414185622797</v>
      </c>
      <c r="BZ31" s="380">
        <f t="shared" ref="BZ31:BZ57" si="13">(BW31-BW30)/BW30/0.01</f>
        <v>4.8507462686567164</v>
      </c>
      <c r="CA31" s="380"/>
      <c r="CB31" s="202">
        <f t="shared" si="8"/>
        <v>13875</v>
      </c>
      <c r="CC31" s="202">
        <f t="shared" si="9"/>
        <v>166500</v>
      </c>
      <c r="CD31" s="202">
        <f t="shared" ref="CD31:CD58" si="14">$CD$29</f>
        <v>292600.76666666666</v>
      </c>
      <c r="CE31" s="191">
        <f t="shared" si="4"/>
        <v>-0.56381379934892351</v>
      </c>
      <c r="CF31" s="380">
        <f t="shared" ref="CF31:CF57" si="15">(CC31-CC30)/CC30/0.01</f>
        <v>-5.8257918552036196</v>
      </c>
      <c r="CG31" s="380">
        <f t="shared" si="10"/>
        <v>57.807807807807805</v>
      </c>
    </row>
    <row r="32" spans="2:85">
      <c r="B32" s="118">
        <f t="shared" si="0"/>
        <v>46</v>
      </c>
      <c r="C32" s="377">
        <v>1957</v>
      </c>
      <c r="D32" s="378">
        <v>1500</v>
      </c>
      <c r="E32" s="378">
        <v>7500</v>
      </c>
      <c r="F32" s="378">
        <v>175000</v>
      </c>
      <c r="G32" s="378">
        <v>300</v>
      </c>
      <c r="H32" s="378">
        <v>10000</v>
      </c>
      <c r="I32" s="378">
        <v>1500</v>
      </c>
      <c r="J32" s="378">
        <v>7500</v>
      </c>
      <c r="K32" s="378">
        <v>75</v>
      </c>
      <c r="L32" s="378">
        <v>1500</v>
      </c>
      <c r="M32" s="378">
        <v>40000</v>
      </c>
      <c r="N32" s="378">
        <v>25</v>
      </c>
      <c r="O32" s="378" t="s">
        <v>569</v>
      </c>
      <c r="P32" s="378">
        <v>1000</v>
      </c>
      <c r="Q32" s="378" t="s">
        <v>569</v>
      </c>
      <c r="R32" s="378">
        <v>3500</v>
      </c>
      <c r="S32" s="378">
        <v>3000</v>
      </c>
      <c r="T32" s="378">
        <v>1500</v>
      </c>
      <c r="U32" s="379" t="s">
        <v>571</v>
      </c>
      <c r="V32" s="378">
        <v>3500</v>
      </c>
      <c r="W32" s="378">
        <v>200</v>
      </c>
      <c r="X32" s="378">
        <v>400</v>
      </c>
      <c r="Y32" s="378">
        <v>3500</v>
      </c>
      <c r="Z32" s="378">
        <v>2333</v>
      </c>
      <c r="AA32" s="379" t="s">
        <v>571</v>
      </c>
      <c r="AB32" s="378">
        <v>200</v>
      </c>
      <c r="AC32" s="378">
        <v>1500</v>
      </c>
      <c r="AD32" s="378">
        <v>200</v>
      </c>
      <c r="AE32" s="378">
        <v>1500</v>
      </c>
      <c r="AF32" s="379" t="s">
        <v>571</v>
      </c>
      <c r="AG32" s="378">
        <v>750</v>
      </c>
      <c r="AH32" s="378">
        <v>7500</v>
      </c>
      <c r="AI32" s="378">
        <v>75</v>
      </c>
      <c r="AJ32" s="378">
        <v>1500</v>
      </c>
      <c r="AK32" s="378">
        <v>3500</v>
      </c>
      <c r="AL32" s="378">
        <v>35000</v>
      </c>
      <c r="AM32" s="378">
        <v>3500</v>
      </c>
      <c r="AN32" s="379" t="s">
        <v>571</v>
      </c>
      <c r="AO32" s="378">
        <v>7500</v>
      </c>
      <c r="AP32" s="378">
        <v>75</v>
      </c>
      <c r="AQ32" s="378">
        <v>750</v>
      </c>
      <c r="AR32" s="378">
        <v>400</v>
      </c>
      <c r="AS32" s="378">
        <v>400</v>
      </c>
      <c r="AT32" s="378">
        <v>75000</v>
      </c>
      <c r="AU32" s="378">
        <v>400</v>
      </c>
      <c r="AV32" s="378">
        <v>400</v>
      </c>
      <c r="AW32" s="378">
        <v>200</v>
      </c>
      <c r="AX32" s="378">
        <v>75000</v>
      </c>
      <c r="AY32" s="378" t="s">
        <v>569</v>
      </c>
      <c r="AZ32" s="378" t="s">
        <v>569</v>
      </c>
      <c r="BA32" s="378" t="s">
        <v>569</v>
      </c>
      <c r="BB32" s="378" t="s">
        <v>569</v>
      </c>
      <c r="BC32" s="378">
        <v>3500</v>
      </c>
      <c r="BD32" s="378">
        <v>400</v>
      </c>
      <c r="BE32" s="378">
        <v>200</v>
      </c>
      <c r="BF32" s="378">
        <v>3500</v>
      </c>
      <c r="BG32" s="379" t="s">
        <v>571</v>
      </c>
      <c r="BH32" s="379" t="s">
        <v>571</v>
      </c>
      <c r="BI32" s="379" t="s">
        <v>571</v>
      </c>
      <c r="BJ32" s="379" t="s">
        <v>571</v>
      </c>
      <c r="BK32" s="379" t="s">
        <v>571</v>
      </c>
      <c r="BL32" s="379" t="s">
        <v>571</v>
      </c>
      <c r="BM32" s="379" t="s">
        <v>571</v>
      </c>
      <c r="BN32" s="378">
        <v>7500</v>
      </c>
      <c r="BO32" s="378" t="s">
        <v>569</v>
      </c>
      <c r="BP32" s="273">
        <f t="shared" si="5"/>
        <v>10745.282608695652</v>
      </c>
      <c r="BQ32" s="273">
        <f t="shared" si="6"/>
        <v>494283</v>
      </c>
      <c r="BR32" s="125">
        <f t="shared" si="11"/>
        <v>449068.5172413793</v>
      </c>
      <c r="BS32" s="192">
        <f t="shared" si="7"/>
        <v>9.5932751905062286E-2</v>
      </c>
      <c r="BT32" s="192"/>
      <c r="BU32" s="192"/>
      <c r="BV32" s="202">
        <f t="shared" si="1"/>
        <v>45500</v>
      </c>
      <c r="BW32" s="202">
        <f t="shared" si="2"/>
        <v>227500</v>
      </c>
      <c r="BX32" s="168">
        <f t="shared" si="12"/>
        <v>186722.66666666666</v>
      </c>
      <c r="BY32" s="192">
        <f t="shared" si="3"/>
        <v>0.19752578832092196</v>
      </c>
      <c r="BZ32" s="380">
        <f t="shared" si="13"/>
        <v>223.84341637010675</v>
      </c>
      <c r="CA32" s="380"/>
      <c r="CB32" s="202">
        <f t="shared" si="8"/>
        <v>32063.636363636364</v>
      </c>
      <c r="CC32" s="202">
        <f t="shared" si="9"/>
        <v>352700</v>
      </c>
      <c r="CD32" s="202">
        <f t="shared" si="14"/>
        <v>292600.76666666666</v>
      </c>
      <c r="CE32" s="191">
        <f t="shared" si="4"/>
        <v>0.18680872847258431</v>
      </c>
      <c r="CF32" s="380">
        <f t="shared" si="15"/>
        <v>111.83183183183182</v>
      </c>
      <c r="CG32" s="380">
        <f t="shared" si="10"/>
        <v>35.497590019846896</v>
      </c>
    </row>
    <row r="33" spans="2:85">
      <c r="B33" s="118">
        <f t="shared" si="0"/>
        <v>45</v>
      </c>
      <c r="C33" s="377">
        <v>1959</v>
      </c>
      <c r="D33" s="378">
        <v>750</v>
      </c>
      <c r="E33" s="378">
        <v>1500</v>
      </c>
      <c r="F33" s="378">
        <v>5000</v>
      </c>
      <c r="G33" s="378">
        <v>300</v>
      </c>
      <c r="H33" s="378">
        <v>7500</v>
      </c>
      <c r="I33" s="378" t="s">
        <v>569</v>
      </c>
      <c r="J33" s="378">
        <v>3500</v>
      </c>
      <c r="K33" s="378">
        <v>200</v>
      </c>
      <c r="L33" s="378">
        <v>12000</v>
      </c>
      <c r="M33" s="378">
        <v>2500</v>
      </c>
      <c r="N33" s="379" t="s">
        <v>571</v>
      </c>
      <c r="O33" s="378" t="s">
        <v>569</v>
      </c>
      <c r="P33" s="378">
        <v>2000</v>
      </c>
      <c r="Q33" s="378" t="s">
        <v>569</v>
      </c>
      <c r="R33" s="378">
        <v>200</v>
      </c>
      <c r="S33" s="378">
        <v>1800</v>
      </c>
      <c r="T33" s="378">
        <v>600</v>
      </c>
      <c r="U33" s="379" t="s">
        <v>571</v>
      </c>
      <c r="V33" s="378">
        <v>3500</v>
      </c>
      <c r="W33" s="378">
        <v>400</v>
      </c>
      <c r="X33" s="378">
        <v>400</v>
      </c>
      <c r="Y33" s="378">
        <v>3500</v>
      </c>
      <c r="Z33" s="378">
        <v>1350</v>
      </c>
      <c r="AA33" s="379" t="s">
        <v>571</v>
      </c>
      <c r="AB33" s="378">
        <v>200</v>
      </c>
      <c r="AC33" s="378">
        <v>7500</v>
      </c>
      <c r="AD33" s="378">
        <v>3500</v>
      </c>
      <c r="AE33" s="378">
        <v>7500</v>
      </c>
      <c r="AF33" s="379" t="s">
        <v>571</v>
      </c>
      <c r="AG33" s="378">
        <v>1000</v>
      </c>
      <c r="AH33" s="378">
        <v>3500</v>
      </c>
      <c r="AI33" s="378">
        <v>75</v>
      </c>
      <c r="AJ33" s="378">
        <v>400</v>
      </c>
      <c r="AK33" s="378" t="s">
        <v>572</v>
      </c>
      <c r="AL33" s="378">
        <v>15000</v>
      </c>
      <c r="AM33" s="378">
        <v>7500</v>
      </c>
      <c r="AN33" s="379" t="s">
        <v>571</v>
      </c>
      <c r="AO33" s="378">
        <v>7500</v>
      </c>
      <c r="AP33" s="378">
        <v>75</v>
      </c>
      <c r="AQ33" s="378">
        <v>400</v>
      </c>
      <c r="AR33" s="378">
        <v>200</v>
      </c>
      <c r="AS33" s="378">
        <v>200</v>
      </c>
      <c r="AT33" s="378">
        <v>15000</v>
      </c>
      <c r="AU33" s="378">
        <v>400</v>
      </c>
      <c r="AV33" s="378">
        <v>200</v>
      </c>
      <c r="AW33" s="378">
        <v>750</v>
      </c>
      <c r="AX33" s="378">
        <v>3500</v>
      </c>
      <c r="AY33" s="379" t="s">
        <v>571</v>
      </c>
      <c r="AZ33" s="379" t="s">
        <v>571</v>
      </c>
      <c r="BA33" s="378" t="s">
        <v>569</v>
      </c>
      <c r="BB33" s="378">
        <v>3500</v>
      </c>
      <c r="BC33" s="378">
        <v>15000</v>
      </c>
      <c r="BD33" s="378" t="s">
        <v>572</v>
      </c>
      <c r="BE33" s="378">
        <v>200</v>
      </c>
      <c r="BF33" s="378">
        <v>400</v>
      </c>
      <c r="BG33" s="379" t="s">
        <v>571</v>
      </c>
      <c r="BH33" s="379" t="s">
        <v>571</v>
      </c>
      <c r="BI33" s="379" t="s">
        <v>571</v>
      </c>
      <c r="BJ33" s="379" t="s">
        <v>571</v>
      </c>
      <c r="BK33" s="379" t="s">
        <v>571</v>
      </c>
      <c r="BL33" s="378">
        <v>75</v>
      </c>
      <c r="BM33" s="378">
        <v>75</v>
      </c>
      <c r="BN33" s="378">
        <v>15000</v>
      </c>
      <c r="BO33" s="378" t="s">
        <v>571</v>
      </c>
      <c r="BP33" s="273">
        <f t="shared" si="5"/>
        <v>3458.8888888888887</v>
      </c>
      <c r="BQ33" s="273">
        <f t="shared" si="6"/>
        <v>155650</v>
      </c>
      <c r="BR33" s="125">
        <f t="shared" si="11"/>
        <v>449068.5172413793</v>
      </c>
      <c r="BS33" s="192">
        <f t="shared" si="7"/>
        <v>-1.0595655788592198</v>
      </c>
      <c r="BT33" s="192"/>
      <c r="BU33" s="192"/>
      <c r="BV33" s="202">
        <f t="shared" si="1"/>
        <v>5833.333333333333</v>
      </c>
      <c r="BW33" s="202">
        <f t="shared" si="2"/>
        <v>35000</v>
      </c>
      <c r="BX33" s="168">
        <f t="shared" si="12"/>
        <v>186722.66666666666</v>
      </c>
      <c r="BY33" s="192">
        <f t="shared" si="3"/>
        <v>-1.6742763885806695</v>
      </c>
      <c r="BZ33" s="380">
        <f t="shared" si="13"/>
        <v>-84.615384615384613</v>
      </c>
      <c r="CA33" s="380"/>
      <c r="CB33" s="202">
        <f t="shared" si="8"/>
        <v>7250</v>
      </c>
      <c r="CC33" s="202">
        <f t="shared" si="9"/>
        <v>87000</v>
      </c>
      <c r="CD33" s="202">
        <f t="shared" si="14"/>
        <v>292600.76666666666</v>
      </c>
      <c r="CE33" s="191">
        <f t="shared" si="4"/>
        <v>-1.2129009901148382</v>
      </c>
      <c r="CF33" s="380">
        <f t="shared" si="15"/>
        <v>-75.333144315282112</v>
      </c>
      <c r="CG33" s="380">
        <f t="shared" si="10"/>
        <v>59.770114942528743</v>
      </c>
    </row>
    <row r="34" spans="2:85">
      <c r="B34" s="118">
        <f t="shared" si="0"/>
        <v>47</v>
      </c>
      <c r="C34" s="377">
        <v>1961</v>
      </c>
      <c r="D34" s="378">
        <v>750</v>
      </c>
      <c r="E34" s="378">
        <v>3500</v>
      </c>
      <c r="F34" s="378">
        <v>2000</v>
      </c>
      <c r="G34" s="378">
        <v>1000</v>
      </c>
      <c r="H34" s="378">
        <v>5000</v>
      </c>
      <c r="I34" s="378">
        <v>25</v>
      </c>
      <c r="J34" s="378">
        <v>5000</v>
      </c>
      <c r="K34" s="378">
        <v>15000</v>
      </c>
      <c r="L34" s="378">
        <v>20000</v>
      </c>
      <c r="M34" s="378">
        <v>1000</v>
      </c>
      <c r="N34" s="379" t="s">
        <v>571</v>
      </c>
      <c r="O34" s="378" t="s">
        <v>569</v>
      </c>
      <c r="P34" s="378">
        <v>1200</v>
      </c>
      <c r="Q34" s="378" t="s">
        <v>569</v>
      </c>
      <c r="R34" s="378">
        <v>200</v>
      </c>
      <c r="S34" s="378">
        <v>1500</v>
      </c>
      <c r="T34" s="378">
        <v>1000</v>
      </c>
      <c r="U34" s="379" t="s">
        <v>571</v>
      </c>
      <c r="V34" s="378">
        <v>3500</v>
      </c>
      <c r="W34" s="378">
        <v>1500</v>
      </c>
      <c r="X34" s="378">
        <v>1500</v>
      </c>
      <c r="Y34" s="378">
        <v>1500</v>
      </c>
      <c r="Z34" s="378">
        <v>354</v>
      </c>
      <c r="AA34" s="379" t="s">
        <v>571</v>
      </c>
      <c r="AB34" s="378">
        <v>1500</v>
      </c>
      <c r="AC34" s="378">
        <v>7500</v>
      </c>
      <c r="AD34" s="378">
        <v>7500</v>
      </c>
      <c r="AE34" s="378">
        <v>7500</v>
      </c>
      <c r="AF34" s="379" t="s">
        <v>571</v>
      </c>
      <c r="AG34" s="378">
        <v>750</v>
      </c>
      <c r="AH34" s="378">
        <v>7500</v>
      </c>
      <c r="AI34" s="378">
        <v>400</v>
      </c>
      <c r="AJ34" s="378">
        <v>3500</v>
      </c>
      <c r="AK34" s="378">
        <v>3500</v>
      </c>
      <c r="AL34" s="378">
        <v>15000</v>
      </c>
      <c r="AM34" s="378">
        <v>15000</v>
      </c>
      <c r="AN34" s="379" t="s">
        <v>571</v>
      </c>
      <c r="AO34" s="378">
        <v>7500</v>
      </c>
      <c r="AP34" s="378">
        <v>750</v>
      </c>
      <c r="AQ34" s="378">
        <v>7500</v>
      </c>
      <c r="AR34" s="378">
        <v>750</v>
      </c>
      <c r="AS34" s="378">
        <v>1500</v>
      </c>
      <c r="AT34" s="378">
        <v>75000</v>
      </c>
      <c r="AU34" s="378">
        <v>3500</v>
      </c>
      <c r="AV34" s="378">
        <v>1500</v>
      </c>
      <c r="AW34" s="378">
        <v>1500</v>
      </c>
      <c r="AX34" s="378">
        <v>75000</v>
      </c>
      <c r="AY34" s="379" t="s">
        <v>571</v>
      </c>
      <c r="AZ34" s="378">
        <v>25</v>
      </c>
      <c r="BA34" s="378">
        <v>400</v>
      </c>
      <c r="BB34" s="378">
        <v>3500</v>
      </c>
      <c r="BC34" s="378">
        <v>15000</v>
      </c>
      <c r="BD34" s="379" t="s">
        <v>571</v>
      </c>
      <c r="BE34" s="378">
        <v>25</v>
      </c>
      <c r="BF34" s="378">
        <v>3500</v>
      </c>
      <c r="BG34" s="379" t="s">
        <v>571</v>
      </c>
      <c r="BH34" s="379" t="s">
        <v>571</v>
      </c>
      <c r="BI34" s="379" t="s">
        <v>571</v>
      </c>
      <c r="BJ34" s="378" t="s">
        <v>572</v>
      </c>
      <c r="BK34" s="378" t="s">
        <v>572</v>
      </c>
      <c r="BL34" s="378" t="s">
        <v>572</v>
      </c>
      <c r="BM34" s="378" t="s">
        <v>572</v>
      </c>
      <c r="BN34" s="378">
        <v>7500</v>
      </c>
      <c r="BO34" s="378" t="s">
        <v>571</v>
      </c>
      <c r="BP34" s="273">
        <f t="shared" si="5"/>
        <v>7226.1489361702124</v>
      </c>
      <c r="BQ34" s="273">
        <f t="shared" si="6"/>
        <v>339629</v>
      </c>
      <c r="BR34" s="125">
        <f t="shared" si="11"/>
        <v>449068.5172413793</v>
      </c>
      <c r="BS34" s="192">
        <f t="shared" si="7"/>
        <v>-0.27932163037369351</v>
      </c>
      <c r="BT34" s="192"/>
      <c r="BU34" s="192"/>
      <c r="BV34" s="202">
        <f t="shared" si="1"/>
        <v>5416.666666666667</v>
      </c>
      <c r="BW34" s="202">
        <f t="shared" si="2"/>
        <v>32500</v>
      </c>
      <c r="BX34" s="168">
        <f t="shared" si="12"/>
        <v>186722.66666666666</v>
      </c>
      <c r="BY34" s="192">
        <f t="shared" si="3"/>
        <v>-1.7483843607343914</v>
      </c>
      <c r="BZ34" s="380">
        <f t="shared" si="13"/>
        <v>-7.1428571428571423</v>
      </c>
      <c r="CA34" s="380"/>
      <c r="CB34" s="202">
        <f t="shared" si="8"/>
        <v>12166.666666666666</v>
      </c>
      <c r="CC34" s="202">
        <f t="shared" si="9"/>
        <v>146000</v>
      </c>
      <c r="CD34" s="202">
        <f t="shared" si="14"/>
        <v>292600.76666666666</v>
      </c>
      <c r="CE34" s="191">
        <f t="shared" si="4"/>
        <v>-0.69520248706108545</v>
      </c>
      <c r="CF34" s="380">
        <f t="shared" si="15"/>
        <v>67.81609195402298</v>
      </c>
      <c r="CG34" s="380">
        <f t="shared" si="10"/>
        <v>77.739726027397253</v>
      </c>
    </row>
    <row r="35" spans="2:85">
      <c r="B35" s="118">
        <f t="shared" si="0"/>
        <v>49</v>
      </c>
      <c r="C35" s="377">
        <v>1963</v>
      </c>
      <c r="D35" s="378">
        <v>1500</v>
      </c>
      <c r="E35" s="378">
        <v>3500</v>
      </c>
      <c r="F35" s="378">
        <v>1500</v>
      </c>
      <c r="G35" s="378">
        <v>1200</v>
      </c>
      <c r="H35" s="378">
        <v>10000</v>
      </c>
      <c r="I35" s="378">
        <v>100</v>
      </c>
      <c r="J35" s="378">
        <v>7000</v>
      </c>
      <c r="K35" s="378">
        <v>3500</v>
      </c>
      <c r="L35" s="378">
        <v>20000</v>
      </c>
      <c r="M35" s="378">
        <v>18000</v>
      </c>
      <c r="N35" s="379" t="s">
        <v>571</v>
      </c>
      <c r="O35" s="378">
        <v>25</v>
      </c>
      <c r="P35" s="378">
        <v>1500</v>
      </c>
      <c r="Q35" s="378" t="s">
        <v>569</v>
      </c>
      <c r="R35" s="378">
        <v>200</v>
      </c>
      <c r="S35" s="378">
        <v>1500</v>
      </c>
      <c r="T35" s="378">
        <v>1500</v>
      </c>
      <c r="U35" s="379" t="s">
        <v>571</v>
      </c>
      <c r="V35" s="378">
        <v>3500</v>
      </c>
      <c r="W35" s="378">
        <v>200</v>
      </c>
      <c r="X35" s="378">
        <v>400</v>
      </c>
      <c r="Y35" s="378">
        <v>750</v>
      </c>
      <c r="Z35" s="378">
        <v>200</v>
      </c>
      <c r="AA35" s="379" t="s">
        <v>571</v>
      </c>
      <c r="AB35" s="378">
        <v>200</v>
      </c>
      <c r="AC35" s="378">
        <v>7500</v>
      </c>
      <c r="AD35" s="378">
        <v>3500</v>
      </c>
      <c r="AE35" s="378">
        <v>1500</v>
      </c>
      <c r="AF35" s="379" t="s">
        <v>571</v>
      </c>
      <c r="AG35" s="378">
        <v>7500</v>
      </c>
      <c r="AH35" s="378">
        <v>7500</v>
      </c>
      <c r="AI35" s="378">
        <v>25</v>
      </c>
      <c r="AJ35" s="378">
        <v>1500</v>
      </c>
      <c r="AK35" s="378">
        <v>3500</v>
      </c>
      <c r="AL35" s="378" t="s">
        <v>572</v>
      </c>
      <c r="AM35" s="378">
        <v>7500</v>
      </c>
      <c r="AN35" s="379" t="s">
        <v>571</v>
      </c>
      <c r="AO35" s="378">
        <v>1500</v>
      </c>
      <c r="AP35" s="378">
        <v>25</v>
      </c>
      <c r="AQ35" s="378">
        <v>750</v>
      </c>
      <c r="AR35" s="378">
        <v>750</v>
      </c>
      <c r="AS35" s="378">
        <v>1500</v>
      </c>
      <c r="AT35" s="378">
        <v>75000</v>
      </c>
      <c r="AU35" s="378">
        <v>1500</v>
      </c>
      <c r="AV35" s="378">
        <v>400</v>
      </c>
      <c r="AW35" s="378">
        <v>200</v>
      </c>
      <c r="AX35" s="378">
        <v>75000</v>
      </c>
      <c r="AY35" s="379" t="s">
        <v>571</v>
      </c>
      <c r="AZ35" s="378">
        <v>25</v>
      </c>
      <c r="BA35" s="378">
        <v>75</v>
      </c>
      <c r="BB35" s="378">
        <v>7500</v>
      </c>
      <c r="BC35" s="378">
        <v>7500</v>
      </c>
      <c r="BD35" s="379" t="s">
        <v>571</v>
      </c>
      <c r="BE35" s="378">
        <v>75</v>
      </c>
      <c r="BF35" s="378">
        <v>1500</v>
      </c>
      <c r="BG35" s="379" t="s">
        <v>571</v>
      </c>
      <c r="BH35" s="379" t="s">
        <v>571</v>
      </c>
      <c r="BI35" s="379" t="s">
        <v>571</v>
      </c>
      <c r="BJ35" s="378" t="s">
        <v>569</v>
      </c>
      <c r="BK35" s="378">
        <v>75</v>
      </c>
      <c r="BL35" s="378" t="s">
        <v>572</v>
      </c>
      <c r="BM35" s="378">
        <v>25</v>
      </c>
      <c r="BN35" s="378">
        <v>7500</v>
      </c>
      <c r="BO35" s="378" t="s">
        <v>571</v>
      </c>
      <c r="BP35" s="273">
        <f t="shared" si="5"/>
        <v>6065.3061224489793</v>
      </c>
      <c r="BQ35" s="273">
        <f t="shared" si="6"/>
        <v>297200</v>
      </c>
      <c r="BR35" s="125">
        <f t="shared" si="11"/>
        <v>449068.5172413793</v>
      </c>
      <c r="BS35" s="192">
        <f t="shared" si="7"/>
        <v>-0.41277016290323293</v>
      </c>
      <c r="BT35" s="192"/>
      <c r="BU35" s="192"/>
      <c r="BV35" s="202">
        <f t="shared" si="1"/>
        <v>6583.333333333333</v>
      </c>
      <c r="BW35" s="202">
        <f t="shared" si="2"/>
        <v>39500</v>
      </c>
      <c r="BX35" s="168">
        <f t="shared" si="12"/>
        <v>186722.66666666666</v>
      </c>
      <c r="BY35" s="192">
        <f t="shared" si="3"/>
        <v>-1.5533237781630069</v>
      </c>
      <c r="BZ35" s="380">
        <f t="shared" si="13"/>
        <v>21.53846153846154</v>
      </c>
      <c r="CA35" s="380"/>
      <c r="CB35" s="202">
        <f t="shared" si="8"/>
        <v>12636.363636363636</v>
      </c>
      <c r="CC35" s="202">
        <f t="shared" si="9"/>
        <v>139000</v>
      </c>
      <c r="CD35" s="202">
        <f t="shared" si="14"/>
        <v>292600.76666666666</v>
      </c>
      <c r="CE35" s="191">
        <f t="shared" si="4"/>
        <v>-0.7443351756387302</v>
      </c>
      <c r="CF35" s="380">
        <f t="shared" si="15"/>
        <v>-4.7945205479452051</v>
      </c>
      <c r="CG35" s="380">
        <f t="shared" si="10"/>
        <v>71.582733812949641</v>
      </c>
    </row>
    <row r="36" spans="2:85">
      <c r="B36" s="118">
        <f t="shared" si="0"/>
        <v>36</v>
      </c>
      <c r="C36" s="377">
        <v>1965</v>
      </c>
      <c r="D36" s="378">
        <v>5000</v>
      </c>
      <c r="E36" s="378">
        <v>200</v>
      </c>
      <c r="F36" s="378">
        <v>6000</v>
      </c>
      <c r="G36" s="378">
        <v>800</v>
      </c>
      <c r="H36" s="378">
        <v>750</v>
      </c>
      <c r="I36" s="378">
        <v>100</v>
      </c>
      <c r="J36" s="378">
        <v>1500</v>
      </c>
      <c r="K36" s="378">
        <v>600</v>
      </c>
      <c r="L36" s="378">
        <v>2500</v>
      </c>
      <c r="M36" s="378">
        <v>3000</v>
      </c>
      <c r="N36" s="379" t="s">
        <v>571</v>
      </c>
      <c r="O36" s="378" t="s">
        <v>569</v>
      </c>
      <c r="P36" s="378">
        <v>500</v>
      </c>
      <c r="Q36" s="378" t="s">
        <v>571</v>
      </c>
      <c r="R36" s="378">
        <v>150</v>
      </c>
      <c r="S36" s="378">
        <v>2000</v>
      </c>
      <c r="T36" s="378">
        <v>250</v>
      </c>
      <c r="U36" s="379" t="s">
        <v>571</v>
      </c>
      <c r="V36" s="378">
        <v>600</v>
      </c>
      <c r="W36" s="378" t="s">
        <v>569</v>
      </c>
      <c r="X36" s="378" t="s">
        <v>569</v>
      </c>
      <c r="Y36" s="378" t="s">
        <v>569</v>
      </c>
      <c r="Z36" s="378" t="s">
        <v>569</v>
      </c>
      <c r="AA36" s="379" t="s">
        <v>571</v>
      </c>
      <c r="AB36" s="378" t="s">
        <v>569</v>
      </c>
      <c r="AC36" s="378">
        <v>1500</v>
      </c>
      <c r="AD36" s="378">
        <v>1500</v>
      </c>
      <c r="AE36" s="378">
        <v>3500</v>
      </c>
      <c r="AF36" s="379" t="s">
        <v>571</v>
      </c>
      <c r="AG36" s="378">
        <v>3500</v>
      </c>
      <c r="AH36" s="378">
        <v>1500</v>
      </c>
      <c r="AI36" s="378">
        <v>400</v>
      </c>
      <c r="AJ36" s="378" t="s">
        <v>569</v>
      </c>
      <c r="AK36" s="378">
        <v>200</v>
      </c>
      <c r="AL36" s="378">
        <v>3500</v>
      </c>
      <c r="AM36" s="378">
        <v>3500</v>
      </c>
      <c r="AN36" s="379" t="s">
        <v>571</v>
      </c>
      <c r="AO36" s="378">
        <v>1500</v>
      </c>
      <c r="AP36" s="379" t="s">
        <v>571</v>
      </c>
      <c r="AQ36" s="378" t="s">
        <v>570</v>
      </c>
      <c r="AR36" s="378" t="s">
        <v>571</v>
      </c>
      <c r="AS36" s="378">
        <v>750</v>
      </c>
      <c r="AT36" s="378">
        <v>35000</v>
      </c>
      <c r="AU36" s="378" t="s">
        <v>572</v>
      </c>
      <c r="AV36" s="378">
        <v>750</v>
      </c>
      <c r="AW36" s="378" t="s">
        <v>569</v>
      </c>
      <c r="AX36" s="378">
        <v>15000</v>
      </c>
      <c r="AY36" s="378" t="s">
        <v>569</v>
      </c>
      <c r="AZ36" s="378" t="s">
        <v>569</v>
      </c>
      <c r="BA36" s="378">
        <v>75</v>
      </c>
      <c r="BB36" s="378">
        <v>3500</v>
      </c>
      <c r="BC36" s="378">
        <v>15000</v>
      </c>
      <c r="BD36" s="378" t="s">
        <v>572</v>
      </c>
      <c r="BE36" s="378" t="s">
        <v>569</v>
      </c>
      <c r="BF36" s="378">
        <v>200</v>
      </c>
      <c r="BG36" s="379" t="s">
        <v>571</v>
      </c>
      <c r="BH36" s="378" t="s">
        <v>569</v>
      </c>
      <c r="BI36" s="379" t="s">
        <v>571</v>
      </c>
      <c r="BJ36" s="378">
        <v>75</v>
      </c>
      <c r="BK36" s="378">
        <v>25</v>
      </c>
      <c r="BL36" s="378" t="s">
        <v>569</v>
      </c>
      <c r="BM36" s="378" t="s">
        <v>569</v>
      </c>
      <c r="BN36" s="378">
        <v>7500</v>
      </c>
      <c r="BO36" s="378" t="s">
        <v>571</v>
      </c>
      <c r="BP36" s="273">
        <f t="shared" si="5"/>
        <v>3400.6944444444443</v>
      </c>
      <c r="BQ36" s="273">
        <f t="shared" si="6"/>
        <v>122425</v>
      </c>
      <c r="BR36" s="125">
        <f t="shared" si="11"/>
        <v>449068.5172413793</v>
      </c>
      <c r="BS36" s="192">
        <f t="shared" si="7"/>
        <v>-1.2996768781584558</v>
      </c>
      <c r="BT36" s="192"/>
      <c r="BU36" s="192"/>
      <c r="BV36" s="202">
        <f t="shared" si="1"/>
        <v>5200</v>
      </c>
      <c r="BW36" s="202">
        <f t="shared" si="2"/>
        <v>31200</v>
      </c>
      <c r="BX36" s="168">
        <f t="shared" si="12"/>
        <v>186722.66666666666</v>
      </c>
      <c r="BY36" s="192">
        <f t="shared" si="3"/>
        <v>-1.7892063552546464</v>
      </c>
      <c r="BZ36" s="380">
        <f t="shared" si="13"/>
        <v>-21.012658227848103</v>
      </c>
      <c r="CA36" s="380"/>
      <c r="CB36" s="202">
        <f t="shared" si="8"/>
        <v>6170.833333333333</v>
      </c>
      <c r="CC36" s="202">
        <f t="shared" si="9"/>
        <v>74050</v>
      </c>
      <c r="CD36" s="202">
        <f t="shared" si="14"/>
        <v>292600.76666666666</v>
      </c>
      <c r="CE36" s="191">
        <f t="shared" si="4"/>
        <v>-1.3740685680556142</v>
      </c>
      <c r="CF36" s="380">
        <f t="shared" si="15"/>
        <v>-46.726618705035968</v>
      </c>
      <c r="CG36" s="380">
        <f t="shared" si="10"/>
        <v>57.866306549628632</v>
      </c>
    </row>
    <row r="37" spans="2:85">
      <c r="B37" s="118">
        <f t="shared" si="0"/>
        <v>36</v>
      </c>
      <c r="C37" s="377">
        <v>1967</v>
      </c>
      <c r="D37" s="378">
        <v>25</v>
      </c>
      <c r="E37" s="378">
        <v>30</v>
      </c>
      <c r="F37" s="378">
        <v>3000</v>
      </c>
      <c r="G37" s="378">
        <v>300</v>
      </c>
      <c r="H37" s="378">
        <v>20000</v>
      </c>
      <c r="I37" s="378">
        <v>25</v>
      </c>
      <c r="J37" s="378">
        <v>2000</v>
      </c>
      <c r="K37" s="378">
        <v>25</v>
      </c>
      <c r="L37" s="378">
        <v>7000</v>
      </c>
      <c r="M37" s="378">
        <v>8000</v>
      </c>
      <c r="N37" s="379" t="s">
        <v>571</v>
      </c>
      <c r="O37" s="378" t="s">
        <v>569</v>
      </c>
      <c r="P37" s="378" t="s">
        <v>569</v>
      </c>
      <c r="Q37" s="378" t="s">
        <v>571</v>
      </c>
      <c r="R37" s="378">
        <v>100</v>
      </c>
      <c r="S37" s="378">
        <v>1000</v>
      </c>
      <c r="T37" s="378">
        <v>500</v>
      </c>
      <c r="U37" s="379" t="s">
        <v>571</v>
      </c>
      <c r="V37" s="378">
        <v>2000</v>
      </c>
      <c r="W37" s="378">
        <v>200</v>
      </c>
      <c r="X37" s="378">
        <v>200</v>
      </c>
      <c r="Y37" s="378">
        <v>75</v>
      </c>
      <c r="Z37" s="378">
        <v>260</v>
      </c>
      <c r="AA37" s="379" t="s">
        <v>571</v>
      </c>
      <c r="AB37" s="378">
        <v>200</v>
      </c>
      <c r="AC37" s="378">
        <v>750</v>
      </c>
      <c r="AD37" s="378">
        <v>750</v>
      </c>
      <c r="AE37" s="378">
        <v>200</v>
      </c>
      <c r="AF37" s="379" t="s">
        <v>571</v>
      </c>
      <c r="AG37" s="378">
        <v>400</v>
      </c>
      <c r="AH37" s="378">
        <v>75</v>
      </c>
      <c r="AI37" s="378" t="s">
        <v>569</v>
      </c>
      <c r="AJ37" s="378" t="s">
        <v>569</v>
      </c>
      <c r="AK37" s="379" t="s">
        <v>571</v>
      </c>
      <c r="AL37" s="378">
        <v>1200</v>
      </c>
      <c r="AM37" s="378">
        <v>400</v>
      </c>
      <c r="AN37" s="379" t="s">
        <v>571</v>
      </c>
      <c r="AO37" s="378">
        <v>200</v>
      </c>
      <c r="AP37" s="379" t="s">
        <v>571</v>
      </c>
      <c r="AQ37" s="378" t="s">
        <v>569</v>
      </c>
      <c r="AR37" s="379" t="s">
        <v>571</v>
      </c>
      <c r="AS37" s="378" t="s">
        <v>569</v>
      </c>
      <c r="AT37" s="378">
        <v>7500</v>
      </c>
      <c r="AU37" s="378" t="s">
        <v>573</v>
      </c>
      <c r="AV37" s="378">
        <v>200</v>
      </c>
      <c r="AW37" s="378">
        <v>200</v>
      </c>
      <c r="AX37" s="378">
        <v>7500</v>
      </c>
      <c r="AY37" s="378" t="s">
        <v>569</v>
      </c>
      <c r="AZ37" s="378" t="s">
        <v>569</v>
      </c>
      <c r="BA37" s="378" t="s">
        <v>569</v>
      </c>
      <c r="BB37" s="378" t="s">
        <v>569</v>
      </c>
      <c r="BC37" s="378" t="s">
        <v>569</v>
      </c>
      <c r="BD37" s="378" t="s">
        <v>572</v>
      </c>
      <c r="BE37" s="378">
        <v>25</v>
      </c>
      <c r="BF37" s="378">
        <v>25</v>
      </c>
      <c r="BG37" s="379" t="s">
        <v>571</v>
      </c>
      <c r="BH37" s="378" t="s">
        <v>569</v>
      </c>
      <c r="BI37" s="379" t="s">
        <v>571</v>
      </c>
      <c r="BJ37" s="378">
        <v>25</v>
      </c>
      <c r="BK37" s="378">
        <v>25</v>
      </c>
      <c r="BL37" s="378" t="s">
        <v>569</v>
      </c>
      <c r="BM37" s="379" t="s">
        <v>571</v>
      </c>
      <c r="BN37" s="378">
        <v>3500</v>
      </c>
      <c r="BO37" s="378" t="s">
        <v>571</v>
      </c>
      <c r="BP37" s="273">
        <f t="shared" si="5"/>
        <v>1886.5277777777778</v>
      </c>
      <c r="BQ37" s="273">
        <f t="shared" si="6"/>
        <v>67915</v>
      </c>
      <c r="BR37" s="125">
        <f t="shared" si="11"/>
        <v>449068.5172413793</v>
      </c>
      <c r="BS37" s="192">
        <f t="shared" si="7"/>
        <v>-1.8889185524723831</v>
      </c>
      <c r="BT37" s="192"/>
      <c r="BU37" s="192"/>
      <c r="BV37" s="202">
        <f t="shared" si="1"/>
        <v>2807.5</v>
      </c>
      <c r="BW37" s="202">
        <f t="shared" si="2"/>
        <v>11230</v>
      </c>
      <c r="BX37" s="168">
        <f t="shared" si="12"/>
        <v>186722.66666666666</v>
      </c>
      <c r="BY37" s="192">
        <f t="shared" si="3"/>
        <v>-2.8110356813197312</v>
      </c>
      <c r="BZ37" s="380">
        <f t="shared" si="13"/>
        <v>-64.006410256410248</v>
      </c>
      <c r="CA37" s="380"/>
      <c r="CB37" s="202">
        <f t="shared" si="8"/>
        <v>4343</v>
      </c>
      <c r="CC37" s="202">
        <f t="shared" si="9"/>
        <v>43430</v>
      </c>
      <c r="CD37" s="202">
        <f t="shared" si="14"/>
        <v>292600.76666666666</v>
      </c>
      <c r="CE37" s="191">
        <f t="shared" si="4"/>
        <v>-1.9076586622226914</v>
      </c>
      <c r="CF37" s="380">
        <f t="shared" si="15"/>
        <v>-41.350438892640106</v>
      </c>
      <c r="CG37" s="380">
        <f t="shared" si="10"/>
        <v>74.142297950725293</v>
      </c>
    </row>
    <row r="38" spans="2:85">
      <c r="B38" s="118">
        <f t="shared" si="0"/>
        <v>28</v>
      </c>
      <c r="C38" s="377">
        <v>1969</v>
      </c>
      <c r="D38" s="378">
        <v>600</v>
      </c>
      <c r="E38" s="378">
        <v>200</v>
      </c>
      <c r="F38" s="378">
        <v>25000</v>
      </c>
      <c r="G38" s="378">
        <v>500</v>
      </c>
      <c r="H38" s="378">
        <v>10000</v>
      </c>
      <c r="I38" s="378">
        <v>25</v>
      </c>
      <c r="J38" s="378">
        <v>1500</v>
      </c>
      <c r="K38" s="378">
        <v>25</v>
      </c>
      <c r="L38" s="378">
        <v>6000</v>
      </c>
      <c r="M38" s="378">
        <v>25000</v>
      </c>
      <c r="N38" s="378">
        <v>50</v>
      </c>
      <c r="O38" s="378">
        <v>25</v>
      </c>
      <c r="P38" s="378">
        <v>200</v>
      </c>
      <c r="Q38" s="378" t="s">
        <v>571</v>
      </c>
      <c r="R38" s="378">
        <v>400</v>
      </c>
      <c r="S38" s="378">
        <v>8000</v>
      </c>
      <c r="T38" s="378">
        <v>5000</v>
      </c>
      <c r="U38" s="379" t="s">
        <v>571</v>
      </c>
      <c r="V38" s="378">
        <v>10000</v>
      </c>
      <c r="W38" s="378" t="s">
        <v>570</v>
      </c>
      <c r="X38" s="378" t="s">
        <v>569</v>
      </c>
      <c r="Y38" s="378" t="s">
        <v>572</v>
      </c>
      <c r="Z38" s="378">
        <v>200</v>
      </c>
      <c r="AA38" s="379" t="s">
        <v>571</v>
      </c>
      <c r="AB38" s="378" t="s">
        <v>569</v>
      </c>
      <c r="AC38" s="378" t="s">
        <v>572</v>
      </c>
      <c r="AD38" s="378" t="s">
        <v>572</v>
      </c>
      <c r="AE38" s="378">
        <v>750</v>
      </c>
      <c r="AF38" s="379" t="s">
        <v>571</v>
      </c>
      <c r="AG38" s="378" t="s">
        <v>572</v>
      </c>
      <c r="AH38" s="378" t="s">
        <v>572</v>
      </c>
      <c r="AI38" s="379" t="s">
        <v>571</v>
      </c>
      <c r="AJ38" s="378" t="s">
        <v>570</v>
      </c>
      <c r="AK38" s="378" t="s">
        <v>569</v>
      </c>
      <c r="AL38" s="378" t="s">
        <v>572</v>
      </c>
      <c r="AM38" s="378">
        <v>400</v>
      </c>
      <c r="AN38" s="379" t="s">
        <v>571</v>
      </c>
      <c r="AO38" s="378">
        <v>75</v>
      </c>
      <c r="AP38" s="379" t="s">
        <v>571</v>
      </c>
      <c r="AQ38" s="378" t="s">
        <v>569</v>
      </c>
      <c r="AR38" s="378" t="s">
        <v>569</v>
      </c>
      <c r="AS38" s="378" t="s">
        <v>571</v>
      </c>
      <c r="AT38" s="378">
        <v>3500</v>
      </c>
      <c r="AU38" s="378" t="s">
        <v>569</v>
      </c>
      <c r="AV38" s="378" t="s">
        <v>572</v>
      </c>
      <c r="AW38" s="378" t="s">
        <v>569</v>
      </c>
      <c r="AX38" s="378">
        <v>40000</v>
      </c>
      <c r="AY38" s="379" t="s">
        <v>571</v>
      </c>
      <c r="AZ38" s="378" t="s">
        <v>569</v>
      </c>
      <c r="BA38" s="378">
        <v>25</v>
      </c>
      <c r="BB38" s="378">
        <v>75</v>
      </c>
      <c r="BC38" s="378">
        <v>25</v>
      </c>
      <c r="BD38" s="378" t="s">
        <v>569</v>
      </c>
      <c r="BE38" s="378" t="s">
        <v>569</v>
      </c>
      <c r="BF38" s="378">
        <v>400</v>
      </c>
      <c r="BG38" s="379" t="s">
        <v>571</v>
      </c>
      <c r="BH38" s="378" t="s">
        <v>569</v>
      </c>
      <c r="BI38" s="379" t="s">
        <v>571</v>
      </c>
      <c r="BJ38" s="379" t="s">
        <v>571</v>
      </c>
      <c r="BK38" s="378" t="s">
        <v>569</v>
      </c>
      <c r="BL38" s="379" t="s">
        <v>571</v>
      </c>
      <c r="BM38" s="379" t="s">
        <v>571</v>
      </c>
      <c r="BN38" s="378">
        <v>400</v>
      </c>
      <c r="BO38" s="378" t="s">
        <v>569</v>
      </c>
      <c r="BP38" s="273">
        <f t="shared" si="5"/>
        <v>4941.9642857142853</v>
      </c>
      <c r="BQ38" s="273">
        <f t="shared" si="6"/>
        <v>138375</v>
      </c>
      <c r="BR38" s="125">
        <f t="shared" si="11"/>
        <v>449068.5172413793</v>
      </c>
      <c r="BS38" s="192">
        <f t="shared" si="7"/>
        <v>-1.1772080847180362</v>
      </c>
      <c r="BT38" s="192"/>
      <c r="BU38" s="192"/>
      <c r="BV38" s="202">
        <f t="shared" si="1"/>
        <v>8508.3333333333339</v>
      </c>
      <c r="BW38" s="202">
        <f t="shared" si="2"/>
        <v>51050</v>
      </c>
      <c r="BX38" s="168">
        <f t="shared" si="12"/>
        <v>186722.66666666666</v>
      </c>
      <c r="BY38" s="192">
        <f t="shared" si="3"/>
        <v>-1.2968189054594086</v>
      </c>
      <c r="BZ38" s="380">
        <f t="shared" si="13"/>
        <v>354.58593054318789</v>
      </c>
      <c r="CA38" s="380"/>
      <c r="CB38" s="202">
        <f t="shared" si="8"/>
        <v>8283.3333333333339</v>
      </c>
      <c r="CC38" s="202">
        <f t="shared" si="9"/>
        <v>74550</v>
      </c>
      <c r="CD38" s="202">
        <f t="shared" si="14"/>
        <v>292600.76666666666</v>
      </c>
      <c r="CE38" s="191">
        <f t="shared" si="4"/>
        <v>-1.3673390675586745</v>
      </c>
      <c r="CF38" s="380">
        <f t="shared" si="15"/>
        <v>71.655537646787934</v>
      </c>
      <c r="CG38" s="380">
        <f t="shared" si="10"/>
        <v>31.522468142186447</v>
      </c>
    </row>
    <row r="39" spans="2:85">
      <c r="B39" s="118">
        <f t="shared" si="0"/>
        <v>44</v>
      </c>
      <c r="C39" s="377">
        <v>1971</v>
      </c>
      <c r="D39" s="378">
        <v>1500</v>
      </c>
      <c r="E39" s="378">
        <v>2000</v>
      </c>
      <c r="F39" s="378">
        <v>60000</v>
      </c>
      <c r="G39" s="378">
        <v>1500</v>
      </c>
      <c r="H39" s="378">
        <v>25000</v>
      </c>
      <c r="I39" s="378">
        <v>300</v>
      </c>
      <c r="J39" s="378">
        <v>12000</v>
      </c>
      <c r="K39" s="378">
        <v>75</v>
      </c>
      <c r="L39" s="378">
        <v>15000</v>
      </c>
      <c r="M39" s="378">
        <v>25000</v>
      </c>
      <c r="N39" s="378">
        <v>500</v>
      </c>
      <c r="O39" s="378">
        <v>25</v>
      </c>
      <c r="P39" s="378">
        <v>200</v>
      </c>
      <c r="Q39" s="378" t="s">
        <v>571</v>
      </c>
      <c r="R39" s="378">
        <v>1500</v>
      </c>
      <c r="S39" s="378">
        <v>20000</v>
      </c>
      <c r="T39" s="378">
        <v>5000</v>
      </c>
      <c r="U39" s="378">
        <v>1000</v>
      </c>
      <c r="V39" s="378">
        <v>15000</v>
      </c>
      <c r="W39" s="378">
        <v>800</v>
      </c>
      <c r="X39" s="378">
        <v>400</v>
      </c>
      <c r="Y39" s="378">
        <v>50</v>
      </c>
      <c r="Z39" s="378">
        <v>3000</v>
      </c>
      <c r="AA39" s="379" t="s">
        <v>571</v>
      </c>
      <c r="AB39" s="378">
        <v>3000</v>
      </c>
      <c r="AC39" s="378">
        <v>1800</v>
      </c>
      <c r="AD39" s="378">
        <v>1400</v>
      </c>
      <c r="AE39" s="378">
        <v>200</v>
      </c>
      <c r="AF39" s="379" t="s">
        <v>571</v>
      </c>
      <c r="AG39" s="378">
        <v>500</v>
      </c>
      <c r="AH39" s="378" t="s">
        <v>569</v>
      </c>
      <c r="AI39" s="378" t="s">
        <v>569</v>
      </c>
      <c r="AJ39" s="378" t="s">
        <v>570</v>
      </c>
      <c r="AK39" s="378" t="s">
        <v>569</v>
      </c>
      <c r="AL39" s="378" t="s">
        <v>569</v>
      </c>
      <c r="AM39" s="378" t="s">
        <v>569</v>
      </c>
      <c r="AN39" s="379" t="s">
        <v>571</v>
      </c>
      <c r="AO39" s="378">
        <v>600</v>
      </c>
      <c r="AP39" s="379" t="s">
        <v>571</v>
      </c>
      <c r="AQ39" s="378" t="s">
        <v>570</v>
      </c>
      <c r="AR39" s="378" t="s">
        <v>569</v>
      </c>
      <c r="AS39" s="379" t="s">
        <v>571</v>
      </c>
      <c r="AT39" s="378">
        <v>90000</v>
      </c>
      <c r="AU39" s="378">
        <v>50</v>
      </c>
      <c r="AV39" s="378">
        <v>350</v>
      </c>
      <c r="AW39" s="379" t="s">
        <v>571</v>
      </c>
      <c r="AX39" s="378">
        <v>125000</v>
      </c>
      <c r="AY39" s="378">
        <v>30</v>
      </c>
      <c r="AZ39" s="378">
        <v>400</v>
      </c>
      <c r="BA39" s="378">
        <v>100</v>
      </c>
      <c r="BB39" s="378">
        <v>3500</v>
      </c>
      <c r="BC39" s="378">
        <v>5000</v>
      </c>
      <c r="BD39" s="378">
        <v>70</v>
      </c>
      <c r="BE39" s="378">
        <v>40</v>
      </c>
      <c r="BF39" s="378">
        <v>25000</v>
      </c>
      <c r="BG39" s="379" t="s">
        <v>571</v>
      </c>
      <c r="BH39" s="378">
        <v>25</v>
      </c>
      <c r="BI39" s="379" t="s">
        <v>571</v>
      </c>
      <c r="BJ39" s="378" t="s">
        <v>569</v>
      </c>
      <c r="BK39" s="378">
        <v>15</v>
      </c>
      <c r="BL39" s="378">
        <v>25</v>
      </c>
      <c r="BM39" s="378" t="s">
        <v>569</v>
      </c>
      <c r="BN39" s="378">
        <v>4000</v>
      </c>
      <c r="BO39" s="378" t="s">
        <v>569</v>
      </c>
      <c r="BP39" s="273">
        <f t="shared" si="5"/>
        <v>10248.977272727272</v>
      </c>
      <c r="BQ39" s="273">
        <f t="shared" si="6"/>
        <v>450955</v>
      </c>
      <c r="BR39" s="125">
        <f t="shared" si="11"/>
        <v>449068.5172413793</v>
      </c>
      <c r="BS39" s="192">
        <f t="shared" si="7"/>
        <v>4.1920805071485436E-3</v>
      </c>
      <c r="BT39" s="192"/>
      <c r="BU39" s="192"/>
      <c r="BV39" s="202">
        <f t="shared" si="1"/>
        <v>15950</v>
      </c>
      <c r="BW39" s="202">
        <f t="shared" si="2"/>
        <v>95700</v>
      </c>
      <c r="BX39" s="168">
        <f t="shared" si="12"/>
        <v>186722.66666666666</v>
      </c>
      <c r="BY39" s="192">
        <f t="shared" si="3"/>
        <v>-0.66840615161117467</v>
      </c>
      <c r="BZ39" s="380">
        <f t="shared" si="13"/>
        <v>87.463271302644458</v>
      </c>
      <c r="CA39" s="380"/>
      <c r="CB39" s="202">
        <f t="shared" si="8"/>
        <v>20809.090909090908</v>
      </c>
      <c r="CC39" s="202">
        <f t="shared" si="9"/>
        <v>228900</v>
      </c>
      <c r="CD39" s="202">
        <f t="shared" si="14"/>
        <v>292600.76666666666</v>
      </c>
      <c r="CE39" s="191">
        <f t="shared" si="4"/>
        <v>-0.24552388181090096</v>
      </c>
      <c r="CF39" s="380">
        <f t="shared" si="15"/>
        <v>207.04225352112675</v>
      </c>
      <c r="CG39" s="380">
        <f t="shared" si="10"/>
        <v>58.191349934469201</v>
      </c>
    </row>
    <row r="40" spans="2:85">
      <c r="B40" s="118">
        <f t="shared" si="0"/>
        <v>39</v>
      </c>
      <c r="C40" s="377">
        <v>1973</v>
      </c>
      <c r="D40" s="378">
        <v>50</v>
      </c>
      <c r="E40" s="378">
        <v>400</v>
      </c>
      <c r="F40" s="378">
        <v>4000</v>
      </c>
      <c r="G40" s="378">
        <v>500</v>
      </c>
      <c r="H40" s="378">
        <v>3000</v>
      </c>
      <c r="I40" s="378">
        <v>300</v>
      </c>
      <c r="J40" s="378">
        <v>8000</v>
      </c>
      <c r="K40" s="378">
        <v>50</v>
      </c>
      <c r="L40" s="378">
        <v>20000</v>
      </c>
      <c r="M40" s="378">
        <v>8000</v>
      </c>
      <c r="N40" s="378">
        <v>50</v>
      </c>
      <c r="O40" s="378">
        <v>100</v>
      </c>
      <c r="P40" s="378" t="s">
        <v>569</v>
      </c>
      <c r="Q40" s="378" t="s">
        <v>571</v>
      </c>
      <c r="R40" s="378">
        <v>500</v>
      </c>
      <c r="S40" s="378">
        <v>2000</v>
      </c>
      <c r="T40" s="378">
        <v>5000</v>
      </c>
      <c r="U40" s="378">
        <v>500</v>
      </c>
      <c r="V40" s="378">
        <v>5000</v>
      </c>
      <c r="W40" s="378">
        <v>400</v>
      </c>
      <c r="X40" s="378">
        <v>1500</v>
      </c>
      <c r="Y40" s="378">
        <v>1500</v>
      </c>
      <c r="Z40" s="378">
        <v>3500</v>
      </c>
      <c r="AA40" s="379" t="s">
        <v>571</v>
      </c>
      <c r="AB40" s="378">
        <v>400</v>
      </c>
      <c r="AC40" s="378">
        <v>1500</v>
      </c>
      <c r="AD40" s="378">
        <v>750</v>
      </c>
      <c r="AE40" s="378" t="s">
        <v>569</v>
      </c>
      <c r="AF40" s="378">
        <v>1500</v>
      </c>
      <c r="AG40" s="378" t="s">
        <v>569</v>
      </c>
      <c r="AH40" s="378" t="s">
        <v>569</v>
      </c>
      <c r="AI40" s="379" t="s">
        <v>571</v>
      </c>
      <c r="AJ40" s="378">
        <v>75</v>
      </c>
      <c r="AK40" s="378" t="s">
        <v>569</v>
      </c>
      <c r="AL40" s="378" t="s">
        <v>569</v>
      </c>
      <c r="AM40" s="378" t="s">
        <v>569</v>
      </c>
      <c r="AN40" s="379" t="s">
        <v>571</v>
      </c>
      <c r="AO40" s="378" t="s">
        <v>569</v>
      </c>
      <c r="AP40" s="379" t="s">
        <v>571</v>
      </c>
      <c r="AQ40" s="378" t="s">
        <v>569</v>
      </c>
      <c r="AR40" s="378" t="s">
        <v>569</v>
      </c>
      <c r="AS40" s="378" t="s">
        <v>569</v>
      </c>
      <c r="AT40" s="378">
        <v>65000</v>
      </c>
      <c r="AU40" s="378" t="s">
        <v>570</v>
      </c>
      <c r="AV40" s="378" t="s">
        <v>570</v>
      </c>
      <c r="AW40" s="378">
        <v>750</v>
      </c>
      <c r="AX40" s="378">
        <v>60000</v>
      </c>
      <c r="AY40" s="378">
        <v>25</v>
      </c>
      <c r="AZ40" s="378">
        <v>200</v>
      </c>
      <c r="BA40" s="378" t="s">
        <v>569</v>
      </c>
      <c r="BB40" s="378">
        <v>750</v>
      </c>
      <c r="BC40" s="378">
        <v>5000</v>
      </c>
      <c r="BD40" s="378">
        <v>90</v>
      </c>
      <c r="BE40" s="378" t="s">
        <v>569</v>
      </c>
      <c r="BF40" s="378">
        <v>3500</v>
      </c>
      <c r="BG40" s="378" t="s">
        <v>569</v>
      </c>
      <c r="BH40" s="378">
        <v>175</v>
      </c>
      <c r="BI40" s="379" t="s">
        <v>571</v>
      </c>
      <c r="BJ40" s="378" t="s">
        <v>569</v>
      </c>
      <c r="BK40" s="378" t="s">
        <v>572</v>
      </c>
      <c r="BL40" s="378" t="s">
        <v>569</v>
      </c>
      <c r="BM40" s="378">
        <v>25</v>
      </c>
      <c r="BN40" s="378">
        <v>5000</v>
      </c>
      <c r="BO40" s="378">
        <v>30</v>
      </c>
      <c r="BP40" s="273">
        <f t="shared" si="5"/>
        <v>5362.0512820512822</v>
      </c>
      <c r="BQ40" s="273">
        <f t="shared" si="6"/>
        <v>209120</v>
      </c>
      <c r="BR40" s="125">
        <f t="shared" si="11"/>
        <v>449068.5172413793</v>
      </c>
      <c r="BS40" s="192">
        <f t="shared" si="7"/>
        <v>-0.76426722587092522</v>
      </c>
      <c r="BT40" s="192"/>
      <c r="BU40" s="192"/>
      <c r="BV40" s="202">
        <f t="shared" si="1"/>
        <v>3630</v>
      </c>
      <c r="BW40" s="202">
        <f t="shared" si="2"/>
        <v>18150</v>
      </c>
      <c r="BX40" s="168">
        <f t="shared" si="12"/>
        <v>186722.66666666666</v>
      </c>
      <c r="BY40" s="192">
        <f t="shared" si="3"/>
        <v>-2.3309538893592232</v>
      </c>
      <c r="BZ40" s="380">
        <f t="shared" si="13"/>
        <v>-81.034482758620683</v>
      </c>
      <c r="CA40" s="380"/>
      <c r="CB40" s="202">
        <f t="shared" si="8"/>
        <v>9340</v>
      </c>
      <c r="CC40" s="202">
        <f t="shared" si="9"/>
        <v>93400</v>
      </c>
      <c r="CD40" s="202">
        <f t="shared" si="14"/>
        <v>292600.76666666666</v>
      </c>
      <c r="CE40" s="191">
        <f t="shared" si="4"/>
        <v>-1.1419177635346252</v>
      </c>
      <c r="CF40" s="380">
        <f t="shared" si="15"/>
        <v>-59.196155526430758</v>
      </c>
      <c r="CG40" s="380">
        <f t="shared" si="10"/>
        <v>80.567451820128483</v>
      </c>
    </row>
    <row r="41" spans="2:85">
      <c r="B41" s="118">
        <f t="shared" si="0"/>
        <v>49</v>
      </c>
      <c r="C41" s="377">
        <v>1975</v>
      </c>
      <c r="D41" s="378">
        <v>200</v>
      </c>
      <c r="E41" s="378">
        <v>800</v>
      </c>
      <c r="F41" s="378">
        <v>2700</v>
      </c>
      <c r="G41" s="378">
        <v>1000</v>
      </c>
      <c r="H41" s="378">
        <v>5000</v>
      </c>
      <c r="I41" s="378" t="s">
        <v>569</v>
      </c>
      <c r="J41" s="378">
        <v>12000</v>
      </c>
      <c r="K41" s="378">
        <v>300</v>
      </c>
      <c r="L41" s="378">
        <v>2000</v>
      </c>
      <c r="M41" s="378">
        <v>2200</v>
      </c>
      <c r="N41" s="378">
        <v>400</v>
      </c>
      <c r="O41" s="378">
        <v>100</v>
      </c>
      <c r="P41" s="378">
        <v>100</v>
      </c>
      <c r="Q41" s="378" t="s">
        <v>571</v>
      </c>
      <c r="R41" s="378">
        <v>700</v>
      </c>
      <c r="S41" s="378">
        <v>1000</v>
      </c>
      <c r="T41" s="378">
        <v>2000</v>
      </c>
      <c r="U41" s="378">
        <v>350</v>
      </c>
      <c r="V41" s="378">
        <v>5000</v>
      </c>
      <c r="W41" s="378">
        <v>1500</v>
      </c>
      <c r="X41" s="378" t="s">
        <v>570</v>
      </c>
      <c r="Y41" s="379" t="s">
        <v>571</v>
      </c>
      <c r="Z41" s="378">
        <v>9000</v>
      </c>
      <c r="AA41" s="379" t="s">
        <v>571</v>
      </c>
      <c r="AB41" s="378">
        <v>75</v>
      </c>
      <c r="AC41" s="378">
        <v>10000</v>
      </c>
      <c r="AD41" s="378">
        <v>1500</v>
      </c>
      <c r="AE41" s="378">
        <v>1000</v>
      </c>
      <c r="AF41" s="378">
        <v>750</v>
      </c>
      <c r="AG41" s="378">
        <v>25</v>
      </c>
      <c r="AH41" s="378">
        <v>400</v>
      </c>
      <c r="AI41" s="378" t="s">
        <v>570</v>
      </c>
      <c r="AJ41" s="378">
        <v>25</v>
      </c>
      <c r="AK41" s="378">
        <v>400</v>
      </c>
      <c r="AL41" s="378">
        <v>200</v>
      </c>
      <c r="AM41" s="378">
        <v>750</v>
      </c>
      <c r="AN41" s="379" t="s">
        <v>571</v>
      </c>
      <c r="AO41" s="378">
        <v>750</v>
      </c>
      <c r="AP41" s="379" t="s">
        <v>571</v>
      </c>
      <c r="AQ41" s="378">
        <v>75</v>
      </c>
      <c r="AR41" s="378">
        <v>200</v>
      </c>
      <c r="AS41" s="379" t="s">
        <v>571</v>
      </c>
      <c r="AT41" s="378">
        <v>45000</v>
      </c>
      <c r="AU41" s="378">
        <v>200</v>
      </c>
      <c r="AV41" s="378" t="s">
        <v>570</v>
      </c>
      <c r="AW41" s="378">
        <v>750</v>
      </c>
      <c r="AX41" s="378">
        <v>47500</v>
      </c>
      <c r="AY41" s="378">
        <v>250</v>
      </c>
      <c r="AZ41" s="378">
        <v>250</v>
      </c>
      <c r="BA41" s="378">
        <v>500</v>
      </c>
      <c r="BB41" s="378">
        <v>10000</v>
      </c>
      <c r="BC41" s="378">
        <v>15000</v>
      </c>
      <c r="BD41" s="378" t="s">
        <v>569</v>
      </c>
      <c r="BE41" s="378">
        <v>200</v>
      </c>
      <c r="BF41" s="378">
        <v>60000</v>
      </c>
      <c r="BG41" s="378" t="s">
        <v>569</v>
      </c>
      <c r="BH41" s="378" t="s">
        <v>569</v>
      </c>
      <c r="BI41" s="379" t="s">
        <v>571</v>
      </c>
      <c r="BJ41" s="378">
        <v>300</v>
      </c>
      <c r="BK41" s="378" t="s">
        <v>569</v>
      </c>
      <c r="BL41" s="378">
        <v>300</v>
      </c>
      <c r="BM41" s="378">
        <v>25</v>
      </c>
      <c r="BN41" s="378">
        <v>800</v>
      </c>
      <c r="BO41" s="378">
        <v>500</v>
      </c>
      <c r="BP41" s="273">
        <f t="shared" si="5"/>
        <v>4981.1224489795923</v>
      </c>
      <c r="BQ41" s="273">
        <f t="shared" si="6"/>
        <v>244075</v>
      </c>
      <c r="BR41" s="125">
        <f t="shared" si="11"/>
        <v>449068.5172413793</v>
      </c>
      <c r="BS41" s="192">
        <f t="shared" si="7"/>
        <v>-0.60969992063510192</v>
      </c>
      <c r="BT41" s="192"/>
      <c r="BU41" s="192"/>
      <c r="BV41" s="202">
        <f t="shared" si="1"/>
        <v>5283.333333333333</v>
      </c>
      <c r="BW41" s="202">
        <f t="shared" si="2"/>
        <v>31700</v>
      </c>
      <c r="BX41" s="168">
        <f t="shared" si="12"/>
        <v>186722.66666666666</v>
      </c>
      <c r="BY41" s="192">
        <f t="shared" si="3"/>
        <v>-1.7733077691868482</v>
      </c>
      <c r="BZ41" s="380">
        <f t="shared" si="13"/>
        <v>74.655647382920108</v>
      </c>
      <c r="CA41" s="380"/>
      <c r="CB41" s="202">
        <f t="shared" si="8"/>
        <v>8200</v>
      </c>
      <c r="CC41" s="202">
        <f t="shared" si="9"/>
        <v>98400</v>
      </c>
      <c r="CD41" s="202">
        <f t="shared" si="14"/>
        <v>292600.76666666666</v>
      </c>
      <c r="CE41" s="191">
        <f t="shared" si="4"/>
        <v>-1.0897683047112143</v>
      </c>
      <c r="CF41" s="380">
        <f t="shared" si="15"/>
        <v>5.3533190578158463</v>
      </c>
      <c r="CG41" s="380">
        <f t="shared" si="10"/>
        <v>67.784552845528452</v>
      </c>
    </row>
    <row r="42" spans="2:85">
      <c r="B42" s="118">
        <f t="shared" si="0"/>
        <v>56</v>
      </c>
      <c r="C42" s="377">
        <v>1977</v>
      </c>
      <c r="D42" s="378">
        <v>8000</v>
      </c>
      <c r="E42" s="378">
        <v>4300</v>
      </c>
      <c r="F42" s="378">
        <v>40000</v>
      </c>
      <c r="G42" s="378">
        <v>15000</v>
      </c>
      <c r="H42" s="378">
        <v>14000</v>
      </c>
      <c r="I42" s="378">
        <v>6500</v>
      </c>
      <c r="J42" s="378">
        <v>8500</v>
      </c>
      <c r="K42" s="378">
        <v>600</v>
      </c>
      <c r="L42" s="378">
        <v>9500</v>
      </c>
      <c r="M42" s="378">
        <v>30000</v>
      </c>
      <c r="N42" s="378">
        <v>5000</v>
      </c>
      <c r="O42" s="378">
        <v>500</v>
      </c>
      <c r="P42" s="378">
        <v>1400</v>
      </c>
      <c r="Q42" s="378" t="s">
        <v>571</v>
      </c>
      <c r="R42" s="378">
        <v>3100</v>
      </c>
      <c r="S42" s="378">
        <v>18000</v>
      </c>
      <c r="T42" s="378">
        <v>13000</v>
      </c>
      <c r="U42" s="378">
        <v>200</v>
      </c>
      <c r="V42" s="378">
        <v>16500</v>
      </c>
      <c r="W42" s="378">
        <v>7000</v>
      </c>
      <c r="X42" s="378">
        <v>3000</v>
      </c>
      <c r="Y42" s="378">
        <v>1200</v>
      </c>
      <c r="Z42" s="378">
        <v>20000</v>
      </c>
      <c r="AA42" s="379" t="s">
        <v>571</v>
      </c>
      <c r="AB42" s="378">
        <v>1000</v>
      </c>
      <c r="AC42" s="378">
        <v>6500</v>
      </c>
      <c r="AD42" s="378">
        <v>5000</v>
      </c>
      <c r="AE42" s="378">
        <v>6000</v>
      </c>
      <c r="AF42" s="378">
        <v>400</v>
      </c>
      <c r="AG42" s="378">
        <v>750</v>
      </c>
      <c r="AH42" s="378">
        <v>1500</v>
      </c>
      <c r="AI42" s="378">
        <v>30</v>
      </c>
      <c r="AJ42" s="378">
        <v>600</v>
      </c>
      <c r="AK42" s="378">
        <v>500</v>
      </c>
      <c r="AL42" s="378">
        <v>2000</v>
      </c>
      <c r="AM42" s="378">
        <v>2000</v>
      </c>
      <c r="AN42" s="378">
        <v>250</v>
      </c>
      <c r="AO42" s="378">
        <v>800</v>
      </c>
      <c r="AP42" s="378" t="s">
        <v>569</v>
      </c>
      <c r="AQ42" s="378" t="s">
        <v>569</v>
      </c>
      <c r="AR42" s="378">
        <v>10</v>
      </c>
      <c r="AS42" s="378">
        <v>50</v>
      </c>
      <c r="AT42" s="378">
        <v>40000</v>
      </c>
      <c r="AU42" s="378">
        <v>100</v>
      </c>
      <c r="AV42" s="378">
        <v>500</v>
      </c>
      <c r="AW42" s="378">
        <v>500</v>
      </c>
      <c r="AX42" s="378">
        <v>110000</v>
      </c>
      <c r="AY42" s="378" t="s">
        <v>569</v>
      </c>
      <c r="AZ42" s="378" t="s">
        <v>569</v>
      </c>
      <c r="BA42" s="378">
        <v>100</v>
      </c>
      <c r="BB42" s="378">
        <v>2000</v>
      </c>
      <c r="BC42" s="378">
        <v>3000</v>
      </c>
      <c r="BD42" s="378">
        <v>500</v>
      </c>
      <c r="BE42" s="378">
        <v>100</v>
      </c>
      <c r="BF42" s="378">
        <v>40000</v>
      </c>
      <c r="BG42" s="378">
        <v>50</v>
      </c>
      <c r="BH42" s="378">
        <v>1000</v>
      </c>
      <c r="BI42" s="379" t="s">
        <v>571</v>
      </c>
      <c r="BJ42" s="378">
        <v>400</v>
      </c>
      <c r="BK42" s="378">
        <v>50</v>
      </c>
      <c r="BL42" s="378">
        <v>400</v>
      </c>
      <c r="BM42" s="378" t="s">
        <v>569</v>
      </c>
      <c r="BN42" s="378">
        <v>20000</v>
      </c>
      <c r="BO42" s="378">
        <v>100</v>
      </c>
      <c r="BP42" s="273">
        <f t="shared" si="5"/>
        <v>8419.4642857142862</v>
      </c>
      <c r="BQ42" s="273">
        <f t="shared" si="6"/>
        <v>471490</v>
      </c>
      <c r="BR42" s="125">
        <f t="shared" si="11"/>
        <v>449068.5172413793</v>
      </c>
      <c r="BS42" s="192">
        <f t="shared" si="7"/>
        <v>4.8722417194021754E-2</v>
      </c>
      <c r="BT42" s="192"/>
      <c r="BU42" s="192"/>
      <c r="BV42" s="202">
        <f t="shared" si="1"/>
        <v>14216.666666666666</v>
      </c>
      <c r="BW42" s="202">
        <f t="shared" si="2"/>
        <v>85300</v>
      </c>
      <c r="BX42" s="168">
        <f t="shared" si="12"/>
        <v>186722.66666666666</v>
      </c>
      <c r="BY42" s="192">
        <f t="shared" si="3"/>
        <v>-0.78344999557244965</v>
      </c>
      <c r="BZ42" s="380">
        <f t="shared" si="13"/>
        <v>169.08517350157729</v>
      </c>
      <c r="CA42" s="380"/>
      <c r="CB42" s="202">
        <f t="shared" si="8"/>
        <v>14108.333333333334</v>
      </c>
      <c r="CC42" s="202">
        <f t="shared" si="9"/>
        <v>169300</v>
      </c>
      <c r="CD42" s="202">
        <f t="shared" si="14"/>
        <v>292600.76666666666</v>
      </c>
      <c r="CE42" s="191">
        <f t="shared" si="4"/>
        <v>-0.54713681963033223</v>
      </c>
      <c r="CF42" s="380">
        <f t="shared" si="15"/>
        <v>72.052845528455293</v>
      </c>
      <c r="CG42" s="380">
        <f t="shared" si="10"/>
        <v>49.616066154754876</v>
      </c>
    </row>
    <row r="43" spans="2:85">
      <c r="B43" s="118">
        <f t="shared" si="0"/>
        <v>58</v>
      </c>
      <c r="C43" s="377">
        <v>1979</v>
      </c>
      <c r="D43" s="378">
        <v>5400</v>
      </c>
      <c r="E43" s="378">
        <v>3000</v>
      </c>
      <c r="F43" s="378">
        <v>75000</v>
      </c>
      <c r="G43" s="378">
        <v>9000</v>
      </c>
      <c r="H43" s="378">
        <v>8000</v>
      </c>
      <c r="I43" s="378">
        <v>300</v>
      </c>
      <c r="J43" s="378">
        <v>12000</v>
      </c>
      <c r="K43" s="378">
        <v>6000</v>
      </c>
      <c r="L43" s="378">
        <v>25000</v>
      </c>
      <c r="M43" s="378">
        <v>25000</v>
      </c>
      <c r="N43" s="378">
        <v>50</v>
      </c>
      <c r="O43" s="378">
        <v>250</v>
      </c>
      <c r="P43" s="378">
        <v>8600</v>
      </c>
      <c r="Q43" s="378" t="s">
        <v>571</v>
      </c>
      <c r="R43" s="378">
        <v>450</v>
      </c>
      <c r="S43" s="378">
        <v>7000</v>
      </c>
      <c r="T43" s="378">
        <v>3500</v>
      </c>
      <c r="U43" s="378">
        <v>250</v>
      </c>
      <c r="V43" s="378">
        <v>10200</v>
      </c>
      <c r="W43" s="378">
        <v>6000</v>
      </c>
      <c r="X43" s="378">
        <v>5000</v>
      </c>
      <c r="Y43" s="378">
        <v>1400</v>
      </c>
      <c r="Z43" s="378">
        <v>5000</v>
      </c>
      <c r="AA43" s="378">
        <v>150</v>
      </c>
      <c r="AB43" s="378">
        <v>650</v>
      </c>
      <c r="AC43" s="378">
        <v>9000</v>
      </c>
      <c r="AD43" s="378">
        <v>25000</v>
      </c>
      <c r="AE43" s="378">
        <v>35000</v>
      </c>
      <c r="AF43" s="378">
        <v>400</v>
      </c>
      <c r="AG43" s="378">
        <v>3200</v>
      </c>
      <c r="AH43" s="378">
        <v>7000</v>
      </c>
      <c r="AI43" s="378" t="s">
        <v>570</v>
      </c>
      <c r="AJ43" s="378">
        <v>3500</v>
      </c>
      <c r="AK43" s="378">
        <v>100</v>
      </c>
      <c r="AL43" s="378">
        <v>4000</v>
      </c>
      <c r="AM43" s="378">
        <v>8000</v>
      </c>
      <c r="AN43" s="378">
        <v>1200</v>
      </c>
      <c r="AO43" s="378">
        <v>3000</v>
      </c>
      <c r="AP43" s="378">
        <v>25</v>
      </c>
      <c r="AQ43" s="378">
        <v>2000</v>
      </c>
      <c r="AR43" s="378">
        <v>2000</v>
      </c>
      <c r="AS43" s="378">
        <v>1500</v>
      </c>
      <c r="AT43" s="378">
        <v>80000</v>
      </c>
      <c r="AU43" s="378" t="s">
        <v>569</v>
      </c>
      <c r="AV43" s="378" t="s">
        <v>569</v>
      </c>
      <c r="AW43" s="378">
        <v>200</v>
      </c>
      <c r="AX43" s="378">
        <v>70000</v>
      </c>
      <c r="AY43" s="378">
        <v>200</v>
      </c>
      <c r="AZ43" s="378">
        <v>100</v>
      </c>
      <c r="BA43" s="378">
        <v>4000</v>
      </c>
      <c r="BB43" s="378">
        <v>1000</v>
      </c>
      <c r="BC43" s="378">
        <v>12000</v>
      </c>
      <c r="BD43" s="378">
        <v>500</v>
      </c>
      <c r="BE43" s="378">
        <v>550</v>
      </c>
      <c r="BF43" s="378">
        <v>25000</v>
      </c>
      <c r="BG43" s="378">
        <v>50</v>
      </c>
      <c r="BH43" s="378">
        <v>1500</v>
      </c>
      <c r="BI43" s="378">
        <v>300</v>
      </c>
      <c r="BJ43" s="378">
        <v>400</v>
      </c>
      <c r="BK43" s="378" t="s">
        <v>569</v>
      </c>
      <c r="BL43" s="379" t="s">
        <v>571</v>
      </c>
      <c r="BM43" s="378">
        <v>3000</v>
      </c>
      <c r="BN43" s="378">
        <v>30000</v>
      </c>
      <c r="BO43" s="378">
        <v>250</v>
      </c>
      <c r="BP43" s="273">
        <f t="shared" si="5"/>
        <v>9503.0172413793098</v>
      </c>
      <c r="BQ43" s="273">
        <f t="shared" si="6"/>
        <v>551175</v>
      </c>
      <c r="BR43" s="125">
        <f t="shared" si="11"/>
        <v>449068.5172413793</v>
      </c>
      <c r="BS43" s="192">
        <f t="shared" si="7"/>
        <v>0.20487688733620751</v>
      </c>
      <c r="BT43" s="192"/>
      <c r="BU43" s="192"/>
      <c r="BV43" s="202">
        <f t="shared" si="1"/>
        <v>25166.666666666668</v>
      </c>
      <c r="BW43" s="202">
        <f t="shared" si="2"/>
        <v>151000</v>
      </c>
      <c r="BX43" s="168">
        <f t="shared" si="12"/>
        <v>186722.66666666666</v>
      </c>
      <c r="BY43" s="192">
        <f t="shared" si="3"/>
        <v>-0.21234461325515877</v>
      </c>
      <c r="BZ43" s="380">
        <f t="shared" si="13"/>
        <v>77.022274325908555</v>
      </c>
      <c r="CA43" s="380"/>
      <c r="CB43" s="202">
        <f t="shared" si="8"/>
        <v>23933.333333333332</v>
      </c>
      <c r="CC43" s="202">
        <f t="shared" si="9"/>
        <v>287200</v>
      </c>
      <c r="CD43" s="202">
        <f t="shared" si="14"/>
        <v>292600.76666666666</v>
      </c>
      <c r="CE43" s="191">
        <f t="shared" si="4"/>
        <v>-1.8630271595352823E-2</v>
      </c>
      <c r="CF43" s="380">
        <f t="shared" si="15"/>
        <v>69.639692852923801</v>
      </c>
      <c r="CG43" s="380">
        <f t="shared" si="10"/>
        <v>47.423398328690809</v>
      </c>
    </row>
    <row r="44" spans="2:85">
      <c r="B44" s="118">
        <f t="shared" si="0"/>
        <v>59</v>
      </c>
      <c r="C44" s="377">
        <v>1981</v>
      </c>
      <c r="D44" s="378">
        <v>1500</v>
      </c>
      <c r="E44" s="378">
        <v>9000</v>
      </c>
      <c r="F44" s="378">
        <v>6000</v>
      </c>
      <c r="G44" s="378">
        <v>1500</v>
      </c>
      <c r="H44" s="378">
        <v>6000</v>
      </c>
      <c r="I44" s="378">
        <v>1700</v>
      </c>
      <c r="J44" s="378">
        <v>2000</v>
      </c>
      <c r="K44" s="378">
        <v>1000</v>
      </c>
      <c r="L44" s="378">
        <v>8000</v>
      </c>
      <c r="M44" s="378">
        <v>20000</v>
      </c>
      <c r="N44" s="378">
        <v>1500</v>
      </c>
      <c r="O44" s="378">
        <v>550</v>
      </c>
      <c r="P44" s="378">
        <v>2100</v>
      </c>
      <c r="Q44" s="378" t="s">
        <v>571</v>
      </c>
      <c r="R44" s="378">
        <v>1100</v>
      </c>
      <c r="S44" s="378">
        <v>600</v>
      </c>
      <c r="T44" s="378">
        <v>2000</v>
      </c>
      <c r="U44" s="378">
        <v>2300</v>
      </c>
      <c r="V44" s="378">
        <v>3600</v>
      </c>
      <c r="W44" s="378">
        <v>6000</v>
      </c>
      <c r="X44" s="378">
        <v>1500</v>
      </c>
      <c r="Y44" s="378" t="s">
        <v>572</v>
      </c>
      <c r="Z44" s="378">
        <v>30000</v>
      </c>
      <c r="AA44" s="378" t="s">
        <v>570</v>
      </c>
      <c r="AB44" s="378">
        <v>2500</v>
      </c>
      <c r="AC44" s="378">
        <v>11000</v>
      </c>
      <c r="AD44" s="378">
        <v>15000</v>
      </c>
      <c r="AE44" s="378">
        <v>31000</v>
      </c>
      <c r="AF44" s="378">
        <v>1400</v>
      </c>
      <c r="AG44" s="378">
        <v>4000</v>
      </c>
      <c r="AH44" s="378">
        <v>4500</v>
      </c>
      <c r="AI44" s="378">
        <v>350</v>
      </c>
      <c r="AJ44" s="378">
        <v>3000</v>
      </c>
      <c r="AK44" s="378">
        <v>100</v>
      </c>
      <c r="AL44" s="378">
        <v>5000</v>
      </c>
      <c r="AM44" s="378">
        <v>13500</v>
      </c>
      <c r="AN44" s="378">
        <v>2000</v>
      </c>
      <c r="AO44" s="378">
        <v>5000</v>
      </c>
      <c r="AP44" s="378" t="s">
        <v>569</v>
      </c>
      <c r="AQ44" s="378">
        <v>1000</v>
      </c>
      <c r="AR44" s="378">
        <v>4000</v>
      </c>
      <c r="AS44" s="378">
        <v>8000</v>
      </c>
      <c r="AT44" s="378">
        <v>100000</v>
      </c>
      <c r="AU44" s="378">
        <v>2000</v>
      </c>
      <c r="AV44" s="378">
        <v>2500</v>
      </c>
      <c r="AW44" s="378">
        <v>1000</v>
      </c>
      <c r="AX44" s="378">
        <v>100000</v>
      </c>
      <c r="AY44" s="378">
        <v>200</v>
      </c>
      <c r="AZ44" s="378">
        <v>600</v>
      </c>
      <c r="BA44" s="378">
        <v>1000</v>
      </c>
      <c r="BB44" s="378">
        <v>4000</v>
      </c>
      <c r="BC44" s="378">
        <v>50000</v>
      </c>
      <c r="BD44" s="378">
        <v>1000</v>
      </c>
      <c r="BE44" s="378">
        <v>750</v>
      </c>
      <c r="BF44" s="378">
        <v>30000</v>
      </c>
      <c r="BG44" s="378">
        <v>25</v>
      </c>
      <c r="BH44" s="378">
        <v>2200</v>
      </c>
      <c r="BI44" s="378">
        <v>1700</v>
      </c>
      <c r="BJ44" s="378">
        <v>450</v>
      </c>
      <c r="BK44" s="378" t="s">
        <v>569</v>
      </c>
      <c r="BL44" s="378">
        <v>300</v>
      </c>
      <c r="BM44" s="378">
        <v>500</v>
      </c>
      <c r="BN44" s="378">
        <v>65000</v>
      </c>
      <c r="BO44" s="378">
        <v>25</v>
      </c>
      <c r="BP44" s="273">
        <f t="shared" si="5"/>
        <v>9873.7288135593226</v>
      </c>
      <c r="BQ44" s="273">
        <f t="shared" si="6"/>
        <v>582550</v>
      </c>
      <c r="BR44" s="125">
        <f t="shared" si="11"/>
        <v>449068.5172413793</v>
      </c>
      <c r="BS44" s="192">
        <f t="shared" si="7"/>
        <v>0.26023954291911311</v>
      </c>
      <c r="BT44" s="192"/>
      <c r="BU44" s="192"/>
      <c r="BV44" s="202">
        <f t="shared" si="1"/>
        <v>20000</v>
      </c>
      <c r="BW44" s="202">
        <f t="shared" si="2"/>
        <v>120000</v>
      </c>
      <c r="BX44" s="168">
        <f t="shared" si="12"/>
        <v>186722.66666666666</v>
      </c>
      <c r="BY44" s="192">
        <f t="shared" si="3"/>
        <v>-0.44213270728803716</v>
      </c>
      <c r="BZ44" s="380">
        <f t="shared" si="13"/>
        <v>-20.52980132450331</v>
      </c>
      <c r="CA44" s="380"/>
      <c r="CB44" s="202">
        <f t="shared" si="8"/>
        <v>21716.666666666668</v>
      </c>
      <c r="CC44" s="202">
        <f t="shared" si="9"/>
        <v>260600</v>
      </c>
      <c r="CD44" s="202">
        <f t="shared" si="14"/>
        <v>292600.76666666666</v>
      </c>
      <c r="CE44" s="191">
        <f t="shared" si="4"/>
        <v>-0.11582244407867716</v>
      </c>
      <c r="CF44" s="380">
        <f t="shared" si="15"/>
        <v>-9.2618384401114202</v>
      </c>
      <c r="CG44" s="380">
        <f t="shared" si="10"/>
        <v>53.952417498081353</v>
      </c>
    </row>
    <row r="45" spans="2:85">
      <c r="B45" s="118">
        <f t="shared" si="0"/>
        <v>59</v>
      </c>
      <c r="C45" s="377">
        <v>1983</v>
      </c>
      <c r="D45" s="378" t="s">
        <v>569</v>
      </c>
      <c r="E45" s="378">
        <v>9000</v>
      </c>
      <c r="F45" s="378">
        <v>8600</v>
      </c>
      <c r="G45" s="378">
        <v>2180</v>
      </c>
      <c r="H45" s="378">
        <v>8500</v>
      </c>
      <c r="I45" s="378">
        <v>156</v>
      </c>
      <c r="J45" s="378">
        <v>8000</v>
      </c>
      <c r="K45" s="378">
        <v>1500</v>
      </c>
      <c r="L45" s="378">
        <v>21000</v>
      </c>
      <c r="M45" s="378">
        <v>20000</v>
      </c>
      <c r="N45" s="378">
        <v>450</v>
      </c>
      <c r="O45" s="378">
        <v>220</v>
      </c>
      <c r="P45" s="378">
        <v>500</v>
      </c>
      <c r="Q45" s="378" t="s">
        <v>570</v>
      </c>
      <c r="R45" s="378">
        <v>1570</v>
      </c>
      <c r="S45" s="378">
        <v>6000</v>
      </c>
      <c r="T45" s="378">
        <v>5000</v>
      </c>
      <c r="U45" s="378">
        <v>147</v>
      </c>
      <c r="V45" s="378">
        <v>9510</v>
      </c>
      <c r="W45" s="378">
        <v>1500</v>
      </c>
      <c r="X45" s="378">
        <v>500</v>
      </c>
      <c r="Y45" s="378">
        <v>2200</v>
      </c>
      <c r="Z45" s="378">
        <v>2000</v>
      </c>
      <c r="AA45" s="378" t="s">
        <v>570</v>
      </c>
      <c r="AB45" s="378">
        <v>1200</v>
      </c>
      <c r="AC45" s="378">
        <v>6500</v>
      </c>
      <c r="AD45" s="378">
        <v>7000</v>
      </c>
      <c r="AE45" s="378">
        <v>15000</v>
      </c>
      <c r="AF45" s="378" t="s">
        <v>570</v>
      </c>
      <c r="AG45" s="378">
        <v>8000</v>
      </c>
      <c r="AH45" s="378">
        <v>600</v>
      </c>
      <c r="AI45" s="378">
        <v>50</v>
      </c>
      <c r="AJ45" s="378">
        <v>1500</v>
      </c>
      <c r="AK45" s="378">
        <v>1000</v>
      </c>
      <c r="AL45" s="378">
        <v>5000</v>
      </c>
      <c r="AM45" s="378">
        <v>4000</v>
      </c>
      <c r="AN45" s="378">
        <v>700</v>
      </c>
      <c r="AO45" s="378">
        <v>4000</v>
      </c>
      <c r="AP45" s="378">
        <v>200</v>
      </c>
      <c r="AQ45" s="378">
        <v>1000</v>
      </c>
      <c r="AR45" s="378">
        <v>2500</v>
      </c>
      <c r="AS45" s="378">
        <v>8000</v>
      </c>
      <c r="AT45" s="378">
        <v>200000</v>
      </c>
      <c r="AU45" s="378">
        <v>4000</v>
      </c>
      <c r="AV45" s="378">
        <v>2000</v>
      </c>
      <c r="AW45" s="378">
        <v>1500</v>
      </c>
      <c r="AX45" s="378">
        <v>40000</v>
      </c>
      <c r="AY45" s="378">
        <v>1200</v>
      </c>
      <c r="AZ45" s="378" t="s">
        <v>569</v>
      </c>
      <c r="BA45" s="378">
        <v>1075</v>
      </c>
      <c r="BB45" s="378">
        <v>20000</v>
      </c>
      <c r="BC45" s="378">
        <v>18000</v>
      </c>
      <c r="BD45" s="378">
        <v>750</v>
      </c>
      <c r="BE45" s="378">
        <v>1500</v>
      </c>
      <c r="BF45" s="378">
        <v>70000</v>
      </c>
      <c r="BG45" s="378">
        <v>250</v>
      </c>
      <c r="BH45" s="378">
        <v>6500</v>
      </c>
      <c r="BI45" s="378">
        <v>2100</v>
      </c>
      <c r="BJ45" s="378">
        <v>900</v>
      </c>
      <c r="BK45" s="378">
        <v>50</v>
      </c>
      <c r="BL45" s="378">
        <v>450</v>
      </c>
      <c r="BM45" s="378">
        <v>1400</v>
      </c>
      <c r="BN45" s="378">
        <v>45000</v>
      </c>
      <c r="BO45" s="378">
        <v>100</v>
      </c>
      <c r="BP45" s="273">
        <f t="shared" si="5"/>
        <v>10026.406779661016</v>
      </c>
      <c r="BQ45" s="273">
        <f t="shared" si="6"/>
        <v>591558</v>
      </c>
      <c r="BR45" s="125">
        <f t="shared" si="11"/>
        <v>449068.5172413793</v>
      </c>
      <c r="BS45" s="192">
        <f t="shared" si="7"/>
        <v>0.27558425865481317</v>
      </c>
      <c r="BT45" s="192"/>
      <c r="BU45" s="192"/>
      <c r="BV45" s="202">
        <f t="shared" si="1"/>
        <v>15100</v>
      </c>
      <c r="BW45" s="202">
        <f t="shared" si="2"/>
        <v>90600</v>
      </c>
      <c r="BX45" s="168">
        <f t="shared" si="12"/>
        <v>186722.66666666666</v>
      </c>
      <c r="BY45" s="192">
        <f t="shared" si="3"/>
        <v>-0.72317023702114958</v>
      </c>
      <c r="BZ45" s="380">
        <f t="shared" si="13"/>
        <v>-24.5</v>
      </c>
      <c r="CA45" s="380"/>
      <c r="CB45" s="202">
        <f t="shared" si="8"/>
        <v>27259.166666666668</v>
      </c>
      <c r="CC45" s="202">
        <f t="shared" si="9"/>
        <v>327110</v>
      </c>
      <c r="CD45" s="202">
        <f t="shared" si="14"/>
        <v>292600.76666666666</v>
      </c>
      <c r="CE45" s="191">
        <f t="shared" si="4"/>
        <v>0.11148739699822621</v>
      </c>
      <c r="CF45" s="380">
        <f t="shared" si="15"/>
        <v>25.521872601688411</v>
      </c>
      <c r="CG45" s="380">
        <f t="shared" si="10"/>
        <v>72.3028950505946</v>
      </c>
    </row>
    <row r="46" spans="2:85">
      <c r="B46" s="118">
        <f t="shared" si="0"/>
        <v>62</v>
      </c>
      <c r="C46" s="377">
        <v>1985</v>
      </c>
      <c r="D46" s="378">
        <v>3175</v>
      </c>
      <c r="E46" s="378">
        <v>4300</v>
      </c>
      <c r="F46" s="378">
        <v>8700</v>
      </c>
      <c r="G46" s="378">
        <v>300</v>
      </c>
      <c r="H46" s="378">
        <v>15000</v>
      </c>
      <c r="I46" s="378">
        <v>127</v>
      </c>
      <c r="J46" s="378">
        <v>7600</v>
      </c>
      <c r="K46" s="378">
        <v>3500</v>
      </c>
      <c r="L46" s="378">
        <v>15000</v>
      </c>
      <c r="M46" s="378">
        <v>13600</v>
      </c>
      <c r="N46" s="379" t="s">
        <v>571</v>
      </c>
      <c r="O46" s="378">
        <v>120</v>
      </c>
      <c r="P46" s="378">
        <v>650</v>
      </c>
      <c r="Q46" s="378">
        <v>70</v>
      </c>
      <c r="R46" s="378">
        <v>1320</v>
      </c>
      <c r="S46" s="378">
        <v>4800</v>
      </c>
      <c r="T46" s="378">
        <v>1400</v>
      </c>
      <c r="U46" s="378">
        <v>2600</v>
      </c>
      <c r="V46" s="378">
        <v>5855</v>
      </c>
      <c r="W46" s="378">
        <v>600</v>
      </c>
      <c r="X46" s="378">
        <v>50</v>
      </c>
      <c r="Y46" s="378">
        <v>1000</v>
      </c>
      <c r="Z46" s="378">
        <v>800</v>
      </c>
      <c r="AA46" s="378">
        <v>250</v>
      </c>
      <c r="AB46" s="378">
        <v>1300</v>
      </c>
      <c r="AC46" s="378">
        <v>10200</v>
      </c>
      <c r="AD46" s="378">
        <v>30000</v>
      </c>
      <c r="AE46" s="378">
        <v>40000</v>
      </c>
      <c r="AF46" s="378">
        <v>100</v>
      </c>
      <c r="AG46" s="378">
        <v>9300</v>
      </c>
      <c r="AH46" s="378">
        <v>2000</v>
      </c>
      <c r="AI46" s="378">
        <v>100</v>
      </c>
      <c r="AJ46" s="378">
        <v>3000</v>
      </c>
      <c r="AK46" s="378">
        <v>5000</v>
      </c>
      <c r="AL46" s="378">
        <v>17000</v>
      </c>
      <c r="AM46" s="378">
        <v>15000</v>
      </c>
      <c r="AN46" s="378">
        <v>4500</v>
      </c>
      <c r="AO46" s="378">
        <v>110000</v>
      </c>
      <c r="AP46" s="378">
        <v>20</v>
      </c>
      <c r="AQ46" s="378">
        <v>1000</v>
      </c>
      <c r="AR46" s="378">
        <v>4000</v>
      </c>
      <c r="AS46" s="378">
        <v>25000</v>
      </c>
      <c r="AT46" s="378">
        <v>110000</v>
      </c>
      <c r="AU46" s="378">
        <v>2500</v>
      </c>
      <c r="AV46" s="378">
        <v>500</v>
      </c>
      <c r="AW46" s="378">
        <v>200</v>
      </c>
      <c r="AX46" s="378">
        <v>100000</v>
      </c>
      <c r="AY46" s="378">
        <v>6500</v>
      </c>
      <c r="AZ46" s="378">
        <v>8000</v>
      </c>
      <c r="BA46" s="378">
        <v>3350</v>
      </c>
      <c r="BB46" s="378">
        <v>50000</v>
      </c>
      <c r="BC46" s="378">
        <v>50000</v>
      </c>
      <c r="BD46" s="379" t="s">
        <v>571</v>
      </c>
      <c r="BE46" s="378">
        <v>2500</v>
      </c>
      <c r="BF46" s="378">
        <v>140000</v>
      </c>
      <c r="BG46" s="378">
        <v>2400</v>
      </c>
      <c r="BH46" s="378">
        <v>5000</v>
      </c>
      <c r="BI46" s="378">
        <v>1600</v>
      </c>
      <c r="BJ46" s="378">
        <v>4000</v>
      </c>
      <c r="BK46" s="378">
        <v>300</v>
      </c>
      <c r="BL46" s="378">
        <v>1400</v>
      </c>
      <c r="BM46" s="378">
        <v>300</v>
      </c>
      <c r="BN46" s="378">
        <v>35000</v>
      </c>
      <c r="BO46" s="378">
        <v>600</v>
      </c>
      <c r="BP46" s="273">
        <f t="shared" si="5"/>
        <v>14394.951612903225</v>
      </c>
      <c r="BQ46" s="273">
        <f t="shared" si="6"/>
        <v>892487</v>
      </c>
      <c r="BR46" s="125">
        <f t="shared" si="11"/>
        <v>449068.5172413793</v>
      </c>
      <c r="BS46" s="192">
        <f t="shared" si="7"/>
        <v>0.68683647197454389</v>
      </c>
      <c r="BT46" s="192"/>
      <c r="BU46" s="192"/>
      <c r="BV46" s="202">
        <f t="shared" si="1"/>
        <v>27766.666666666668</v>
      </c>
      <c r="BW46" s="202">
        <f t="shared" si="2"/>
        <v>166600</v>
      </c>
      <c r="BX46" s="168">
        <f t="shared" si="12"/>
        <v>186722.66666666666</v>
      </c>
      <c r="BY46" s="192">
        <f t="shared" si="3"/>
        <v>-0.11402872033734085</v>
      </c>
      <c r="BZ46" s="380">
        <f t="shared" si="13"/>
        <v>83.885209713024281</v>
      </c>
      <c r="CA46" s="380"/>
      <c r="CB46" s="202">
        <f t="shared" si="8"/>
        <v>29554.583333333332</v>
      </c>
      <c r="CC46" s="202">
        <f t="shared" si="9"/>
        <v>354655</v>
      </c>
      <c r="CD46" s="202">
        <f t="shared" si="14"/>
        <v>292600.76666666666</v>
      </c>
      <c r="CE46" s="191">
        <f t="shared" si="4"/>
        <v>0.19233637718617222</v>
      </c>
      <c r="CF46" s="380">
        <f t="shared" si="15"/>
        <v>8.4207147442756263</v>
      </c>
      <c r="CG46" s="380">
        <f t="shared" si="10"/>
        <v>53.024770551662883</v>
      </c>
    </row>
    <row r="47" spans="2:85">
      <c r="B47" s="118">
        <f t="shared" si="0"/>
        <v>54</v>
      </c>
      <c r="C47" s="377">
        <v>1987</v>
      </c>
      <c r="D47" s="378">
        <v>800</v>
      </c>
      <c r="E47" s="378">
        <v>1250</v>
      </c>
      <c r="F47" s="378">
        <v>3500</v>
      </c>
      <c r="G47" s="378">
        <v>450</v>
      </c>
      <c r="H47" s="378">
        <v>2293</v>
      </c>
      <c r="I47" s="378">
        <v>32</v>
      </c>
      <c r="J47" s="378">
        <v>5500</v>
      </c>
      <c r="K47" s="378">
        <v>2325</v>
      </c>
      <c r="L47" s="378">
        <v>4600</v>
      </c>
      <c r="M47" s="378">
        <v>5200</v>
      </c>
      <c r="N47" s="378" t="s">
        <v>569</v>
      </c>
      <c r="O47" s="378">
        <v>33</v>
      </c>
      <c r="P47" s="378">
        <v>50</v>
      </c>
      <c r="Q47" s="378">
        <v>3</v>
      </c>
      <c r="R47" s="378">
        <v>85</v>
      </c>
      <c r="S47" s="378">
        <v>890</v>
      </c>
      <c r="T47" s="378">
        <v>1000</v>
      </c>
      <c r="U47" s="378">
        <v>75</v>
      </c>
      <c r="V47" s="378">
        <v>690</v>
      </c>
      <c r="W47" s="378" t="s">
        <v>570</v>
      </c>
      <c r="X47" s="378" t="s">
        <v>569</v>
      </c>
      <c r="Y47" s="378">
        <v>20</v>
      </c>
      <c r="Z47" s="378">
        <v>50</v>
      </c>
      <c r="AA47" s="379" t="s">
        <v>571</v>
      </c>
      <c r="AB47" s="378">
        <v>500</v>
      </c>
      <c r="AC47" s="378">
        <v>275</v>
      </c>
      <c r="AD47" s="378">
        <v>900</v>
      </c>
      <c r="AE47" s="378">
        <v>3000</v>
      </c>
      <c r="AF47" s="378" t="s">
        <v>570</v>
      </c>
      <c r="AG47" s="378">
        <v>250</v>
      </c>
      <c r="AH47" s="378">
        <v>300</v>
      </c>
      <c r="AI47" s="378" t="s">
        <v>569</v>
      </c>
      <c r="AJ47" s="378">
        <v>600</v>
      </c>
      <c r="AK47" s="378">
        <v>175</v>
      </c>
      <c r="AL47" s="378">
        <v>1000</v>
      </c>
      <c r="AM47" s="378">
        <v>1830</v>
      </c>
      <c r="AN47" s="378">
        <v>130</v>
      </c>
      <c r="AO47" s="378">
        <v>1650</v>
      </c>
      <c r="AP47" s="378">
        <v>6</v>
      </c>
      <c r="AQ47" s="378" t="s">
        <v>569</v>
      </c>
      <c r="AR47" s="378">
        <v>500</v>
      </c>
      <c r="AS47" s="378">
        <v>350</v>
      </c>
      <c r="AT47" s="378">
        <v>15000</v>
      </c>
      <c r="AU47" s="378">
        <v>20</v>
      </c>
      <c r="AV47" s="378" t="s">
        <v>570</v>
      </c>
      <c r="AW47" s="378" t="s">
        <v>569</v>
      </c>
      <c r="AX47" s="378">
        <v>6500</v>
      </c>
      <c r="AY47" s="378">
        <v>1000</v>
      </c>
      <c r="AZ47" s="378">
        <v>750</v>
      </c>
      <c r="BA47" s="378">
        <v>1950</v>
      </c>
      <c r="BB47" s="378">
        <v>25000</v>
      </c>
      <c r="BC47" s="378">
        <v>30000</v>
      </c>
      <c r="BD47" s="378" t="s">
        <v>572</v>
      </c>
      <c r="BE47" s="378">
        <v>1000</v>
      </c>
      <c r="BF47" s="378">
        <v>1000</v>
      </c>
      <c r="BG47" s="378">
        <v>400</v>
      </c>
      <c r="BH47" s="378">
        <v>2700</v>
      </c>
      <c r="BI47" s="378">
        <v>550</v>
      </c>
      <c r="BJ47" s="378">
        <v>200</v>
      </c>
      <c r="BK47" s="378">
        <v>300</v>
      </c>
      <c r="BL47" s="378">
        <v>22</v>
      </c>
      <c r="BM47" s="378">
        <v>300</v>
      </c>
      <c r="BN47" s="378">
        <v>18000</v>
      </c>
      <c r="BO47" s="378">
        <v>30</v>
      </c>
      <c r="BP47" s="273">
        <f t="shared" si="5"/>
        <v>2685.8148148148148</v>
      </c>
      <c r="BQ47" s="273">
        <f t="shared" si="6"/>
        <v>145034</v>
      </c>
      <c r="BR47" s="125">
        <f t="shared" si="11"/>
        <v>449068.5172413793</v>
      </c>
      <c r="BS47" s="192">
        <f t="shared" si="7"/>
        <v>-1.1302072780544274</v>
      </c>
      <c r="BT47" s="192"/>
      <c r="BU47" s="192"/>
      <c r="BV47" s="202">
        <f t="shared" si="1"/>
        <v>11325</v>
      </c>
      <c r="BW47" s="202">
        <f t="shared" si="2"/>
        <v>67950</v>
      </c>
      <c r="BX47" s="168">
        <f t="shared" si="12"/>
        <v>186722.66666666666</v>
      </c>
      <c r="BY47" s="192">
        <f t="shared" si="3"/>
        <v>-1.0108523094729305</v>
      </c>
      <c r="BZ47" s="380">
        <f t="shared" si="13"/>
        <v>-59.213685474189681</v>
      </c>
      <c r="CA47" s="380"/>
      <c r="CB47" s="202">
        <f t="shared" si="8"/>
        <v>7342.333333333333</v>
      </c>
      <c r="CC47" s="202">
        <f t="shared" si="9"/>
        <v>88108</v>
      </c>
      <c r="CD47" s="202">
        <f t="shared" si="14"/>
        <v>292600.76666666666</v>
      </c>
      <c r="CE47" s="191">
        <f t="shared" si="4"/>
        <v>-1.2002457740475108</v>
      </c>
      <c r="CF47" s="380">
        <f t="shared" si="15"/>
        <v>-75.156701583228767</v>
      </c>
      <c r="CG47" s="380">
        <f t="shared" si="10"/>
        <v>22.878739728515004</v>
      </c>
    </row>
    <row r="48" spans="2:85">
      <c r="B48" s="118">
        <f t="shared" si="0"/>
        <v>56</v>
      </c>
      <c r="C48" s="377">
        <v>1989</v>
      </c>
      <c r="D48" s="378">
        <v>5</v>
      </c>
      <c r="E48" s="378">
        <v>220</v>
      </c>
      <c r="F48" s="378">
        <v>2000</v>
      </c>
      <c r="G48" s="378">
        <v>5</v>
      </c>
      <c r="H48" s="378">
        <v>2000</v>
      </c>
      <c r="I48" s="378">
        <v>100</v>
      </c>
      <c r="J48" s="378">
        <v>12000</v>
      </c>
      <c r="K48" s="378">
        <v>1500</v>
      </c>
      <c r="L48" s="378">
        <v>55000</v>
      </c>
      <c r="M48" s="378">
        <v>21000</v>
      </c>
      <c r="N48" s="378">
        <v>25</v>
      </c>
      <c r="O48" s="378">
        <v>100</v>
      </c>
      <c r="P48" s="378" t="s">
        <v>571</v>
      </c>
      <c r="Q48" s="378">
        <v>10</v>
      </c>
      <c r="R48" s="378">
        <v>300</v>
      </c>
      <c r="S48" s="378">
        <v>3500</v>
      </c>
      <c r="T48" s="378">
        <v>550</v>
      </c>
      <c r="U48" s="378">
        <v>100</v>
      </c>
      <c r="V48" s="378">
        <v>4000</v>
      </c>
      <c r="W48" s="378">
        <v>20</v>
      </c>
      <c r="X48" s="378">
        <v>100</v>
      </c>
      <c r="Y48" s="378">
        <v>1300</v>
      </c>
      <c r="Z48" s="378">
        <v>350</v>
      </c>
      <c r="AA48" s="378">
        <v>20</v>
      </c>
      <c r="AB48" s="378">
        <v>600</v>
      </c>
      <c r="AC48" s="378">
        <v>2000</v>
      </c>
      <c r="AD48" s="378">
        <v>11000</v>
      </c>
      <c r="AE48" s="378">
        <v>10000</v>
      </c>
      <c r="AF48" s="378" t="s">
        <v>569</v>
      </c>
      <c r="AG48" s="378">
        <v>500</v>
      </c>
      <c r="AH48" s="378">
        <v>500</v>
      </c>
      <c r="AI48" s="378">
        <v>4</v>
      </c>
      <c r="AJ48" s="378">
        <v>100</v>
      </c>
      <c r="AK48" s="378">
        <v>200</v>
      </c>
      <c r="AL48" s="378">
        <v>4000</v>
      </c>
      <c r="AM48" s="378">
        <v>4500</v>
      </c>
      <c r="AN48" s="378">
        <v>650</v>
      </c>
      <c r="AO48" s="378">
        <v>10000</v>
      </c>
      <c r="AP48" s="378" t="s">
        <v>569</v>
      </c>
      <c r="AQ48" s="378" t="s">
        <v>570</v>
      </c>
      <c r="AR48" s="378">
        <v>60</v>
      </c>
      <c r="AS48" s="378">
        <v>125</v>
      </c>
      <c r="AT48" s="378">
        <v>25000</v>
      </c>
      <c r="AU48" s="378">
        <v>2500</v>
      </c>
      <c r="AV48" s="378">
        <v>4000</v>
      </c>
      <c r="AW48" s="378" t="s">
        <v>569</v>
      </c>
      <c r="AX48" s="378">
        <v>43000</v>
      </c>
      <c r="AY48" s="378">
        <v>400</v>
      </c>
      <c r="AZ48" s="378">
        <v>600</v>
      </c>
      <c r="BA48" s="378">
        <v>394</v>
      </c>
      <c r="BB48" s="378">
        <v>2500</v>
      </c>
      <c r="BC48" s="378">
        <v>8200</v>
      </c>
      <c r="BD48" s="378" t="s">
        <v>572</v>
      </c>
      <c r="BE48" s="378">
        <v>3000</v>
      </c>
      <c r="BF48" s="378">
        <v>7000</v>
      </c>
      <c r="BG48" s="378">
        <v>140</v>
      </c>
      <c r="BH48" s="378">
        <v>550</v>
      </c>
      <c r="BI48" s="378">
        <v>150</v>
      </c>
      <c r="BJ48" s="378">
        <v>1800</v>
      </c>
      <c r="BK48" s="378" t="s">
        <v>569</v>
      </c>
      <c r="BL48" s="378">
        <v>600</v>
      </c>
      <c r="BM48" s="378" t="s">
        <v>569</v>
      </c>
      <c r="BN48" s="378">
        <v>25000</v>
      </c>
      <c r="BO48" s="378">
        <v>6</v>
      </c>
      <c r="BP48" s="273">
        <f t="shared" si="5"/>
        <v>4880.0714285714284</v>
      </c>
      <c r="BQ48" s="273">
        <f t="shared" si="6"/>
        <v>273284</v>
      </c>
      <c r="BR48" s="125">
        <f t="shared" si="11"/>
        <v>449068.5172413793</v>
      </c>
      <c r="BS48" s="192">
        <f t="shared" si="7"/>
        <v>-0.49666392825141004</v>
      </c>
      <c r="BT48" s="192"/>
      <c r="BU48" s="192"/>
      <c r="BV48" s="202">
        <f t="shared" si="1"/>
        <v>7320</v>
      </c>
      <c r="BW48" s="202">
        <f t="shared" si="2"/>
        <v>43920</v>
      </c>
      <c r="BX48" s="168">
        <f t="shared" si="12"/>
        <v>186722.66666666666</v>
      </c>
      <c r="BY48" s="192">
        <f t="shared" si="3"/>
        <v>-1.4472546528688079</v>
      </c>
      <c r="BZ48" s="380">
        <f t="shared" si="13"/>
        <v>-35.364238410596023</v>
      </c>
      <c r="CA48" s="380"/>
      <c r="CB48" s="202">
        <f t="shared" si="8"/>
        <v>7660</v>
      </c>
      <c r="CC48" s="202">
        <f t="shared" si="9"/>
        <v>91920</v>
      </c>
      <c r="CD48" s="202">
        <f t="shared" si="14"/>
        <v>292600.76666666666</v>
      </c>
      <c r="CE48" s="191">
        <f t="shared" si="4"/>
        <v>-1.1578904752289216</v>
      </c>
      <c r="CF48" s="380">
        <f t="shared" si="15"/>
        <v>4.3265083760838969</v>
      </c>
      <c r="CG48" s="380">
        <f t="shared" si="10"/>
        <v>52.219321148825067</v>
      </c>
    </row>
    <row r="49" spans="2:85">
      <c r="B49" s="118">
        <f t="shared" si="0"/>
        <v>50</v>
      </c>
      <c r="C49" s="377">
        <v>1991</v>
      </c>
      <c r="D49" s="378" t="s">
        <v>569</v>
      </c>
      <c r="E49" s="378" t="s">
        <v>569</v>
      </c>
      <c r="F49" s="378">
        <v>2900</v>
      </c>
      <c r="G49" s="378">
        <v>2</v>
      </c>
      <c r="H49" s="378">
        <v>1200</v>
      </c>
      <c r="I49" s="378">
        <v>30</v>
      </c>
      <c r="J49" s="378">
        <v>3000</v>
      </c>
      <c r="K49" s="378">
        <v>500</v>
      </c>
      <c r="L49" s="378">
        <v>2170</v>
      </c>
      <c r="M49" s="378">
        <v>9700</v>
      </c>
      <c r="N49" s="378">
        <v>11</v>
      </c>
      <c r="O49" s="378">
        <v>34</v>
      </c>
      <c r="P49" s="378">
        <v>2</v>
      </c>
      <c r="Q49" s="378">
        <v>11</v>
      </c>
      <c r="R49" s="378" t="s">
        <v>569</v>
      </c>
      <c r="S49" s="378">
        <v>1280</v>
      </c>
      <c r="T49" s="378">
        <v>1681</v>
      </c>
      <c r="U49" s="378">
        <v>100</v>
      </c>
      <c r="V49" s="378">
        <v>11640</v>
      </c>
      <c r="W49" s="378" t="s">
        <v>569</v>
      </c>
      <c r="X49" s="378">
        <v>150</v>
      </c>
      <c r="Y49" s="378">
        <v>150</v>
      </c>
      <c r="Z49" s="378">
        <v>2000</v>
      </c>
      <c r="AA49" s="378">
        <v>10</v>
      </c>
      <c r="AB49" s="378">
        <v>250</v>
      </c>
      <c r="AC49" s="378">
        <v>525</v>
      </c>
      <c r="AD49" s="378">
        <v>5500</v>
      </c>
      <c r="AE49" s="378">
        <v>4000</v>
      </c>
      <c r="AF49" s="378" t="s">
        <v>569</v>
      </c>
      <c r="AG49" s="378">
        <v>300</v>
      </c>
      <c r="AH49" s="378">
        <v>300</v>
      </c>
      <c r="AI49" s="378">
        <v>10</v>
      </c>
      <c r="AJ49" s="378">
        <v>100</v>
      </c>
      <c r="AK49" s="378">
        <v>1000</v>
      </c>
      <c r="AL49" s="378">
        <v>1500</v>
      </c>
      <c r="AM49" s="378">
        <v>2800</v>
      </c>
      <c r="AN49" s="378">
        <v>350</v>
      </c>
      <c r="AO49" s="378">
        <v>3000</v>
      </c>
      <c r="AP49" s="378" t="s">
        <v>569</v>
      </c>
      <c r="AQ49" s="378" t="s">
        <v>569</v>
      </c>
      <c r="AR49" s="378" t="s">
        <v>569</v>
      </c>
      <c r="AS49" s="378">
        <v>200</v>
      </c>
      <c r="AT49" s="378">
        <v>17000</v>
      </c>
      <c r="AU49" s="378">
        <v>50</v>
      </c>
      <c r="AV49" s="378">
        <v>125</v>
      </c>
      <c r="AW49" s="378" t="s">
        <v>569</v>
      </c>
      <c r="AX49" s="378">
        <v>110000</v>
      </c>
      <c r="AY49" s="378">
        <v>50</v>
      </c>
      <c r="AZ49" s="378">
        <v>110</v>
      </c>
      <c r="BA49" s="378">
        <v>105</v>
      </c>
      <c r="BB49" s="378">
        <v>800</v>
      </c>
      <c r="BC49" s="378">
        <v>2950</v>
      </c>
      <c r="BD49" s="378" t="s">
        <v>572</v>
      </c>
      <c r="BE49" s="378">
        <v>270</v>
      </c>
      <c r="BF49" s="378">
        <v>500</v>
      </c>
      <c r="BG49" s="378">
        <v>7</v>
      </c>
      <c r="BH49" s="378">
        <v>30</v>
      </c>
      <c r="BI49" s="378">
        <v>14</v>
      </c>
      <c r="BJ49" s="378">
        <v>150</v>
      </c>
      <c r="BK49" s="378" t="s">
        <v>569</v>
      </c>
      <c r="BL49" s="378" t="s">
        <v>572</v>
      </c>
      <c r="BM49" s="378" t="s">
        <v>571</v>
      </c>
      <c r="BN49" s="378">
        <v>15000</v>
      </c>
      <c r="BO49" s="378" t="s">
        <v>569</v>
      </c>
      <c r="BP49" s="273">
        <f t="shared" si="5"/>
        <v>4071.34</v>
      </c>
      <c r="BQ49" s="273">
        <f t="shared" si="6"/>
        <v>203567</v>
      </c>
      <c r="BR49" s="125">
        <f t="shared" si="11"/>
        <v>449068.5172413793</v>
      </c>
      <c r="BS49" s="192">
        <f t="shared" si="7"/>
        <v>-0.79118028672199447</v>
      </c>
      <c r="BT49" s="192"/>
      <c r="BU49" s="192"/>
      <c r="BV49" s="202">
        <f t="shared" si="1"/>
        <v>4070</v>
      </c>
      <c r="BW49" s="202">
        <f t="shared" si="2"/>
        <v>20350</v>
      </c>
      <c r="BX49" s="168">
        <f t="shared" si="12"/>
        <v>186722.66666666666</v>
      </c>
      <c r="BY49" s="192">
        <f t="shared" si="3"/>
        <v>-2.2165435381814791</v>
      </c>
      <c r="BZ49" s="380">
        <f t="shared" si="13"/>
        <v>-53.665755919854284</v>
      </c>
      <c r="CA49" s="380"/>
      <c r="CB49" s="202">
        <f t="shared" si="8"/>
        <v>5246.818181818182</v>
      </c>
      <c r="CC49" s="202">
        <f t="shared" si="9"/>
        <v>57715</v>
      </c>
      <c r="CD49" s="202">
        <f t="shared" si="14"/>
        <v>292600.76666666666</v>
      </c>
      <c r="CE49" s="191">
        <f t="shared" si="4"/>
        <v>-1.6232920037025464</v>
      </c>
      <c r="CF49" s="380">
        <f t="shared" si="15"/>
        <v>-37.211705831157524</v>
      </c>
      <c r="CG49" s="380">
        <f t="shared" si="10"/>
        <v>64.740535389413495</v>
      </c>
    </row>
    <row r="50" spans="2:85">
      <c r="B50" s="118">
        <f t="shared" si="0"/>
        <v>50</v>
      </c>
      <c r="C50" s="377">
        <v>1993</v>
      </c>
      <c r="D50" s="379" t="s">
        <v>569</v>
      </c>
      <c r="E50" s="379">
        <v>1</v>
      </c>
      <c r="F50" s="379">
        <v>2825</v>
      </c>
      <c r="G50" s="379" t="s">
        <v>569</v>
      </c>
      <c r="H50" s="379">
        <v>2125</v>
      </c>
      <c r="I50" s="379">
        <v>250</v>
      </c>
      <c r="J50" s="379">
        <v>5300</v>
      </c>
      <c r="K50" s="379">
        <v>430</v>
      </c>
      <c r="L50" s="379">
        <v>2300</v>
      </c>
      <c r="M50" s="379">
        <v>15500</v>
      </c>
      <c r="N50" s="379">
        <v>250</v>
      </c>
      <c r="O50" s="379">
        <v>90</v>
      </c>
      <c r="P50" s="379">
        <v>200</v>
      </c>
      <c r="Q50" s="379">
        <v>100</v>
      </c>
      <c r="R50" s="379" t="s">
        <v>570</v>
      </c>
      <c r="S50" s="379">
        <v>10500</v>
      </c>
      <c r="T50" s="379" t="s">
        <v>571</v>
      </c>
      <c r="U50" s="379" t="s">
        <v>571</v>
      </c>
      <c r="V50" s="379">
        <v>14600</v>
      </c>
      <c r="W50" s="379" t="s">
        <v>569</v>
      </c>
      <c r="X50" s="379">
        <v>35</v>
      </c>
      <c r="Y50" s="379">
        <v>500</v>
      </c>
      <c r="Z50" s="379">
        <v>1000</v>
      </c>
      <c r="AA50" s="379">
        <v>300</v>
      </c>
      <c r="AB50" s="379">
        <v>700</v>
      </c>
      <c r="AC50" s="379">
        <v>1800</v>
      </c>
      <c r="AD50" s="379">
        <v>15000</v>
      </c>
      <c r="AE50" s="379">
        <v>10500</v>
      </c>
      <c r="AF50" s="379">
        <v>60</v>
      </c>
      <c r="AG50" s="379">
        <v>1500</v>
      </c>
      <c r="AH50" s="379">
        <v>700</v>
      </c>
      <c r="AI50" s="379">
        <v>120</v>
      </c>
      <c r="AJ50" s="379">
        <v>2100</v>
      </c>
      <c r="AK50" s="379">
        <v>1000</v>
      </c>
      <c r="AL50" s="379">
        <v>1500</v>
      </c>
      <c r="AM50" s="379">
        <v>2000</v>
      </c>
      <c r="AN50" s="379">
        <v>1000</v>
      </c>
      <c r="AO50" s="379">
        <v>2600</v>
      </c>
      <c r="AP50" s="379" t="s">
        <v>569</v>
      </c>
      <c r="AQ50" s="379" t="s">
        <v>569</v>
      </c>
      <c r="AR50" s="379" t="s">
        <v>570</v>
      </c>
      <c r="AS50" s="379">
        <v>48</v>
      </c>
      <c r="AT50" s="379">
        <v>10000</v>
      </c>
      <c r="AU50" s="379">
        <v>2000</v>
      </c>
      <c r="AV50" s="379">
        <v>100</v>
      </c>
      <c r="AW50" s="379" t="s">
        <v>569</v>
      </c>
      <c r="AX50" s="379">
        <v>20000</v>
      </c>
      <c r="AY50" s="379">
        <v>150</v>
      </c>
      <c r="AZ50" s="379">
        <v>400</v>
      </c>
      <c r="BA50" s="379">
        <v>500</v>
      </c>
      <c r="BB50" s="379">
        <v>3000</v>
      </c>
      <c r="BC50" s="379">
        <v>4000</v>
      </c>
      <c r="BD50" s="379" t="s">
        <v>570</v>
      </c>
      <c r="BE50" s="379">
        <v>800</v>
      </c>
      <c r="BF50" s="379">
        <v>3000</v>
      </c>
      <c r="BG50" s="379" t="s">
        <v>571</v>
      </c>
      <c r="BH50" s="379">
        <v>300</v>
      </c>
      <c r="BI50" s="379" t="s">
        <v>571</v>
      </c>
      <c r="BJ50" s="379">
        <v>500</v>
      </c>
      <c r="BK50" s="379" t="s">
        <v>570</v>
      </c>
      <c r="BL50" s="379">
        <v>250</v>
      </c>
      <c r="BM50" s="379">
        <v>50</v>
      </c>
      <c r="BN50" s="378">
        <v>10000</v>
      </c>
      <c r="BO50" s="378">
        <v>50</v>
      </c>
      <c r="BP50" s="273">
        <f t="shared" si="5"/>
        <v>3040.68</v>
      </c>
      <c r="BQ50" s="273">
        <f t="shared" si="6"/>
        <v>152034</v>
      </c>
      <c r="BR50" s="125">
        <f t="shared" si="11"/>
        <v>449068.5172413793</v>
      </c>
      <c r="BS50" s="192">
        <f t="shared" si="7"/>
        <v>-1.0830712957036175</v>
      </c>
      <c r="BT50" s="192"/>
      <c r="BU50" s="192"/>
      <c r="BV50" s="202">
        <f t="shared" si="1"/>
        <v>5971</v>
      </c>
      <c r="BW50" s="202">
        <f t="shared" si="2"/>
        <v>35826</v>
      </c>
      <c r="BX50" s="168">
        <f t="shared" si="12"/>
        <v>186722.66666666666</v>
      </c>
      <c r="BY50" s="192">
        <f t="shared" si="3"/>
        <v>-1.6509505632771728</v>
      </c>
      <c r="BZ50" s="380">
        <f t="shared" si="13"/>
        <v>76.04914004914005</v>
      </c>
      <c r="CA50" s="380"/>
      <c r="CB50" s="202">
        <f t="shared" si="8"/>
        <v>6737.583333333333</v>
      </c>
      <c r="CC50" s="202">
        <f t="shared" si="9"/>
        <v>80851</v>
      </c>
      <c r="CD50" s="202">
        <f t="shared" si="14"/>
        <v>292600.76666666666</v>
      </c>
      <c r="CE50" s="191">
        <f t="shared" si="4"/>
        <v>-1.2862011542389993</v>
      </c>
      <c r="CF50" s="380">
        <f t="shared" si="15"/>
        <v>40.086632591180802</v>
      </c>
      <c r="CG50" s="380">
        <f t="shared" si="10"/>
        <v>55.688859754362959</v>
      </c>
    </row>
    <row r="51" spans="2:85">
      <c r="B51" s="118">
        <f t="shared" si="0"/>
        <v>36</v>
      </c>
      <c r="C51" s="377">
        <v>1995</v>
      </c>
      <c r="D51" s="379" t="s">
        <v>571</v>
      </c>
      <c r="E51" s="379" t="s">
        <v>571</v>
      </c>
      <c r="F51" s="379">
        <v>3000</v>
      </c>
      <c r="G51" s="379" t="s">
        <v>571</v>
      </c>
      <c r="H51" s="379" t="s">
        <v>570</v>
      </c>
      <c r="I51" s="379">
        <v>6</v>
      </c>
      <c r="J51" s="379">
        <v>1000</v>
      </c>
      <c r="K51" s="379">
        <v>200</v>
      </c>
      <c r="L51" s="379">
        <v>1800</v>
      </c>
      <c r="M51" s="379">
        <v>15000</v>
      </c>
      <c r="N51" s="379">
        <v>2</v>
      </c>
      <c r="O51" s="379" t="s">
        <v>571</v>
      </c>
      <c r="P51" s="379" t="s">
        <v>571</v>
      </c>
      <c r="Q51" s="379" t="s">
        <v>571</v>
      </c>
      <c r="R51" s="379" t="s">
        <v>571</v>
      </c>
      <c r="S51" s="379" t="s">
        <v>570</v>
      </c>
      <c r="T51" s="379">
        <v>2500</v>
      </c>
      <c r="U51" s="379" t="s">
        <v>570</v>
      </c>
      <c r="V51" s="379">
        <v>6000</v>
      </c>
      <c r="W51" s="379" t="s">
        <v>570</v>
      </c>
      <c r="X51" s="379">
        <v>100</v>
      </c>
      <c r="Y51" s="379">
        <v>75</v>
      </c>
      <c r="Z51" s="379">
        <v>1000</v>
      </c>
      <c r="AA51" s="379" t="s">
        <v>570</v>
      </c>
      <c r="AB51" s="379">
        <v>3000</v>
      </c>
      <c r="AC51" s="379">
        <v>400</v>
      </c>
      <c r="AD51" s="379">
        <v>16000</v>
      </c>
      <c r="AE51" s="379">
        <v>12500</v>
      </c>
      <c r="AF51" s="379" t="s">
        <v>571</v>
      </c>
      <c r="AG51" s="379">
        <v>650</v>
      </c>
      <c r="AH51" s="379">
        <v>150</v>
      </c>
      <c r="AI51" s="379" t="s">
        <v>570</v>
      </c>
      <c r="AJ51" s="379" t="s">
        <v>570</v>
      </c>
      <c r="AK51" s="379" t="s">
        <v>570</v>
      </c>
      <c r="AL51" s="379" t="s">
        <v>570</v>
      </c>
      <c r="AM51" s="379">
        <v>4000</v>
      </c>
      <c r="AN51" s="379">
        <v>1000</v>
      </c>
      <c r="AO51" s="379">
        <v>2000</v>
      </c>
      <c r="AP51" s="379" t="s">
        <v>570</v>
      </c>
      <c r="AQ51" s="379" t="s">
        <v>571</v>
      </c>
      <c r="AR51" s="379" t="s">
        <v>571</v>
      </c>
      <c r="AS51" s="379" t="s">
        <v>571</v>
      </c>
      <c r="AT51" s="379">
        <v>10000</v>
      </c>
      <c r="AU51" s="379">
        <v>100</v>
      </c>
      <c r="AV51" s="379">
        <v>2000</v>
      </c>
      <c r="AW51" s="379" t="s">
        <v>571</v>
      </c>
      <c r="AX51" s="379">
        <v>75000</v>
      </c>
      <c r="AY51" s="379">
        <v>100</v>
      </c>
      <c r="AZ51" s="379">
        <v>250</v>
      </c>
      <c r="BA51" s="379">
        <v>150</v>
      </c>
      <c r="BB51" s="379">
        <v>10000</v>
      </c>
      <c r="BC51" s="379">
        <v>4000</v>
      </c>
      <c r="BD51" s="379" t="s">
        <v>570</v>
      </c>
      <c r="BE51" s="379">
        <v>300</v>
      </c>
      <c r="BF51" s="379">
        <v>3000</v>
      </c>
      <c r="BG51" s="379" t="s">
        <v>570</v>
      </c>
      <c r="BH51" s="379">
        <v>100</v>
      </c>
      <c r="BI51" s="379">
        <v>100</v>
      </c>
      <c r="BJ51" s="379" t="s">
        <v>571</v>
      </c>
      <c r="BK51" s="379" t="s">
        <v>571</v>
      </c>
      <c r="BL51" s="379" t="s">
        <v>571</v>
      </c>
      <c r="BM51" s="379" t="s">
        <v>571</v>
      </c>
      <c r="BN51" s="378">
        <v>26000</v>
      </c>
      <c r="BO51" s="378">
        <v>25</v>
      </c>
      <c r="BP51" s="273">
        <f t="shared" si="5"/>
        <v>5597.4444444444443</v>
      </c>
      <c r="BQ51" s="273">
        <f t="shared" si="6"/>
        <v>201508</v>
      </c>
      <c r="BR51" s="125">
        <f t="shared" si="11"/>
        <v>449068.5172413793</v>
      </c>
      <c r="BS51" s="192">
        <f t="shared" si="7"/>
        <v>-0.80134639291496146</v>
      </c>
      <c r="BT51" s="192"/>
      <c r="BU51" s="192"/>
      <c r="BV51" s="202">
        <f t="shared" si="1"/>
        <v>8900</v>
      </c>
      <c r="BW51" s="202">
        <f t="shared" si="2"/>
        <v>44500</v>
      </c>
      <c r="BX51" s="168">
        <f t="shared" si="12"/>
        <v>186722.66666666666</v>
      </c>
      <c r="BY51" s="192">
        <f t="shared" si="3"/>
        <v>-1.4341352608978886</v>
      </c>
      <c r="BZ51" s="380">
        <f t="shared" si="13"/>
        <v>24.211466532685758</v>
      </c>
      <c r="CA51" s="380"/>
      <c r="CB51" s="202">
        <f t="shared" si="8"/>
        <v>8544.4444444444453</v>
      </c>
      <c r="CC51" s="202">
        <f t="shared" si="9"/>
        <v>76900</v>
      </c>
      <c r="CD51" s="202">
        <f t="shared" si="14"/>
        <v>292600.76666666666</v>
      </c>
      <c r="CE51" s="191">
        <f t="shared" si="4"/>
        <v>-1.3363032322578237</v>
      </c>
      <c r="CF51" s="380">
        <f t="shared" si="15"/>
        <v>-4.8867670158686964</v>
      </c>
      <c r="CG51" s="380">
        <f t="shared" si="10"/>
        <v>42.132639791937578</v>
      </c>
    </row>
    <row r="52" spans="2:85">
      <c r="B52" s="118">
        <f t="shared" si="0"/>
        <v>40</v>
      </c>
      <c r="C52" s="377">
        <v>1997</v>
      </c>
      <c r="D52" s="379" t="s">
        <v>570</v>
      </c>
      <c r="E52" s="379" t="s">
        <v>570</v>
      </c>
      <c r="F52" s="379">
        <v>2100</v>
      </c>
      <c r="G52" s="379">
        <v>50</v>
      </c>
      <c r="H52" s="379">
        <v>15000</v>
      </c>
      <c r="I52" s="379">
        <v>250</v>
      </c>
      <c r="J52" s="379">
        <v>1500</v>
      </c>
      <c r="K52" s="379">
        <v>400</v>
      </c>
      <c r="L52" s="379">
        <v>1000</v>
      </c>
      <c r="M52" s="379">
        <v>20000</v>
      </c>
      <c r="N52" s="379" t="s">
        <v>572</v>
      </c>
      <c r="O52" s="379">
        <v>20</v>
      </c>
      <c r="P52" s="379">
        <v>50</v>
      </c>
      <c r="Q52" s="379">
        <v>100</v>
      </c>
      <c r="R52" s="379">
        <v>220</v>
      </c>
      <c r="S52" s="379" t="s">
        <v>570</v>
      </c>
      <c r="T52" s="379" t="s">
        <v>572</v>
      </c>
      <c r="U52" s="379" t="s">
        <v>572</v>
      </c>
      <c r="V52" s="379">
        <v>2700</v>
      </c>
      <c r="W52" s="379" t="s">
        <v>570</v>
      </c>
      <c r="X52" s="379" t="s">
        <v>569</v>
      </c>
      <c r="Y52" s="379" t="s">
        <v>572</v>
      </c>
      <c r="Z52" s="379">
        <v>6000</v>
      </c>
      <c r="AA52" s="379" t="s">
        <v>569</v>
      </c>
      <c r="AB52" s="379" t="s">
        <v>572</v>
      </c>
      <c r="AC52" s="379">
        <v>400</v>
      </c>
      <c r="AD52" s="379">
        <v>3500</v>
      </c>
      <c r="AE52" s="379">
        <v>2000</v>
      </c>
      <c r="AF52" s="379" t="s">
        <v>570</v>
      </c>
      <c r="AG52" s="379">
        <v>750</v>
      </c>
      <c r="AH52" s="379">
        <v>50</v>
      </c>
      <c r="AI52" s="379">
        <v>10</v>
      </c>
      <c r="AJ52" s="379">
        <v>4000</v>
      </c>
      <c r="AK52" s="379" t="s">
        <v>572</v>
      </c>
      <c r="AL52" s="379">
        <v>50000</v>
      </c>
      <c r="AM52" s="379">
        <v>10000</v>
      </c>
      <c r="AN52" s="379">
        <v>300</v>
      </c>
      <c r="AO52" s="379">
        <v>12000</v>
      </c>
      <c r="AP52" s="379" t="s">
        <v>572</v>
      </c>
      <c r="AQ52" s="379" t="s">
        <v>570</v>
      </c>
      <c r="AR52" s="379" t="s">
        <v>572</v>
      </c>
      <c r="AS52" s="379" t="s">
        <v>572</v>
      </c>
      <c r="AT52" s="379">
        <v>32000</v>
      </c>
      <c r="AU52" s="379">
        <v>500</v>
      </c>
      <c r="AV52" s="379" t="s">
        <v>569</v>
      </c>
      <c r="AW52" s="379" t="s">
        <v>570</v>
      </c>
      <c r="AX52" s="379">
        <v>25000</v>
      </c>
      <c r="AY52" s="379">
        <v>50</v>
      </c>
      <c r="AZ52" s="379">
        <v>200</v>
      </c>
      <c r="BA52" s="379" t="s">
        <v>572</v>
      </c>
      <c r="BB52" s="379">
        <v>50000</v>
      </c>
      <c r="BC52" s="379">
        <v>100000</v>
      </c>
      <c r="BD52" s="379" t="s">
        <v>570</v>
      </c>
      <c r="BE52" s="379">
        <v>600</v>
      </c>
      <c r="BF52" s="379">
        <v>1500</v>
      </c>
      <c r="BG52" s="379" t="s">
        <v>570</v>
      </c>
      <c r="BH52" s="379">
        <v>100</v>
      </c>
      <c r="BI52" s="379">
        <v>200</v>
      </c>
      <c r="BJ52" s="379">
        <v>1500</v>
      </c>
      <c r="BK52" s="379" t="s">
        <v>570</v>
      </c>
      <c r="BL52" s="379">
        <v>50</v>
      </c>
      <c r="BM52" s="379">
        <v>500</v>
      </c>
      <c r="BN52" s="378">
        <v>1400</v>
      </c>
      <c r="BO52" s="378" t="s">
        <v>572</v>
      </c>
      <c r="BP52" s="273">
        <f t="shared" si="5"/>
        <v>8650</v>
      </c>
      <c r="BQ52" s="273">
        <f t="shared" si="6"/>
        <v>346000</v>
      </c>
      <c r="BR52" s="125">
        <f t="shared" si="11"/>
        <v>449068.5172413793</v>
      </c>
      <c r="BS52" s="192">
        <f t="shared" si="7"/>
        <v>-0.26073670068911292</v>
      </c>
      <c r="BT52" s="192"/>
      <c r="BU52" s="192"/>
      <c r="BV52" s="202">
        <f t="shared" si="1"/>
        <v>34820</v>
      </c>
      <c r="BW52" s="202">
        <f t="shared" si="2"/>
        <v>174100</v>
      </c>
      <c r="BX52" s="168">
        <f t="shared" si="12"/>
        <v>186722.66666666666</v>
      </c>
      <c r="BY52" s="192">
        <f t="shared" si="3"/>
        <v>-6.9994603295939747E-2</v>
      </c>
      <c r="BZ52" s="380">
        <f t="shared" si="13"/>
        <v>291.23595505617976</v>
      </c>
      <c r="CA52" s="380"/>
      <c r="CB52" s="202">
        <f t="shared" si="8"/>
        <v>25245.454545454544</v>
      </c>
      <c r="CC52" s="202">
        <f t="shared" si="9"/>
        <v>277700</v>
      </c>
      <c r="CD52" s="202">
        <f t="shared" si="14"/>
        <v>292600.76666666666</v>
      </c>
      <c r="CE52" s="191">
        <f t="shared" si="4"/>
        <v>-5.2267714456668037E-2</v>
      </c>
      <c r="CF52" s="380">
        <f t="shared" si="15"/>
        <v>261.11833550065018</v>
      </c>
      <c r="CG52" s="380">
        <f t="shared" si="10"/>
        <v>37.306445804825351</v>
      </c>
    </row>
    <row r="53" spans="2:85">
      <c r="B53" s="118">
        <f t="shared" si="0"/>
        <v>41</v>
      </c>
      <c r="C53" s="377">
        <v>1999</v>
      </c>
      <c r="D53" s="379" t="s">
        <v>570</v>
      </c>
      <c r="E53" s="381">
        <v>300</v>
      </c>
      <c r="F53" s="381">
        <v>12000</v>
      </c>
      <c r="G53" s="379" t="s">
        <v>570</v>
      </c>
      <c r="H53" s="381">
        <v>5000</v>
      </c>
      <c r="I53" s="379">
        <v>400</v>
      </c>
      <c r="J53" s="379">
        <v>5200</v>
      </c>
      <c r="K53" s="379">
        <v>1000</v>
      </c>
      <c r="L53" s="379">
        <v>500</v>
      </c>
      <c r="M53" s="381">
        <v>20000</v>
      </c>
      <c r="N53" s="379" t="s">
        <v>570</v>
      </c>
      <c r="O53" s="379" t="s">
        <v>572</v>
      </c>
      <c r="P53" s="379" t="s">
        <v>570</v>
      </c>
      <c r="Q53" s="379" t="s">
        <v>570</v>
      </c>
      <c r="R53" s="379" t="s">
        <v>570</v>
      </c>
      <c r="S53" s="382">
        <v>5000</v>
      </c>
      <c r="T53" s="379">
        <v>1200</v>
      </c>
      <c r="U53" s="379" t="s">
        <v>570</v>
      </c>
      <c r="V53" s="381">
        <v>6500</v>
      </c>
      <c r="W53" s="379" t="s">
        <v>572</v>
      </c>
      <c r="X53" s="379">
        <v>500</v>
      </c>
      <c r="Y53" s="379" t="s">
        <v>572</v>
      </c>
      <c r="Z53" s="379">
        <v>4700</v>
      </c>
      <c r="AA53" s="379">
        <v>50</v>
      </c>
      <c r="AB53" s="379">
        <v>1500</v>
      </c>
      <c r="AC53" s="381">
        <v>1800</v>
      </c>
      <c r="AD53" s="381">
        <v>7500</v>
      </c>
      <c r="AE53" s="381">
        <v>2500</v>
      </c>
      <c r="AF53" s="379">
        <v>70</v>
      </c>
      <c r="AG53" s="382">
        <v>1000</v>
      </c>
      <c r="AH53" s="379">
        <v>250</v>
      </c>
      <c r="AI53" s="379" t="s">
        <v>570</v>
      </c>
      <c r="AJ53" s="379">
        <v>2000</v>
      </c>
      <c r="AK53" s="379" t="s">
        <v>572</v>
      </c>
      <c r="AL53" s="381">
        <v>10000</v>
      </c>
      <c r="AM53" s="379">
        <v>5000</v>
      </c>
      <c r="AN53" s="379">
        <v>250</v>
      </c>
      <c r="AO53" s="379">
        <v>9000</v>
      </c>
      <c r="AP53" s="379" t="s">
        <v>570</v>
      </c>
      <c r="AQ53" s="379" t="s">
        <v>570</v>
      </c>
      <c r="AR53" s="379" t="s">
        <v>572</v>
      </c>
      <c r="AS53" s="379" t="s">
        <v>570</v>
      </c>
      <c r="AT53" s="381">
        <v>30000</v>
      </c>
      <c r="AU53" s="379">
        <v>60</v>
      </c>
      <c r="AV53" s="379">
        <v>500</v>
      </c>
      <c r="AW53" s="379">
        <v>500</v>
      </c>
      <c r="AX53" s="379">
        <v>60000</v>
      </c>
      <c r="AY53" s="379">
        <v>400</v>
      </c>
      <c r="AZ53" s="379">
        <v>1500</v>
      </c>
      <c r="BA53" s="379">
        <v>500</v>
      </c>
      <c r="BB53" s="381">
        <v>25000</v>
      </c>
      <c r="BC53" s="381">
        <v>65000</v>
      </c>
      <c r="BD53" s="379" t="s">
        <v>572</v>
      </c>
      <c r="BE53" s="382">
        <v>400</v>
      </c>
      <c r="BF53" s="382">
        <v>25000</v>
      </c>
      <c r="BG53" s="382" t="s">
        <v>570</v>
      </c>
      <c r="BH53" s="382">
        <v>400</v>
      </c>
      <c r="BI53" s="382">
        <v>300</v>
      </c>
      <c r="BJ53" s="382">
        <v>50</v>
      </c>
      <c r="BK53" s="382" t="s">
        <v>572</v>
      </c>
      <c r="BL53" s="382" t="s">
        <v>572</v>
      </c>
      <c r="BM53" s="382" t="s">
        <v>572</v>
      </c>
      <c r="BN53" s="383" t="s">
        <v>569</v>
      </c>
      <c r="BO53" s="378" t="s">
        <v>572</v>
      </c>
      <c r="BP53" s="273">
        <f t="shared" si="5"/>
        <v>7630</v>
      </c>
      <c r="BQ53" s="273">
        <f t="shared" si="6"/>
        <v>312830</v>
      </c>
      <c r="BR53" s="125">
        <f t="shared" si="11"/>
        <v>449068.5172413793</v>
      </c>
      <c r="BS53" s="192">
        <f t="shared" si="7"/>
        <v>-0.36151556374616356</v>
      </c>
      <c r="BT53" s="192"/>
      <c r="BU53" s="192"/>
      <c r="BV53" s="202">
        <f t="shared" si="1"/>
        <v>20800</v>
      </c>
      <c r="BW53" s="202">
        <f t="shared" si="2"/>
        <v>124800</v>
      </c>
      <c r="BX53" s="168">
        <f t="shared" si="12"/>
        <v>186722.66666666666</v>
      </c>
      <c r="BY53" s="192">
        <f t="shared" si="3"/>
        <v>-0.40291199413475581</v>
      </c>
      <c r="BZ53" s="380">
        <f t="shared" si="13"/>
        <v>-28.317059161401492</v>
      </c>
      <c r="CA53" s="380"/>
      <c r="CB53" s="202">
        <f t="shared" si="8"/>
        <v>15466.666666666666</v>
      </c>
      <c r="CC53" s="202">
        <f t="shared" si="9"/>
        <v>185600</v>
      </c>
      <c r="CD53" s="202">
        <f t="shared" si="14"/>
        <v>292600.76666666666</v>
      </c>
      <c r="CE53" s="191">
        <f t="shared" si="4"/>
        <v>-0.45521528841732184</v>
      </c>
      <c r="CF53" s="380">
        <f t="shared" si="15"/>
        <v>-33.165286280158448</v>
      </c>
      <c r="CG53" s="380">
        <f t="shared" si="10"/>
        <v>32.758620689655167</v>
      </c>
    </row>
    <row r="54" spans="2:85">
      <c r="B54" s="118">
        <f t="shared" si="0"/>
        <v>40</v>
      </c>
      <c r="C54" s="377">
        <v>2001</v>
      </c>
      <c r="D54" s="378" t="s">
        <v>570</v>
      </c>
      <c r="E54" s="384">
        <v>1350</v>
      </c>
      <c r="F54" s="384">
        <v>56000</v>
      </c>
      <c r="G54" s="378">
        <v>2000</v>
      </c>
      <c r="H54" s="384">
        <v>8600</v>
      </c>
      <c r="I54" s="383">
        <v>3000</v>
      </c>
      <c r="J54" s="383">
        <v>7800</v>
      </c>
      <c r="K54" s="378">
        <v>150</v>
      </c>
      <c r="L54" s="378">
        <v>3900</v>
      </c>
      <c r="M54" s="384">
        <v>39000</v>
      </c>
      <c r="N54" s="378">
        <v>200</v>
      </c>
      <c r="O54" s="378" t="s">
        <v>572</v>
      </c>
      <c r="P54" s="378" t="s">
        <v>570</v>
      </c>
      <c r="Q54" s="378">
        <v>160</v>
      </c>
      <c r="R54" s="378">
        <v>650</v>
      </c>
      <c r="S54" s="383">
        <v>4000</v>
      </c>
      <c r="T54" s="378" t="s">
        <v>572</v>
      </c>
      <c r="U54" s="378">
        <v>600</v>
      </c>
      <c r="V54" s="384">
        <v>9600</v>
      </c>
      <c r="W54" s="378" t="s">
        <v>570</v>
      </c>
      <c r="X54" s="378">
        <v>700</v>
      </c>
      <c r="Y54" s="378">
        <v>200</v>
      </c>
      <c r="Z54" s="378">
        <v>5200</v>
      </c>
      <c r="AA54" s="378">
        <v>500</v>
      </c>
      <c r="AB54" s="378">
        <v>1200</v>
      </c>
      <c r="AC54" s="384">
        <v>3200</v>
      </c>
      <c r="AD54" s="384">
        <v>13000</v>
      </c>
      <c r="AE54" s="384">
        <v>23000</v>
      </c>
      <c r="AF54" s="378" t="s">
        <v>570</v>
      </c>
      <c r="AG54" s="383">
        <v>1500</v>
      </c>
      <c r="AH54" s="378">
        <v>500</v>
      </c>
      <c r="AI54" s="378" t="s">
        <v>570</v>
      </c>
      <c r="AJ54" s="383">
        <v>1500</v>
      </c>
      <c r="AK54" s="378">
        <v>2000</v>
      </c>
      <c r="AL54" s="384">
        <v>20000</v>
      </c>
      <c r="AM54" s="378">
        <v>7900</v>
      </c>
      <c r="AN54" s="378" t="s">
        <v>572</v>
      </c>
      <c r="AO54" s="378" t="s">
        <v>570</v>
      </c>
      <c r="AP54" s="378" t="s">
        <v>572</v>
      </c>
      <c r="AQ54" s="378" t="s">
        <v>570</v>
      </c>
      <c r="AR54" s="378" t="s">
        <v>570</v>
      </c>
      <c r="AS54" s="378" t="s">
        <v>572</v>
      </c>
      <c r="AT54" s="384">
        <v>101000</v>
      </c>
      <c r="AU54" s="378" t="s">
        <v>570</v>
      </c>
      <c r="AV54" s="378">
        <v>10000</v>
      </c>
      <c r="AW54" s="378" t="s">
        <v>570</v>
      </c>
      <c r="AX54" s="383">
        <v>168000</v>
      </c>
      <c r="AY54" s="378">
        <v>900</v>
      </c>
      <c r="AZ54" s="378">
        <v>700</v>
      </c>
      <c r="BA54" s="378" t="s">
        <v>572</v>
      </c>
      <c r="BB54" s="384">
        <v>500000</v>
      </c>
      <c r="BC54" s="384">
        <v>700000</v>
      </c>
      <c r="BD54" s="378" t="s">
        <v>569</v>
      </c>
      <c r="BE54" s="383">
        <v>700</v>
      </c>
      <c r="BF54" s="383">
        <v>53000</v>
      </c>
      <c r="BG54" s="383" t="s">
        <v>569</v>
      </c>
      <c r="BH54" s="383">
        <v>1200</v>
      </c>
      <c r="BI54" s="383">
        <v>900</v>
      </c>
      <c r="BJ54" s="383" t="s">
        <v>572</v>
      </c>
      <c r="BK54" s="383" t="s">
        <v>572</v>
      </c>
      <c r="BL54" s="383" t="s">
        <v>572</v>
      </c>
      <c r="BM54" s="383" t="s">
        <v>572</v>
      </c>
      <c r="BN54" s="383" t="s">
        <v>570</v>
      </c>
      <c r="BO54" s="378" t="s">
        <v>572</v>
      </c>
      <c r="BP54" s="273">
        <f t="shared" si="5"/>
        <v>43845.25</v>
      </c>
      <c r="BQ54" s="273">
        <f t="shared" si="6"/>
        <v>1753810</v>
      </c>
      <c r="BR54" s="125">
        <f t="shared" si="11"/>
        <v>449068.5172413793</v>
      </c>
      <c r="BS54" s="192">
        <f t="shared" si="7"/>
        <v>1.3623703674865983</v>
      </c>
      <c r="BT54" s="192"/>
      <c r="BU54" s="192"/>
      <c r="BV54" s="202">
        <f t="shared" si="1"/>
        <v>219891.66666666666</v>
      </c>
      <c r="BW54" s="202">
        <f t="shared" si="2"/>
        <v>1319350</v>
      </c>
      <c r="BX54" s="168">
        <f t="shared" si="12"/>
        <v>186722.66666666666</v>
      </c>
      <c r="BY54" s="192">
        <f t="shared" si="3"/>
        <v>1.9552700199872759</v>
      </c>
      <c r="BZ54" s="380">
        <f t="shared" si="13"/>
        <v>957.17147435897425</v>
      </c>
      <c r="CA54" s="380"/>
      <c r="CB54" s="202">
        <f t="shared" si="8"/>
        <v>122895.83333333333</v>
      </c>
      <c r="CC54" s="202">
        <f t="shared" si="9"/>
        <v>1474750</v>
      </c>
      <c r="CD54" s="202">
        <f t="shared" si="14"/>
        <v>292600.76666666666</v>
      </c>
      <c r="CE54" s="191">
        <f t="shared" si="4"/>
        <v>1.6174346541137625</v>
      </c>
      <c r="CF54" s="380">
        <f t="shared" si="15"/>
        <v>694.58512931034477</v>
      </c>
      <c r="CG54" s="380">
        <f t="shared" si="10"/>
        <v>10.53737921681641</v>
      </c>
    </row>
    <row r="55" spans="2:85">
      <c r="B55" s="118">
        <f t="shared" si="0"/>
        <v>30</v>
      </c>
      <c r="C55" s="377">
        <v>2003</v>
      </c>
      <c r="D55" s="379" t="s">
        <v>569</v>
      </c>
      <c r="E55" s="381">
        <v>2000</v>
      </c>
      <c r="F55" s="381">
        <v>16500</v>
      </c>
      <c r="G55" s="379" t="s">
        <v>572</v>
      </c>
      <c r="H55" s="381">
        <v>15000</v>
      </c>
      <c r="I55" s="382">
        <v>900</v>
      </c>
      <c r="J55" s="382">
        <v>7000</v>
      </c>
      <c r="K55" s="379" t="s">
        <v>572</v>
      </c>
      <c r="L55" s="379" t="s">
        <v>572</v>
      </c>
      <c r="M55" s="381">
        <v>25000</v>
      </c>
      <c r="N55" s="379" t="s">
        <v>570</v>
      </c>
      <c r="O55" s="379" t="s">
        <v>570</v>
      </c>
      <c r="P55" s="379" t="s">
        <v>572</v>
      </c>
      <c r="Q55" s="379" t="s">
        <v>570</v>
      </c>
      <c r="R55" s="379" t="s">
        <v>572</v>
      </c>
      <c r="S55" s="382" t="s">
        <v>572</v>
      </c>
      <c r="T55" s="379" t="s">
        <v>572</v>
      </c>
      <c r="U55" s="379" t="s">
        <v>572</v>
      </c>
      <c r="V55" s="381">
        <v>15500</v>
      </c>
      <c r="W55" s="379" t="s">
        <v>570</v>
      </c>
      <c r="X55" s="379" t="s">
        <v>570</v>
      </c>
      <c r="Y55" s="378" t="s">
        <v>570</v>
      </c>
      <c r="Z55" s="379" t="s">
        <v>572</v>
      </c>
      <c r="AA55" s="378" t="s">
        <v>570</v>
      </c>
      <c r="AB55" s="379">
        <v>5300</v>
      </c>
      <c r="AC55" s="381">
        <v>11000</v>
      </c>
      <c r="AD55" s="381">
        <v>13000</v>
      </c>
      <c r="AE55" s="381">
        <v>15000</v>
      </c>
      <c r="AF55" s="379" t="s">
        <v>570</v>
      </c>
      <c r="AG55" s="382" t="s">
        <v>572</v>
      </c>
      <c r="AH55" s="379">
        <v>2000</v>
      </c>
      <c r="AI55" s="379" t="s">
        <v>569</v>
      </c>
      <c r="AJ55" s="382">
        <v>12000</v>
      </c>
      <c r="AK55" s="379" t="s">
        <v>572</v>
      </c>
      <c r="AL55" s="381">
        <v>40000</v>
      </c>
      <c r="AM55" s="379">
        <v>11000</v>
      </c>
      <c r="AN55" s="379">
        <v>4700</v>
      </c>
      <c r="AO55" s="379">
        <v>40000</v>
      </c>
      <c r="AP55" s="379" t="s">
        <v>569</v>
      </c>
      <c r="AQ55" s="379" t="s">
        <v>570</v>
      </c>
      <c r="AR55" s="379" t="s">
        <v>570</v>
      </c>
      <c r="AS55" s="379" t="s">
        <v>572</v>
      </c>
      <c r="AT55" s="381">
        <v>130000</v>
      </c>
      <c r="AU55" s="379" t="s">
        <v>569</v>
      </c>
      <c r="AV55" s="379" t="s">
        <v>569</v>
      </c>
      <c r="AW55" s="379" t="s">
        <v>572</v>
      </c>
      <c r="AX55" s="382">
        <v>85000</v>
      </c>
      <c r="AY55" s="379">
        <v>4000</v>
      </c>
      <c r="AZ55" s="379">
        <v>6000</v>
      </c>
      <c r="BA55" s="379" t="s">
        <v>572</v>
      </c>
      <c r="BB55" s="381">
        <v>100000</v>
      </c>
      <c r="BC55" s="381">
        <v>500000</v>
      </c>
      <c r="BD55" s="379" t="s">
        <v>569</v>
      </c>
      <c r="BE55" s="382">
        <v>7500</v>
      </c>
      <c r="BF55" s="382">
        <v>13000</v>
      </c>
      <c r="BG55" s="382" t="s">
        <v>572</v>
      </c>
      <c r="BH55" s="382" t="s">
        <v>572</v>
      </c>
      <c r="BI55" s="382" t="s">
        <v>572</v>
      </c>
      <c r="BJ55" s="382">
        <v>6000</v>
      </c>
      <c r="BK55" s="382">
        <v>5000</v>
      </c>
      <c r="BL55" s="382">
        <v>2500</v>
      </c>
      <c r="BM55" s="382">
        <v>2300</v>
      </c>
      <c r="BN55" s="383">
        <v>50000</v>
      </c>
      <c r="BO55" s="378" t="s">
        <v>572</v>
      </c>
      <c r="BP55" s="273">
        <f t="shared" si="5"/>
        <v>38240</v>
      </c>
      <c r="BQ55" s="273">
        <f t="shared" si="6"/>
        <v>1147200</v>
      </c>
      <c r="BR55" s="125">
        <f t="shared" si="11"/>
        <v>449068.5172413793</v>
      </c>
      <c r="BS55" s="192">
        <f t="shared" si="7"/>
        <v>0.93790399409851877</v>
      </c>
      <c r="BT55" s="192"/>
      <c r="BU55" s="192"/>
      <c r="BV55" s="202">
        <f t="shared" si="1"/>
        <v>109750</v>
      </c>
      <c r="BW55" s="202">
        <f t="shared" si="2"/>
        <v>658500</v>
      </c>
      <c r="BX55" s="168">
        <f t="shared" si="12"/>
        <v>186722.66666666666</v>
      </c>
      <c r="BY55" s="192">
        <f t="shared" si="3"/>
        <v>1.2603400711132526</v>
      </c>
      <c r="BZ55" s="380">
        <f t="shared" si="13"/>
        <v>-50.089059006328874</v>
      </c>
      <c r="CA55" s="380"/>
      <c r="CB55" s="202">
        <f t="shared" si="8"/>
        <v>73583.333333333328</v>
      </c>
      <c r="CC55" s="202">
        <f t="shared" si="9"/>
        <v>883000</v>
      </c>
      <c r="CD55" s="202">
        <f t="shared" si="14"/>
        <v>292600.76666666666</v>
      </c>
      <c r="CE55" s="191">
        <f t="shared" si="4"/>
        <v>1.104516091834538</v>
      </c>
      <c r="CF55" s="380">
        <f t="shared" si="15"/>
        <v>-40.125444990676385</v>
      </c>
      <c r="CG55" s="380">
        <f t="shared" si="10"/>
        <v>25.424688561721403</v>
      </c>
    </row>
    <row r="56" spans="2:85">
      <c r="B56" s="118">
        <f t="shared" si="0"/>
        <v>37</v>
      </c>
      <c r="C56" s="377">
        <v>2005</v>
      </c>
      <c r="D56" s="379" t="s">
        <v>570</v>
      </c>
      <c r="E56" s="381">
        <v>900</v>
      </c>
      <c r="F56" s="381">
        <v>5200</v>
      </c>
      <c r="G56" s="379">
        <v>350</v>
      </c>
      <c r="H56" s="381">
        <v>5200</v>
      </c>
      <c r="I56" s="382">
        <v>925</v>
      </c>
      <c r="J56" s="382">
        <v>700</v>
      </c>
      <c r="K56" s="379" t="s">
        <v>540</v>
      </c>
      <c r="L56" s="379" t="s">
        <v>540</v>
      </c>
      <c r="M56" s="381">
        <v>11000</v>
      </c>
      <c r="N56" s="379" t="s">
        <v>540</v>
      </c>
      <c r="O56" s="379">
        <v>250</v>
      </c>
      <c r="P56" s="379">
        <v>350</v>
      </c>
      <c r="Q56" s="379" t="s">
        <v>540</v>
      </c>
      <c r="R56" s="379" t="s">
        <v>540</v>
      </c>
      <c r="S56" s="382">
        <v>1500</v>
      </c>
      <c r="T56" s="379">
        <v>1250</v>
      </c>
      <c r="U56" s="379">
        <v>350</v>
      </c>
      <c r="V56" s="381">
        <v>2600</v>
      </c>
      <c r="W56" s="379" t="s">
        <v>540</v>
      </c>
      <c r="X56" s="379" t="s">
        <v>570</v>
      </c>
      <c r="Y56" s="379" t="s">
        <v>570</v>
      </c>
      <c r="Z56" s="379" t="s">
        <v>540</v>
      </c>
      <c r="AA56" s="379" t="s">
        <v>540</v>
      </c>
      <c r="AB56" s="379" t="s">
        <v>540</v>
      </c>
      <c r="AC56" s="381">
        <v>12000</v>
      </c>
      <c r="AD56" s="381">
        <v>10000</v>
      </c>
      <c r="AE56" s="381">
        <v>20000</v>
      </c>
      <c r="AF56" s="379">
        <v>200</v>
      </c>
      <c r="AG56" s="382">
        <v>6200</v>
      </c>
      <c r="AH56" s="379">
        <v>3000</v>
      </c>
      <c r="AI56" s="379">
        <v>800</v>
      </c>
      <c r="AJ56" s="382">
        <v>6000</v>
      </c>
      <c r="AK56" s="379" t="s">
        <v>540</v>
      </c>
      <c r="AL56" s="381">
        <v>30000</v>
      </c>
      <c r="AM56" s="379" t="s">
        <v>540</v>
      </c>
      <c r="AN56" s="379" t="s">
        <v>570</v>
      </c>
      <c r="AO56" s="379">
        <v>20000</v>
      </c>
      <c r="AP56" s="379" t="s">
        <v>570</v>
      </c>
      <c r="AQ56" s="379" t="s">
        <v>570</v>
      </c>
      <c r="AR56" s="379">
        <v>10000</v>
      </c>
      <c r="AS56" s="379" t="s">
        <v>540</v>
      </c>
      <c r="AT56" s="381">
        <v>130000</v>
      </c>
      <c r="AU56" s="379" t="s">
        <v>540</v>
      </c>
      <c r="AV56" s="379" t="s">
        <v>540</v>
      </c>
      <c r="AW56" s="379" t="s">
        <v>540</v>
      </c>
      <c r="AX56" s="382">
        <v>50000</v>
      </c>
      <c r="AY56" s="379">
        <v>2700</v>
      </c>
      <c r="AZ56" s="379">
        <v>800</v>
      </c>
      <c r="BA56" s="379" t="s">
        <v>540</v>
      </c>
      <c r="BB56" s="381">
        <v>200000</v>
      </c>
      <c r="BC56" s="381">
        <v>375000</v>
      </c>
      <c r="BD56" s="379" t="s">
        <v>570</v>
      </c>
      <c r="BE56" s="382">
        <v>3200</v>
      </c>
      <c r="BF56" s="382">
        <v>6500</v>
      </c>
      <c r="BG56" s="382" t="s">
        <v>569</v>
      </c>
      <c r="BH56" s="382" t="s">
        <v>540</v>
      </c>
      <c r="BI56" s="382" t="s">
        <v>540</v>
      </c>
      <c r="BJ56" s="382">
        <v>2300</v>
      </c>
      <c r="BK56" s="382">
        <v>7000</v>
      </c>
      <c r="BL56" s="382">
        <v>3200</v>
      </c>
      <c r="BM56" s="382">
        <v>1300</v>
      </c>
      <c r="BN56" s="383">
        <v>5030</v>
      </c>
      <c r="BO56" s="378" t="s">
        <v>569</v>
      </c>
      <c r="BP56" s="273">
        <f t="shared" si="5"/>
        <v>25292.027027027027</v>
      </c>
      <c r="BQ56" s="273">
        <f t="shared" si="6"/>
        <v>935805</v>
      </c>
      <c r="BR56" s="125">
        <f t="shared" si="11"/>
        <v>449068.5172413793</v>
      </c>
      <c r="BS56" s="192">
        <f t="shared" si="7"/>
        <v>0.73423164569301835</v>
      </c>
      <c r="BT56" s="192"/>
      <c r="BU56" s="192"/>
      <c r="BV56" s="202">
        <f t="shared" si="1"/>
        <v>102016.66666666667</v>
      </c>
      <c r="BW56" s="202">
        <f t="shared" si="2"/>
        <v>612100</v>
      </c>
      <c r="BX56" s="168">
        <f t="shared" si="12"/>
        <v>186722.66666666666</v>
      </c>
      <c r="BY56" s="192">
        <f t="shared" si="3"/>
        <v>1.1872712177869409</v>
      </c>
      <c r="BZ56" s="380">
        <f t="shared" si="13"/>
        <v>-7.046317388003037</v>
      </c>
      <c r="CA56" s="380"/>
      <c r="CB56" s="202">
        <f t="shared" si="8"/>
        <v>66825</v>
      </c>
      <c r="CC56" s="202">
        <f t="shared" si="9"/>
        <v>801900</v>
      </c>
      <c r="CD56" s="202">
        <f t="shared" si="14"/>
        <v>292600.76666666666</v>
      </c>
      <c r="CE56" s="191">
        <f t="shared" si="4"/>
        <v>1.0081748030435611</v>
      </c>
      <c r="CF56" s="380">
        <f t="shared" si="15"/>
        <v>-9.1845979614949034</v>
      </c>
      <c r="CG56" s="380">
        <f t="shared" si="10"/>
        <v>23.668786631749594</v>
      </c>
    </row>
    <row r="57" spans="2:85">
      <c r="B57" s="118">
        <f t="shared" si="0"/>
        <v>31</v>
      </c>
      <c r="C57" s="377">
        <v>2007</v>
      </c>
      <c r="D57" s="379" t="s">
        <v>540</v>
      </c>
      <c r="E57" s="381">
        <v>750</v>
      </c>
      <c r="F57" s="381">
        <v>11500</v>
      </c>
      <c r="G57" s="379">
        <v>170</v>
      </c>
      <c r="H57" s="381">
        <v>4600</v>
      </c>
      <c r="I57" s="382">
        <v>460</v>
      </c>
      <c r="J57" s="382">
        <v>1900</v>
      </c>
      <c r="K57" s="379" t="s">
        <v>540</v>
      </c>
      <c r="L57" s="379">
        <v>20</v>
      </c>
      <c r="M57" s="381">
        <v>6500</v>
      </c>
      <c r="N57" s="379" t="s">
        <v>569</v>
      </c>
      <c r="O57" s="379">
        <v>700</v>
      </c>
      <c r="P57" s="379" t="s">
        <v>540</v>
      </c>
      <c r="Q57" s="379" t="s">
        <v>540</v>
      </c>
      <c r="R57" s="379">
        <v>1300</v>
      </c>
      <c r="S57" s="382">
        <v>6000</v>
      </c>
      <c r="T57" s="379" t="s">
        <v>540</v>
      </c>
      <c r="U57" s="379" t="s">
        <v>540</v>
      </c>
      <c r="V57" s="381">
        <v>2130</v>
      </c>
      <c r="W57" s="379" t="s">
        <v>570</v>
      </c>
      <c r="X57" s="379">
        <v>230</v>
      </c>
      <c r="Y57" s="379" t="s">
        <v>540</v>
      </c>
      <c r="Z57" s="379">
        <v>1400</v>
      </c>
      <c r="AA57" s="379" t="s">
        <v>540</v>
      </c>
      <c r="AB57" s="379" t="s">
        <v>570</v>
      </c>
      <c r="AC57" s="381">
        <v>11300</v>
      </c>
      <c r="AD57" s="381">
        <v>20000</v>
      </c>
      <c r="AE57" s="381">
        <v>21000</v>
      </c>
      <c r="AF57" s="379" t="s">
        <v>570</v>
      </c>
      <c r="AG57" s="382">
        <v>250</v>
      </c>
      <c r="AH57" s="379" t="s">
        <v>540</v>
      </c>
      <c r="AI57" s="379" t="s">
        <v>540</v>
      </c>
      <c r="AJ57" s="382" t="s">
        <v>540</v>
      </c>
      <c r="AK57" s="379">
        <v>3500</v>
      </c>
      <c r="AL57" s="381">
        <v>19000</v>
      </c>
      <c r="AM57" s="379" t="s">
        <v>540</v>
      </c>
      <c r="AN57" s="379" t="s">
        <v>540</v>
      </c>
      <c r="AO57" s="379" t="s">
        <v>540</v>
      </c>
      <c r="AP57" s="379" t="s">
        <v>570</v>
      </c>
      <c r="AQ57" s="379" t="s">
        <v>570</v>
      </c>
      <c r="AR57" s="379" t="s">
        <v>540</v>
      </c>
      <c r="AS57" s="379" t="s">
        <v>570</v>
      </c>
      <c r="AT57" s="381">
        <v>115000</v>
      </c>
      <c r="AU57" s="379">
        <v>600</v>
      </c>
      <c r="AV57" s="379" t="s">
        <v>570</v>
      </c>
      <c r="AW57" s="379" t="s">
        <v>570</v>
      </c>
      <c r="AX57" s="382">
        <v>22000</v>
      </c>
      <c r="AY57" s="379" t="s">
        <v>570</v>
      </c>
      <c r="AZ57" s="379" t="s">
        <v>570</v>
      </c>
      <c r="BA57" s="379" t="s">
        <v>569</v>
      </c>
      <c r="BB57" s="381">
        <v>115000</v>
      </c>
      <c r="BC57" s="381">
        <v>250000</v>
      </c>
      <c r="BD57" s="379" t="s">
        <v>540</v>
      </c>
      <c r="BE57" s="382">
        <v>500</v>
      </c>
      <c r="BF57" s="382" t="s">
        <v>540</v>
      </c>
      <c r="BG57" s="382" t="s">
        <v>570</v>
      </c>
      <c r="BH57" s="382" t="s">
        <v>569</v>
      </c>
      <c r="BI57" s="382" t="s">
        <v>569</v>
      </c>
      <c r="BJ57" s="382">
        <v>100</v>
      </c>
      <c r="BK57" s="382">
        <v>1100</v>
      </c>
      <c r="BL57" s="382">
        <v>100</v>
      </c>
      <c r="BM57" s="382">
        <v>80</v>
      </c>
      <c r="BN57" s="383">
        <v>5000</v>
      </c>
      <c r="BO57" s="378" t="s">
        <v>570</v>
      </c>
      <c r="BP57" s="273">
        <f t="shared" si="5"/>
        <v>20070.645161290322</v>
      </c>
      <c r="BQ57" s="273">
        <f t="shared" si="6"/>
        <v>622190</v>
      </c>
      <c r="BR57" s="125">
        <f t="shared" si="11"/>
        <v>449068.5172413793</v>
      </c>
      <c r="BS57" s="192">
        <f>LN(((BQ57-BR57)/BR57)+1)</f>
        <v>0.32607003658497202</v>
      </c>
      <c r="BT57" s="192"/>
      <c r="BU57" s="192"/>
      <c r="BV57" s="202">
        <f t="shared" si="1"/>
        <v>67458.333333333328</v>
      </c>
      <c r="BW57" s="202">
        <f t="shared" si="2"/>
        <v>404750</v>
      </c>
      <c r="BX57" s="168">
        <f t="shared" si="12"/>
        <v>186722.66666666666</v>
      </c>
      <c r="BY57" s="192">
        <f t="shared" si="3"/>
        <v>0.77364514248766136</v>
      </c>
      <c r="BZ57" s="380">
        <f t="shared" si="13"/>
        <v>-33.87518379349779</v>
      </c>
      <c r="CA57" s="380"/>
      <c r="CB57" s="202">
        <f t="shared" si="8"/>
        <v>48065</v>
      </c>
      <c r="CC57" s="202">
        <f t="shared" si="9"/>
        <v>576780</v>
      </c>
      <c r="CD57" s="202">
        <f t="shared" si="14"/>
        <v>292600.76666666666</v>
      </c>
      <c r="CE57" s="191">
        <f t="shared" si="4"/>
        <v>0.67865180253635782</v>
      </c>
      <c r="CF57" s="380">
        <f t="shared" si="15"/>
        <v>-28.073325851103629</v>
      </c>
      <c r="CG57" s="380">
        <f t="shared" si="10"/>
        <v>29.825930164014007</v>
      </c>
    </row>
    <row r="58" spans="2:85">
      <c r="B58" s="118"/>
      <c r="C58" s="391">
        <v>2009</v>
      </c>
      <c r="D58" s="392" t="s">
        <v>570</v>
      </c>
      <c r="E58" s="393">
        <v>7000</v>
      </c>
      <c r="F58" s="393">
        <v>88454</v>
      </c>
      <c r="G58" s="392">
        <v>3000</v>
      </c>
      <c r="H58" s="393">
        <v>12000</v>
      </c>
      <c r="I58" s="394">
        <v>7750</v>
      </c>
      <c r="J58" s="394">
        <v>6400</v>
      </c>
      <c r="K58" s="392">
        <v>800</v>
      </c>
      <c r="L58" s="392">
        <v>1000</v>
      </c>
      <c r="M58" s="393">
        <v>29000</v>
      </c>
      <c r="N58" s="392" t="s">
        <v>540</v>
      </c>
      <c r="O58" s="392">
        <v>1800</v>
      </c>
      <c r="P58" s="392" t="s">
        <v>540</v>
      </c>
      <c r="Q58" s="392">
        <v>2300</v>
      </c>
      <c r="R58" s="392">
        <v>8400</v>
      </c>
      <c r="S58" s="394" t="s">
        <v>540</v>
      </c>
      <c r="T58" s="392">
        <v>4000</v>
      </c>
      <c r="U58" s="392" t="s">
        <v>540</v>
      </c>
      <c r="V58" s="393">
        <v>13950</v>
      </c>
      <c r="W58" s="392"/>
      <c r="X58" s="392"/>
      <c r="Y58" s="392"/>
      <c r="Z58" s="392"/>
      <c r="AA58" s="392"/>
      <c r="AB58" s="392"/>
      <c r="AC58" s="393">
        <v>6900</v>
      </c>
      <c r="AD58" s="393">
        <v>27000</v>
      </c>
      <c r="AE58" s="393">
        <v>22000</v>
      </c>
      <c r="AF58" s="392"/>
      <c r="AG58" s="394"/>
      <c r="AH58" s="392"/>
      <c r="AI58" s="392"/>
      <c r="AJ58" s="394"/>
      <c r="AK58" s="392"/>
      <c r="AL58" s="393">
        <v>6600</v>
      </c>
      <c r="AM58" s="392"/>
      <c r="AN58" s="392"/>
      <c r="AO58" s="392"/>
      <c r="AP58" s="392"/>
      <c r="AQ58" s="392"/>
      <c r="AR58" s="392"/>
      <c r="AS58" s="392"/>
      <c r="AT58" s="393">
        <v>175000</v>
      </c>
      <c r="AU58" s="392"/>
      <c r="AV58" s="392"/>
      <c r="AW58" s="392"/>
      <c r="AX58" s="394"/>
      <c r="AY58" s="392">
        <v>7250</v>
      </c>
      <c r="AZ58" s="392">
        <v>4550</v>
      </c>
      <c r="BA58" s="392">
        <v>550</v>
      </c>
      <c r="BB58" s="393">
        <v>153650</v>
      </c>
      <c r="BC58" s="393">
        <v>332150</v>
      </c>
      <c r="BD58" s="392" t="s">
        <v>570</v>
      </c>
      <c r="BE58" s="394">
        <v>1450</v>
      </c>
      <c r="BF58" s="394" t="s">
        <v>540</v>
      </c>
      <c r="BG58" s="394" t="s">
        <v>570</v>
      </c>
      <c r="BH58" s="394">
        <v>200</v>
      </c>
      <c r="BI58" s="394">
        <v>60</v>
      </c>
      <c r="BJ58" s="394">
        <v>600</v>
      </c>
      <c r="BK58" s="394" t="s">
        <v>540</v>
      </c>
      <c r="BL58" s="394">
        <v>250</v>
      </c>
      <c r="BM58" s="394">
        <v>200</v>
      </c>
      <c r="BN58" s="395">
        <v>9255</v>
      </c>
      <c r="BO58" s="396" t="s">
        <v>569</v>
      </c>
      <c r="BP58" s="397"/>
      <c r="BQ58" s="397">
        <f t="shared" si="6"/>
        <v>933519</v>
      </c>
      <c r="BR58" s="398"/>
      <c r="BS58" s="399"/>
      <c r="BT58" s="192"/>
      <c r="BU58" s="192"/>
      <c r="BV58" s="400">
        <f t="shared" si="1"/>
        <v>105375.66666666667</v>
      </c>
      <c r="BW58" s="400">
        <f t="shared" si="2"/>
        <v>632254</v>
      </c>
      <c r="BX58" s="413">
        <f t="shared" si="12"/>
        <v>186722.66666666666</v>
      </c>
      <c r="BY58" s="399">
        <f t="shared" ref="BY58" si="16">LN(BW58/BX58)</f>
        <v>1.2196667620712873</v>
      </c>
      <c r="BZ58" s="411">
        <f t="shared" ref="BZ58" si="17">(BW58-BW57)/BW57/0.01</f>
        <v>56.208523780111172</v>
      </c>
      <c r="CA58" s="412"/>
      <c r="CB58" s="400">
        <f t="shared" si="8"/>
        <v>72808.666666666672</v>
      </c>
      <c r="CC58" s="400">
        <f t="shared" si="9"/>
        <v>873704</v>
      </c>
      <c r="CD58" s="400">
        <f t="shared" si="14"/>
        <v>292600.76666666666</v>
      </c>
      <c r="CE58" s="421">
        <f>LN(CC58/CD58)</f>
        <v>1.0939325367546608</v>
      </c>
      <c r="CF58" s="411">
        <f>(CC58-CC57)/CC57/0.01</f>
        <v>51.479593605880922</v>
      </c>
      <c r="CG58" s="411">
        <f>(CC58-BW58)/CC58/0.01</f>
        <v>27.63521741917171</v>
      </c>
    </row>
    <row r="59" spans="2:85">
      <c r="B59" s="118"/>
      <c r="C59" s="118" t="s">
        <v>123</v>
      </c>
      <c r="D59" s="273">
        <f t="shared" ref="D59:BO59" si="18">MAX(D29:D58)</f>
        <v>8000</v>
      </c>
      <c r="E59" s="273">
        <f t="shared" si="18"/>
        <v>9000</v>
      </c>
      <c r="F59" s="273">
        <f t="shared" si="18"/>
        <v>175000</v>
      </c>
      <c r="G59" s="273">
        <f t="shared" si="18"/>
        <v>15000</v>
      </c>
      <c r="H59" s="273">
        <f t="shared" si="18"/>
        <v>25000</v>
      </c>
      <c r="I59" s="273">
        <f t="shared" si="18"/>
        <v>7750</v>
      </c>
      <c r="J59" s="273">
        <f t="shared" si="18"/>
        <v>12500</v>
      </c>
      <c r="K59" s="273">
        <f t="shared" si="18"/>
        <v>15000</v>
      </c>
      <c r="L59" s="273">
        <f t="shared" si="18"/>
        <v>55000</v>
      </c>
      <c r="M59" s="273">
        <f t="shared" si="18"/>
        <v>44000</v>
      </c>
      <c r="N59" s="273">
        <f t="shared" si="18"/>
        <v>5000</v>
      </c>
      <c r="O59" s="273">
        <f t="shared" si="18"/>
        <v>1800</v>
      </c>
      <c r="P59" s="273">
        <f t="shared" si="18"/>
        <v>8600</v>
      </c>
      <c r="Q59" s="273">
        <f t="shared" si="18"/>
        <v>2300</v>
      </c>
      <c r="R59" s="273">
        <f t="shared" si="18"/>
        <v>8400</v>
      </c>
      <c r="S59" s="202">
        <f t="shared" si="18"/>
        <v>20000</v>
      </c>
      <c r="T59" s="273">
        <f t="shared" si="18"/>
        <v>13000</v>
      </c>
      <c r="U59" s="273">
        <f t="shared" si="18"/>
        <v>2600</v>
      </c>
      <c r="V59" s="273">
        <f t="shared" si="18"/>
        <v>16500</v>
      </c>
      <c r="W59" s="273">
        <f t="shared" si="18"/>
        <v>7000</v>
      </c>
      <c r="X59" s="273">
        <f t="shared" si="18"/>
        <v>5000</v>
      </c>
      <c r="Y59" s="273">
        <f t="shared" si="18"/>
        <v>3500</v>
      </c>
      <c r="Z59" s="273">
        <f t="shared" si="18"/>
        <v>30000</v>
      </c>
      <c r="AA59" s="273">
        <f t="shared" si="18"/>
        <v>500</v>
      </c>
      <c r="AB59" s="273">
        <f t="shared" si="18"/>
        <v>5300</v>
      </c>
      <c r="AC59" s="273">
        <f t="shared" si="18"/>
        <v>12000</v>
      </c>
      <c r="AD59" s="273">
        <f t="shared" si="18"/>
        <v>30000</v>
      </c>
      <c r="AE59" s="273">
        <f t="shared" si="18"/>
        <v>40000</v>
      </c>
      <c r="AF59" s="273">
        <f t="shared" si="18"/>
        <v>1500</v>
      </c>
      <c r="AG59" s="202">
        <f t="shared" si="18"/>
        <v>9300</v>
      </c>
      <c r="AH59" s="273">
        <f t="shared" si="18"/>
        <v>15000</v>
      </c>
      <c r="AI59" s="273">
        <f t="shared" si="18"/>
        <v>800</v>
      </c>
      <c r="AJ59" s="202">
        <f t="shared" si="18"/>
        <v>12000</v>
      </c>
      <c r="AK59" s="273">
        <f t="shared" si="18"/>
        <v>15000</v>
      </c>
      <c r="AL59" s="273">
        <f t="shared" si="18"/>
        <v>50000</v>
      </c>
      <c r="AM59" s="273">
        <f t="shared" si="18"/>
        <v>15000</v>
      </c>
      <c r="AN59" s="273">
        <f t="shared" si="18"/>
        <v>4700</v>
      </c>
      <c r="AO59" s="273">
        <f t="shared" si="18"/>
        <v>110000</v>
      </c>
      <c r="AP59" s="273">
        <f t="shared" si="18"/>
        <v>750</v>
      </c>
      <c r="AQ59" s="273">
        <f t="shared" si="18"/>
        <v>7500</v>
      </c>
      <c r="AR59" s="273">
        <f t="shared" si="18"/>
        <v>10000</v>
      </c>
      <c r="AS59" s="273">
        <f t="shared" si="18"/>
        <v>25000</v>
      </c>
      <c r="AT59" s="273">
        <f t="shared" si="18"/>
        <v>200000</v>
      </c>
      <c r="AU59" s="273">
        <f t="shared" si="18"/>
        <v>4000</v>
      </c>
      <c r="AV59" s="273">
        <f t="shared" si="18"/>
        <v>10000</v>
      </c>
      <c r="AW59" s="273">
        <f t="shared" si="18"/>
        <v>1500</v>
      </c>
      <c r="AX59" s="273">
        <f t="shared" si="18"/>
        <v>245000</v>
      </c>
      <c r="AY59" s="273">
        <f t="shared" si="18"/>
        <v>7250</v>
      </c>
      <c r="AZ59" s="273">
        <f t="shared" si="18"/>
        <v>8000</v>
      </c>
      <c r="BA59" s="273">
        <f t="shared" si="18"/>
        <v>4000</v>
      </c>
      <c r="BB59" s="273">
        <f t="shared" si="18"/>
        <v>500000</v>
      </c>
      <c r="BC59" s="273">
        <f t="shared" si="18"/>
        <v>700000</v>
      </c>
      <c r="BD59" s="273">
        <f t="shared" si="18"/>
        <v>3500</v>
      </c>
      <c r="BE59" s="202">
        <f t="shared" si="18"/>
        <v>7500</v>
      </c>
      <c r="BF59" s="202">
        <f t="shared" si="18"/>
        <v>140000</v>
      </c>
      <c r="BG59" s="202">
        <f t="shared" si="18"/>
        <v>2400</v>
      </c>
      <c r="BH59" s="202">
        <f t="shared" si="18"/>
        <v>6500</v>
      </c>
      <c r="BI59" s="202">
        <f t="shared" si="18"/>
        <v>2100</v>
      </c>
      <c r="BJ59" s="202">
        <f t="shared" si="18"/>
        <v>6000</v>
      </c>
      <c r="BK59" s="202">
        <f t="shared" si="18"/>
        <v>7000</v>
      </c>
      <c r="BL59" s="202">
        <f t="shared" si="18"/>
        <v>3200</v>
      </c>
      <c r="BM59" s="202">
        <f t="shared" si="18"/>
        <v>3000</v>
      </c>
      <c r="BN59" s="202">
        <f t="shared" si="18"/>
        <v>65000</v>
      </c>
      <c r="BO59" s="273">
        <f t="shared" si="18"/>
        <v>600</v>
      </c>
      <c r="BP59" s="273">
        <f>MAX(BP29:BP56)</f>
        <v>43845.25</v>
      </c>
      <c r="BQ59" s="273">
        <f>MAX(BQ29:BQ56)</f>
        <v>1753810</v>
      </c>
      <c r="BR59" s="124" t="s">
        <v>123</v>
      </c>
      <c r="BS59" s="365">
        <f>MAX(BS29:BS58)</f>
        <v>1.3623703674865983</v>
      </c>
      <c r="BT59" s="365"/>
      <c r="BU59" s="365"/>
      <c r="BV59" s="243">
        <f>MAX(BV29:BV58)</f>
        <v>219891.66666666666</v>
      </c>
      <c r="BW59" s="243">
        <f>MAX(BW29:BW58)</f>
        <v>1319350</v>
      </c>
      <c r="BX59" s="140"/>
      <c r="BY59" s="419">
        <f>MAX(BY29:BY58)</f>
        <v>1.9552700199872759</v>
      </c>
      <c r="BZ59" s="420">
        <f>MAX(BZ29:BZ58)</f>
        <v>957.17147435897425</v>
      </c>
      <c r="CA59" s="420"/>
      <c r="CB59" s="243">
        <f>MAX(CB29:CB58)</f>
        <v>122895.83333333333</v>
      </c>
      <c r="CC59" s="168">
        <f>MAX(CC29:CC58)</f>
        <v>1474750</v>
      </c>
      <c r="CD59" s="365"/>
      <c r="CE59" s="422">
        <f>MAX(CE29:CE58)</f>
        <v>1.6174346541137625</v>
      </c>
      <c r="CF59" s="420">
        <f>MAX(CF29:CF58)</f>
        <v>694.58512931034477</v>
      </c>
      <c r="CG59" s="420">
        <f>MAX(CG29:CG58)</f>
        <v>80.567451820128483</v>
      </c>
    </row>
    <row r="60" spans="2:85">
      <c r="B60" s="118"/>
      <c r="C60" s="118" t="s">
        <v>122</v>
      </c>
      <c r="D60" s="273">
        <f t="shared" ref="D60:BO60" si="19">MIN(D29:D58)</f>
        <v>5</v>
      </c>
      <c r="E60" s="273">
        <f t="shared" si="19"/>
        <v>1</v>
      </c>
      <c r="F60" s="273">
        <f t="shared" si="19"/>
        <v>1500</v>
      </c>
      <c r="G60" s="273">
        <f t="shared" si="19"/>
        <v>2</v>
      </c>
      <c r="H60" s="273">
        <f t="shared" si="19"/>
        <v>750</v>
      </c>
      <c r="I60" s="273">
        <f t="shared" si="19"/>
        <v>6</v>
      </c>
      <c r="J60" s="273">
        <f t="shared" si="19"/>
        <v>700</v>
      </c>
      <c r="K60" s="273">
        <f t="shared" si="19"/>
        <v>25</v>
      </c>
      <c r="L60" s="273">
        <f t="shared" si="19"/>
        <v>20</v>
      </c>
      <c r="M60" s="273">
        <f t="shared" si="19"/>
        <v>1000</v>
      </c>
      <c r="N60" s="273">
        <f t="shared" si="19"/>
        <v>2</v>
      </c>
      <c r="O60" s="273">
        <f t="shared" si="19"/>
        <v>20</v>
      </c>
      <c r="P60" s="273">
        <f t="shared" si="19"/>
        <v>2</v>
      </c>
      <c r="Q60" s="273">
        <f t="shared" si="19"/>
        <v>3</v>
      </c>
      <c r="R60" s="273">
        <f t="shared" si="19"/>
        <v>85</v>
      </c>
      <c r="S60" s="202">
        <f t="shared" si="19"/>
        <v>400</v>
      </c>
      <c r="T60" s="273">
        <f t="shared" si="19"/>
        <v>250</v>
      </c>
      <c r="U60" s="273">
        <f t="shared" si="19"/>
        <v>75</v>
      </c>
      <c r="V60" s="273">
        <f t="shared" si="19"/>
        <v>600</v>
      </c>
      <c r="W60" s="273">
        <f t="shared" si="19"/>
        <v>20</v>
      </c>
      <c r="X60" s="273">
        <f t="shared" si="19"/>
        <v>35</v>
      </c>
      <c r="Y60" s="273">
        <f t="shared" si="19"/>
        <v>20</v>
      </c>
      <c r="Z60" s="273">
        <f t="shared" si="19"/>
        <v>50</v>
      </c>
      <c r="AA60" s="273">
        <f t="shared" si="19"/>
        <v>10</v>
      </c>
      <c r="AB60" s="273">
        <f t="shared" si="19"/>
        <v>75</v>
      </c>
      <c r="AC60" s="273">
        <f t="shared" si="19"/>
        <v>275</v>
      </c>
      <c r="AD60" s="273">
        <f t="shared" si="19"/>
        <v>200</v>
      </c>
      <c r="AE60" s="273">
        <f t="shared" si="19"/>
        <v>200</v>
      </c>
      <c r="AF60" s="273">
        <f t="shared" si="19"/>
        <v>60</v>
      </c>
      <c r="AG60" s="202">
        <f t="shared" si="19"/>
        <v>25</v>
      </c>
      <c r="AH60" s="273">
        <f t="shared" si="19"/>
        <v>50</v>
      </c>
      <c r="AI60" s="273">
        <f t="shared" si="19"/>
        <v>4</v>
      </c>
      <c r="AJ60" s="202">
        <f t="shared" si="19"/>
        <v>25</v>
      </c>
      <c r="AK60" s="273">
        <f t="shared" si="19"/>
        <v>100</v>
      </c>
      <c r="AL60" s="273">
        <f t="shared" si="19"/>
        <v>200</v>
      </c>
      <c r="AM60" s="273">
        <f t="shared" si="19"/>
        <v>400</v>
      </c>
      <c r="AN60" s="273">
        <f t="shared" si="19"/>
        <v>130</v>
      </c>
      <c r="AO60" s="273">
        <f t="shared" si="19"/>
        <v>75</v>
      </c>
      <c r="AP60" s="273">
        <f t="shared" si="19"/>
        <v>6</v>
      </c>
      <c r="AQ60" s="273">
        <f t="shared" si="19"/>
        <v>75</v>
      </c>
      <c r="AR60" s="273">
        <f t="shared" si="19"/>
        <v>10</v>
      </c>
      <c r="AS60" s="273">
        <f t="shared" si="19"/>
        <v>48</v>
      </c>
      <c r="AT60" s="273">
        <f t="shared" si="19"/>
        <v>3500</v>
      </c>
      <c r="AU60" s="273">
        <f t="shared" si="19"/>
        <v>20</v>
      </c>
      <c r="AV60" s="273">
        <f t="shared" si="19"/>
        <v>100</v>
      </c>
      <c r="AW60" s="273">
        <f t="shared" si="19"/>
        <v>25</v>
      </c>
      <c r="AX60" s="273">
        <f t="shared" si="19"/>
        <v>3500</v>
      </c>
      <c r="AY60" s="273">
        <f t="shared" si="19"/>
        <v>25</v>
      </c>
      <c r="AZ60" s="273">
        <f t="shared" si="19"/>
        <v>25</v>
      </c>
      <c r="BA60" s="273">
        <f t="shared" si="19"/>
        <v>25</v>
      </c>
      <c r="BB60" s="273">
        <f t="shared" si="19"/>
        <v>75</v>
      </c>
      <c r="BC60" s="273">
        <f t="shared" si="19"/>
        <v>25</v>
      </c>
      <c r="BD60" s="273">
        <f t="shared" si="19"/>
        <v>70</v>
      </c>
      <c r="BE60" s="202">
        <f t="shared" si="19"/>
        <v>25</v>
      </c>
      <c r="BF60" s="202">
        <f t="shared" si="19"/>
        <v>25</v>
      </c>
      <c r="BG60" s="202">
        <f t="shared" si="19"/>
        <v>7</v>
      </c>
      <c r="BH60" s="202">
        <f t="shared" si="19"/>
        <v>25</v>
      </c>
      <c r="BI60" s="202">
        <f t="shared" si="19"/>
        <v>14</v>
      </c>
      <c r="BJ60" s="202">
        <f t="shared" si="19"/>
        <v>25</v>
      </c>
      <c r="BK60" s="202">
        <f t="shared" si="19"/>
        <v>15</v>
      </c>
      <c r="BL60" s="202">
        <f t="shared" si="19"/>
        <v>22</v>
      </c>
      <c r="BM60" s="202">
        <f t="shared" si="19"/>
        <v>25</v>
      </c>
      <c r="BN60" s="202">
        <f t="shared" si="19"/>
        <v>400</v>
      </c>
      <c r="BO60" s="273">
        <f t="shared" si="19"/>
        <v>6</v>
      </c>
      <c r="BP60" s="273">
        <f>MIN(BP29:BP56)</f>
        <v>1886.5277777777778</v>
      </c>
      <c r="BQ60" s="273">
        <f>MIN(BQ29:BQ56)</f>
        <v>67915</v>
      </c>
      <c r="BR60" s="125" t="s">
        <v>122</v>
      </c>
      <c r="BS60" s="365">
        <f>MIN(BS29:BS58)</f>
        <v>-1.8889185524723831</v>
      </c>
      <c r="BT60" s="365"/>
      <c r="BU60" s="127"/>
      <c r="BV60" s="243">
        <f>MIN(BV29:BV58)</f>
        <v>2807.5</v>
      </c>
      <c r="BW60" s="243">
        <f>MIN(BW29:BW58)</f>
        <v>11230</v>
      </c>
      <c r="BX60" s="140"/>
      <c r="BY60" s="419">
        <f>MIN(BY29:BY58)</f>
        <v>-2.8110356813197312</v>
      </c>
      <c r="BZ60" s="420">
        <f>MIN(BZ29:BZ58)</f>
        <v>-84.615384615384613</v>
      </c>
      <c r="CA60" s="420"/>
      <c r="CB60" s="243">
        <f>MIN(CB29:CB58)</f>
        <v>4343</v>
      </c>
      <c r="CC60" s="168">
        <f>MIN(CC29:CC58)</f>
        <v>43430</v>
      </c>
      <c r="CD60" s="365"/>
      <c r="CE60" s="422">
        <f>MIN(CE29:CE58)</f>
        <v>-1.9076586622226914</v>
      </c>
      <c r="CF60" s="420">
        <f>MIN(CF29:CF58)</f>
        <v>-75.333144315282112</v>
      </c>
      <c r="CG60" s="420">
        <f>MIN(CG29:CG58)</f>
        <v>10.53737921681641</v>
      </c>
    </row>
    <row r="61" spans="2:85">
      <c r="B61" s="118"/>
      <c r="C61" s="118" t="s">
        <v>257</v>
      </c>
      <c r="D61" s="220">
        <f t="shared" ref="D61:AI61" si="20">D59/D60</f>
        <v>1600</v>
      </c>
      <c r="E61" s="220">
        <f t="shared" si="20"/>
        <v>9000</v>
      </c>
      <c r="F61" s="220">
        <f t="shared" si="20"/>
        <v>116.66666666666667</v>
      </c>
      <c r="G61" s="220">
        <f t="shared" si="20"/>
        <v>7500</v>
      </c>
      <c r="H61" s="220">
        <f t="shared" si="20"/>
        <v>33.333333333333336</v>
      </c>
      <c r="I61" s="220">
        <f t="shared" si="20"/>
        <v>1291.6666666666667</v>
      </c>
      <c r="J61" s="220">
        <f t="shared" si="20"/>
        <v>17.857142857142858</v>
      </c>
      <c r="K61" s="220">
        <f t="shared" si="20"/>
        <v>600</v>
      </c>
      <c r="L61" s="220">
        <f t="shared" si="20"/>
        <v>2750</v>
      </c>
      <c r="M61" s="220">
        <f t="shared" si="20"/>
        <v>44</v>
      </c>
      <c r="N61" s="220">
        <f t="shared" si="20"/>
        <v>2500</v>
      </c>
      <c r="O61" s="220">
        <f t="shared" si="20"/>
        <v>90</v>
      </c>
      <c r="P61" s="220">
        <f t="shared" si="20"/>
        <v>4300</v>
      </c>
      <c r="Q61" s="220">
        <f t="shared" si="20"/>
        <v>766.66666666666663</v>
      </c>
      <c r="R61" s="220">
        <f t="shared" si="20"/>
        <v>98.82352941176471</v>
      </c>
      <c r="S61" s="193">
        <f t="shared" si="20"/>
        <v>50</v>
      </c>
      <c r="T61" s="220">
        <f t="shared" si="20"/>
        <v>52</v>
      </c>
      <c r="U61" s="220">
        <f t="shared" si="20"/>
        <v>34.666666666666664</v>
      </c>
      <c r="V61" s="220">
        <f t="shared" si="20"/>
        <v>27.5</v>
      </c>
      <c r="W61" s="220">
        <f t="shared" si="20"/>
        <v>350</v>
      </c>
      <c r="X61" s="220">
        <f t="shared" si="20"/>
        <v>142.85714285714286</v>
      </c>
      <c r="Y61" s="220">
        <f t="shared" si="20"/>
        <v>175</v>
      </c>
      <c r="Z61" s="220">
        <f t="shared" si="20"/>
        <v>600</v>
      </c>
      <c r="AA61" s="220">
        <f t="shared" si="20"/>
        <v>50</v>
      </c>
      <c r="AB61" s="220">
        <f t="shared" si="20"/>
        <v>70.666666666666671</v>
      </c>
      <c r="AC61" s="220">
        <f t="shared" si="20"/>
        <v>43.636363636363633</v>
      </c>
      <c r="AD61" s="220">
        <f t="shared" si="20"/>
        <v>150</v>
      </c>
      <c r="AE61" s="220">
        <f t="shared" si="20"/>
        <v>200</v>
      </c>
      <c r="AF61" s="220">
        <f t="shared" si="20"/>
        <v>25</v>
      </c>
      <c r="AG61" s="193">
        <f t="shared" si="20"/>
        <v>372</v>
      </c>
      <c r="AH61" s="220">
        <f t="shared" si="20"/>
        <v>300</v>
      </c>
      <c r="AI61" s="220">
        <f t="shared" si="20"/>
        <v>200</v>
      </c>
      <c r="AJ61" s="193">
        <f t="shared" ref="AJ61:BO61" si="21">AJ59/AJ60</f>
        <v>480</v>
      </c>
      <c r="AK61" s="220">
        <f t="shared" si="21"/>
        <v>150</v>
      </c>
      <c r="AL61" s="220">
        <f t="shared" si="21"/>
        <v>250</v>
      </c>
      <c r="AM61" s="220">
        <f t="shared" si="21"/>
        <v>37.5</v>
      </c>
      <c r="AN61" s="220">
        <f t="shared" si="21"/>
        <v>36.153846153846153</v>
      </c>
      <c r="AO61" s="220">
        <f t="shared" si="21"/>
        <v>1466.6666666666667</v>
      </c>
      <c r="AP61" s="220">
        <f t="shared" si="21"/>
        <v>125</v>
      </c>
      <c r="AQ61" s="220">
        <f t="shared" si="21"/>
        <v>100</v>
      </c>
      <c r="AR61" s="220">
        <f t="shared" si="21"/>
        <v>1000</v>
      </c>
      <c r="AS61" s="220">
        <f t="shared" si="21"/>
        <v>520.83333333333337</v>
      </c>
      <c r="AT61" s="220">
        <f t="shared" si="21"/>
        <v>57.142857142857146</v>
      </c>
      <c r="AU61" s="220">
        <f t="shared" si="21"/>
        <v>200</v>
      </c>
      <c r="AV61" s="220">
        <f t="shared" si="21"/>
        <v>100</v>
      </c>
      <c r="AW61" s="220">
        <f t="shared" si="21"/>
        <v>60</v>
      </c>
      <c r="AX61" s="220">
        <f t="shared" si="21"/>
        <v>70</v>
      </c>
      <c r="AY61" s="220">
        <f t="shared" si="21"/>
        <v>290</v>
      </c>
      <c r="AZ61" s="220">
        <f t="shared" si="21"/>
        <v>320</v>
      </c>
      <c r="BA61" s="220">
        <f t="shared" si="21"/>
        <v>160</v>
      </c>
      <c r="BB61" s="220">
        <f t="shared" si="21"/>
        <v>6666.666666666667</v>
      </c>
      <c r="BC61" s="220">
        <f t="shared" si="21"/>
        <v>28000</v>
      </c>
      <c r="BD61" s="220">
        <f t="shared" si="21"/>
        <v>50</v>
      </c>
      <c r="BE61" s="193">
        <f t="shared" si="21"/>
        <v>300</v>
      </c>
      <c r="BF61" s="193">
        <f t="shared" si="21"/>
        <v>5600</v>
      </c>
      <c r="BG61" s="193">
        <f t="shared" si="21"/>
        <v>342.85714285714283</v>
      </c>
      <c r="BH61" s="193">
        <f t="shared" si="21"/>
        <v>260</v>
      </c>
      <c r="BI61" s="193">
        <f t="shared" si="21"/>
        <v>150</v>
      </c>
      <c r="BJ61" s="193">
        <f t="shared" si="21"/>
        <v>240</v>
      </c>
      <c r="BK61" s="193">
        <f t="shared" si="21"/>
        <v>466.66666666666669</v>
      </c>
      <c r="BL61" s="193">
        <f t="shared" si="21"/>
        <v>145.45454545454547</v>
      </c>
      <c r="BM61" s="193">
        <f t="shared" si="21"/>
        <v>120</v>
      </c>
      <c r="BN61" s="193">
        <f t="shared" si="21"/>
        <v>162.5</v>
      </c>
      <c r="BO61" s="220">
        <f t="shared" si="21"/>
        <v>100</v>
      </c>
      <c r="BP61" s="220">
        <f t="shared" ref="BP61:BQ61" si="22">BP59/BP60</f>
        <v>23.241242729882941</v>
      </c>
      <c r="BQ61" s="220">
        <f t="shared" si="22"/>
        <v>25.82360303320327</v>
      </c>
      <c r="BR61" s="125"/>
      <c r="BS61" s="365"/>
      <c r="BT61" s="365"/>
      <c r="BU61" s="127"/>
      <c r="BV61" s="220">
        <f t="shared" ref="BV61" si="23">BV59/BV60</f>
        <v>78.322944493915102</v>
      </c>
      <c r="BW61" s="220">
        <f t="shared" ref="BW61" si="24">BW59/BW60</f>
        <v>117.48441674087266</v>
      </c>
      <c r="BX61" s="365"/>
      <c r="BY61" s="414"/>
      <c r="BZ61" s="386"/>
      <c r="CA61" s="386"/>
      <c r="CB61" s="220">
        <f t="shared" ref="CB61" si="25">CB59/CB60</f>
        <v>28.297451838207074</v>
      </c>
      <c r="CC61" s="220">
        <f t="shared" ref="CC61" si="26">CC59/CC60</f>
        <v>33.956942205848492</v>
      </c>
      <c r="CD61" s="365"/>
      <c r="CE61" s="414"/>
      <c r="CF61" s="386"/>
      <c r="CG61" s="386"/>
    </row>
    <row r="62" spans="2:85">
      <c r="B62" s="118"/>
      <c r="C62" s="118"/>
      <c r="D62" s="220"/>
      <c r="E62" s="220"/>
      <c r="F62" s="220"/>
      <c r="G62" s="220"/>
      <c r="H62" s="220"/>
      <c r="I62" s="220"/>
      <c r="J62" s="220"/>
      <c r="K62" s="220"/>
      <c r="L62" s="220"/>
      <c r="M62" s="220"/>
      <c r="N62" s="220"/>
      <c r="O62" s="220"/>
      <c r="P62" s="220"/>
      <c r="Q62" s="220"/>
      <c r="R62" s="220"/>
      <c r="S62" s="193"/>
      <c r="T62" s="220"/>
      <c r="U62" s="220"/>
      <c r="V62" s="220"/>
      <c r="W62" s="220"/>
      <c r="X62" s="220"/>
      <c r="Y62" s="220"/>
      <c r="Z62" s="220"/>
      <c r="AA62" s="220"/>
      <c r="AB62" s="220"/>
      <c r="AC62" s="220"/>
      <c r="AD62" s="220"/>
      <c r="AE62" s="220"/>
      <c r="AF62" s="220"/>
      <c r="AG62" s="193"/>
      <c r="AH62" s="220"/>
      <c r="AI62" s="220"/>
      <c r="AJ62" s="193"/>
      <c r="AK62" s="220"/>
      <c r="AL62" s="220"/>
      <c r="AM62" s="220"/>
      <c r="AN62" s="220"/>
      <c r="AO62" s="220"/>
      <c r="AP62" s="220"/>
      <c r="AQ62" s="220"/>
      <c r="AR62" s="220"/>
      <c r="AS62" s="220"/>
      <c r="AT62" s="220"/>
      <c r="AU62" s="220"/>
      <c r="AV62" s="220"/>
      <c r="AW62" s="220"/>
      <c r="AX62" s="220"/>
      <c r="AY62" s="220"/>
      <c r="AZ62" s="220"/>
      <c r="BA62" s="220"/>
      <c r="BB62" s="220"/>
      <c r="BC62" s="220"/>
      <c r="BD62" s="220"/>
      <c r="BE62" s="193"/>
      <c r="BF62" s="193"/>
      <c r="BG62" s="193"/>
      <c r="BH62" s="193"/>
      <c r="BI62" s="193"/>
      <c r="BJ62" s="193"/>
      <c r="BK62" s="193"/>
      <c r="BL62" s="193"/>
      <c r="BM62" s="193"/>
      <c r="BN62" s="193"/>
      <c r="BO62" s="220"/>
      <c r="BP62" s="220"/>
      <c r="BQ62" s="220"/>
      <c r="BR62" s="125"/>
      <c r="BS62" s="365"/>
      <c r="BT62" s="365"/>
      <c r="BU62" s="127"/>
      <c r="BV62" s="551" t="s">
        <v>555</v>
      </c>
      <c r="BW62" s="551"/>
      <c r="BX62" s="551"/>
      <c r="BY62" s="551"/>
      <c r="BZ62" s="124"/>
      <c r="CA62" s="365"/>
      <c r="CB62" s="551" t="s">
        <v>645</v>
      </c>
      <c r="CC62" s="551"/>
      <c r="CD62" s="551"/>
      <c r="CE62" s="551"/>
      <c r="CF62" s="386"/>
      <c r="CG62" s="386"/>
    </row>
    <row r="63" spans="2:85">
      <c r="B63" s="118"/>
      <c r="BP63" s="118"/>
      <c r="BQ63" s="118"/>
      <c r="BR63" s="124" t="s">
        <v>547</v>
      </c>
      <c r="BS63" s="124"/>
      <c r="BT63" s="365"/>
      <c r="BU63" s="365"/>
      <c r="BV63" s="118"/>
      <c r="BW63" s="118"/>
      <c r="BX63" s="124" t="s">
        <v>547</v>
      </c>
      <c r="BY63" s="124"/>
      <c r="BZ63" s="129"/>
      <c r="CA63" s="351"/>
      <c r="CB63" s="118"/>
      <c r="CC63" s="118"/>
      <c r="CD63" s="124" t="s">
        <v>547</v>
      </c>
      <c r="CE63" s="124"/>
      <c r="CF63" s="386"/>
      <c r="CG63" s="365"/>
    </row>
    <row r="64" spans="2:85">
      <c r="B64" s="118"/>
      <c r="C64" s="118"/>
      <c r="D64" s="387"/>
      <c r="E64" s="387"/>
      <c r="F64" s="387"/>
      <c r="G64" s="387"/>
      <c r="H64" s="387"/>
      <c r="I64" s="387"/>
      <c r="J64" s="387"/>
      <c r="K64" s="387"/>
      <c r="L64" s="387"/>
      <c r="M64" s="387"/>
      <c r="N64" s="387"/>
      <c r="O64" s="387"/>
      <c r="P64" s="387"/>
      <c r="Q64" s="387"/>
      <c r="R64" s="387"/>
      <c r="S64" s="388"/>
      <c r="T64" s="387"/>
      <c r="U64" s="387"/>
      <c r="V64" s="387"/>
      <c r="W64" s="387"/>
      <c r="X64" s="387"/>
      <c r="Y64" s="387"/>
      <c r="Z64" s="387"/>
      <c r="AA64" s="387"/>
      <c r="AB64" s="387"/>
      <c r="AC64" s="387"/>
      <c r="AD64" s="387"/>
      <c r="AE64" s="387"/>
      <c r="AF64" s="387"/>
      <c r="AG64" s="388"/>
      <c r="AH64" s="387"/>
      <c r="AI64" s="387"/>
      <c r="AJ64" s="388"/>
      <c r="AK64" s="387"/>
      <c r="AL64" s="387"/>
      <c r="AM64" s="387"/>
      <c r="AN64" s="387"/>
      <c r="AO64" s="387"/>
      <c r="AP64" s="387"/>
      <c r="AQ64" s="387"/>
      <c r="AR64" s="387"/>
      <c r="AS64" s="387"/>
      <c r="AT64" s="387"/>
      <c r="AU64" s="387"/>
      <c r="AV64" s="387"/>
      <c r="AW64" s="387"/>
      <c r="AX64" s="387"/>
      <c r="AY64" s="387"/>
      <c r="AZ64" s="387"/>
      <c r="BA64" s="387"/>
      <c r="BB64" s="387"/>
      <c r="BC64" s="387"/>
      <c r="BD64" s="387"/>
      <c r="BE64" s="388"/>
      <c r="BF64" s="388"/>
      <c r="BG64" s="388"/>
      <c r="BH64" s="388"/>
      <c r="BI64" s="388"/>
      <c r="BJ64" s="388"/>
      <c r="BK64" s="388"/>
      <c r="BL64" s="388"/>
      <c r="BM64" s="388"/>
      <c r="BN64" s="388"/>
      <c r="BO64" s="387"/>
      <c r="BP64" s="124" t="s">
        <v>641</v>
      </c>
      <c r="BQ64" s="124" t="s">
        <v>641</v>
      </c>
      <c r="BR64" s="124" t="s">
        <v>641</v>
      </c>
      <c r="BS64" s="124" t="s">
        <v>641</v>
      </c>
      <c r="BT64" s="365"/>
      <c r="BU64" s="365"/>
      <c r="BV64" s="124" t="s">
        <v>556</v>
      </c>
      <c r="BW64" s="124" t="s">
        <v>556</v>
      </c>
      <c r="BX64" s="124" t="s">
        <v>556</v>
      </c>
      <c r="BY64" s="124" t="s">
        <v>556</v>
      </c>
      <c r="BZ64" s="124"/>
      <c r="CA64" s="365"/>
      <c r="CB64" s="124" t="s">
        <v>557</v>
      </c>
      <c r="CC64" s="124" t="s">
        <v>557</v>
      </c>
      <c r="CD64" s="124" t="s">
        <v>557</v>
      </c>
      <c r="CE64" s="124" t="s">
        <v>557</v>
      </c>
      <c r="CF64" s="386" t="s">
        <v>516</v>
      </c>
      <c r="CG64" s="351" t="s">
        <v>558</v>
      </c>
    </row>
    <row r="65" spans="2:85">
      <c r="B65" s="129" t="s">
        <v>559</v>
      </c>
      <c r="C65" s="118"/>
      <c r="D65" s="118"/>
      <c r="E65" s="118"/>
      <c r="F65" s="118"/>
      <c r="G65" s="118"/>
      <c r="H65" s="118"/>
      <c r="I65" s="118"/>
      <c r="J65" s="118"/>
      <c r="K65" s="118"/>
      <c r="L65" s="118"/>
      <c r="M65" s="118"/>
      <c r="N65" s="118"/>
      <c r="O65" s="118"/>
      <c r="P65" s="118"/>
      <c r="Q65" s="118"/>
      <c r="R65" s="118"/>
      <c r="S65" s="127"/>
      <c r="T65" s="118"/>
      <c r="U65" s="118"/>
      <c r="V65" s="118"/>
      <c r="W65" s="118"/>
      <c r="X65" s="118"/>
      <c r="Y65" s="118"/>
      <c r="Z65" s="118"/>
      <c r="AA65" s="118"/>
      <c r="AB65" s="118"/>
      <c r="AC65" s="118"/>
      <c r="AD65" s="118"/>
      <c r="AE65" s="118"/>
      <c r="AF65" s="118"/>
      <c r="AG65" s="127"/>
      <c r="AH65" s="118"/>
      <c r="AI65" s="118"/>
      <c r="AJ65" s="127"/>
      <c r="AK65" s="118"/>
      <c r="AL65" s="118"/>
      <c r="AM65" s="118"/>
      <c r="AN65" s="118"/>
      <c r="AO65" s="118"/>
      <c r="AP65" s="118"/>
      <c r="AQ65" s="118"/>
      <c r="AR65" s="118"/>
      <c r="AS65" s="118"/>
      <c r="AT65" s="118"/>
      <c r="AU65" s="118"/>
      <c r="AV65" s="118"/>
      <c r="AW65" s="118"/>
      <c r="AX65" s="118"/>
      <c r="AY65" s="118"/>
      <c r="AZ65" s="118"/>
      <c r="BA65" s="118"/>
      <c r="BB65" s="118"/>
      <c r="BC65" s="118"/>
      <c r="BD65" s="118"/>
      <c r="BE65" s="127"/>
      <c r="BF65" s="127"/>
      <c r="BG65" s="127"/>
      <c r="BH65" s="127"/>
      <c r="BI65" s="127"/>
      <c r="BJ65" s="127"/>
      <c r="BK65" s="127"/>
      <c r="BL65" s="127"/>
      <c r="BM65" s="127"/>
      <c r="BN65" s="127"/>
      <c r="BO65" s="118"/>
      <c r="BP65" s="118" t="s">
        <v>564</v>
      </c>
      <c r="BQ65" s="118" t="s">
        <v>564</v>
      </c>
      <c r="BR65" s="124" t="s">
        <v>564</v>
      </c>
      <c r="BS65" s="118" t="s">
        <v>564</v>
      </c>
      <c r="BT65" s="127"/>
      <c r="BU65" s="127"/>
      <c r="BV65" s="118" t="s">
        <v>564</v>
      </c>
      <c r="BW65" s="118" t="s">
        <v>564</v>
      </c>
      <c r="BX65" s="124" t="s">
        <v>564</v>
      </c>
      <c r="BY65" s="118" t="s">
        <v>564</v>
      </c>
      <c r="BZ65" s="118"/>
      <c r="CA65" s="127"/>
      <c r="CB65" s="118" t="s">
        <v>564</v>
      </c>
      <c r="CC65" s="118" t="s">
        <v>564</v>
      </c>
      <c r="CD65" s="124" t="s">
        <v>564</v>
      </c>
      <c r="CE65" s="118" t="s">
        <v>564</v>
      </c>
      <c r="CF65" s="386" t="s">
        <v>519</v>
      </c>
      <c r="CG65" s="365" t="s">
        <v>565</v>
      </c>
    </row>
    <row r="66" spans="2:85">
      <c r="B66" s="141" t="s">
        <v>566</v>
      </c>
      <c r="C66" s="374" t="s">
        <v>567</v>
      </c>
      <c r="D66" s="131">
        <v>1</v>
      </c>
      <c r="E66" s="131">
        <v>2</v>
      </c>
      <c r="F66" s="131">
        <v>3</v>
      </c>
      <c r="G66" s="131">
        <v>4</v>
      </c>
      <c r="H66" s="131">
        <v>5</v>
      </c>
      <c r="I66" s="131">
        <v>6</v>
      </c>
      <c r="J66" s="131">
        <v>7</v>
      </c>
      <c r="K66" s="131">
        <v>8</v>
      </c>
      <c r="L66" s="131">
        <v>9</v>
      </c>
      <c r="M66" s="131">
        <v>10</v>
      </c>
      <c r="N66" s="131">
        <v>11</v>
      </c>
      <c r="O66" s="131">
        <v>12</v>
      </c>
      <c r="P66" s="131">
        <v>13</v>
      </c>
      <c r="Q66" s="131">
        <v>14</v>
      </c>
      <c r="R66" s="131">
        <v>15</v>
      </c>
      <c r="S66" s="389">
        <v>16</v>
      </c>
      <c r="T66" s="131">
        <v>17</v>
      </c>
      <c r="U66" s="131">
        <v>18</v>
      </c>
      <c r="V66" s="131">
        <v>19</v>
      </c>
      <c r="W66" s="131">
        <v>20</v>
      </c>
      <c r="X66" s="131">
        <v>21</v>
      </c>
      <c r="Y66" s="131">
        <v>22</v>
      </c>
      <c r="Z66" s="131">
        <v>23</v>
      </c>
      <c r="AA66" s="131">
        <v>24</v>
      </c>
      <c r="AB66" s="131">
        <v>25</v>
      </c>
      <c r="AC66" s="131">
        <v>26</v>
      </c>
      <c r="AD66" s="131">
        <v>27</v>
      </c>
      <c r="AE66" s="131">
        <v>28</v>
      </c>
      <c r="AF66" s="131">
        <v>29</v>
      </c>
      <c r="AG66" s="389">
        <v>30</v>
      </c>
      <c r="AH66" s="131">
        <v>31</v>
      </c>
      <c r="AI66" s="131">
        <v>32</v>
      </c>
      <c r="AJ66" s="389">
        <v>33</v>
      </c>
      <c r="AK66" s="131">
        <v>34</v>
      </c>
      <c r="AL66" s="131">
        <v>35</v>
      </c>
      <c r="AM66" s="131">
        <v>36</v>
      </c>
      <c r="AN66" s="131">
        <v>37</v>
      </c>
      <c r="AO66" s="131">
        <v>38</v>
      </c>
      <c r="AP66" s="131">
        <v>39</v>
      </c>
      <c r="AQ66" s="131">
        <v>40</v>
      </c>
      <c r="AR66" s="131">
        <v>41</v>
      </c>
      <c r="AS66" s="131">
        <v>42</v>
      </c>
      <c r="AT66" s="131">
        <v>43</v>
      </c>
      <c r="AU66" s="131">
        <v>44</v>
      </c>
      <c r="AV66" s="131">
        <v>45</v>
      </c>
      <c r="AW66" s="131">
        <v>46</v>
      </c>
      <c r="AX66" s="131">
        <v>47</v>
      </c>
      <c r="AY66" s="131">
        <v>48</v>
      </c>
      <c r="AZ66" s="131">
        <v>49</v>
      </c>
      <c r="BA66" s="131">
        <v>50</v>
      </c>
      <c r="BB66" s="131">
        <v>51</v>
      </c>
      <c r="BC66" s="131">
        <v>52</v>
      </c>
      <c r="BD66" s="131">
        <v>53</v>
      </c>
      <c r="BE66" s="389">
        <v>54</v>
      </c>
      <c r="BF66" s="389">
        <v>55</v>
      </c>
      <c r="BG66" s="389">
        <v>56</v>
      </c>
      <c r="BH66" s="389">
        <v>57</v>
      </c>
      <c r="BI66" s="389">
        <v>58</v>
      </c>
      <c r="BJ66" s="389">
        <v>59</v>
      </c>
      <c r="BK66" s="389">
        <v>60</v>
      </c>
      <c r="BL66" s="389">
        <v>61</v>
      </c>
      <c r="BM66" s="389">
        <v>62</v>
      </c>
      <c r="BN66" s="389">
        <v>63</v>
      </c>
      <c r="BO66" s="131">
        <v>64</v>
      </c>
      <c r="BP66" s="141" t="s">
        <v>91</v>
      </c>
      <c r="BQ66" s="141" t="s">
        <v>550</v>
      </c>
      <c r="BR66" s="141" t="s">
        <v>551</v>
      </c>
      <c r="BS66" s="131" t="s">
        <v>552</v>
      </c>
      <c r="BT66" s="376" t="s">
        <v>516</v>
      </c>
      <c r="BU66" s="128"/>
      <c r="BV66" s="141" t="s">
        <v>91</v>
      </c>
      <c r="BW66" s="141" t="s">
        <v>550</v>
      </c>
      <c r="BX66" s="141" t="s">
        <v>551</v>
      </c>
      <c r="BY66" s="131" t="s">
        <v>552</v>
      </c>
      <c r="BZ66" s="375" t="s">
        <v>516</v>
      </c>
      <c r="CA66" s="376"/>
      <c r="CB66" s="141" t="s">
        <v>91</v>
      </c>
      <c r="CC66" s="141" t="s">
        <v>550</v>
      </c>
      <c r="CD66" s="141" t="s">
        <v>551</v>
      </c>
      <c r="CE66" s="131" t="s">
        <v>552</v>
      </c>
      <c r="CF66" s="328" t="s">
        <v>524</v>
      </c>
      <c r="CG66" s="130" t="s">
        <v>568</v>
      </c>
    </row>
    <row r="67" spans="2:85">
      <c r="B67" s="118">
        <f>COUNT(D67:BO67)</f>
        <v>49</v>
      </c>
      <c r="C67" s="377">
        <v>1950</v>
      </c>
      <c r="D67" s="378">
        <v>1500</v>
      </c>
      <c r="E67" s="378">
        <v>3500</v>
      </c>
      <c r="F67" s="378">
        <v>1500</v>
      </c>
      <c r="G67" s="378">
        <v>1500</v>
      </c>
      <c r="H67" s="378">
        <v>750</v>
      </c>
      <c r="I67" s="378">
        <v>400</v>
      </c>
      <c r="J67" s="378">
        <v>75</v>
      </c>
      <c r="K67" s="379" t="s">
        <v>571</v>
      </c>
      <c r="L67" s="378">
        <v>750</v>
      </c>
      <c r="M67" s="378">
        <v>35000</v>
      </c>
      <c r="N67" s="378">
        <v>200</v>
      </c>
      <c r="O67" s="378">
        <v>200</v>
      </c>
      <c r="P67" s="378">
        <v>200</v>
      </c>
      <c r="Q67" s="379" t="s">
        <v>571</v>
      </c>
      <c r="R67" s="378">
        <v>200</v>
      </c>
      <c r="S67" s="383">
        <v>1500</v>
      </c>
      <c r="T67" s="378" t="s">
        <v>569</v>
      </c>
      <c r="U67" s="379" t="s">
        <v>571</v>
      </c>
      <c r="V67" s="378">
        <v>3500</v>
      </c>
      <c r="W67" s="378">
        <v>1500</v>
      </c>
      <c r="X67" s="378">
        <v>400</v>
      </c>
      <c r="Y67" s="378">
        <v>750</v>
      </c>
      <c r="Z67" s="378">
        <v>1857</v>
      </c>
      <c r="AA67" s="379" t="s">
        <v>571</v>
      </c>
      <c r="AB67" s="378">
        <v>750</v>
      </c>
      <c r="AC67" s="378">
        <v>3500</v>
      </c>
      <c r="AD67" s="378">
        <v>1500</v>
      </c>
      <c r="AE67" s="378">
        <v>3500</v>
      </c>
      <c r="AF67" s="379" t="s">
        <v>571</v>
      </c>
      <c r="AG67" s="382" t="s">
        <v>571</v>
      </c>
      <c r="AH67" s="378">
        <v>1500</v>
      </c>
      <c r="AI67" s="378">
        <v>750</v>
      </c>
      <c r="AJ67" s="383">
        <v>3500</v>
      </c>
      <c r="AK67" s="378">
        <v>7500</v>
      </c>
      <c r="AL67" s="378">
        <v>1500</v>
      </c>
      <c r="AM67" s="378">
        <v>3500</v>
      </c>
      <c r="AN67" s="379" t="s">
        <v>571</v>
      </c>
      <c r="AO67" s="378">
        <v>3500</v>
      </c>
      <c r="AP67" s="378">
        <v>400</v>
      </c>
      <c r="AQ67" s="378">
        <v>3500</v>
      </c>
      <c r="AR67" s="378">
        <v>1500</v>
      </c>
      <c r="AS67" s="378">
        <v>400</v>
      </c>
      <c r="AT67" s="378">
        <v>15000</v>
      </c>
      <c r="AU67" s="378">
        <v>400</v>
      </c>
      <c r="AV67" s="378">
        <v>3500</v>
      </c>
      <c r="AW67" s="378">
        <v>400</v>
      </c>
      <c r="AX67" s="378">
        <v>100000</v>
      </c>
      <c r="AY67" s="379" t="s">
        <v>571</v>
      </c>
      <c r="AZ67" s="378">
        <v>750</v>
      </c>
      <c r="BA67" s="378">
        <v>75</v>
      </c>
      <c r="BB67" s="378">
        <v>750</v>
      </c>
      <c r="BC67" s="378">
        <v>1500</v>
      </c>
      <c r="BD67" s="378">
        <v>3500</v>
      </c>
      <c r="BE67" s="383">
        <v>3500</v>
      </c>
      <c r="BF67" s="383">
        <v>35000</v>
      </c>
      <c r="BG67" s="382" t="s">
        <v>571</v>
      </c>
      <c r="BH67" s="382" t="s">
        <v>571</v>
      </c>
      <c r="BI67" s="382" t="s">
        <v>571</v>
      </c>
      <c r="BJ67" s="382" t="s">
        <v>571</v>
      </c>
      <c r="BK67" s="382" t="s">
        <v>571</v>
      </c>
      <c r="BL67" s="383">
        <v>750</v>
      </c>
      <c r="BM67" s="383">
        <v>1500</v>
      </c>
      <c r="BN67" s="383">
        <v>35000</v>
      </c>
      <c r="BO67" s="378" t="s">
        <v>571</v>
      </c>
      <c r="BP67" s="273">
        <f t="shared" ref="BP67:BP96" si="27">AVERAGE(D67:BO67)</f>
        <v>5994.0204081632655</v>
      </c>
      <c r="BQ67" s="273">
        <f t="shared" ref="BQ67:BQ96" si="28">SUM(D67:BO67)</f>
        <v>293707</v>
      </c>
      <c r="BR67" s="125">
        <f>AVERAGE(BQ67:BQ96)</f>
        <v>694265.3217130634</v>
      </c>
      <c r="BS67" s="191">
        <f t="shared" ref="BS67:BS96" si="29">LN(((BQ67-BR67)/BR67)+1)</f>
        <v>-0.86027152362502701</v>
      </c>
      <c r="BT67" s="380"/>
      <c r="BU67" s="192"/>
      <c r="BV67" s="202">
        <f>AVERAGE(E67,F67,M67,AE67,BB67,BC67)</f>
        <v>7625</v>
      </c>
      <c r="BW67" s="202">
        <f>SUM(E67,F67,M67,AE67,BB67,BC67)</f>
        <v>45750</v>
      </c>
      <c r="BX67" s="168">
        <f>AVERAGE(BW67:BW96)</f>
        <v>153393.56666666668</v>
      </c>
      <c r="BY67" s="192">
        <f t="shared" ref="BY67:BY96" si="30">LN(BW67/BX67)</f>
        <v>-1.20981515804449</v>
      </c>
      <c r="BZ67" s="380"/>
      <c r="CA67" s="192"/>
      <c r="CB67" s="202">
        <f>AVERAGE(E67,F67,H67,M67,V67,AC67,AD67,AE67,AL67,AT67,BB67,BC67)</f>
        <v>5958.333333333333</v>
      </c>
      <c r="CC67" s="202">
        <f>SUM(E67,F67,H67,M67,V67,AC67,AD67,AE67,AT67,AL67,BB67,BC67)</f>
        <v>71500</v>
      </c>
      <c r="CD67" s="243">
        <f>AVERAGE(CC67:CC96)</f>
        <v>260859.02171306344</v>
      </c>
      <c r="CE67" s="191">
        <f t="shared" ref="CE67:CE96" si="31">LN(CC67/CD67)</f>
        <v>-1.2942826649977108</v>
      </c>
      <c r="CF67" s="380"/>
      <c r="CG67" s="380">
        <f t="shared" ref="CG67:CG96" si="32">(CC67-BW67)/CC67/0.01</f>
        <v>36.013986013986013</v>
      </c>
    </row>
    <row r="68" spans="2:85">
      <c r="B68" s="118">
        <f>COUNT(D68:BO68)</f>
        <v>51</v>
      </c>
      <c r="C68" s="377">
        <v>1952</v>
      </c>
      <c r="D68" s="378">
        <v>750</v>
      </c>
      <c r="E68" s="378">
        <v>1500</v>
      </c>
      <c r="F68" s="378">
        <v>18000</v>
      </c>
      <c r="G68" s="378">
        <v>3000</v>
      </c>
      <c r="H68" s="378">
        <v>4300</v>
      </c>
      <c r="I68" s="378">
        <v>200</v>
      </c>
      <c r="J68" s="378">
        <v>1700</v>
      </c>
      <c r="K68" s="378" t="s">
        <v>569</v>
      </c>
      <c r="L68" s="378">
        <v>1800</v>
      </c>
      <c r="M68" s="378">
        <v>44000</v>
      </c>
      <c r="N68" s="378">
        <v>75</v>
      </c>
      <c r="O68" s="378">
        <v>200</v>
      </c>
      <c r="P68" s="378">
        <v>350</v>
      </c>
      <c r="Q68" s="378">
        <v>200</v>
      </c>
      <c r="R68" s="378">
        <v>1500</v>
      </c>
      <c r="S68" s="383">
        <v>5000</v>
      </c>
      <c r="T68" s="378">
        <v>1700</v>
      </c>
      <c r="U68" s="379" t="s">
        <v>571</v>
      </c>
      <c r="V68" s="378">
        <v>15000</v>
      </c>
      <c r="W68" s="378">
        <v>3500</v>
      </c>
      <c r="X68" s="378">
        <v>750</v>
      </c>
      <c r="Y68" s="378">
        <v>3500</v>
      </c>
      <c r="Z68" s="378">
        <v>8685</v>
      </c>
      <c r="AA68" s="379" t="s">
        <v>571</v>
      </c>
      <c r="AB68" s="378">
        <v>200</v>
      </c>
      <c r="AC68" s="378">
        <v>5000</v>
      </c>
      <c r="AD68" s="378">
        <v>3500</v>
      </c>
      <c r="AE68" s="378">
        <v>5000</v>
      </c>
      <c r="AF68" s="379" t="s">
        <v>571</v>
      </c>
      <c r="AG68" s="383">
        <v>7500</v>
      </c>
      <c r="AH68" s="378">
        <v>3500</v>
      </c>
      <c r="AI68" s="378">
        <v>1500</v>
      </c>
      <c r="AJ68" s="383">
        <v>3500</v>
      </c>
      <c r="AK68" s="378">
        <v>7500</v>
      </c>
      <c r="AL68" s="378">
        <v>3000</v>
      </c>
      <c r="AM68" s="378">
        <v>3500</v>
      </c>
      <c r="AN68" s="379" t="s">
        <v>571</v>
      </c>
      <c r="AO68" s="378" t="s">
        <v>572</v>
      </c>
      <c r="AP68" s="378">
        <v>200</v>
      </c>
      <c r="AQ68" s="378">
        <v>3500</v>
      </c>
      <c r="AR68" s="378">
        <v>1500</v>
      </c>
      <c r="AS68" s="378">
        <v>750</v>
      </c>
      <c r="AT68" s="378">
        <v>50000</v>
      </c>
      <c r="AU68" s="378">
        <v>500</v>
      </c>
      <c r="AV68" s="378">
        <v>3500</v>
      </c>
      <c r="AW68" s="378">
        <v>200</v>
      </c>
      <c r="AX68" s="378">
        <v>200000</v>
      </c>
      <c r="AY68" s="378">
        <v>200</v>
      </c>
      <c r="AZ68" s="378">
        <v>750</v>
      </c>
      <c r="BA68" s="379" t="s">
        <v>571</v>
      </c>
      <c r="BB68" s="378">
        <v>1500</v>
      </c>
      <c r="BC68" s="378">
        <v>1500</v>
      </c>
      <c r="BD68" s="378">
        <v>1500</v>
      </c>
      <c r="BE68" s="383">
        <v>3500</v>
      </c>
      <c r="BF68" s="383">
        <v>35000</v>
      </c>
      <c r="BG68" s="382" t="s">
        <v>571</v>
      </c>
      <c r="BH68" s="382" t="s">
        <v>571</v>
      </c>
      <c r="BI68" s="382" t="s">
        <v>571</v>
      </c>
      <c r="BJ68" s="382" t="s">
        <v>571</v>
      </c>
      <c r="BK68" s="383">
        <v>400</v>
      </c>
      <c r="BL68" s="382" t="s">
        <v>571</v>
      </c>
      <c r="BM68" s="383">
        <v>400</v>
      </c>
      <c r="BN68" s="383">
        <v>35000</v>
      </c>
      <c r="BO68" s="378" t="s">
        <v>571</v>
      </c>
      <c r="BP68" s="273">
        <f t="shared" si="27"/>
        <v>9790.3921568627447</v>
      </c>
      <c r="BQ68" s="273">
        <f t="shared" si="28"/>
        <v>499310</v>
      </c>
      <c r="BR68" s="125">
        <f>$BR$67</f>
        <v>694265.3217130634</v>
      </c>
      <c r="BS68" s="191">
        <f t="shared" si="29"/>
        <v>-0.32962705004437859</v>
      </c>
      <c r="BT68" s="380">
        <f>(BQ68-BQ67)/BQ67/0.01</f>
        <v>70.002757850510889</v>
      </c>
      <c r="BU68" s="192"/>
      <c r="BV68" s="202">
        <f t="shared" ref="BV68:BV96" si="33">AVERAGE(E68,F68,M68,AE68,BB68,BC68)</f>
        <v>11916.666666666666</v>
      </c>
      <c r="BW68" s="202">
        <f t="shared" ref="BW68:BW96" si="34">SUM(E68,F68,M68,AE68,BB68,BC68)</f>
        <v>71500</v>
      </c>
      <c r="BX68" s="168">
        <f>$BX$67</f>
        <v>153393.56666666668</v>
      </c>
      <c r="BY68" s="192">
        <f t="shared" si="30"/>
        <v>-0.76330950006605836</v>
      </c>
      <c r="BZ68" s="380">
        <f>(BW68-BW67)/BW67/0.01</f>
        <v>56.284153005464475</v>
      </c>
      <c r="CA68" s="192"/>
      <c r="CB68" s="202">
        <f t="shared" ref="CB68:CB96" si="35">AVERAGE(E68,F68,H68,M68,V68,AC68,AD68,AE68,AL68,AT68,BB68,BC68)</f>
        <v>12691.666666666666</v>
      </c>
      <c r="CC68" s="202">
        <f t="shared" ref="CC68:CC96" si="36">SUM(E68,F68,H68,M68,V68,AC68,AD68,AE68,AT68,AL68,BB68,BC68)</f>
        <v>152300</v>
      </c>
      <c r="CD68" s="202">
        <f>$CC$43</f>
        <v>287200</v>
      </c>
      <c r="CE68" s="191">
        <f t="shared" si="31"/>
        <v>-0.63432657727295305</v>
      </c>
      <c r="CF68" s="380">
        <f>(CC68-CC67)/CC67/0.01</f>
        <v>113.00699300699301</v>
      </c>
      <c r="CG68" s="380">
        <f t="shared" si="32"/>
        <v>53.05318450426789</v>
      </c>
    </row>
    <row r="69" spans="2:85">
      <c r="B69" s="118">
        <f t="shared" ref="B69:B96" si="37">COUNT(D69:BO69)</f>
        <v>51</v>
      </c>
      <c r="C69" s="377">
        <v>1954</v>
      </c>
      <c r="D69" s="378">
        <v>3500</v>
      </c>
      <c r="E69" s="378">
        <v>3500</v>
      </c>
      <c r="F69" s="378">
        <v>20000</v>
      </c>
      <c r="G69" s="378">
        <v>3500</v>
      </c>
      <c r="H69" s="378">
        <v>13500</v>
      </c>
      <c r="I69" s="378">
        <v>1500</v>
      </c>
      <c r="J69" s="378">
        <v>9000</v>
      </c>
      <c r="K69" s="378">
        <v>75</v>
      </c>
      <c r="L69" s="378">
        <v>3000</v>
      </c>
      <c r="M69" s="378">
        <v>35000</v>
      </c>
      <c r="N69" s="378">
        <v>400</v>
      </c>
      <c r="O69" s="378">
        <v>750</v>
      </c>
      <c r="P69" s="378">
        <v>1500</v>
      </c>
      <c r="Q69" s="378">
        <v>3500</v>
      </c>
      <c r="R69" s="378">
        <v>3500</v>
      </c>
      <c r="S69" s="383">
        <v>15000</v>
      </c>
      <c r="T69" s="378">
        <v>10000</v>
      </c>
      <c r="U69" s="378">
        <v>400</v>
      </c>
      <c r="V69" s="378">
        <v>15000</v>
      </c>
      <c r="W69" s="378">
        <v>3500</v>
      </c>
      <c r="X69" s="378">
        <v>7500</v>
      </c>
      <c r="Y69" s="378">
        <v>35000</v>
      </c>
      <c r="Z69" s="378">
        <v>31402</v>
      </c>
      <c r="AA69" s="379" t="s">
        <v>571</v>
      </c>
      <c r="AB69" s="378">
        <v>200</v>
      </c>
      <c r="AC69" s="378">
        <v>25000</v>
      </c>
      <c r="AD69" s="378">
        <v>3500</v>
      </c>
      <c r="AE69" s="378">
        <v>8500</v>
      </c>
      <c r="AF69" s="379" t="s">
        <v>571</v>
      </c>
      <c r="AG69" s="383">
        <v>7500</v>
      </c>
      <c r="AH69" s="378">
        <v>7500</v>
      </c>
      <c r="AI69" s="378">
        <v>75</v>
      </c>
      <c r="AJ69" s="383">
        <v>3500</v>
      </c>
      <c r="AK69" s="378">
        <v>7500</v>
      </c>
      <c r="AL69" s="378">
        <v>2000</v>
      </c>
      <c r="AM69" s="378">
        <v>4000</v>
      </c>
      <c r="AN69" s="379" t="s">
        <v>571</v>
      </c>
      <c r="AO69" s="378">
        <v>750</v>
      </c>
      <c r="AP69" s="378">
        <v>750</v>
      </c>
      <c r="AQ69" s="378">
        <v>400</v>
      </c>
      <c r="AR69" s="378">
        <v>400</v>
      </c>
      <c r="AS69" s="378">
        <v>200</v>
      </c>
      <c r="AT69" s="378">
        <v>20000</v>
      </c>
      <c r="AU69" s="378">
        <v>500</v>
      </c>
      <c r="AV69" s="378">
        <v>35000</v>
      </c>
      <c r="AW69" s="378">
        <v>200</v>
      </c>
      <c r="AX69" s="378">
        <v>70000</v>
      </c>
      <c r="AY69" s="378">
        <v>50</v>
      </c>
      <c r="AZ69" s="379" t="s">
        <v>571</v>
      </c>
      <c r="BA69" s="378">
        <v>100</v>
      </c>
      <c r="BB69" s="378">
        <v>500</v>
      </c>
      <c r="BC69" s="378" t="s">
        <v>572</v>
      </c>
      <c r="BD69" s="378" t="s">
        <v>572</v>
      </c>
      <c r="BE69" s="383">
        <v>300</v>
      </c>
      <c r="BF69" s="383">
        <v>5000</v>
      </c>
      <c r="BG69" s="382" t="s">
        <v>571</v>
      </c>
      <c r="BH69" s="382" t="s">
        <v>571</v>
      </c>
      <c r="BI69" s="382" t="s">
        <v>571</v>
      </c>
      <c r="BJ69" s="382" t="s">
        <v>571</v>
      </c>
      <c r="BK69" s="382" t="s">
        <v>571</v>
      </c>
      <c r="BL69" s="382" t="s">
        <v>571</v>
      </c>
      <c r="BM69" s="383" t="s">
        <v>569</v>
      </c>
      <c r="BN69" s="383">
        <v>5000</v>
      </c>
      <c r="BO69" s="378">
        <v>1000</v>
      </c>
      <c r="BP69" s="273">
        <f t="shared" si="27"/>
        <v>8420.6274509803916</v>
      </c>
      <c r="BQ69" s="273">
        <f t="shared" si="28"/>
        <v>429452</v>
      </c>
      <c r="BR69" s="125">
        <f t="shared" ref="BR69:BR96" si="38">$BR$67</f>
        <v>694265.3217130634</v>
      </c>
      <c r="BS69" s="191">
        <f t="shared" si="29"/>
        <v>-0.48034421806867755</v>
      </c>
      <c r="BT69" s="380">
        <f t="shared" ref="BT69:BT96" si="39">(BQ69-BQ68)/BQ68/0.01</f>
        <v>-13.990907452284151</v>
      </c>
      <c r="BU69" s="192"/>
      <c r="BV69" s="202">
        <f t="shared" si="33"/>
        <v>13500</v>
      </c>
      <c r="BW69" s="202">
        <f t="shared" si="34"/>
        <v>67500</v>
      </c>
      <c r="BX69" s="168">
        <f t="shared" ref="BX69:BX96" si="40">$BX$67</f>
        <v>153393.56666666668</v>
      </c>
      <c r="BY69" s="192">
        <f t="shared" si="30"/>
        <v>-0.82087935188753625</v>
      </c>
      <c r="BZ69" s="380">
        <f t="shared" ref="BZ69:BZ96" si="41">(BW69-BW68)/BW68/0.01</f>
        <v>-5.5944055944055942</v>
      </c>
      <c r="CA69" s="192"/>
      <c r="CB69" s="202">
        <f t="shared" si="35"/>
        <v>13318.181818181818</v>
      </c>
      <c r="CC69" s="202">
        <f t="shared" si="36"/>
        <v>146500</v>
      </c>
      <c r="CD69" s="202">
        <f t="shared" ref="CD69:CD96" si="42">$CC$43</f>
        <v>287200</v>
      </c>
      <c r="CE69" s="191">
        <f t="shared" si="31"/>
        <v>-0.67315340871694718</v>
      </c>
      <c r="CF69" s="380">
        <f t="shared" ref="CF69:CF96" si="43">(CC69-CC68)/CC68/0.01</f>
        <v>-3.8082731451083385</v>
      </c>
      <c r="CG69" s="380">
        <f t="shared" si="32"/>
        <v>53.924914675767923</v>
      </c>
    </row>
    <row r="70" spans="2:85">
      <c r="B70" s="118">
        <f t="shared" si="37"/>
        <v>49</v>
      </c>
      <c r="C70" s="377">
        <v>1956</v>
      </c>
      <c r="D70" s="378">
        <v>3500</v>
      </c>
      <c r="E70" s="378">
        <v>3500</v>
      </c>
      <c r="F70" s="378">
        <v>75000</v>
      </c>
      <c r="G70" s="378">
        <v>3500</v>
      </c>
      <c r="H70" s="378">
        <v>15000</v>
      </c>
      <c r="I70" s="378">
        <v>7500</v>
      </c>
      <c r="J70" s="378">
        <v>3500</v>
      </c>
      <c r="K70" s="378">
        <v>200</v>
      </c>
      <c r="L70" s="378">
        <v>3500</v>
      </c>
      <c r="M70" s="378">
        <v>35000</v>
      </c>
      <c r="N70" s="378">
        <v>25</v>
      </c>
      <c r="O70" s="378">
        <v>750</v>
      </c>
      <c r="P70" s="378">
        <v>1500</v>
      </c>
      <c r="Q70" s="378" t="s">
        <v>569</v>
      </c>
      <c r="R70" s="378">
        <v>3500</v>
      </c>
      <c r="S70" s="383">
        <v>15000</v>
      </c>
      <c r="T70" s="378">
        <v>3500</v>
      </c>
      <c r="U70" s="379" t="s">
        <v>571</v>
      </c>
      <c r="V70" s="378">
        <v>15000</v>
      </c>
      <c r="W70" s="378">
        <v>200</v>
      </c>
      <c r="X70" s="378">
        <v>1500</v>
      </c>
      <c r="Y70" s="378">
        <v>3500</v>
      </c>
      <c r="Z70" s="378">
        <v>21650</v>
      </c>
      <c r="AA70" s="379" t="s">
        <v>571</v>
      </c>
      <c r="AB70" s="378">
        <v>200</v>
      </c>
      <c r="AC70" s="378">
        <v>75000</v>
      </c>
      <c r="AD70" s="378">
        <v>7500</v>
      </c>
      <c r="AE70" s="378">
        <v>35000</v>
      </c>
      <c r="AF70" s="379" t="s">
        <v>571</v>
      </c>
      <c r="AG70" s="383">
        <v>1500</v>
      </c>
      <c r="AH70" s="378">
        <v>3500</v>
      </c>
      <c r="AI70" s="378">
        <v>100</v>
      </c>
      <c r="AJ70" s="383">
        <v>7500</v>
      </c>
      <c r="AK70" s="378">
        <v>7500</v>
      </c>
      <c r="AL70" s="378">
        <v>7500</v>
      </c>
      <c r="AM70" s="378">
        <v>3500</v>
      </c>
      <c r="AN70" s="379" t="s">
        <v>571</v>
      </c>
      <c r="AO70" s="378">
        <v>7500</v>
      </c>
      <c r="AP70" s="378">
        <v>75</v>
      </c>
      <c r="AQ70" s="378">
        <v>750</v>
      </c>
      <c r="AR70" s="378">
        <v>400</v>
      </c>
      <c r="AS70" s="378">
        <v>750</v>
      </c>
      <c r="AT70" s="378">
        <v>35000</v>
      </c>
      <c r="AU70" s="378">
        <v>750</v>
      </c>
      <c r="AV70" s="378">
        <v>35000</v>
      </c>
      <c r="AW70" s="378">
        <v>200</v>
      </c>
      <c r="AX70" s="378">
        <v>75000</v>
      </c>
      <c r="AY70" s="379" t="s">
        <v>571</v>
      </c>
      <c r="AZ70" s="379" t="s">
        <v>571</v>
      </c>
      <c r="BA70" s="379" t="s">
        <v>571</v>
      </c>
      <c r="BB70" s="378">
        <v>7500</v>
      </c>
      <c r="BC70" s="378">
        <v>7500</v>
      </c>
      <c r="BD70" s="379" t="s">
        <v>571</v>
      </c>
      <c r="BE70" s="383">
        <v>1500</v>
      </c>
      <c r="BF70" s="383">
        <v>35000</v>
      </c>
      <c r="BG70" s="382" t="s">
        <v>571</v>
      </c>
      <c r="BH70" s="382" t="s">
        <v>571</v>
      </c>
      <c r="BI70" s="382" t="s">
        <v>571</v>
      </c>
      <c r="BJ70" s="382" t="s">
        <v>571</v>
      </c>
      <c r="BK70" s="382" t="s">
        <v>571</v>
      </c>
      <c r="BL70" s="382" t="s">
        <v>571</v>
      </c>
      <c r="BM70" s="383">
        <v>200</v>
      </c>
      <c r="BN70" s="383">
        <v>35000</v>
      </c>
      <c r="BO70" s="378">
        <v>25</v>
      </c>
      <c r="BP70" s="273">
        <f t="shared" si="27"/>
        <v>12393.367346938776</v>
      </c>
      <c r="BQ70" s="273">
        <f t="shared" si="28"/>
        <v>607275</v>
      </c>
      <c r="BR70" s="125">
        <f t="shared" si="38"/>
        <v>694265.3217130634</v>
      </c>
      <c r="BS70" s="191">
        <f t="shared" si="29"/>
        <v>-0.13387245914935084</v>
      </c>
      <c r="BT70" s="380">
        <f t="shared" si="39"/>
        <v>41.406955841397874</v>
      </c>
      <c r="BU70" s="192"/>
      <c r="BV70" s="202">
        <f t="shared" si="33"/>
        <v>27250</v>
      </c>
      <c r="BW70" s="202">
        <f t="shared" si="34"/>
        <v>163500</v>
      </c>
      <c r="BX70" s="168">
        <f t="shared" si="40"/>
        <v>153393.56666666668</v>
      </c>
      <c r="BY70" s="192">
        <f t="shared" si="30"/>
        <v>6.3806040571287734E-2</v>
      </c>
      <c r="BZ70" s="380">
        <f t="shared" si="41"/>
        <v>142.22222222222223</v>
      </c>
      <c r="CA70" s="192"/>
      <c r="CB70" s="202">
        <f t="shared" si="35"/>
        <v>26541.666666666668</v>
      </c>
      <c r="CC70" s="202">
        <f t="shared" si="36"/>
        <v>318500</v>
      </c>
      <c r="CD70" s="202">
        <f t="shared" si="42"/>
        <v>287200</v>
      </c>
      <c r="CE70" s="191">
        <f t="shared" si="31"/>
        <v>0.10344363783814894</v>
      </c>
      <c r="CF70" s="380">
        <f t="shared" si="43"/>
        <v>117.40614334470989</v>
      </c>
      <c r="CG70" s="380">
        <f t="shared" si="32"/>
        <v>48.665620094191524</v>
      </c>
    </row>
    <row r="71" spans="2:85">
      <c r="B71" s="118">
        <f t="shared" si="37"/>
        <v>45</v>
      </c>
      <c r="C71" s="377">
        <v>1958</v>
      </c>
      <c r="D71" s="378">
        <v>1500</v>
      </c>
      <c r="E71" s="378">
        <v>1500</v>
      </c>
      <c r="F71" s="378">
        <v>4000</v>
      </c>
      <c r="G71" s="378">
        <v>300</v>
      </c>
      <c r="H71" s="378">
        <v>3000</v>
      </c>
      <c r="I71" s="379" t="s">
        <v>571</v>
      </c>
      <c r="J71" s="378">
        <v>200</v>
      </c>
      <c r="K71" s="379" t="s">
        <v>571</v>
      </c>
      <c r="L71" s="378" t="s">
        <v>569</v>
      </c>
      <c r="M71" s="378">
        <v>3000</v>
      </c>
      <c r="N71" s="378">
        <v>25</v>
      </c>
      <c r="O71" s="378" t="s">
        <v>569</v>
      </c>
      <c r="P71" s="378">
        <v>400</v>
      </c>
      <c r="Q71" s="378" t="s">
        <v>569</v>
      </c>
      <c r="R71" s="378">
        <v>400</v>
      </c>
      <c r="S71" s="383">
        <v>8000</v>
      </c>
      <c r="T71" s="378">
        <v>1500</v>
      </c>
      <c r="U71" s="379" t="s">
        <v>571</v>
      </c>
      <c r="V71" s="378">
        <v>7500</v>
      </c>
      <c r="W71" s="378">
        <v>200</v>
      </c>
      <c r="X71" s="378">
        <v>200</v>
      </c>
      <c r="Y71" s="378">
        <v>3500</v>
      </c>
      <c r="Z71" s="378">
        <v>6109</v>
      </c>
      <c r="AA71" s="379" t="s">
        <v>571</v>
      </c>
      <c r="AB71" s="378">
        <v>200</v>
      </c>
      <c r="AC71" s="378">
        <v>1500</v>
      </c>
      <c r="AD71" s="378">
        <v>200</v>
      </c>
      <c r="AE71" s="378">
        <v>1500</v>
      </c>
      <c r="AF71" s="379" t="s">
        <v>571</v>
      </c>
      <c r="AG71" s="383">
        <v>1500</v>
      </c>
      <c r="AH71" s="378">
        <v>750</v>
      </c>
      <c r="AI71" s="378">
        <v>75</v>
      </c>
      <c r="AJ71" s="383">
        <v>750</v>
      </c>
      <c r="AK71" s="378" t="s">
        <v>572</v>
      </c>
      <c r="AL71" s="378">
        <v>1500</v>
      </c>
      <c r="AM71" s="378">
        <v>3500</v>
      </c>
      <c r="AN71" s="379" t="s">
        <v>571</v>
      </c>
      <c r="AO71" s="378">
        <v>3500</v>
      </c>
      <c r="AP71" s="378">
        <v>75</v>
      </c>
      <c r="AQ71" s="378">
        <v>400</v>
      </c>
      <c r="AR71" s="378">
        <v>75</v>
      </c>
      <c r="AS71" s="378">
        <v>200</v>
      </c>
      <c r="AT71" s="378">
        <v>3500</v>
      </c>
      <c r="AU71" s="378">
        <v>200</v>
      </c>
      <c r="AV71" s="378">
        <v>400</v>
      </c>
      <c r="AW71" s="378">
        <v>75</v>
      </c>
      <c r="AX71" s="378">
        <v>3500</v>
      </c>
      <c r="AY71" s="379" t="s">
        <v>571</v>
      </c>
      <c r="AZ71" s="378">
        <v>200</v>
      </c>
      <c r="BA71" s="378">
        <v>15000</v>
      </c>
      <c r="BB71" s="378" t="s">
        <v>569</v>
      </c>
      <c r="BC71" s="378">
        <v>3500</v>
      </c>
      <c r="BD71" s="378">
        <v>1500</v>
      </c>
      <c r="BE71" s="383">
        <v>200</v>
      </c>
      <c r="BF71" s="383">
        <v>3500</v>
      </c>
      <c r="BG71" s="382" t="s">
        <v>571</v>
      </c>
      <c r="BH71" s="382" t="s">
        <v>571</v>
      </c>
      <c r="BI71" s="382" t="s">
        <v>571</v>
      </c>
      <c r="BJ71" s="382" t="s">
        <v>571</v>
      </c>
      <c r="BK71" s="382" t="s">
        <v>571</v>
      </c>
      <c r="BL71" s="382" t="s">
        <v>571</v>
      </c>
      <c r="BM71" s="383">
        <v>25</v>
      </c>
      <c r="BN71" s="383">
        <v>3500</v>
      </c>
      <c r="BO71" s="378" t="s">
        <v>571</v>
      </c>
      <c r="BP71" s="273">
        <f t="shared" si="27"/>
        <v>2047.9777777777779</v>
      </c>
      <c r="BQ71" s="273">
        <f t="shared" si="28"/>
        <v>92159</v>
      </c>
      <c r="BR71" s="125">
        <f t="shared" si="38"/>
        <v>694265.3217130634</v>
      </c>
      <c r="BS71" s="191">
        <f t="shared" si="29"/>
        <v>-2.0193388491953712</v>
      </c>
      <c r="BT71" s="380">
        <f t="shared" si="39"/>
        <v>-84.824173562224686</v>
      </c>
      <c r="BU71" s="192"/>
      <c r="BV71" s="202">
        <f t="shared" si="33"/>
        <v>2700</v>
      </c>
      <c r="BW71" s="202">
        <f t="shared" si="34"/>
        <v>13500</v>
      </c>
      <c r="BX71" s="168">
        <f t="shared" si="40"/>
        <v>153393.56666666668</v>
      </c>
      <c r="BY71" s="192">
        <f t="shared" si="30"/>
        <v>-2.4303172643216366</v>
      </c>
      <c r="BZ71" s="380">
        <f t="shared" si="41"/>
        <v>-91.743119266055047</v>
      </c>
      <c r="CA71" s="192"/>
      <c r="CB71" s="202">
        <f t="shared" si="35"/>
        <v>2790.909090909091</v>
      </c>
      <c r="CC71" s="202">
        <f t="shared" si="36"/>
        <v>30700</v>
      </c>
      <c r="CD71" s="202">
        <f t="shared" si="42"/>
        <v>287200</v>
      </c>
      <c r="CE71" s="191">
        <f t="shared" si="31"/>
        <v>-2.2359161825809175</v>
      </c>
      <c r="CF71" s="380">
        <f t="shared" si="43"/>
        <v>-90.361067503924644</v>
      </c>
      <c r="CG71" s="380">
        <f t="shared" si="32"/>
        <v>56.026058631921828</v>
      </c>
    </row>
    <row r="72" spans="2:85">
      <c r="B72" s="118">
        <f t="shared" si="37"/>
        <v>48</v>
      </c>
      <c r="C72" s="377">
        <v>1960</v>
      </c>
      <c r="D72" s="378">
        <v>200</v>
      </c>
      <c r="E72" s="378">
        <v>200</v>
      </c>
      <c r="F72" s="378">
        <v>3500</v>
      </c>
      <c r="G72" s="378">
        <v>400</v>
      </c>
      <c r="H72" s="378">
        <v>3000</v>
      </c>
      <c r="I72" s="378">
        <v>200</v>
      </c>
      <c r="J72" s="378">
        <v>1000</v>
      </c>
      <c r="K72" s="378">
        <v>75</v>
      </c>
      <c r="L72" s="378">
        <v>1500</v>
      </c>
      <c r="M72" s="378">
        <v>10000</v>
      </c>
      <c r="N72" s="378">
        <v>25</v>
      </c>
      <c r="O72" s="379" t="s">
        <v>571</v>
      </c>
      <c r="P72" s="378">
        <v>200</v>
      </c>
      <c r="Q72" s="378" t="s">
        <v>569</v>
      </c>
      <c r="R72" s="378">
        <v>400</v>
      </c>
      <c r="S72" s="383">
        <v>5000</v>
      </c>
      <c r="T72" s="378">
        <v>2500</v>
      </c>
      <c r="U72" s="379" t="s">
        <v>571</v>
      </c>
      <c r="V72" s="378">
        <v>7500</v>
      </c>
      <c r="W72" s="378">
        <v>750</v>
      </c>
      <c r="X72" s="378">
        <v>400</v>
      </c>
      <c r="Y72" s="378">
        <v>1500</v>
      </c>
      <c r="Z72" s="378">
        <v>3165</v>
      </c>
      <c r="AA72" s="379" t="s">
        <v>571</v>
      </c>
      <c r="AB72" s="378">
        <v>75</v>
      </c>
      <c r="AC72" s="378">
        <v>7500</v>
      </c>
      <c r="AD72" s="378">
        <v>7500</v>
      </c>
      <c r="AE72" s="378">
        <v>3500</v>
      </c>
      <c r="AF72" s="379" t="s">
        <v>571</v>
      </c>
      <c r="AG72" s="383">
        <v>750</v>
      </c>
      <c r="AH72" s="378">
        <v>1500</v>
      </c>
      <c r="AI72" s="378">
        <v>25</v>
      </c>
      <c r="AJ72" s="383">
        <v>750</v>
      </c>
      <c r="AK72" s="378">
        <v>3500</v>
      </c>
      <c r="AL72" s="378">
        <v>7500</v>
      </c>
      <c r="AM72" s="378">
        <v>3500</v>
      </c>
      <c r="AN72" s="379" t="s">
        <v>571</v>
      </c>
      <c r="AO72" s="378">
        <v>7500</v>
      </c>
      <c r="AP72" s="378">
        <v>200</v>
      </c>
      <c r="AQ72" s="378">
        <v>750</v>
      </c>
      <c r="AR72" s="378">
        <v>750</v>
      </c>
      <c r="AS72" s="378">
        <v>750</v>
      </c>
      <c r="AT72" s="378">
        <v>3500</v>
      </c>
      <c r="AU72" s="378">
        <v>400</v>
      </c>
      <c r="AV72" s="378">
        <v>400</v>
      </c>
      <c r="AW72" s="378">
        <v>200</v>
      </c>
      <c r="AX72" s="378">
        <v>15000</v>
      </c>
      <c r="AY72" s="379" t="s">
        <v>571</v>
      </c>
      <c r="AZ72" s="378">
        <v>750</v>
      </c>
      <c r="BA72" s="378">
        <v>3500</v>
      </c>
      <c r="BB72" s="378">
        <v>750</v>
      </c>
      <c r="BC72" s="378">
        <v>750</v>
      </c>
      <c r="BD72" s="378" t="s">
        <v>569</v>
      </c>
      <c r="BE72" s="383">
        <v>25</v>
      </c>
      <c r="BF72" s="383">
        <v>75</v>
      </c>
      <c r="BG72" s="382" t="s">
        <v>571</v>
      </c>
      <c r="BH72" s="382" t="s">
        <v>571</v>
      </c>
      <c r="BI72" s="382" t="s">
        <v>571</v>
      </c>
      <c r="BJ72" s="382" t="s">
        <v>571</v>
      </c>
      <c r="BK72" s="382" t="s">
        <v>571</v>
      </c>
      <c r="BL72" s="382" t="s">
        <v>571</v>
      </c>
      <c r="BM72" s="382" t="s">
        <v>571</v>
      </c>
      <c r="BN72" s="383">
        <v>3500</v>
      </c>
      <c r="BO72" s="378" t="s">
        <v>571</v>
      </c>
      <c r="BP72" s="273">
        <f t="shared" si="27"/>
        <v>2425.3125</v>
      </c>
      <c r="BQ72" s="273">
        <f t="shared" si="28"/>
        <v>116415</v>
      </c>
      <c r="BR72" s="125">
        <f t="shared" si="38"/>
        <v>694265.3217130634</v>
      </c>
      <c r="BS72" s="191">
        <f t="shared" si="29"/>
        <v>-1.785692802415427</v>
      </c>
      <c r="BT72" s="380">
        <f t="shared" si="39"/>
        <v>26.319730031792883</v>
      </c>
      <c r="BU72" s="192"/>
      <c r="BV72" s="202">
        <f t="shared" si="33"/>
        <v>3116.6666666666665</v>
      </c>
      <c r="BW72" s="202">
        <f t="shared" si="34"/>
        <v>18700</v>
      </c>
      <c r="BX72" s="168">
        <f t="shared" si="40"/>
        <v>153393.56666666668</v>
      </c>
      <c r="BY72" s="192">
        <f t="shared" si="30"/>
        <v>-2.1044834259054794</v>
      </c>
      <c r="BZ72" s="380">
        <f t="shared" si="41"/>
        <v>38.518518518518519</v>
      </c>
      <c r="CA72" s="192"/>
      <c r="CB72" s="202">
        <f t="shared" si="35"/>
        <v>4600</v>
      </c>
      <c r="CC72" s="202">
        <f t="shared" si="36"/>
        <v>55200</v>
      </c>
      <c r="CD72" s="202">
        <f t="shared" si="42"/>
        <v>287200</v>
      </c>
      <c r="CE72" s="191">
        <f t="shared" si="31"/>
        <v>-1.6492158838910194</v>
      </c>
      <c r="CF72" s="380">
        <f t="shared" si="43"/>
        <v>79.804560260586314</v>
      </c>
      <c r="CG72" s="380">
        <f t="shared" si="32"/>
        <v>66.123188405797109</v>
      </c>
    </row>
    <row r="73" spans="2:85">
      <c r="B73" s="118">
        <f t="shared" si="37"/>
        <v>51</v>
      </c>
      <c r="C73" s="377">
        <v>1962</v>
      </c>
      <c r="D73" s="378">
        <v>1500</v>
      </c>
      <c r="E73" s="378">
        <v>750</v>
      </c>
      <c r="F73" s="378">
        <v>20000</v>
      </c>
      <c r="G73" s="378">
        <v>1500</v>
      </c>
      <c r="H73" s="378">
        <v>5500</v>
      </c>
      <c r="I73" s="378">
        <v>750</v>
      </c>
      <c r="J73" s="378">
        <v>10000</v>
      </c>
      <c r="K73" s="378">
        <v>750</v>
      </c>
      <c r="L73" s="378">
        <v>15000</v>
      </c>
      <c r="M73" s="378">
        <v>30000</v>
      </c>
      <c r="N73" s="378">
        <v>200</v>
      </c>
      <c r="O73" s="378">
        <v>200</v>
      </c>
      <c r="P73" s="378">
        <v>1300</v>
      </c>
      <c r="Q73" s="378" t="s">
        <v>569</v>
      </c>
      <c r="R73" s="378">
        <v>1500</v>
      </c>
      <c r="S73" s="383">
        <v>1500</v>
      </c>
      <c r="T73" s="378">
        <v>10000</v>
      </c>
      <c r="U73" s="379" t="s">
        <v>571</v>
      </c>
      <c r="V73" s="378">
        <v>15000</v>
      </c>
      <c r="W73" s="378">
        <v>3500</v>
      </c>
      <c r="X73" s="378">
        <v>3500</v>
      </c>
      <c r="Y73" s="378">
        <v>7500</v>
      </c>
      <c r="Z73" s="378">
        <v>8288</v>
      </c>
      <c r="AA73" s="379" t="s">
        <v>571</v>
      </c>
      <c r="AB73" s="378">
        <v>200</v>
      </c>
      <c r="AC73" s="378">
        <v>15000</v>
      </c>
      <c r="AD73" s="378">
        <v>15000</v>
      </c>
      <c r="AE73" s="378">
        <v>35000</v>
      </c>
      <c r="AF73" s="379" t="s">
        <v>571</v>
      </c>
      <c r="AG73" s="383">
        <v>1500</v>
      </c>
      <c r="AH73" s="378">
        <v>3500</v>
      </c>
      <c r="AI73" s="378">
        <v>400</v>
      </c>
      <c r="AJ73" s="383">
        <v>1500</v>
      </c>
      <c r="AK73" s="378">
        <v>3500</v>
      </c>
      <c r="AL73" s="378">
        <v>35000</v>
      </c>
      <c r="AM73" s="378">
        <v>35000</v>
      </c>
      <c r="AN73" s="379" t="s">
        <v>571</v>
      </c>
      <c r="AO73" s="378">
        <v>35000</v>
      </c>
      <c r="AP73" s="378">
        <v>200</v>
      </c>
      <c r="AQ73" s="378">
        <v>7500</v>
      </c>
      <c r="AR73" s="378">
        <v>3500</v>
      </c>
      <c r="AS73" s="378">
        <v>1500</v>
      </c>
      <c r="AT73" s="378">
        <v>75000</v>
      </c>
      <c r="AU73" s="378">
        <v>7500</v>
      </c>
      <c r="AV73" s="378">
        <v>35000</v>
      </c>
      <c r="AW73" s="378">
        <v>1500</v>
      </c>
      <c r="AX73" s="378">
        <v>75000</v>
      </c>
      <c r="AY73" s="378">
        <v>200</v>
      </c>
      <c r="AZ73" s="378">
        <v>1500</v>
      </c>
      <c r="BA73" s="378">
        <v>75000</v>
      </c>
      <c r="BB73" s="378">
        <v>15000</v>
      </c>
      <c r="BC73" s="378">
        <v>15000</v>
      </c>
      <c r="BD73" s="379" t="s">
        <v>571</v>
      </c>
      <c r="BE73" s="383">
        <v>25</v>
      </c>
      <c r="BF73" s="383">
        <v>15000</v>
      </c>
      <c r="BG73" s="382" t="s">
        <v>571</v>
      </c>
      <c r="BH73" s="383">
        <v>200</v>
      </c>
      <c r="BI73" s="382" t="s">
        <v>571</v>
      </c>
      <c r="BJ73" s="383" t="s">
        <v>572</v>
      </c>
      <c r="BK73" s="382" t="s">
        <v>571</v>
      </c>
      <c r="BL73" s="383" t="s">
        <v>572</v>
      </c>
      <c r="BM73" s="382" t="s">
        <v>571</v>
      </c>
      <c r="BN73" s="383">
        <v>35000</v>
      </c>
      <c r="BO73" s="378" t="s">
        <v>571</v>
      </c>
      <c r="BP73" s="273">
        <f t="shared" si="27"/>
        <v>13381.627450980392</v>
      </c>
      <c r="BQ73" s="273">
        <f t="shared" si="28"/>
        <v>682463</v>
      </c>
      <c r="BR73" s="125">
        <f t="shared" si="38"/>
        <v>694265.3217130634</v>
      </c>
      <c r="BS73" s="191">
        <f t="shared" si="29"/>
        <v>-1.7145882254284352E-2</v>
      </c>
      <c r="BT73" s="380">
        <f t="shared" si="39"/>
        <v>486.23287377056215</v>
      </c>
      <c r="BU73" s="192"/>
      <c r="BV73" s="202">
        <f t="shared" si="33"/>
        <v>19291.666666666668</v>
      </c>
      <c r="BW73" s="202">
        <f t="shared" si="34"/>
        <v>115750</v>
      </c>
      <c r="BX73" s="168">
        <f t="shared" si="40"/>
        <v>153393.56666666668</v>
      </c>
      <c r="BY73" s="192">
        <f t="shared" si="30"/>
        <v>-0.2815742567996769</v>
      </c>
      <c r="BZ73" s="380">
        <f t="shared" si="41"/>
        <v>518.98395721925124</v>
      </c>
      <c r="CA73" s="192"/>
      <c r="CB73" s="202">
        <f t="shared" si="35"/>
        <v>23020.833333333332</v>
      </c>
      <c r="CC73" s="202">
        <f t="shared" si="36"/>
        <v>276250</v>
      </c>
      <c r="CD73" s="202">
        <f t="shared" si="42"/>
        <v>287200</v>
      </c>
      <c r="CE73" s="191">
        <f t="shared" si="31"/>
        <v>-3.8872584342106581E-2</v>
      </c>
      <c r="CF73" s="380">
        <f t="shared" si="43"/>
        <v>400.45289855072463</v>
      </c>
      <c r="CG73" s="380">
        <f t="shared" si="32"/>
        <v>58.099547511312224</v>
      </c>
    </row>
    <row r="74" spans="2:85">
      <c r="B74" s="118">
        <f t="shared" si="37"/>
        <v>48</v>
      </c>
      <c r="C74" s="377">
        <v>1964</v>
      </c>
      <c r="D74" s="378">
        <v>1500</v>
      </c>
      <c r="E74" s="378">
        <v>1500</v>
      </c>
      <c r="F74" s="378">
        <v>50000</v>
      </c>
      <c r="G74" s="378">
        <v>700</v>
      </c>
      <c r="H74" s="378">
        <v>7500</v>
      </c>
      <c r="I74" s="378">
        <v>2000</v>
      </c>
      <c r="J74" s="378">
        <v>7000</v>
      </c>
      <c r="K74" s="378">
        <v>750</v>
      </c>
      <c r="L74" s="378">
        <v>30000</v>
      </c>
      <c r="M74" s="378">
        <v>20000</v>
      </c>
      <c r="N74" s="378">
        <v>200</v>
      </c>
      <c r="O74" s="378">
        <v>75</v>
      </c>
      <c r="P74" s="378">
        <v>1500</v>
      </c>
      <c r="Q74" s="378" t="s">
        <v>571</v>
      </c>
      <c r="R74" s="378">
        <v>750</v>
      </c>
      <c r="S74" s="383">
        <v>15000</v>
      </c>
      <c r="T74" s="378">
        <v>10000</v>
      </c>
      <c r="U74" s="379" t="s">
        <v>571</v>
      </c>
      <c r="V74" s="378">
        <v>35000</v>
      </c>
      <c r="W74" s="378">
        <v>200</v>
      </c>
      <c r="X74" s="378">
        <v>750</v>
      </c>
      <c r="Y74" s="378">
        <v>1500</v>
      </c>
      <c r="Z74" s="378">
        <v>750</v>
      </c>
      <c r="AA74" s="379" t="s">
        <v>571</v>
      </c>
      <c r="AB74" s="378">
        <v>400</v>
      </c>
      <c r="AC74" s="378">
        <v>7500</v>
      </c>
      <c r="AD74" s="378">
        <v>1500</v>
      </c>
      <c r="AE74" s="378">
        <v>3500</v>
      </c>
      <c r="AF74" s="379" t="s">
        <v>571</v>
      </c>
      <c r="AG74" s="383">
        <v>1500</v>
      </c>
      <c r="AH74" s="378">
        <v>3500</v>
      </c>
      <c r="AI74" s="378">
        <v>25</v>
      </c>
      <c r="AJ74" s="383" t="s">
        <v>569</v>
      </c>
      <c r="AK74" s="378">
        <v>1500</v>
      </c>
      <c r="AL74" s="378" t="s">
        <v>572</v>
      </c>
      <c r="AM74" s="378">
        <v>400</v>
      </c>
      <c r="AN74" s="379" t="s">
        <v>571</v>
      </c>
      <c r="AO74" s="378">
        <v>15000</v>
      </c>
      <c r="AP74" s="378">
        <v>750</v>
      </c>
      <c r="AQ74" s="378">
        <v>25</v>
      </c>
      <c r="AR74" s="378">
        <v>25</v>
      </c>
      <c r="AS74" s="378">
        <v>400</v>
      </c>
      <c r="AT74" s="378">
        <v>35000</v>
      </c>
      <c r="AU74" s="378">
        <v>400</v>
      </c>
      <c r="AV74" s="378">
        <v>3500</v>
      </c>
      <c r="AW74" s="378" t="s">
        <v>569</v>
      </c>
      <c r="AX74" s="378">
        <v>35000</v>
      </c>
      <c r="AY74" s="378">
        <v>200</v>
      </c>
      <c r="AZ74" s="378">
        <v>7500</v>
      </c>
      <c r="BA74" s="378">
        <v>35000</v>
      </c>
      <c r="BB74" s="378">
        <v>7500</v>
      </c>
      <c r="BC74" s="378">
        <v>7500</v>
      </c>
      <c r="BD74" s="379" t="s">
        <v>571</v>
      </c>
      <c r="BE74" s="383">
        <v>75</v>
      </c>
      <c r="BF74" s="383">
        <v>7500</v>
      </c>
      <c r="BG74" s="382" t="s">
        <v>571</v>
      </c>
      <c r="BH74" s="383">
        <v>75</v>
      </c>
      <c r="BI74" s="382" t="s">
        <v>571</v>
      </c>
      <c r="BJ74" s="383" t="s">
        <v>569</v>
      </c>
      <c r="BK74" s="382" t="s">
        <v>571</v>
      </c>
      <c r="BL74" s="383" t="s">
        <v>569</v>
      </c>
      <c r="BM74" s="383" t="s">
        <v>572</v>
      </c>
      <c r="BN74" s="383">
        <v>1500</v>
      </c>
      <c r="BO74" s="378" t="s">
        <v>571</v>
      </c>
      <c r="BP74" s="273">
        <f t="shared" si="27"/>
        <v>7571.875</v>
      </c>
      <c r="BQ74" s="273">
        <f t="shared" si="28"/>
        <v>363450</v>
      </c>
      <c r="BR74" s="125">
        <f t="shared" si="38"/>
        <v>694265.3217130634</v>
      </c>
      <c r="BS74" s="191">
        <f t="shared" si="29"/>
        <v>-0.64721245945899408</v>
      </c>
      <c r="BT74" s="380">
        <f t="shared" si="39"/>
        <v>-46.744365628612833</v>
      </c>
      <c r="BU74" s="192"/>
      <c r="BV74" s="202">
        <f t="shared" si="33"/>
        <v>15000</v>
      </c>
      <c r="BW74" s="202">
        <f t="shared" si="34"/>
        <v>90000</v>
      </c>
      <c r="BX74" s="168">
        <f t="shared" si="40"/>
        <v>153393.56666666668</v>
      </c>
      <c r="BY74" s="192">
        <f t="shared" si="30"/>
        <v>-0.53319727943575534</v>
      </c>
      <c r="BZ74" s="380">
        <f t="shared" si="41"/>
        <v>-22.246220302375811</v>
      </c>
      <c r="CA74" s="192"/>
      <c r="CB74" s="202">
        <f t="shared" si="35"/>
        <v>16045.454545454546</v>
      </c>
      <c r="CC74" s="202">
        <f t="shared" si="36"/>
        <v>176500</v>
      </c>
      <c r="CD74" s="202">
        <f t="shared" si="42"/>
        <v>287200</v>
      </c>
      <c r="CE74" s="191">
        <f t="shared" si="31"/>
        <v>-0.48685796080071758</v>
      </c>
      <c r="CF74" s="380">
        <f t="shared" si="43"/>
        <v>-36.108597285067873</v>
      </c>
      <c r="CG74" s="380">
        <f t="shared" si="32"/>
        <v>49.008498583569406</v>
      </c>
    </row>
    <row r="75" spans="2:85">
      <c r="B75" s="118">
        <f t="shared" si="37"/>
        <v>46</v>
      </c>
      <c r="C75" s="377">
        <v>1966</v>
      </c>
      <c r="D75" s="378">
        <v>4000</v>
      </c>
      <c r="E75" s="378">
        <v>1500</v>
      </c>
      <c r="F75" s="378">
        <v>125000</v>
      </c>
      <c r="G75" s="378">
        <v>800</v>
      </c>
      <c r="H75" s="378">
        <v>5000</v>
      </c>
      <c r="I75" s="378">
        <v>2000</v>
      </c>
      <c r="J75" s="378">
        <v>15000</v>
      </c>
      <c r="K75" s="378">
        <v>1000</v>
      </c>
      <c r="L75" s="378">
        <v>1500</v>
      </c>
      <c r="M75" s="378">
        <v>60000</v>
      </c>
      <c r="N75" s="378">
        <v>400</v>
      </c>
      <c r="O75" s="378">
        <v>500</v>
      </c>
      <c r="P75" s="378">
        <v>400</v>
      </c>
      <c r="Q75" s="378" t="s">
        <v>571</v>
      </c>
      <c r="R75" s="378">
        <v>1500</v>
      </c>
      <c r="S75" s="383">
        <v>45000</v>
      </c>
      <c r="T75" s="378">
        <v>12000</v>
      </c>
      <c r="U75" s="379" t="s">
        <v>571</v>
      </c>
      <c r="V75" s="378">
        <v>25000</v>
      </c>
      <c r="W75" s="378">
        <v>1500</v>
      </c>
      <c r="X75" s="378">
        <v>1500</v>
      </c>
      <c r="Y75" s="378">
        <v>1500</v>
      </c>
      <c r="Z75" s="378">
        <v>7500</v>
      </c>
      <c r="AA75" s="379" t="s">
        <v>571</v>
      </c>
      <c r="AB75" s="378" t="s">
        <v>569</v>
      </c>
      <c r="AC75" s="378">
        <v>3500</v>
      </c>
      <c r="AD75" s="378">
        <v>3500</v>
      </c>
      <c r="AE75" s="378">
        <v>3500</v>
      </c>
      <c r="AF75" s="379" t="s">
        <v>571</v>
      </c>
      <c r="AG75" s="383">
        <v>3500</v>
      </c>
      <c r="AH75" s="378">
        <v>7500</v>
      </c>
      <c r="AI75" s="378">
        <v>400</v>
      </c>
      <c r="AJ75" s="383" t="s">
        <v>572</v>
      </c>
      <c r="AK75" s="378">
        <v>7500</v>
      </c>
      <c r="AL75" s="378">
        <v>7500</v>
      </c>
      <c r="AM75" s="378">
        <v>3500</v>
      </c>
      <c r="AN75" s="379" t="s">
        <v>571</v>
      </c>
      <c r="AO75" s="378">
        <v>7500</v>
      </c>
      <c r="AP75" s="379" t="s">
        <v>571</v>
      </c>
      <c r="AQ75" s="378" t="s">
        <v>569</v>
      </c>
      <c r="AR75" s="378">
        <v>200</v>
      </c>
      <c r="AS75" s="378">
        <v>750</v>
      </c>
      <c r="AT75" s="378">
        <v>35000</v>
      </c>
      <c r="AU75" s="378" t="s">
        <v>569</v>
      </c>
      <c r="AV75" s="378">
        <v>7500</v>
      </c>
      <c r="AW75" s="378">
        <v>1500</v>
      </c>
      <c r="AX75" s="378">
        <v>35000</v>
      </c>
      <c r="AY75" s="378">
        <v>7500</v>
      </c>
      <c r="AZ75" s="378">
        <v>35000</v>
      </c>
      <c r="BA75" s="378">
        <v>15000</v>
      </c>
      <c r="BB75" s="378">
        <v>7500</v>
      </c>
      <c r="BC75" s="378">
        <v>35000</v>
      </c>
      <c r="BD75" s="378" t="s">
        <v>572</v>
      </c>
      <c r="BE75" s="383">
        <v>75</v>
      </c>
      <c r="BF75" s="383">
        <v>15000</v>
      </c>
      <c r="BG75" s="382" t="s">
        <v>571</v>
      </c>
      <c r="BH75" s="383" t="s">
        <v>569</v>
      </c>
      <c r="BI75" s="382" t="s">
        <v>571</v>
      </c>
      <c r="BJ75" s="383" t="s">
        <v>569</v>
      </c>
      <c r="BK75" s="382">
        <v>75</v>
      </c>
      <c r="BL75" s="383" t="s">
        <v>572</v>
      </c>
      <c r="BM75" s="383" t="s">
        <v>569</v>
      </c>
      <c r="BN75" s="383">
        <v>7500</v>
      </c>
      <c r="BO75" s="378" t="s">
        <v>571</v>
      </c>
      <c r="BP75" s="273">
        <f t="shared" si="27"/>
        <v>12241.304347826086</v>
      </c>
      <c r="BQ75" s="273">
        <f t="shared" si="28"/>
        <v>563100</v>
      </c>
      <c r="BR75" s="125">
        <f t="shared" si="38"/>
        <v>694265.3217130634</v>
      </c>
      <c r="BS75" s="191">
        <f t="shared" si="29"/>
        <v>-0.20939696312906567</v>
      </c>
      <c r="BT75" s="380">
        <f t="shared" si="39"/>
        <v>54.931902600082537</v>
      </c>
      <c r="BU75" s="192"/>
      <c r="BV75" s="202">
        <f t="shared" si="33"/>
        <v>38750</v>
      </c>
      <c r="BW75" s="202">
        <f t="shared" si="34"/>
        <v>232500</v>
      </c>
      <c r="BX75" s="168">
        <f t="shared" si="40"/>
        <v>153393.56666666668</v>
      </c>
      <c r="BY75" s="192">
        <f t="shared" si="30"/>
        <v>0.41588327526139068</v>
      </c>
      <c r="BZ75" s="380">
        <f t="shared" si="41"/>
        <v>158.33333333333331</v>
      </c>
      <c r="CA75" s="192"/>
      <c r="CB75" s="202">
        <f t="shared" si="35"/>
        <v>26000</v>
      </c>
      <c r="CC75" s="202">
        <f t="shared" si="36"/>
        <v>312000</v>
      </c>
      <c r="CD75" s="202">
        <f t="shared" si="42"/>
        <v>287200</v>
      </c>
      <c r="CE75" s="191">
        <f t="shared" si="31"/>
        <v>8.2824350635413269E-2</v>
      </c>
      <c r="CF75" s="380">
        <f t="shared" si="43"/>
        <v>76.770538243626063</v>
      </c>
      <c r="CG75" s="380">
        <f t="shared" si="32"/>
        <v>25.48076923076923</v>
      </c>
    </row>
    <row r="76" spans="2:85">
      <c r="B76" s="118">
        <f t="shared" si="37"/>
        <v>50</v>
      </c>
      <c r="C76" s="377">
        <v>1968</v>
      </c>
      <c r="D76" s="378">
        <v>2000</v>
      </c>
      <c r="E76" s="378">
        <v>6000</v>
      </c>
      <c r="F76" s="378">
        <v>70000</v>
      </c>
      <c r="G76" s="378">
        <v>800</v>
      </c>
      <c r="H76" s="378">
        <v>40000</v>
      </c>
      <c r="I76" s="378">
        <v>800</v>
      </c>
      <c r="J76" s="378">
        <v>2500</v>
      </c>
      <c r="K76" s="378">
        <v>800</v>
      </c>
      <c r="L76" s="378">
        <v>5000</v>
      </c>
      <c r="M76" s="378">
        <v>50000</v>
      </c>
      <c r="N76" s="378">
        <v>200</v>
      </c>
      <c r="O76" s="378">
        <v>400</v>
      </c>
      <c r="P76" s="378">
        <v>400</v>
      </c>
      <c r="Q76" s="378" t="s">
        <v>571</v>
      </c>
      <c r="R76" s="378">
        <v>4000</v>
      </c>
      <c r="S76" s="383">
        <v>25000</v>
      </c>
      <c r="T76" s="378">
        <v>8000</v>
      </c>
      <c r="U76" s="378">
        <v>500</v>
      </c>
      <c r="V76" s="378">
        <v>20000</v>
      </c>
      <c r="W76" s="378" t="s">
        <v>570</v>
      </c>
      <c r="X76" s="378">
        <v>3500</v>
      </c>
      <c r="Y76" s="378">
        <v>3500</v>
      </c>
      <c r="Z76" s="378">
        <v>7500</v>
      </c>
      <c r="AA76" s="379" t="s">
        <v>571</v>
      </c>
      <c r="AB76" s="378">
        <v>750</v>
      </c>
      <c r="AC76" s="378">
        <v>15000</v>
      </c>
      <c r="AD76" s="378">
        <v>7500</v>
      </c>
      <c r="AE76" s="378">
        <v>7500</v>
      </c>
      <c r="AF76" s="379" t="s">
        <v>571</v>
      </c>
      <c r="AG76" s="383">
        <v>3500</v>
      </c>
      <c r="AH76" s="378">
        <v>7500</v>
      </c>
      <c r="AI76" s="378">
        <v>750</v>
      </c>
      <c r="AJ76" s="383" t="s">
        <v>572</v>
      </c>
      <c r="AK76" s="378">
        <v>35000</v>
      </c>
      <c r="AL76" s="378">
        <v>7500</v>
      </c>
      <c r="AM76" s="378">
        <v>15000</v>
      </c>
      <c r="AN76" s="379" t="s">
        <v>571</v>
      </c>
      <c r="AO76" s="378">
        <v>15000</v>
      </c>
      <c r="AP76" s="379" t="s">
        <v>571</v>
      </c>
      <c r="AQ76" s="378">
        <v>750</v>
      </c>
      <c r="AR76" s="378">
        <v>750</v>
      </c>
      <c r="AS76" s="378">
        <v>1500</v>
      </c>
      <c r="AT76" s="378">
        <v>125000</v>
      </c>
      <c r="AU76" s="378">
        <v>750</v>
      </c>
      <c r="AV76" s="378">
        <v>7500</v>
      </c>
      <c r="AW76" s="378">
        <v>3500</v>
      </c>
      <c r="AX76" s="378">
        <v>75000</v>
      </c>
      <c r="AY76" s="378">
        <v>7500</v>
      </c>
      <c r="AZ76" s="378">
        <v>15000</v>
      </c>
      <c r="BA76" s="378">
        <v>35000</v>
      </c>
      <c r="BB76" s="378">
        <v>7500</v>
      </c>
      <c r="BC76" s="378">
        <v>7500</v>
      </c>
      <c r="BD76" s="378" t="s">
        <v>572</v>
      </c>
      <c r="BE76" s="383">
        <v>25</v>
      </c>
      <c r="BF76" s="383">
        <v>35000</v>
      </c>
      <c r="BG76" s="382" t="s">
        <v>571</v>
      </c>
      <c r="BH76" s="383" t="s">
        <v>569</v>
      </c>
      <c r="BI76" s="382" t="s">
        <v>571</v>
      </c>
      <c r="BJ76" s="382" t="s">
        <v>571</v>
      </c>
      <c r="BK76" s="382">
        <v>25</v>
      </c>
      <c r="BL76" s="382" t="s">
        <v>571</v>
      </c>
      <c r="BM76" s="383" t="s">
        <v>569</v>
      </c>
      <c r="BN76" s="383">
        <v>15000</v>
      </c>
      <c r="BO76" s="378">
        <v>25</v>
      </c>
      <c r="BP76" s="273">
        <f t="shared" si="27"/>
        <v>14064.5</v>
      </c>
      <c r="BQ76" s="273">
        <f t="shared" si="28"/>
        <v>703225</v>
      </c>
      <c r="BR76" s="125">
        <f t="shared" si="38"/>
        <v>694265.3217130634</v>
      </c>
      <c r="BS76" s="191">
        <f t="shared" si="29"/>
        <v>1.2822702112747109E-2</v>
      </c>
      <c r="BT76" s="380">
        <f t="shared" si="39"/>
        <v>24.884567572367253</v>
      </c>
      <c r="BU76" s="192"/>
      <c r="BV76" s="202">
        <f t="shared" si="33"/>
        <v>24750</v>
      </c>
      <c r="BW76" s="202">
        <f t="shared" si="34"/>
        <v>148500</v>
      </c>
      <c r="BX76" s="168">
        <f t="shared" si="40"/>
        <v>153393.56666666668</v>
      </c>
      <c r="BY76" s="192">
        <f t="shared" si="30"/>
        <v>-3.2421991523265983E-2</v>
      </c>
      <c r="BZ76" s="380">
        <f t="shared" si="41"/>
        <v>-36.129032258064512</v>
      </c>
      <c r="CA76" s="192"/>
      <c r="CB76" s="202">
        <f t="shared" si="35"/>
        <v>30291.666666666668</v>
      </c>
      <c r="CC76" s="202">
        <f t="shared" si="36"/>
        <v>363500</v>
      </c>
      <c r="CD76" s="202">
        <f t="shared" si="42"/>
        <v>287200</v>
      </c>
      <c r="CE76" s="191">
        <f t="shared" si="31"/>
        <v>0.235600459799505</v>
      </c>
      <c r="CF76" s="380">
        <f t="shared" si="43"/>
        <v>16.506410256410255</v>
      </c>
      <c r="CG76" s="380">
        <f t="shared" si="32"/>
        <v>59.147180192572215</v>
      </c>
    </row>
    <row r="77" spans="2:85">
      <c r="B77" s="118">
        <f t="shared" si="37"/>
        <v>49</v>
      </c>
      <c r="C77" s="377">
        <v>1970</v>
      </c>
      <c r="D77" s="378">
        <v>9000</v>
      </c>
      <c r="E77" s="378">
        <v>12000</v>
      </c>
      <c r="F77" s="378">
        <v>70000</v>
      </c>
      <c r="G77" s="378">
        <v>4000</v>
      </c>
      <c r="H77" s="378">
        <v>12000</v>
      </c>
      <c r="I77" s="378">
        <v>500</v>
      </c>
      <c r="J77" s="378">
        <v>2000</v>
      </c>
      <c r="K77" s="378">
        <v>800</v>
      </c>
      <c r="L77" s="378">
        <v>2000</v>
      </c>
      <c r="M77" s="378">
        <v>40000</v>
      </c>
      <c r="N77" s="379" t="s">
        <v>571</v>
      </c>
      <c r="O77" s="378">
        <v>300</v>
      </c>
      <c r="P77" s="378">
        <v>200</v>
      </c>
      <c r="Q77" s="378" t="s">
        <v>571</v>
      </c>
      <c r="R77" s="378">
        <v>1000</v>
      </c>
      <c r="S77" s="383">
        <v>25000</v>
      </c>
      <c r="T77" s="378">
        <v>12000</v>
      </c>
      <c r="U77" s="378">
        <v>500</v>
      </c>
      <c r="V77" s="378">
        <v>20000</v>
      </c>
      <c r="W77" s="378">
        <v>400</v>
      </c>
      <c r="X77" s="378">
        <v>3500</v>
      </c>
      <c r="Y77" s="378">
        <v>3500</v>
      </c>
      <c r="Z77" s="378">
        <v>3500</v>
      </c>
      <c r="AA77" s="379" t="s">
        <v>571</v>
      </c>
      <c r="AB77" s="378">
        <v>400</v>
      </c>
      <c r="AC77" s="378">
        <v>7500</v>
      </c>
      <c r="AD77" s="378">
        <v>3500</v>
      </c>
      <c r="AE77" s="378">
        <v>3500</v>
      </c>
      <c r="AF77" s="379" t="s">
        <v>571</v>
      </c>
      <c r="AG77" s="383">
        <v>1500</v>
      </c>
      <c r="AH77" s="378">
        <v>1500</v>
      </c>
      <c r="AI77" s="378">
        <v>400</v>
      </c>
      <c r="AJ77" s="383" t="s">
        <v>569</v>
      </c>
      <c r="AK77" s="378">
        <v>35000</v>
      </c>
      <c r="AL77" s="378">
        <v>3500</v>
      </c>
      <c r="AM77" s="378">
        <v>1500</v>
      </c>
      <c r="AN77" s="379" t="s">
        <v>571</v>
      </c>
      <c r="AO77" s="378">
        <v>7500</v>
      </c>
      <c r="AP77" s="379" t="s">
        <v>574</v>
      </c>
      <c r="AQ77" s="378">
        <v>400</v>
      </c>
      <c r="AR77" s="378">
        <v>750</v>
      </c>
      <c r="AS77" s="378">
        <v>750</v>
      </c>
      <c r="AT77" s="378">
        <v>85000</v>
      </c>
      <c r="AU77" s="378" t="s">
        <v>569</v>
      </c>
      <c r="AV77" s="378">
        <v>7500</v>
      </c>
      <c r="AW77" s="378" t="s">
        <v>570</v>
      </c>
      <c r="AX77" s="378">
        <v>60000</v>
      </c>
      <c r="AY77" s="378" t="s">
        <v>569</v>
      </c>
      <c r="AZ77" s="378">
        <v>15000</v>
      </c>
      <c r="BA77" s="378">
        <v>75000</v>
      </c>
      <c r="BB77" s="378">
        <v>35000</v>
      </c>
      <c r="BC77" s="378">
        <v>15000</v>
      </c>
      <c r="BD77" s="378">
        <v>200</v>
      </c>
      <c r="BE77" s="383">
        <v>200</v>
      </c>
      <c r="BF77" s="383">
        <v>3500</v>
      </c>
      <c r="BG77" s="382" t="s">
        <v>571</v>
      </c>
      <c r="BH77" s="383" t="s">
        <v>569</v>
      </c>
      <c r="BI77" s="382" t="s">
        <v>571</v>
      </c>
      <c r="BJ77" s="383" t="s">
        <v>572</v>
      </c>
      <c r="BK77" s="383">
        <v>200</v>
      </c>
      <c r="BL77" s="383">
        <v>25</v>
      </c>
      <c r="BM77" s="383">
        <v>25</v>
      </c>
      <c r="BN77" s="383">
        <v>15000</v>
      </c>
      <c r="BO77" s="378" t="s">
        <v>569</v>
      </c>
      <c r="BP77" s="273">
        <f t="shared" si="27"/>
        <v>12276.530612244898</v>
      </c>
      <c r="BQ77" s="273">
        <f t="shared" si="28"/>
        <v>601550</v>
      </c>
      <c r="BR77" s="125">
        <f t="shared" si="38"/>
        <v>694265.3217130634</v>
      </c>
      <c r="BS77" s="191">
        <f t="shared" si="29"/>
        <v>-0.14334453791010496</v>
      </c>
      <c r="BT77" s="380">
        <f t="shared" si="39"/>
        <v>-14.458388140353373</v>
      </c>
      <c r="BU77" s="192"/>
      <c r="BV77" s="202">
        <f t="shared" si="33"/>
        <v>29250</v>
      </c>
      <c r="BW77" s="202">
        <f t="shared" si="34"/>
        <v>175500</v>
      </c>
      <c r="BX77" s="168">
        <f t="shared" si="40"/>
        <v>153393.56666666668</v>
      </c>
      <c r="BY77" s="192">
        <f t="shared" si="30"/>
        <v>0.13463209313990018</v>
      </c>
      <c r="BZ77" s="380">
        <f t="shared" si="41"/>
        <v>18.181818181818183</v>
      </c>
      <c r="CA77" s="192"/>
      <c r="CB77" s="202">
        <f t="shared" si="35"/>
        <v>25583.333333333332</v>
      </c>
      <c r="CC77" s="202">
        <f t="shared" si="36"/>
        <v>307000</v>
      </c>
      <c r="CD77" s="202">
        <f t="shared" si="42"/>
        <v>287200</v>
      </c>
      <c r="CE77" s="191">
        <f t="shared" si="31"/>
        <v>6.6668910413128099E-2</v>
      </c>
      <c r="CF77" s="380">
        <f t="shared" si="43"/>
        <v>-15.543328748280604</v>
      </c>
      <c r="CG77" s="380">
        <f t="shared" si="32"/>
        <v>42.833876221498372</v>
      </c>
    </row>
    <row r="78" spans="2:85">
      <c r="B78" s="118">
        <f t="shared" si="37"/>
        <v>54</v>
      </c>
      <c r="C78" s="377">
        <v>1972</v>
      </c>
      <c r="D78" s="378">
        <v>1000</v>
      </c>
      <c r="E78" s="378">
        <v>5000</v>
      </c>
      <c r="F78" s="378">
        <v>4000</v>
      </c>
      <c r="G78" s="378">
        <v>300</v>
      </c>
      <c r="H78" s="378">
        <v>1000</v>
      </c>
      <c r="I78" s="378">
        <v>600</v>
      </c>
      <c r="J78" s="378">
        <v>1500</v>
      </c>
      <c r="K78" s="378">
        <v>75</v>
      </c>
      <c r="L78" s="378">
        <v>2000</v>
      </c>
      <c r="M78" s="378">
        <v>55000</v>
      </c>
      <c r="N78" s="379" t="s">
        <v>571</v>
      </c>
      <c r="O78" s="378">
        <v>25</v>
      </c>
      <c r="P78" s="378">
        <v>50</v>
      </c>
      <c r="Q78" s="378" t="s">
        <v>571</v>
      </c>
      <c r="R78" s="378">
        <v>300</v>
      </c>
      <c r="S78" s="383">
        <v>5000</v>
      </c>
      <c r="T78" s="378">
        <v>5000</v>
      </c>
      <c r="U78" s="378">
        <v>200</v>
      </c>
      <c r="V78" s="378">
        <v>6000</v>
      </c>
      <c r="W78" s="378">
        <v>750</v>
      </c>
      <c r="X78" s="378">
        <v>1500</v>
      </c>
      <c r="Y78" s="378">
        <v>7500</v>
      </c>
      <c r="Z78" s="378">
        <v>18000</v>
      </c>
      <c r="AA78" s="379" t="s">
        <v>571</v>
      </c>
      <c r="AB78" s="378">
        <v>750</v>
      </c>
      <c r="AC78" s="378">
        <v>6000</v>
      </c>
      <c r="AD78" s="378">
        <v>3500</v>
      </c>
      <c r="AE78" s="378">
        <v>3500</v>
      </c>
      <c r="AF78" s="378">
        <v>2500</v>
      </c>
      <c r="AG78" s="383">
        <v>1500</v>
      </c>
      <c r="AH78" s="378">
        <v>3000</v>
      </c>
      <c r="AI78" s="378" t="s">
        <v>569</v>
      </c>
      <c r="AJ78" s="383">
        <v>200</v>
      </c>
      <c r="AK78" s="378">
        <v>40000</v>
      </c>
      <c r="AL78" s="378">
        <v>3500</v>
      </c>
      <c r="AM78" s="378">
        <v>3000</v>
      </c>
      <c r="AN78" s="379" t="s">
        <v>571</v>
      </c>
      <c r="AO78" s="378">
        <v>3500</v>
      </c>
      <c r="AP78" s="378" t="s">
        <v>569</v>
      </c>
      <c r="AQ78" s="378">
        <v>1500</v>
      </c>
      <c r="AR78" s="378">
        <v>750</v>
      </c>
      <c r="AS78" s="378">
        <v>4000</v>
      </c>
      <c r="AT78" s="378">
        <v>75000</v>
      </c>
      <c r="AU78" s="378" t="s">
        <v>569</v>
      </c>
      <c r="AV78" s="378">
        <v>400</v>
      </c>
      <c r="AW78" s="378">
        <v>750</v>
      </c>
      <c r="AX78" s="378">
        <v>75000</v>
      </c>
      <c r="AY78" s="378">
        <v>1500</v>
      </c>
      <c r="AZ78" s="378">
        <v>7500</v>
      </c>
      <c r="BA78" s="378">
        <v>175000</v>
      </c>
      <c r="BB78" s="378">
        <v>200000</v>
      </c>
      <c r="BC78" s="378">
        <v>75000</v>
      </c>
      <c r="BD78" s="378">
        <v>1500</v>
      </c>
      <c r="BE78" s="383">
        <v>400</v>
      </c>
      <c r="BF78" s="383">
        <v>35000</v>
      </c>
      <c r="BG78" s="383" t="s">
        <v>569</v>
      </c>
      <c r="BH78" s="383">
        <v>400</v>
      </c>
      <c r="BI78" s="382" t="s">
        <v>571</v>
      </c>
      <c r="BJ78" s="383">
        <v>5000</v>
      </c>
      <c r="BK78" s="383">
        <v>1000</v>
      </c>
      <c r="BL78" s="383">
        <v>75</v>
      </c>
      <c r="BM78" s="383" t="s">
        <v>571</v>
      </c>
      <c r="BN78" s="383">
        <v>2500</v>
      </c>
      <c r="BO78" s="378">
        <v>25</v>
      </c>
      <c r="BP78" s="273">
        <f t="shared" si="27"/>
        <v>15704.62962962963</v>
      </c>
      <c r="BQ78" s="273">
        <f t="shared" si="28"/>
        <v>848050</v>
      </c>
      <c r="BR78" s="125">
        <f t="shared" si="38"/>
        <v>694265.3217130634</v>
      </c>
      <c r="BS78" s="191">
        <f t="shared" si="29"/>
        <v>0.20008540092820959</v>
      </c>
      <c r="BT78" s="380">
        <f t="shared" si="39"/>
        <v>40.977474856620397</v>
      </c>
      <c r="BU78" s="192"/>
      <c r="BV78" s="202">
        <f t="shared" si="33"/>
        <v>57083.333333333336</v>
      </c>
      <c r="BW78" s="202">
        <f t="shared" si="34"/>
        <v>342500</v>
      </c>
      <c r="BX78" s="168">
        <f t="shared" si="40"/>
        <v>153393.56666666668</v>
      </c>
      <c r="BY78" s="192">
        <f t="shared" si="30"/>
        <v>0.80326470793625959</v>
      </c>
      <c r="BZ78" s="380">
        <f t="shared" si="41"/>
        <v>95.15669515669515</v>
      </c>
      <c r="CA78" s="192"/>
      <c r="CB78" s="202">
        <f t="shared" si="35"/>
        <v>36458.333333333336</v>
      </c>
      <c r="CC78" s="202">
        <f t="shared" si="36"/>
        <v>437500</v>
      </c>
      <c r="CD78" s="202">
        <f t="shared" si="42"/>
        <v>287200</v>
      </c>
      <c r="CE78" s="191">
        <f t="shared" si="31"/>
        <v>0.42089786862360001</v>
      </c>
      <c r="CF78" s="380">
        <f t="shared" si="43"/>
        <v>42.508143322475568</v>
      </c>
      <c r="CG78" s="380">
        <f t="shared" si="32"/>
        <v>21.714285714285712</v>
      </c>
    </row>
    <row r="79" spans="2:85">
      <c r="B79" s="118">
        <f t="shared" si="37"/>
        <v>52</v>
      </c>
      <c r="C79" s="377">
        <v>1974</v>
      </c>
      <c r="D79" s="378" t="s">
        <v>569</v>
      </c>
      <c r="E79" s="378">
        <v>2000</v>
      </c>
      <c r="F79" s="378">
        <v>5000</v>
      </c>
      <c r="G79" s="378">
        <v>3000</v>
      </c>
      <c r="H79" s="378">
        <v>1000</v>
      </c>
      <c r="I79" s="378">
        <v>1000</v>
      </c>
      <c r="J79" s="378">
        <v>2000</v>
      </c>
      <c r="K79" s="378">
        <v>100</v>
      </c>
      <c r="L79" s="378">
        <v>1000</v>
      </c>
      <c r="M79" s="378">
        <v>18000</v>
      </c>
      <c r="N79" s="379" t="s">
        <v>571</v>
      </c>
      <c r="O79" s="378">
        <v>400</v>
      </c>
      <c r="P79" s="379" t="s">
        <v>571</v>
      </c>
      <c r="Q79" s="378" t="s">
        <v>571</v>
      </c>
      <c r="R79" s="378">
        <v>2000</v>
      </c>
      <c r="S79" s="383">
        <v>1000</v>
      </c>
      <c r="T79" s="378">
        <v>5000</v>
      </c>
      <c r="U79" s="378">
        <v>3000</v>
      </c>
      <c r="V79" s="378">
        <v>9000</v>
      </c>
      <c r="W79" s="378">
        <v>500</v>
      </c>
      <c r="X79" s="378" t="s">
        <v>570</v>
      </c>
      <c r="Y79" s="378">
        <v>1000</v>
      </c>
      <c r="Z79" s="378">
        <v>8000</v>
      </c>
      <c r="AA79" s="379" t="s">
        <v>571</v>
      </c>
      <c r="AB79" s="378">
        <v>500</v>
      </c>
      <c r="AC79" s="378">
        <v>4000</v>
      </c>
      <c r="AD79" s="378">
        <v>2000</v>
      </c>
      <c r="AE79" s="378">
        <v>4500</v>
      </c>
      <c r="AF79" s="378" t="s">
        <v>570</v>
      </c>
      <c r="AG79" s="383">
        <v>1000</v>
      </c>
      <c r="AH79" s="378">
        <v>2000</v>
      </c>
      <c r="AI79" s="378" t="s">
        <v>570</v>
      </c>
      <c r="AJ79" s="383">
        <v>2000</v>
      </c>
      <c r="AK79" s="378">
        <v>55000</v>
      </c>
      <c r="AL79" s="378">
        <v>15000</v>
      </c>
      <c r="AM79" s="378">
        <v>10000</v>
      </c>
      <c r="AN79" s="379" t="s">
        <v>571</v>
      </c>
      <c r="AO79" s="378">
        <v>25000</v>
      </c>
      <c r="AP79" s="378">
        <v>600</v>
      </c>
      <c r="AQ79" s="378">
        <v>10000</v>
      </c>
      <c r="AR79" s="378">
        <v>2000</v>
      </c>
      <c r="AS79" s="378">
        <v>15000</v>
      </c>
      <c r="AT79" s="378">
        <v>125000</v>
      </c>
      <c r="AU79" s="379">
        <v>500</v>
      </c>
      <c r="AV79" s="378">
        <v>300</v>
      </c>
      <c r="AW79" s="378">
        <v>1000</v>
      </c>
      <c r="AX79" s="378">
        <v>85000</v>
      </c>
      <c r="AY79" s="378">
        <v>750</v>
      </c>
      <c r="AZ79" s="378">
        <v>2250</v>
      </c>
      <c r="BA79" s="378">
        <v>35000</v>
      </c>
      <c r="BB79" s="378">
        <v>55000</v>
      </c>
      <c r="BC79" s="378">
        <v>90000</v>
      </c>
      <c r="BD79" s="378">
        <v>3500</v>
      </c>
      <c r="BE79" s="383">
        <v>750</v>
      </c>
      <c r="BF79" s="383">
        <v>12500</v>
      </c>
      <c r="BG79" s="383" t="s">
        <v>569</v>
      </c>
      <c r="BH79" s="383">
        <v>750</v>
      </c>
      <c r="BI79" s="382" t="s">
        <v>571</v>
      </c>
      <c r="BJ79" s="383">
        <v>4000</v>
      </c>
      <c r="BK79" s="383">
        <v>7500</v>
      </c>
      <c r="BL79" s="383">
        <v>1500</v>
      </c>
      <c r="BM79" s="383">
        <v>400</v>
      </c>
      <c r="BN79" s="383">
        <v>9000</v>
      </c>
      <c r="BO79" s="378" t="s">
        <v>572</v>
      </c>
      <c r="BP79" s="273">
        <f t="shared" si="27"/>
        <v>12428.846153846154</v>
      </c>
      <c r="BQ79" s="273">
        <f t="shared" si="28"/>
        <v>646300</v>
      </c>
      <c r="BR79" s="125">
        <f t="shared" si="38"/>
        <v>694265.3217130634</v>
      </c>
      <c r="BS79" s="191">
        <f t="shared" si="29"/>
        <v>-7.1590403120788765E-2</v>
      </c>
      <c r="BT79" s="380">
        <f t="shared" si="39"/>
        <v>-23.7898708802547</v>
      </c>
      <c r="BU79" s="192"/>
      <c r="BV79" s="202">
        <f t="shared" si="33"/>
        <v>29083.333333333332</v>
      </c>
      <c r="BW79" s="202">
        <f t="shared" si="34"/>
        <v>174500</v>
      </c>
      <c r="BX79" s="168">
        <f t="shared" si="40"/>
        <v>153393.56666666668</v>
      </c>
      <c r="BY79" s="192">
        <f t="shared" si="30"/>
        <v>0.12891779187646155</v>
      </c>
      <c r="BZ79" s="380">
        <f t="shared" si="41"/>
        <v>-49.051094890510946</v>
      </c>
      <c r="CA79" s="192"/>
      <c r="CB79" s="202">
        <f t="shared" si="35"/>
        <v>27541.666666666668</v>
      </c>
      <c r="CC79" s="202">
        <f t="shared" si="36"/>
        <v>330500</v>
      </c>
      <c r="CD79" s="202">
        <f t="shared" si="42"/>
        <v>287200</v>
      </c>
      <c r="CE79" s="191">
        <f t="shared" si="31"/>
        <v>0.14042782211767191</v>
      </c>
      <c r="CF79" s="380">
        <f t="shared" si="43"/>
        <v>-24.457142857142859</v>
      </c>
      <c r="CG79" s="380">
        <f t="shared" si="32"/>
        <v>47.201210287443267</v>
      </c>
    </row>
    <row r="80" spans="2:85">
      <c r="B80" s="118">
        <f t="shared" si="37"/>
        <v>57</v>
      </c>
      <c r="C80" s="377">
        <v>1976</v>
      </c>
      <c r="D80" s="378">
        <v>4500</v>
      </c>
      <c r="E80" s="378">
        <v>4500</v>
      </c>
      <c r="F80" s="378">
        <v>8500</v>
      </c>
      <c r="G80" s="378">
        <v>2400</v>
      </c>
      <c r="H80" s="378">
        <v>8000</v>
      </c>
      <c r="I80" s="378">
        <v>600</v>
      </c>
      <c r="J80" s="378">
        <v>600</v>
      </c>
      <c r="K80" s="378">
        <v>60</v>
      </c>
      <c r="L80" s="378">
        <v>400</v>
      </c>
      <c r="M80" s="378">
        <v>18000</v>
      </c>
      <c r="N80" s="378">
        <v>2800</v>
      </c>
      <c r="O80" s="378">
        <v>100</v>
      </c>
      <c r="P80" s="378">
        <v>500</v>
      </c>
      <c r="Q80" s="378" t="s">
        <v>571</v>
      </c>
      <c r="R80" s="378">
        <v>7000</v>
      </c>
      <c r="S80" s="383">
        <v>5000</v>
      </c>
      <c r="T80" s="378">
        <v>5000</v>
      </c>
      <c r="U80" s="378">
        <v>2000</v>
      </c>
      <c r="V80" s="378">
        <v>35000</v>
      </c>
      <c r="W80" s="378">
        <v>2500</v>
      </c>
      <c r="X80" s="378">
        <v>3500</v>
      </c>
      <c r="Y80" s="378">
        <v>1500</v>
      </c>
      <c r="Z80" s="378">
        <v>7500</v>
      </c>
      <c r="AA80" s="379" t="s">
        <v>571</v>
      </c>
      <c r="AB80" s="378">
        <v>100</v>
      </c>
      <c r="AC80" s="378">
        <v>1750</v>
      </c>
      <c r="AD80" s="378">
        <v>2000</v>
      </c>
      <c r="AE80" s="378">
        <v>5000</v>
      </c>
      <c r="AF80" s="378">
        <v>250</v>
      </c>
      <c r="AG80" s="383">
        <v>1000</v>
      </c>
      <c r="AH80" s="378">
        <v>4000</v>
      </c>
      <c r="AI80" s="378" t="s">
        <v>569</v>
      </c>
      <c r="AJ80" s="383" t="s">
        <v>569</v>
      </c>
      <c r="AK80" s="378">
        <v>15000</v>
      </c>
      <c r="AL80" s="378">
        <v>9000</v>
      </c>
      <c r="AM80" s="378">
        <v>6500</v>
      </c>
      <c r="AN80" s="379" t="s">
        <v>571</v>
      </c>
      <c r="AO80" s="378">
        <v>20000</v>
      </c>
      <c r="AP80" s="378">
        <v>1250</v>
      </c>
      <c r="AQ80" s="378">
        <v>3000</v>
      </c>
      <c r="AR80" s="378">
        <v>2000</v>
      </c>
      <c r="AS80" s="378">
        <v>11000</v>
      </c>
      <c r="AT80" s="378">
        <v>80000</v>
      </c>
      <c r="AU80" s="378">
        <v>1500</v>
      </c>
      <c r="AV80" s="378">
        <v>2500</v>
      </c>
      <c r="AW80" s="378">
        <v>750</v>
      </c>
      <c r="AX80" s="378">
        <v>200000</v>
      </c>
      <c r="AY80" s="378">
        <v>1500</v>
      </c>
      <c r="AZ80" s="378">
        <v>1500</v>
      </c>
      <c r="BA80" s="378">
        <v>60000</v>
      </c>
      <c r="BB80" s="378">
        <v>20000</v>
      </c>
      <c r="BC80" s="378">
        <v>80000</v>
      </c>
      <c r="BD80" s="378">
        <v>1500</v>
      </c>
      <c r="BE80" s="383" t="s">
        <v>570</v>
      </c>
      <c r="BF80" s="383">
        <v>85000</v>
      </c>
      <c r="BG80" s="383">
        <v>200</v>
      </c>
      <c r="BH80" s="383">
        <v>1000</v>
      </c>
      <c r="BI80" s="383" t="s">
        <v>571</v>
      </c>
      <c r="BJ80" s="383">
        <v>700</v>
      </c>
      <c r="BK80" s="383">
        <v>2000</v>
      </c>
      <c r="BL80" s="383">
        <v>200</v>
      </c>
      <c r="BM80" s="383">
        <v>200</v>
      </c>
      <c r="BN80" s="383">
        <v>22000</v>
      </c>
      <c r="BO80" s="378">
        <v>100</v>
      </c>
      <c r="BP80" s="273">
        <f t="shared" si="27"/>
        <v>13376.491228070176</v>
      </c>
      <c r="BQ80" s="273">
        <f t="shared" si="28"/>
        <v>762460</v>
      </c>
      <c r="BR80" s="125">
        <f t="shared" si="38"/>
        <v>694265.3217130634</v>
      </c>
      <c r="BS80" s="191">
        <f t="shared" si="29"/>
        <v>9.3695852699512444E-2</v>
      </c>
      <c r="BT80" s="380">
        <f t="shared" si="39"/>
        <v>17.973077518180411</v>
      </c>
      <c r="BU80" s="192"/>
      <c r="BV80" s="202">
        <f t="shared" si="33"/>
        <v>22666.666666666668</v>
      </c>
      <c r="BW80" s="202">
        <f t="shared" si="34"/>
        <v>136000</v>
      </c>
      <c r="BX80" s="168">
        <f t="shared" si="40"/>
        <v>153393.56666666668</v>
      </c>
      <c r="BY80" s="192">
        <f t="shared" si="30"/>
        <v>-0.12035206402996833</v>
      </c>
      <c r="BZ80" s="380">
        <f t="shared" si="41"/>
        <v>-22.063037249283667</v>
      </c>
      <c r="CA80" s="192"/>
      <c r="CB80" s="202">
        <f t="shared" si="35"/>
        <v>22645.833333333332</v>
      </c>
      <c r="CC80" s="202">
        <f t="shared" si="36"/>
        <v>271750</v>
      </c>
      <c r="CD80" s="202">
        <f t="shared" si="42"/>
        <v>287200</v>
      </c>
      <c r="CE80" s="191">
        <f t="shared" si="31"/>
        <v>-5.5296311172750315E-2</v>
      </c>
      <c r="CF80" s="380">
        <f t="shared" si="43"/>
        <v>-17.776096822995459</v>
      </c>
      <c r="CG80" s="380">
        <f t="shared" si="32"/>
        <v>49.954001839926406</v>
      </c>
    </row>
    <row r="81" spans="2:86">
      <c r="B81" s="118">
        <f t="shared" si="37"/>
        <v>57</v>
      </c>
      <c r="C81" s="377">
        <v>1978</v>
      </c>
      <c r="D81" s="378">
        <v>1000</v>
      </c>
      <c r="E81" s="378">
        <v>5200</v>
      </c>
      <c r="F81" s="378">
        <v>55000</v>
      </c>
      <c r="G81" s="378">
        <v>600</v>
      </c>
      <c r="H81" s="378">
        <v>6500</v>
      </c>
      <c r="I81" s="378">
        <v>1100</v>
      </c>
      <c r="J81" s="378">
        <v>400</v>
      </c>
      <c r="K81" s="378">
        <v>30</v>
      </c>
      <c r="L81" s="378">
        <v>400</v>
      </c>
      <c r="M81" s="378">
        <v>18000</v>
      </c>
      <c r="N81" s="378">
        <v>1600</v>
      </c>
      <c r="O81" s="378">
        <v>600</v>
      </c>
      <c r="P81" s="378">
        <v>1500</v>
      </c>
      <c r="Q81" s="378" t="s">
        <v>571</v>
      </c>
      <c r="R81" s="378">
        <v>1900</v>
      </c>
      <c r="S81" s="383">
        <v>8000</v>
      </c>
      <c r="T81" s="378">
        <v>3100</v>
      </c>
      <c r="U81" s="378">
        <v>750</v>
      </c>
      <c r="V81" s="378">
        <v>19500</v>
      </c>
      <c r="W81" s="378">
        <v>5000</v>
      </c>
      <c r="X81" s="378">
        <v>4000</v>
      </c>
      <c r="Y81" s="378">
        <v>1500</v>
      </c>
      <c r="Z81" s="378">
        <v>10000</v>
      </c>
      <c r="AA81" s="379" t="s">
        <v>571</v>
      </c>
      <c r="AB81" s="378">
        <v>150</v>
      </c>
      <c r="AC81" s="378">
        <v>3000</v>
      </c>
      <c r="AD81" s="378">
        <v>500</v>
      </c>
      <c r="AE81" s="378">
        <v>4000</v>
      </c>
      <c r="AF81" s="378" t="s">
        <v>569</v>
      </c>
      <c r="AG81" s="383">
        <v>1000</v>
      </c>
      <c r="AH81" s="378">
        <v>5500</v>
      </c>
      <c r="AI81" s="378" t="s">
        <v>570</v>
      </c>
      <c r="AJ81" s="383">
        <v>200</v>
      </c>
      <c r="AK81" s="378">
        <v>3500</v>
      </c>
      <c r="AL81" s="378">
        <v>2000</v>
      </c>
      <c r="AM81" s="378">
        <v>1500</v>
      </c>
      <c r="AN81" s="378">
        <v>750</v>
      </c>
      <c r="AO81" s="378">
        <v>15000</v>
      </c>
      <c r="AP81" s="378">
        <v>25</v>
      </c>
      <c r="AQ81" s="378">
        <v>75</v>
      </c>
      <c r="AR81" s="378">
        <v>25</v>
      </c>
      <c r="AS81" s="378">
        <v>5000</v>
      </c>
      <c r="AT81" s="378">
        <v>40000</v>
      </c>
      <c r="AU81" s="378" t="s">
        <v>569</v>
      </c>
      <c r="AV81" s="378">
        <v>500</v>
      </c>
      <c r="AW81" s="378">
        <v>200</v>
      </c>
      <c r="AX81" s="378">
        <v>90000</v>
      </c>
      <c r="AY81" s="378">
        <v>10000</v>
      </c>
      <c r="AZ81" s="378">
        <v>4000</v>
      </c>
      <c r="BA81" s="378">
        <v>3000</v>
      </c>
      <c r="BB81" s="378">
        <v>500</v>
      </c>
      <c r="BC81" s="378">
        <v>25000</v>
      </c>
      <c r="BD81" s="378">
        <v>1000</v>
      </c>
      <c r="BE81" s="383">
        <v>6000</v>
      </c>
      <c r="BF81" s="383">
        <v>40000</v>
      </c>
      <c r="BG81" s="383" t="s">
        <v>569</v>
      </c>
      <c r="BH81" s="383">
        <v>15000</v>
      </c>
      <c r="BI81" s="383">
        <v>800</v>
      </c>
      <c r="BJ81" s="383">
        <v>150</v>
      </c>
      <c r="BK81" s="383">
        <v>1500</v>
      </c>
      <c r="BL81" s="383" t="s">
        <v>571</v>
      </c>
      <c r="BM81" s="383">
        <v>1500</v>
      </c>
      <c r="BN81" s="383">
        <v>18000</v>
      </c>
      <c r="BO81" s="378">
        <v>1000</v>
      </c>
      <c r="BP81" s="273">
        <f t="shared" si="27"/>
        <v>7825.5263157894733</v>
      </c>
      <c r="BQ81" s="273">
        <f t="shared" si="28"/>
        <v>446055</v>
      </c>
      <c r="BR81" s="125">
        <f t="shared" si="38"/>
        <v>694265.3217130634</v>
      </c>
      <c r="BS81" s="191">
        <f t="shared" si="29"/>
        <v>-0.44241193258701128</v>
      </c>
      <c r="BT81" s="380">
        <f t="shared" si="39"/>
        <v>-41.497914644702668</v>
      </c>
      <c r="BU81" s="192"/>
      <c r="BV81" s="202">
        <f t="shared" si="33"/>
        <v>17950</v>
      </c>
      <c r="BW81" s="202">
        <f t="shared" si="34"/>
        <v>107700</v>
      </c>
      <c r="BX81" s="168">
        <f t="shared" si="40"/>
        <v>153393.56666666668</v>
      </c>
      <c r="BY81" s="192">
        <f t="shared" si="30"/>
        <v>-0.35365736560367739</v>
      </c>
      <c r="BZ81" s="380">
        <f t="shared" si="41"/>
        <v>-20.808823529411764</v>
      </c>
      <c r="CA81" s="192"/>
      <c r="CB81" s="202">
        <f t="shared" si="35"/>
        <v>14933.333333333334</v>
      </c>
      <c r="CC81" s="202">
        <f t="shared" si="36"/>
        <v>179200</v>
      </c>
      <c r="CD81" s="202">
        <f t="shared" si="42"/>
        <v>287200</v>
      </c>
      <c r="CE81" s="191">
        <f t="shared" si="31"/>
        <v>-0.47167633663323899</v>
      </c>
      <c r="CF81" s="380">
        <f t="shared" si="43"/>
        <v>-34.057037718491259</v>
      </c>
      <c r="CG81" s="380">
        <f t="shared" si="32"/>
        <v>39.899553571428569</v>
      </c>
    </row>
    <row r="82" spans="2:86">
      <c r="B82" s="118">
        <f t="shared" si="37"/>
        <v>57</v>
      </c>
      <c r="C82" s="377">
        <v>1980</v>
      </c>
      <c r="D82" s="378">
        <v>600</v>
      </c>
      <c r="E82" s="378">
        <v>8500</v>
      </c>
      <c r="F82" s="378">
        <v>9000</v>
      </c>
      <c r="G82" s="378">
        <v>810</v>
      </c>
      <c r="H82" s="378">
        <v>6000</v>
      </c>
      <c r="I82" s="378" t="s">
        <v>569</v>
      </c>
      <c r="J82" s="378">
        <v>800</v>
      </c>
      <c r="K82" s="378">
        <v>40</v>
      </c>
      <c r="L82" s="378">
        <v>1000</v>
      </c>
      <c r="M82" s="378">
        <v>14000</v>
      </c>
      <c r="N82" s="378">
        <v>125</v>
      </c>
      <c r="O82" s="378">
        <v>525</v>
      </c>
      <c r="P82" s="378">
        <v>125</v>
      </c>
      <c r="Q82" s="378" t="s">
        <v>571</v>
      </c>
      <c r="R82" s="378">
        <v>2600</v>
      </c>
      <c r="S82" s="383">
        <v>3800</v>
      </c>
      <c r="T82" s="378">
        <v>3500</v>
      </c>
      <c r="U82" s="378">
        <v>500</v>
      </c>
      <c r="V82" s="378">
        <v>9000</v>
      </c>
      <c r="W82" s="378">
        <v>5000</v>
      </c>
      <c r="X82" s="378">
        <v>1000</v>
      </c>
      <c r="Y82" s="378">
        <v>1500</v>
      </c>
      <c r="Z82" s="378">
        <v>8000</v>
      </c>
      <c r="AA82" s="378" t="s">
        <v>570</v>
      </c>
      <c r="AB82" s="378">
        <v>200</v>
      </c>
      <c r="AC82" s="378">
        <v>2000</v>
      </c>
      <c r="AD82" s="378">
        <v>2000</v>
      </c>
      <c r="AE82" s="378">
        <v>3500</v>
      </c>
      <c r="AF82" s="378" t="s">
        <v>569</v>
      </c>
      <c r="AG82" s="383">
        <v>1000</v>
      </c>
      <c r="AH82" s="378">
        <v>3000</v>
      </c>
      <c r="AI82" s="379" t="s">
        <v>571</v>
      </c>
      <c r="AJ82" s="383">
        <v>1000</v>
      </c>
      <c r="AK82" s="378">
        <v>15000</v>
      </c>
      <c r="AL82" s="378">
        <v>2000</v>
      </c>
      <c r="AM82" s="378">
        <v>1000</v>
      </c>
      <c r="AN82" s="378">
        <v>2000</v>
      </c>
      <c r="AO82" s="378">
        <v>5000</v>
      </c>
      <c r="AP82" s="378">
        <v>25</v>
      </c>
      <c r="AQ82" s="378" t="s">
        <v>572</v>
      </c>
      <c r="AR82" s="378">
        <v>2000</v>
      </c>
      <c r="AS82" s="378">
        <v>1000</v>
      </c>
      <c r="AT82" s="378">
        <v>35000</v>
      </c>
      <c r="AU82" s="378">
        <v>500</v>
      </c>
      <c r="AV82" s="378">
        <v>6000</v>
      </c>
      <c r="AW82" s="378" t="s">
        <v>575</v>
      </c>
      <c r="AX82" s="378">
        <v>30000</v>
      </c>
      <c r="AY82" s="378">
        <v>5000</v>
      </c>
      <c r="AZ82" s="378">
        <v>7000</v>
      </c>
      <c r="BA82" s="378">
        <v>40000</v>
      </c>
      <c r="BB82" s="378">
        <v>5000</v>
      </c>
      <c r="BC82" s="378">
        <v>25000</v>
      </c>
      <c r="BD82" s="378">
        <v>750</v>
      </c>
      <c r="BE82" s="383">
        <v>7500</v>
      </c>
      <c r="BF82" s="383">
        <v>25000</v>
      </c>
      <c r="BG82" s="383">
        <v>300</v>
      </c>
      <c r="BH82" s="383">
        <v>4000</v>
      </c>
      <c r="BI82" s="383">
        <v>8000</v>
      </c>
      <c r="BJ82" s="383">
        <v>750</v>
      </c>
      <c r="BK82" s="383">
        <v>2500</v>
      </c>
      <c r="BL82" s="383">
        <v>800</v>
      </c>
      <c r="BM82" s="383">
        <v>1000</v>
      </c>
      <c r="BN82" s="383">
        <v>2000</v>
      </c>
      <c r="BO82" s="378">
        <v>500</v>
      </c>
      <c r="BP82" s="273">
        <f t="shared" si="27"/>
        <v>5679.8245614035086</v>
      </c>
      <c r="BQ82" s="273">
        <f t="shared" si="28"/>
        <v>323750</v>
      </c>
      <c r="BR82" s="125">
        <f t="shared" si="38"/>
        <v>694265.3217130634</v>
      </c>
      <c r="BS82" s="191">
        <f t="shared" si="29"/>
        <v>-0.76288258237589102</v>
      </c>
      <c r="BT82" s="380">
        <f t="shared" si="39"/>
        <v>-27.419264440483797</v>
      </c>
      <c r="BU82" s="192"/>
      <c r="BV82" s="202">
        <f t="shared" si="33"/>
        <v>10833.333333333334</v>
      </c>
      <c r="BW82" s="202">
        <f t="shared" si="34"/>
        <v>65000</v>
      </c>
      <c r="BX82" s="168">
        <f t="shared" si="40"/>
        <v>153393.56666666668</v>
      </c>
      <c r="BY82" s="192">
        <f t="shared" si="30"/>
        <v>-0.85861967987038323</v>
      </c>
      <c r="BZ82" s="380">
        <f t="shared" si="41"/>
        <v>-39.647168059424324</v>
      </c>
      <c r="CA82" s="192"/>
      <c r="CB82" s="202">
        <f t="shared" si="35"/>
        <v>10083.333333333334</v>
      </c>
      <c r="CC82" s="202">
        <f t="shared" si="36"/>
        <v>121000</v>
      </c>
      <c r="CD82" s="202">
        <f t="shared" si="42"/>
        <v>287200</v>
      </c>
      <c r="CE82" s="191">
        <f t="shared" si="31"/>
        <v>-0.86438829157732799</v>
      </c>
      <c r="CF82" s="380">
        <f t="shared" si="43"/>
        <v>-32.477678571428569</v>
      </c>
      <c r="CG82" s="380">
        <f t="shared" si="32"/>
        <v>46.280991735537192</v>
      </c>
    </row>
    <row r="83" spans="2:86">
      <c r="B83" s="118">
        <f t="shared" si="37"/>
        <v>55</v>
      </c>
      <c r="C83" s="377">
        <v>1982</v>
      </c>
      <c r="D83" s="378">
        <v>2000</v>
      </c>
      <c r="E83" s="378">
        <v>4100</v>
      </c>
      <c r="F83" s="378">
        <v>6700</v>
      </c>
      <c r="G83" s="378">
        <v>1000</v>
      </c>
      <c r="H83" s="378">
        <v>4000</v>
      </c>
      <c r="I83" s="378">
        <v>50</v>
      </c>
      <c r="J83" s="378">
        <v>5700</v>
      </c>
      <c r="K83" s="378">
        <v>125</v>
      </c>
      <c r="L83" s="378">
        <v>1200</v>
      </c>
      <c r="M83" s="378">
        <v>32000</v>
      </c>
      <c r="N83" s="378">
        <v>225</v>
      </c>
      <c r="O83" s="378">
        <v>1500</v>
      </c>
      <c r="P83" s="378" t="s">
        <v>569</v>
      </c>
      <c r="Q83" s="378" t="s">
        <v>571</v>
      </c>
      <c r="R83" s="378">
        <v>1050</v>
      </c>
      <c r="S83" s="383">
        <v>9500</v>
      </c>
      <c r="T83" s="378">
        <v>1600</v>
      </c>
      <c r="U83" s="378">
        <v>300</v>
      </c>
      <c r="V83" s="378">
        <v>13650</v>
      </c>
      <c r="W83" s="378">
        <v>300</v>
      </c>
      <c r="X83" s="378">
        <v>1000</v>
      </c>
      <c r="Y83" s="378">
        <v>200</v>
      </c>
      <c r="Z83" s="378">
        <v>2500</v>
      </c>
      <c r="AA83" s="378" t="s">
        <v>569</v>
      </c>
      <c r="AB83" s="378">
        <v>300</v>
      </c>
      <c r="AC83" s="378">
        <v>750</v>
      </c>
      <c r="AD83" s="378">
        <v>500</v>
      </c>
      <c r="AE83" s="378">
        <v>400</v>
      </c>
      <c r="AF83" s="378">
        <v>25</v>
      </c>
      <c r="AG83" s="383">
        <v>650</v>
      </c>
      <c r="AH83" s="378">
        <v>820</v>
      </c>
      <c r="AI83" s="378" t="s">
        <v>569</v>
      </c>
      <c r="AJ83" s="383">
        <v>300</v>
      </c>
      <c r="AK83" s="378">
        <v>5000</v>
      </c>
      <c r="AL83" s="378" t="s">
        <v>570</v>
      </c>
      <c r="AM83" s="378">
        <v>500</v>
      </c>
      <c r="AN83" s="378">
        <v>200</v>
      </c>
      <c r="AO83" s="378">
        <v>4000</v>
      </c>
      <c r="AP83" s="378">
        <v>25</v>
      </c>
      <c r="AQ83" s="378">
        <v>50</v>
      </c>
      <c r="AR83" s="378">
        <v>500</v>
      </c>
      <c r="AS83" s="378">
        <v>2000</v>
      </c>
      <c r="AT83" s="378" t="s">
        <v>569</v>
      </c>
      <c r="AU83" s="378" t="s">
        <v>570</v>
      </c>
      <c r="AV83" s="378">
        <v>350</v>
      </c>
      <c r="AW83" s="378">
        <v>100</v>
      </c>
      <c r="AX83" s="378">
        <v>25000</v>
      </c>
      <c r="AY83" s="378">
        <v>3000</v>
      </c>
      <c r="AZ83" s="378">
        <v>750</v>
      </c>
      <c r="BA83" s="378">
        <v>10000</v>
      </c>
      <c r="BB83" s="378">
        <v>3000</v>
      </c>
      <c r="BC83" s="378">
        <v>8000</v>
      </c>
      <c r="BD83" s="378">
        <v>250</v>
      </c>
      <c r="BE83" s="383">
        <v>850</v>
      </c>
      <c r="BF83" s="383">
        <v>70000</v>
      </c>
      <c r="BG83" s="383">
        <v>150</v>
      </c>
      <c r="BH83" s="383">
        <v>1900</v>
      </c>
      <c r="BI83" s="383">
        <v>1600</v>
      </c>
      <c r="BJ83" s="382" t="s">
        <v>571</v>
      </c>
      <c r="BK83" s="382" t="s">
        <v>571</v>
      </c>
      <c r="BL83" s="383">
        <v>50</v>
      </c>
      <c r="BM83" s="383">
        <v>50</v>
      </c>
      <c r="BN83" s="383">
        <v>9000</v>
      </c>
      <c r="BO83" s="378">
        <v>25</v>
      </c>
      <c r="BP83" s="273">
        <f t="shared" si="27"/>
        <v>4341.727272727273</v>
      </c>
      <c r="BQ83" s="273">
        <f t="shared" si="28"/>
        <v>238795</v>
      </c>
      <c r="BR83" s="125">
        <f t="shared" si="38"/>
        <v>694265.3217130634</v>
      </c>
      <c r="BS83" s="191">
        <f t="shared" si="29"/>
        <v>-1.0672487521138456</v>
      </c>
      <c r="BT83" s="380">
        <f t="shared" si="39"/>
        <v>-26.240926640926642</v>
      </c>
      <c r="BU83" s="192"/>
      <c r="BV83" s="202">
        <f t="shared" si="33"/>
        <v>9033.3333333333339</v>
      </c>
      <c r="BW83" s="202">
        <f t="shared" si="34"/>
        <v>54200</v>
      </c>
      <c r="BX83" s="168">
        <f t="shared" si="40"/>
        <v>153393.56666666668</v>
      </c>
      <c r="BY83" s="192">
        <f t="shared" si="30"/>
        <v>-1.0403260413204198</v>
      </c>
      <c r="BZ83" s="380">
        <f t="shared" si="41"/>
        <v>-16.615384615384613</v>
      </c>
      <c r="CA83" s="192"/>
      <c r="CB83" s="202">
        <f t="shared" si="35"/>
        <v>7310</v>
      </c>
      <c r="CC83" s="202">
        <f t="shared" si="36"/>
        <v>73100</v>
      </c>
      <c r="CD83" s="202">
        <f t="shared" si="42"/>
        <v>287200</v>
      </c>
      <c r="CE83" s="191">
        <f t="shared" si="31"/>
        <v>-1.3683504704183362</v>
      </c>
      <c r="CF83" s="380">
        <f t="shared" si="43"/>
        <v>-39.586776859504127</v>
      </c>
      <c r="CG83" s="380">
        <f t="shared" si="32"/>
        <v>25.854993160054718</v>
      </c>
    </row>
    <row r="84" spans="2:86">
      <c r="B84" s="118">
        <f t="shared" si="37"/>
        <v>59</v>
      </c>
      <c r="C84" s="377">
        <v>1984</v>
      </c>
      <c r="D84" s="378">
        <v>700</v>
      </c>
      <c r="E84" s="378">
        <v>7300</v>
      </c>
      <c r="F84" s="378">
        <v>36000</v>
      </c>
      <c r="G84" s="379" t="s">
        <v>571</v>
      </c>
      <c r="H84" s="378">
        <v>5250</v>
      </c>
      <c r="I84" s="378">
        <v>60</v>
      </c>
      <c r="J84" s="378">
        <v>600</v>
      </c>
      <c r="K84" s="378">
        <v>50</v>
      </c>
      <c r="L84" s="378">
        <v>400</v>
      </c>
      <c r="M84" s="378">
        <v>12000</v>
      </c>
      <c r="N84" s="378">
        <v>50</v>
      </c>
      <c r="O84" s="378">
        <v>150</v>
      </c>
      <c r="P84" s="378">
        <v>5</v>
      </c>
      <c r="Q84" s="379" t="s">
        <v>571</v>
      </c>
      <c r="R84" s="378">
        <v>4000</v>
      </c>
      <c r="S84" s="383">
        <v>13000</v>
      </c>
      <c r="T84" s="378">
        <v>5000</v>
      </c>
      <c r="U84" s="379" t="s">
        <v>571</v>
      </c>
      <c r="V84" s="378">
        <v>11000</v>
      </c>
      <c r="W84" s="378" t="s">
        <v>569</v>
      </c>
      <c r="X84" s="378">
        <v>200</v>
      </c>
      <c r="Y84" s="378">
        <v>400</v>
      </c>
      <c r="Z84" s="378">
        <v>750</v>
      </c>
      <c r="AA84" s="378">
        <v>10</v>
      </c>
      <c r="AB84" s="378">
        <v>250</v>
      </c>
      <c r="AC84" s="378">
        <v>7500</v>
      </c>
      <c r="AD84" s="378">
        <v>3500</v>
      </c>
      <c r="AE84" s="378">
        <v>7500</v>
      </c>
      <c r="AF84" s="378">
        <v>800</v>
      </c>
      <c r="AG84" s="383">
        <v>2000</v>
      </c>
      <c r="AH84" s="378">
        <v>2200</v>
      </c>
      <c r="AI84" s="378">
        <v>50</v>
      </c>
      <c r="AJ84" s="383">
        <v>7000</v>
      </c>
      <c r="AK84" s="378">
        <v>60000</v>
      </c>
      <c r="AL84" s="378">
        <v>8000</v>
      </c>
      <c r="AM84" s="378">
        <v>7000</v>
      </c>
      <c r="AN84" s="378">
        <v>3000</v>
      </c>
      <c r="AO84" s="378">
        <v>27500</v>
      </c>
      <c r="AP84" s="378">
        <v>600</v>
      </c>
      <c r="AQ84" s="378">
        <v>500</v>
      </c>
      <c r="AR84" s="378">
        <v>1000</v>
      </c>
      <c r="AS84" s="378">
        <v>20000</v>
      </c>
      <c r="AT84" s="378">
        <v>30000</v>
      </c>
      <c r="AU84" s="378">
        <v>350</v>
      </c>
      <c r="AV84" s="378">
        <v>2000</v>
      </c>
      <c r="AW84" s="378">
        <v>100</v>
      </c>
      <c r="AX84" s="378">
        <v>125000</v>
      </c>
      <c r="AY84" s="378">
        <v>950</v>
      </c>
      <c r="AZ84" s="378">
        <v>2000</v>
      </c>
      <c r="BA84" s="378">
        <v>73000</v>
      </c>
      <c r="BB84" s="378">
        <v>2000</v>
      </c>
      <c r="BC84" s="378">
        <v>9000</v>
      </c>
      <c r="BD84" s="378">
        <v>500</v>
      </c>
      <c r="BE84" s="383">
        <v>2650</v>
      </c>
      <c r="BF84" s="383">
        <v>45000</v>
      </c>
      <c r="BG84" s="383">
        <v>10</v>
      </c>
      <c r="BH84" s="383">
        <v>750</v>
      </c>
      <c r="BI84" s="383">
        <v>900</v>
      </c>
      <c r="BJ84" s="383" t="s">
        <v>569</v>
      </c>
      <c r="BK84" s="383">
        <v>10</v>
      </c>
      <c r="BL84" s="383">
        <v>900</v>
      </c>
      <c r="BM84" s="383">
        <v>150</v>
      </c>
      <c r="BN84" s="383">
        <v>3500</v>
      </c>
      <c r="BO84" s="378">
        <v>10</v>
      </c>
      <c r="BP84" s="273">
        <f t="shared" si="27"/>
        <v>9391.6101694915251</v>
      </c>
      <c r="BQ84" s="273">
        <f t="shared" si="28"/>
        <v>554105</v>
      </c>
      <c r="BR84" s="125">
        <f t="shared" si="38"/>
        <v>694265.3217130634</v>
      </c>
      <c r="BS84" s="191">
        <f t="shared" si="29"/>
        <v>-0.22549999591510556</v>
      </c>
      <c r="BT84" s="380">
        <f t="shared" si="39"/>
        <v>132.04212818526349</v>
      </c>
      <c r="BU84" s="192"/>
      <c r="BV84" s="202">
        <f t="shared" si="33"/>
        <v>12300</v>
      </c>
      <c r="BW84" s="202">
        <f t="shared" si="34"/>
        <v>73800</v>
      </c>
      <c r="BX84" s="168">
        <f t="shared" si="40"/>
        <v>153393.56666666668</v>
      </c>
      <c r="BY84" s="192">
        <f t="shared" si="30"/>
        <v>-0.73164821815959358</v>
      </c>
      <c r="BZ84" s="380">
        <f t="shared" si="41"/>
        <v>36.162361623616235</v>
      </c>
      <c r="CA84" s="192"/>
      <c r="CB84" s="202">
        <f t="shared" si="35"/>
        <v>11587.5</v>
      </c>
      <c r="CC84" s="202">
        <f t="shared" si="36"/>
        <v>139050</v>
      </c>
      <c r="CD84" s="202">
        <f t="shared" si="42"/>
        <v>287200</v>
      </c>
      <c r="CE84" s="191">
        <f t="shared" si="31"/>
        <v>-0.7253452564940952</v>
      </c>
      <c r="CF84" s="380">
        <f t="shared" si="43"/>
        <v>90.218878248974008</v>
      </c>
      <c r="CG84" s="380">
        <f t="shared" si="32"/>
        <v>46.925566343042071</v>
      </c>
    </row>
    <row r="85" spans="2:86">
      <c r="B85" s="118">
        <f t="shared" si="37"/>
        <v>58</v>
      </c>
      <c r="C85" s="377">
        <v>1986</v>
      </c>
      <c r="D85" s="378">
        <v>550</v>
      </c>
      <c r="E85" s="378">
        <v>3170</v>
      </c>
      <c r="F85" s="378">
        <v>12000</v>
      </c>
      <c r="G85" s="379" t="s">
        <v>571</v>
      </c>
      <c r="H85" s="378">
        <v>10000</v>
      </c>
      <c r="I85" s="378">
        <v>1515</v>
      </c>
      <c r="J85" s="378">
        <v>5500</v>
      </c>
      <c r="K85" s="378">
        <v>250</v>
      </c>
      <c r="L85" s="378">
        <v>850</v>
      </c>
      <c r="M85" s="378">
        <v>50000</v>
      </c>
      <c r="N85" s="378">
        <v>60</v>
      </c>
      <c r="O85" s="378">
        <v>650</v>
      </c>
      <c r="P85" s="378">
        <v>311</v>
      </c>
      <c r="Q85" s="378">
        <v>50</v>
      </c>
      <c r="R85" s="378">
        <v>3600</v>
      </c>
      <c r="S85" s="383">
        <v>2000</v>
      </c>
      <c r="T85" s="378">
        <v>550</v>
      </c>
      <c r="U85" s="378">
        <v>1500</v>
      </c>
      <c r="V85" s="378">
        <v>7164</v>
      </c>
      <c r="W85" s="378" t="s">
        <v>569</v>
      </c>
      <c r="X85" s="378">
        <v>80</v>
      </c>
      <c r="Y85" s="378">
        <v>875</v>
      </c>
      <c r="Z85" s="378">
        <v>500</v>
      </c>
      <c r="AA85" s="378">
        <v>50</v>
      </c>
      <c r="AB85" s="378">
        <v>250</v>
      </c>
      <c r="AC85" s="378">
        <v>4200</v>
      </c>
      <c r="AD85" s="378">
        <v>20000</v>
      </c>
      <c r="AE85" s="378">
        <v>2000</v>
      </c>
      <c r="AF85" s="378">
        <v>650</v>
      </c>
      <c r="AG85" s="383">
        <v>800</v>
      </c>
      <c r="AH85" s="378">
        <v>4300</v>
      </c>
      <c r="AI85" s="378">
        <v>25</v>
      </c>
      <c r="AJ85" s="383">
        <v>680</v>
      </c>
      <c r="AK85" s="378">
        <v>75000</v>
      </c>
      <c r="AL85" s="378">
        <v>5000</v>
      </c>
      <c r="AM85" s="378">
        <v>13000</v>
      </c>
      <c r="AN85" s="378">
        <v>470</v>
      </c>
      <c r="AO85" s="378">
        <v>17500</v>
      </c>
      <c r="AP85" s="378">
        <v>675</v>
      </c>
      <c r="AQ85" s="378" t="s">
        <v>570</v>
      </c>
      <c r="AR85" s="378">
        <v>600</v>
      </c>
      <c r="AS85" s="378">
        <v>12500</v>
      </c>
      <c r="AT85" s="378">
        <v>100000</v>
      </c>
      <c r="AU85" s="378">
        <v>800</v>
      </c>
      <c r="AV85" s="378">
        <v>1500</v>
      </c>
      <c r="AW85" s="378">
        <v>10</v>
      </c>
      <c r="AX85" s="378">
        <v>110000</v>
      </c>
      <c r="AY85" s="378">
        <v>2300</v>
      </c>
      <c r="AZ85" s="378">
        <v>2200</v>
      </c>
      <c r="BA85" s="378">
        <v>141500</v>
      </c>
      <c r="BB85" s="378">
        <v>15000</v>
      </c>
      <c r="BC85" s="378">
        <v>25000</v>
      </c>
      <c r="BD85" s="379" t="s">
        <v>571</v>
      </c>
      <c r="BE85" s="383">
        <v>2700</v>
      </c>
      <c r="BF85" s="383">
        <v>83000</v>
      </c>
      <c r="BG85" s="383">
        <v>450</v>
      </c>
      <c r="BH85" s="383">
        <v>1900</v>
      </c>
      <c r="BI85" s="383">
        <v>750</v>
      </c>
      <c r="BJ85" s="383">
        <v>12000</v>
      </c>
      <c r="BK85" s="382" t="s">
        <v>571</v>
      </c>
      <c r="BL85" s="382">
        <v>1500</v>
      </c>
      <c r="BM85" s="382" t="s">
        <v>571</v>
      </c>
      <c r="BN85" s="383">
        <v>26500</v>
      </c>
      <c r="BO85" s="378">
        <v>70</v>
      </c>
      <c r="BP85" s="273">
        <f t="shared" si="27"/>
        <v>13552.672413793103</v>
      </c>
      <c r="BQ85" s="273">
        <f t="shared" si="28"/>
        <v>786055</v>
      </c>
      <c r="BR85" s="125">
        <f t="shared" si="38"/>
        <v>694265.3217130634</v>
      </c>
      <c r="BS85" s="191">
        <f t="shared" si="29"/>
        <v>0.1241725691461705</v>
      </c>
      <c r="BT85" s="380">
        <f t="shared" si="39"/>
        <v>41.860297236083412</v>
      </c>
      <c r="BU85" s="192"/>
      <c r="BV85" s="202">
        <f t="shared" si="33"/>
        <v>17861.666666666668</v>
      </c>
      <c r="BW85" s="202">
        <f t="shared" si="34"/>
        <v>107170</v>
      </c>
      <c r="BX85" s="168">
        <f t="shared" si="40"/>
        <v>153393.56666666668</v>
      </c>
      <c r="BY85" s="192">
        <f t="shared" si="30"/>
        <v>-0.35859059104111468</v>
      </c>
      <c r="BZ85" s="380">
        <f t="shared" si="41"/>
        <v>45.21680216802168</v>
      </c>
      <c r="CA85" s="192"/>
      <c r="CB85" s="202">
        <f t="shared" si="35"/>
        <v>21127.833333333332</v>
      </c>
      <c r="CC85" s="202">
        <f t="shared" si="36"/>
        <v>253534</v>
      </c>
      <c r="CD85" s="202">
        <f t="shared" si="42"/>
        <v>287200</v>
      </c>
      <c r="CE85" s="191">
        <f t="shared" si="31"/>
        <v>-0.12468090084845272</v>
      </c>
      <c r="CF85" s="380">
        <f t="shared" si="43"/>
        <v>82.332973750449483</v>
      </c>
      <c r="CG85" s="380">
        <f t="shared" si="32"/>
        <v>57.729535289152544</v>
      </c>
    </row>
    <row r="86" spans="2:86">
      <c r="B86" s="118">
        <f t="shared" si="37"/>
        <v>59</v>
      </c>
      <c r="C86" s="377">
        <v>1988</v>
      </c>
      <c r="D86" s="378">
        <v>25</v>
      </c>
      <c r="E86" s="378">
        <v>2500</v>
      </c>
      <c r="F86" s="378">
        <v>17000</v>
      </c>
      <c r="G86" s="378">
        <v>100</v>
      </c>
      <c r="H86" s="378">
        <v>7000</v>
      </c>
      <c r="I86" s="378">
        <v>500</v>
      </c>
      <c r="J86" s="378">
        <v>9000</v>
      </c>
      <c r="K86" s="378">
        <v>200</v>
      </c>
      <c r="L86" s="378">
        <v>1000</v>
      </c>
      <c r="M86" s="378">
        <v>37000</v>
      </c>
      <c r="N86" s="378">
        <v>100</v>
      </c>
      <c r="O86" s="378">
        <v>1250</v>
      </c>
      <c r="P86" s="378">
        <v>100</v>
      </c>
      <c r="Q86" s="378">
        <v>25</v>
      </c>
      <c r="R86" s="378">
        <v>1300</v>
      </c>
      <c r="S86" s="383">
        <v>5000</v>
      </c>
      <c r="T86" s="378">
        <v>1500</v>
      </c>
      <c r="U86" s="378">
        <v>100</v>
      </c>
      <c r="V86" s="378">
        <v>8000</v>
      </c>
      <c r="W86" s="378" t="s">
        <v>570</v>
      </c>
      <c r="X86" s="378">
        <v>5000</v>
      </c>
      <c r="Y86" s="378">
        <v>1200</v>
      </c>
      <c r="Z86" s="378">
        <v>10000</v>
      </c>
      <c r="AA86" s="378">
        <v>500</v>
      </c>
      <c r="AB86" s="378">
        <v>1500</v>
      </c>
      <c r="AC86" s="378">
        <v>6500</v>
      </c>
      <c r="AD86" s="378">
        <v>13000</v>
      </c>
      <c r="AE86" s="378">
        <v>12000</v>
      </c>
      <c r="AF86" s="378">
        <v>250</v>
      </c>
      <c r="AG86" s="383">
        <v>2000</v>
      </c>
      <c r="AH86" s="378">
        <v>6000</v>
      </c>
      <c r="AI86" s="378">
        <v>150</v>
      </c>
      <c r="AJ86" s="383">
        <v>13000</v>
      </c>
      <c r="AK86" s="378">
        <v>3000000</v>
      </c>
      <c r="AL86" s="378">
        <v>150000</v>
      </c>
      <c r="AM86" s="378">
        <v>45000</v>
      </c>
      <c r="AN86" s="378">
        <v>8000</v>
      </c>
      <c r="AO86" s="378">
        <v>100000</v>
      </c>
      <c r="AP86" s="378">
        <v>60</v>
      </c>
      <c r="AQ86" s="378" t="s">
        <v>570</v>
      </c>
      <c r="AR86" s="378">
        <v>3000</v>
      </c>
      <c r="AS86" s="378">
        <v>10000</v>
      </c>
      <c r="AT86" s="378">
        <v>70000</v>
      </c>
      <c r="AU86" s="378">
        <v>5000</v>
      </c>
      <c r="AV86" s="378">
        <v>300</v>
      </c>
      <c r="AW86" s="378">
        <v>60</v>
      </c>
      <c r="AX86" s="378">
        <v>20000</v>
      </c>
      <c r="AY86" s="378">
        <v>3000</v>
      </c>
      <c r="AZ86" s="378">
        <v>6000</v>
      </c>
      <c r="BA86" s="378">
        <v>45000</v>
      </c>
      <c r="BB86" s="378">
        <v>42500</v>
      </c>
      <c r="BC86" s="378">
        <v>60000</v>
      </c>
      <c r="BD86" s="378" t="s">
        <v>576</v>
      </c>
      <c r="BE86" s="383">
        <v>2500</v>
      </c>
      <c r="BF86" s="383">
        <v>70000</v>
      </c>
      <c r="BG86" s="383">
        <v>36</v>
      </c>
      <c r="BH86" s="383">
        <v>800</v>
      </c>
      <c r="BI86" s="383">
        <v>250</v>
      </c>
      <c r="BJ86" s="383">
        <v>6000</v>
      </c>
      <c r="BK86" s="382" t="s">
        <v>571</v>
      </c>
      <c r="BL86" s="383">
        <v>2000</v>
      </c>
      <c r="BM86" s="382" t="s">
        <v>571</v>
      </c>
      <c r="BN86" s="383">
        <v>18000</v>
      </c>
      <c r="BO86" s="378">
        <v>10</v>
      </c>
      <c r="BP86" s="273">
        <f t="shared" si="27"/>
        <v>64920.610169491527</v>
      </c>
      <c r="BQ86" s="273">
        <f t="shared" si="28"/>
        <v>3830316</v>
      </c>
      <c r="BR86" s="125">
        <f t="shared" si="38"/>
        <v>694265.3217130634</v>
      </c>
      <c r="BS86" s="191">
        <f t="shared" si="29"/>
        <v>1.707848389908992</v>
      </c>
      <c r="BT86" s="380">
        <f t="shared" si="39"/>
        <v>387.28345980879203</v>
      </c>
      <c r="BU86" s="192"/>
      <c r="BV86" s="202">
        <f t="shared" si="33"/>
        <v>28500</v>
      </c>
      <c r="BW86" s="202">
        <f t="shared" si="34"/>
        <v>171000</v>
      </c>
      <c r="BX86" s="168">
        <f t="shared" si="40"/>
        <v>153393.56666666668</v>
      </c>
      <c r="BY86" s="192">
        <f t="shared" si="30"/>
        <v>0.10865660673663961</v>
      </c>
      <c r="BZ86" s="380">
        <f t="shared" si="41"/>
        <v>59.559578240179157</v>
      </c>
      <c r="CA86" s="192"/>
      <c r="CB86" s="202">
        <f t="shared" si="35"/>
        <v>35458.333333333336</v>
      </c>
      <c r="CC86" s="202">
        <f t="shared" si="36"/>
        <v>425500</v>
      </c>
      <c r="CD86" s="202">
        <f t="shared" si="42"/>
        <v>287200</v>
      </c>
      <c r="CE86" s="191">
        <f t="shared" si="31"/>
        <v>0.39308611083935968</v>
      </c>
      <c r="CF86" s="380">
        <f t="shared" si="43"/>
        <v>67.827589199081785</v>
      </c>
      <c r="CG86" s="380">
        <f t="shared" si="32"/>
        <v>59.811985898942417</v>
      </c>
    </row>
    <row r="87" spans="2:86">
      <c r="B87" s="118">
        <f t="shared" si="37"/>
        <v>58</v>
      </c>
      <c r="C87" s="377">
        <v>1990</v>
      </c>
      <c r="D87" s="378">
        <v>130</v>
      </c>
      <c r="E87" s="378">
        <v>1000</v>
      </c>
      <c r="F87" s="378">
        <v>22000</v>
      </c>
      <c r="G87" s="378">
        <v>3200</v>
      </c>
      <c r="H87" s="378">
        <v>4600</v>
      </c>
      <c r="I87" s="378">
        <v>500</v>
      </c>
      <c r="J87" s="378">
        <v>4600</v>
      </c>
      <c r="K87" s="378">
        <v>625</v>
      </c>
      <c r="L87" s="378">
        <v>2500</v>
      </c>
      <c r="M87" s="378">
        <v>35000</v>
      </c>
      <c r="N87" s="378">
        <v>22</v>
      </c>
      <c r="O87" s="378">
        <v>1000</v>
      </c>
      <c r="P87" s="378">
        <v>100</v>
      </c>
      <c r="Q87" s="378">
        <v>1500</v>
      </c>
      <c r="R87" s="378">
        <v>1400</v>
      </c>
      <c r="S87" s="383">
        <v>18500</v>
      </c>
      <c r="T87" s="378">
        <v>10000</v>
      </c>
      <c r="U87" s="378">
        <v>2500</v>
      </c>
      <c r="V87" s="378">
        <v>9800</v>
      </c>
      <c r="W87" s="378" t="s">
        <v>569</v>
      </c>
      <c r="X87" s="378">
        <v>1200</v>
      </c>
      <c r="Y87" s="378">
        <v>185</v>
      </c>
      <c r="Z87" s="378">
        <v>2000</v>
      </c>
      <c r="AA87" s="378">
        <v>300</v>
      </c>
      <c r="AB87" s="378">
        <v>2000</v>
      </c>
      <c r="AC87" s="378">
        <v>3200</v>
      </c>
      <c r="AD87" s="378">
        <v>10000</v>
      </c>
      <c r="AE87" s="378">
        <v>1500</v>
      </c>
      <c r="AF87" s="378" t="s">
        <v>569</v>
      </c>
      <c r="AG87" s="383">
        <v>250</v>
      </c>
      <c r="AH87" s="378">
        <v>2500</v>
      </c>
      <c r="AI87" s="378">
        <v>150</v>
      </c>
      <c r="AJ87" s="383">
        <v>900</v>
      </c>
      <c r="AK87" s="378">
        <v>612000</v>
      </c>
      <c r="AL87" s="378">
        <v>25000</v>
      </c>
      <c r="AM87" s="378">
        <v>8000</v>
      </c>
      <c r="AN87" s="378">
        <v>1200</v>
      </c>
      <c r="AO87" s="378">
        <v>40000</v>
      </c>
      <c r="AP87" s="378" t="s">
        <v>569</v>
      </c>
      <c r="AQ87" s="378" t="s">
        <v>569</v>
      </c>
      <c r="AR87" s="378">
        <v>3100</v>
      </c>
      <c r="AS87" s="378">
        <v>11000</v>
      </c>
      <c r="AT87" s="378">
        <v>91000</v>
      </c>
      <c r="AU87" s="378">
        <v>6000</v>
      </c>
      <c r="AV87" s="378">
        <v>2300</v>
      </c>
      <c r="AW87" s="378">
        <v>1000</v>
      </c>
      <c r="AX87" s="378">
        <v>120000</v>
      </c>
      <c r="AY87" s="378">
        <v>1500</v>
      </c>
      <c r="AZ87" s="378">
        <v>1600</v>
      </c>
      <c r="BA87" s="378">
        <v>26000</v>
      </c>
      <c r="BB87" s="378">
        <v>7000</v>
      </c>
      <c r="BC87" s="378">
        <v>100000</v>
      </c>
      <c r="BD87" s="378" t="s">
        <v>572</v>
      </c>
      <c r="BE87" s="383">
        <v>5500</v>
      </c>
      <c r="BF87" s="383">
        <v>90000</v>
      </c>
      <c r="BG87" s="383">
        <v>350</v>
      </c>
      <c r="BH87" s="383">
        <v>4200</v>
      </c>
      <c r="BI87" s="383">
        <v>225</v>
      </c>
      <c r="BJ87" s="383">
        <v>9600</v>
      </c>
      <c r="BK87" s="383" t="s">
        <v>569</v>
      </c>
      <c r="BL87" s="383">
        <v>2250</v>
      </c>
      <c r="BM87" s="383">
        <v>4300</v>
      </c>
      <c r="BN87" s="383">
        <v>40000</v>
      </c>
      <c r="BO87" s="378">
        <v>65</v>
      </c>
      <c r="BP87" s="273">
        <f t="shared" si="27"/>
        <v>23385.379310344826</v>
      </c>
      <c r="BQ87" s="273">
        <f t="shared" si="28"/>
        <v>1356352</v>
      </c>
      <c r="BR87" s="125">
        <f t="shared" si="38"/>
        <v>694265.3217130634</v>
      </c>
      <c r="BS87" s="191">
        <f t="shared" si="29"/>
        <v>0.66969982644447035</v>
      </c>
      <c r="BT87" s="380">
        <f t="shared" si="39"/>
        <v>-64.589031296634531</v>
      </c>
      <c r="BU87" s="192"/>
      <c r="BV87" s="202">
        <f t="shared" si="33"/>
        <v>27750</v>
      </c>
      <c r="BW87" s="202">
        <f t="shared" si="34"/>
        <v>166500</v>
      </c>
      <c r="BX87" s="168">
        <f t="shared" si="40"/>
        <v>153393.56666666668</v>
      </c>
      <c r="BY87" s="192">
        <f t="shared" si="30"/>
        <v>8.1988359654478177E-2</v>
      </c>
      <c r="BZ87" s="380">
        <f t="shared" si="41"/>
        <v>-2.6315789473684208</v>
      </c>
      <c r="CA87" s="192"/>
      <c r="CB87" s="202">
        <f t="shared" si="35"/>
        <v>25841.666666666668</v>
      </c>
      <c r="CC87" s="202">
        <f t="shared" si="36"/>
        <v>310100</v>
      </c>
      <c r="CD87" s="202">
        <f t="shared" si="42"/>
        <v>287200</v>
      </c>
      <c r="CE87" s="191">
        <f t="shared" si="31"/>
        <v>7.6715988932334153E-2</v>
      </c>
      <c r="CF87" s="380">
        <f t="shared" si="43"/>
        <v>-27.121034077555816</v>
      </c>
      <c r="CG87" s="380">
        <f t="shared" si="32"/>
        <v>46.307642695904548</v>
      </c>
    </row>
    <row r="88" spans="2:86">
      <c r="B88" s="118">
        <f t="shared" si="37"/>
        <v>53</v>
      </c>
      <c r="C88" s="377">
        <v>1992</v>
      </c>
      <c r="D88" s="379">
        <v>250</v>
      </c>
      <c r="E88" s="379" t="s">
        <v>569</v>
      </c>
      <c r="F88" s="379">
        <v>33550</v>
      </c>
      <c r="G88" s="379">
        <v>1100</v>
      </c>
      <c r="H88" s="379">
        <v>3250</v>
      </c>
      <c r="I88" s="379">
        <v>400</v>
      </c>
      <c r="J88" s="379">
        <v>1600</v>
      </c>
      <c r="K88" s="379" t="s">
        <v>569</v>
      </c>
      <c r="L88" s="379">
        <v>25</v>
      </c>
      <c r="M88" s="379">
        <v>16400</v>
      </c>
      <c r="N88" s="379">
        <v>300</v>
      </c>
      <c r="O88" s="379">
        <v>200</v>
      </c>
      <c r="P88" s="379">
        <v>20</v>
      </c>
      <c r="Q88" s="379">
        <v>30</v>
      </c>
      <c r="R88" s="379">
        <v>200</v>
      </c>
      <c r="S88" s="382">
        <v>9800</v>
      </c>
      <c r="T88" s="379">
        <v>2000</v>
      </c>
      <c r="U88" s="379" t="s">
        <v>569</v>
      </c>
      <c r="V88" s="379">
        <v>23200</v>
      </c>
      <c r="W88" s="379" t="s">
        <v>569</v>
      </c>
      <c r="X88" s="379">
        <v>2500</v>
      </c>
      <c r="Y88" s="379">
        <v>500</v>
      </c>
      <c r="Z88" s="379">
        <v>16000</v>
      </c>
      <c r="AA88" s="379">
        <v>1000</v>
      </c>
      <c r="AB88" s="379">
        <v>750</v>
      </c>
      <c r="AC88" s="379">
        <v>1200</v>
      </c>
      <c r="AD88" s="379">
        <v>1000</v>
      </c>
      <c r="AE88" s="379">
        <v>1500</v>
      </c>
      <c r="AF88" s="379" t="s">
        <v>569</v>
      </c>
      <c r="AG88" s="382">
        <v>500</v>
      </c>
      <c r="AH88" s="379">
        <v>900</v>
      </c>
      <c r="AI88" s="379">
        <v>50</v>
      </c>
      <c r="AJ88" s="382">
        <v>7000</v>
      </c>
      <c r="AK88" s="379">
        <v>1200000</v>
      </c>
      <c r="AL88" s="379">
        <v>100000</v>
      </c>
      <c r="AM88" s="379">
        <v>20000</v>
      </c>
      <c r="AN88" s="379">
        <v>2500</v>
      </c>
      <c r="AO88" s="379">
        <v>80000</v>
      </c>
      <c r="AP88" s="379">
        <v>70</v>
      </c>
      <c r="AQ88" s="379" t="s">
        <v>569</v>
      </c>
      <c r="AR88" s="379">
        <v>900</v>
      </c>
      <c r="AS88" s="379">
        <v>7500</v>
      </c>
      <c r="AT88" s="379">
        <v>25000</v>
      </c>
      <c r="AU88" s="379">
        <v>2500</v>
      </c>
      <c r="AV88" s="379">
        <v>700</v>
      </c>
      <c r="AW88" s="379" t="s">
        <v>569</v>
      </c>
      <c r="AX88" s="379">
        <v>25000</v>
      </c>
      <c r="AY88" s="379">
        <v>125</v>
      </c>
      <c r="AZ88" s="379">
        <v>3000</v>
      </c>
      <c r="BA88" s="379">
        <v>27000</v>
      </c>
      <c r="BB88" s="379">
        <v>48000</v>
      </c>
      <c r="BC88" s="379">
        <v>75000</v>
      </c>
      <c r="BD88" s="379" t="s">
        <v>572</v>
      </c>
      <c r="BE88" s="382">
        <v>2500</v>
      </c>
      <c r="BF88" s="382">
        <v>2500</v>
      </c>
      <c r="BG88" s="382">
        <v>50</v>
      </c>
      <c r="BH88" s="382">
        <v>150</v>
      </c>
      <c r="BI88" s="382">
        <v>10</v>
      </c>
      <c r="BJ88" s="382" t="s">
        <v>572</v>
      </c>
      <c r="BK88" s="382" t="s">
        <v>572</v>
      </c>
      <c r="BL88" s="382" t="s">
        <v>572</v>
      </c>
      <c r="BM88" s="382">
        <v>50</v>
      </c>
      <c r="BN88" s="383">
        <v>2000</v>
      </c>
      <c r="BO88" s="378">
        <v>100</v>
      </c>
      <c r="BP88" s="273">
        <f t="shared" si="27"/>
        <v>33016.603773584902</v>
      </c>
      <c r="BQ88" s="273">
        <f t="shared" si="28"/>
        <v>1749880</v>
      </c>
      <c r="BR88" s="125">
        <f t="shared" si="38"/>
        <v>694265.3217130634</v>
      </c>
      <c r="BS88" s="191">
        <f t="shared" si="29"/>
        <v>0.9244482977482219</v>
      </c>
      <c r="BT88" s="380">
        <f t="shared" si="39"/>
        <v>29.013707356202517</v>
      </c>
      <c r="BU88" s="192"/>
      <c r="BV88" s="202">
        <f t="shared" si="33"/>
        <v>34890</v>
      </c>
      <c r="BW88" s="202">
        <f t="shared" si="34"/>
        <v>174450</v>
      </c>
      <c r="BX88" s="168">
        <f t="shared" si="40"/>
        <v>153393.56666666668</v>
      </c>
      <c r="BY88" s="192">
        <f t="shared" si="30"/>
        <v>0.12863121786676288</v>
      </c>
      <c r="BZ88" s="380">
        <f t="shared" si="41"/>
        <v>4.7747747747747749</v>
      </c>
      <c r="CA88" s="192"/>
      <c r="CB88" s="202">
        <f t="shared" si="35"/>
        <v>29827.272727272728</v>
      </c>
      <c r="CC88" s="202">
        <f t="shared" si="36"/>
        <v>328100</v>
      </c>
      <c r="CD88" s="202">
        <f t="shared" si="42"/>
        <v>287200</v>
      </c>
      <c r="CE88" s="191">
        <f t="shared" si="31"/>
        <v>0.13313960279298678</v>
      </c>
      <c r="CF88" s="380">
        <f t="shared" si="43"/>
        <v>5.8045791680103198</v>
      </c>
      <c r="CG88" s="380">
        <f t="shared" si="32"/>
        <v>46.830234684547392</v>
      </c>
    </row>
    <row r="89" spans="2:86">
      <c r="B89" s="118">
        <f t="shared" si="37"/>
        <v>45</v>
      </c>
      <c r="C89" s="377">
        <v>1994</v>
      </c>
      <c r="D89" s="379" t="s">
        <v>569</v>
      </c>
      <c r="E89" s="379" t="s">
        <v>570</v>
      </c>
      <c r="F89" s="379">
        <v>67000</v>
      </c>
      <c r="G89" s="379">
        <v>6</v>
      </c>
      <c r="H89" s="379">
        <v>1000</v>
      </c>
      <c r="I89" s="379">
        <v>400</v>
      </c>
      <c r="J89" s="379">
        <v>950</v>
      </c>
      <c r="K89" s="379">
        <v>450</v>
      </c>
      <c r="L89" s="379">
        <v>750</v>
      </c>
      <c r="M89" s="379">
        <v>18000</v>
      </c>
      <c r="N89" s="379" t="s">
        <v>570</v>
      </c>
      <c r="O89" s="379">
        <v>84</v>
      </c>
      <c r="P89" s="379" t="s">
        <v>570</v>
      </c>
      <c r="Q89" s="379" t="s">
        <v>570</v>
      </c>
      <c r="R89" s="379" t="s">
        <v>570</v>
      </c>
      <c r="S89" s="382" t="s">
        <v>570</v>
      </c>
      <c r="T89" s="379" t="s">
        <v>570</v>
      </c>
      <c r="U89" s="379">
        <v>50</v>
      </c>
      <c r="V89" s="379">
        <v>1000</v>
      </c>
      <c r="W89" s="379" t="s">
        <v>570</v>
      </c>
      <c r="X89" s="379">
        <v>200</v>
      </c>
      <c r="Y89" s="379">
        <v>20</v>
      </c>
      <c r="Z89" s="379">
        <v>200</v>
      </c>
      <c r="AA89" s="379" t="s">
        <v>569</v>
      </c>
      <c r="AB89" s="379">
        <v>2500</v>
      </c>
      <c r="AC89" s="379">
        <v>750</v>
      </c>
      <c r="AD89" s="379">
        <v>1050</v>
      </c>
      <c r="AE89" s="379">
        <v>3500</v>
      </c>
      <c r="AF89" s="379" t="s">
        <v>571</v>
      </c>
      <c r="AG89" s="382">
        <v>1660</v>
      </c>
      <c r="AH89" s="379">
        <v>1500</v>
      </c>
      <c r="AI89" s="379">
        <v>25</v>
      </c>
      <c r="AJ89" s="382">
        <v>125</v>
      </c>
      <c r="AK89" s="379">
        <v>10000</v>
      </c>
      <c r="AL89" s="379">
        <v>5000</v>
      </c>
      <c r="AM89" s="379" t="s">
        <v>571</v>
      </c>
      <c r="AN89" s="379">
        <v>650</v>
      </c>
      <c r="AO89" s="379">
        <v>10000</v>
      </c>
      <c r="AP89" s="379" t="s">
        <v>570</v>
      </c>
      <c r="AQ89" s="379" t="s">
        <v>570</v>
      </c>
      <c r="AR89" s="379" t="s">
        <v>571</v>
      </c>
      <c r="AS89" s="379">
        <v>1500</v>
      </c>
      <c r="AT89" s="379">
        <v>13000</v>
      </c>
      <c r="AU89" s="379">
        <v>1000</v>
      </c>
      <c r="AV89" s="379">
        <v>100</v>
      </c>
      <c r="AW89" s="379" t="s">
        <v>569</v>
      </c>
      <c r="AX89" s="379">
        <v>12000</v>
      </c>
      <c r="AY89" s="379">
        <v>200</v>
      </c>
      <c r="AZ89" s="379">
        <v>7700</v>
      </c>
      <c r="BA89" s="379">
        <v>35000</v>
      </c>
      <c r="BB89" s="379">
        <v>6000</v>
      </c>
      <c r="BC89" s="379">
        <v>20000</v>
      </c>
      <c r="BD89" s="379" t="s">
        <v>570</v>
      </c>
      <c r="BE89" s="382">
        <v>1800</v>
      </c>
      <c r="BF89" s="382">
        <v>25000</v>
      </c>
      <c r="BG89" s="382">
        <v>100</v>
      </c>
      <c r="BH89" s="382">
        <v>250</v>
      </c>
      <c r="BI89" s="382">
        <v>600</v>
      </c>
      <c r="BJ89" s="382">
        <v>300</v>
      </c>
      <c r="BK89" s="382" t="s">
        <v>570</v>
      </c>
      <c r="BL89" s="382">
        <v>150</v>
      </c>
      <c r="BM89" s="382">
        <v>100</v>
      </c>
      <c r="BN89" s="383">
        <v>2000</v>
      </c>
      <c r="BO89" s="378" t="s">
        <v>570</v>
      </c>
      <c r="BP89" s="273">
        <f t="shared" si="27"/>
        <v>5637.1111111111113</v>
      </c>
      <c r="BQ89" s="273">
        <f t="shared" si="28"/>
        <v>253670</v>
      </c>
      <c r="BR89" s="125">
        <f t="shared" si="38"/>
        <v>694265.3217130634</v>
      </c>
      <c r="BS89" s="191">
        <f t="shared" si="29"/>
        <v>-1.0068199856779316</v>
      </c>
      <c r="BT89" s="380">
        <f t="shared" si="39"/>
        <v>-85.503577388163762</v>
      </c>
      <c r="BU89" s="192"/>
      <c r="BV89" s="202">
        <f t="shared" si="33"/>
        <v>22900</v>
      </c>
      <c r="BW89" s="202">
        <f t="shared" si="34"/>
        <v>114500</v>
      </c>
      <c r="BX89" s="168">
        <f t="shared" si="40"/>
        <v>153393.56666666668</v>
      </c>
      <c r="BY89" s="192">
        <f t="shared" si="30"/>
        <v>-0.29243212677172592</v>
      </c>
      <c r="BZ89" s="380">
        <f t="shared" si="41"/>
        <v>-34.365147606764118</v>
      </c>
      <c r="CA89" s="192"/>
      <c r="CB89" s="202">
        <f t="shared" si="35"/>
        <v>12390.90909090909</v>
      </c>
      <c r="CC89" s="202">
        <f t="shared" si="36"/>
        <v>136300</v>
      </c>
      <c r="CD89" s="202">
        <f t="shared" si="42"/>
        <v>287200</v>
      </c>
      <c r="CE89" s="191">
        <f t="shared" si="31"/>
        <v>-0.74532049847158222</v>
      </c>
      <c r="CF89" s="380">
        <f t="shared" si="43"/>
        <v>-58.457787259981707</v>
      </c>
      <c r="CG89" s="380">
        <f t="shared" si="32"/>
        <v>15.994130594277328</v>
      </c>
    </row>
    <row r="90" spans="2:86">
      <c r="B90" s="118">
        <f t="shared" si="37"/>
        <v>43</v>
      </c>
      <c r="C90" s="377">
        <v>1996</v>
      </c>
      <c r="D90" s="379" t="s">
        <v>570</v>
      </c>
      <c r="E90" s="379">
        <v>150</v>
      </c>
      <c r="F90" s="379">
        <v>28000</v>
      </c>
      <c r="G90" s="379" t="s">
        <v>572</v>
      </c>
      <c r="H90" s="379" t="s">
        <v>572</v>
      </c>
      <c r="I90" s="379">
        <v>4800</v>
      </c>
      <c r="J90" s="379">
        <v>8200</v>
      </c>
      <c r="K90" s="379">
        <v>450</v>
      </c>
      <c r="L90" s="379">
        <v>6000</v>
      </c>
      <c r="M90" s="379">
        <v>22000</v>
      </c>
      <c r="N90" s="379" t="s">
        <v>569</v>
      </c>
      <c r="O90" s="379" t="s">
        <v>570</v>
      </c>
      <c r="P90" s="379">
        <v>500</v>
      </c>
      <c r="Q90" s="379" t="s">
        <v>570</v>
      </c>
      <c r="R90" s="379" t="s">
        <v>570</v>
      </c>
      <c r="S90" s="382" t="s">
        <v>570</v>
      </c>
      <c r="T90" s="379">
        <v>200</v>
      </c>
      <c r="U90" s="379" t="s">
        <v>572</v>
      </c>
      <c r="V90" s="379">
        <v>12000</v>
      </c>
      <c r="W90" s="379" t="s">
        <v>569</v>
      </c>
      <c r="X90" s="379">
        <v>500</v>
      </c>
      <c r="Y90" s="379">
        <v>350</v>
      </c>
      <c r="Z90" s="379">
        <v>750</v>
      </c>
      <c r="AA90" s="379" t="s">
        <v>570</v>
      </c>
      <c r="AB90" s="379">
        <v>1000</v>
      </c>
      <c r="AC90" s="379">
        <v>21000</v>
      </c>
      <c r="AD90" s="379">
        <v>23000</v>
      </c>
      <c r="AE90" s="379">
        <v>28000</v>
      </c>
      <c r="AF90" s="379">
        <v>100</v>
      </c>
      <c r="AG90" s="382">
        <v>24000</v>
      </c>
      <c r="AH90" s="379">
        <v>4000</v>
      </c>
      <c r="AI90" s="379">
        <v>20</v>
      </c>
      <c r="AJ90" s="382">
        <v>4000</v>
      </c>
      <c r="AK90" s="379">
        <v>50000</v>
      </c>
      <c r="AL90" s="379">
        <v>5000</v>
      </c>
      <c r="AM90" s="379">
        <v>25000</v>
      </c>
      <c r="AN90" s="379">
        <v>2200</v>
      </c>
      <c r="AO90" s="379">
        <v>20000</v>
      </c>
      <c r="AP90" s="379">
        <v>1300</v>
      </c>
      <c r="AQ90" s="379" t="s">
        <v>570</v>
      </c>
      <c r="AR90" s="379" t="s">
        <v>572</v>
      </c>
      <c r="AS90" s="379">
        <v>11000</v>
      </c>
      <c r="AT90" s="379">
        <v>200000</v>
      </c>
      <c r="AU90" s="379">
        <v>17000</v>
      </c>
      <c r="AV90" s="379">
        <v>1000</v>
      </c>
      <c r="AW90" s="379" t="s">
        <v>572</v>
      </c>
      <c r="AX90" s="379">
        <v>200000</v>
      </c>
      <c r="AY90" s="379">
        <v>100</v>
      </c>
      <c r="AZ90" s="379">
        <v>4100</v>
      </c>
      <c r="BA90" s="379">
        <v>37000</v>
      </c>
      <c r="BB90" s="379">
        <v>100000</v>
      </c>
      <c r="BC90" s="379">
        <v>150000</v>
      </c>
      <c r="BD90" s="379" t="s">
        <v>571</v>
      </c>
      <c r="BE90" s="382">
        <v>9000</v>
      </c>
      <c r="BF90" s="382">
        <v>31000</v>
      </c>
      <c r="BG90" s="382" t="s">
        <v>571</v>
      </c>
      <c r="BH90" s="382">
        <v>1000</v>
      </c>
      <c r="BI90" s="382">
        <v>1000</v>
      </c>
      <c r="BJ90" s="382" t="s">
        <v>571</v>
      </c>
      <c r="BK90" s="382" t="s">
        <v>571</v>
      </c>
      <c r="BL90" s="382" t="s">
        <v>571</v>
      </c>
      <c r="BM90" s="382" t="s">
        <v>571</v>
      </c>
      <c r="BN90" s="383">
        <v>6300</v>
      </c>
      <c r="BO90" s="378" t="s">
        <v>571</v>
      </c>
      <c r="BP90" s="273">
        <f t="shared" si="27"/>
        <v>24674.883720930233</v>
      </c>
      <c r="BQ90" s="273">
        <f t="shared" si="28"/>
        <v>1061020</v>
      </c>
      <c r="BR90" s="125">
        <f t="shared" si="38"/>
        <v>694265.3217130634</v>
      </c>
      <c r="BS90" s="191">
        <f t="shared" si="29"/>
        <v>0.42413179318805888</v>
      </c>
      <c r="BT90" s="380">
        <f t="shared" si="39"/>
        <v>318.26782828083731</v>
      </c>
      <c r="BU90" s="192"/>
      <c r="BV90" s="202">
        <f t="shared" si="33"/>
        <v>54691.666666666664</v>
      </c>
      <c r="BW90" s="202">
        <f t="shared" si="34"/>
        <v>328150</v>
      </c>
      <c r="BX90" s="168">
        <f t="shared" si="40"/>
        <v>153393.56666666668</v>
      </c>
      <c r="BY90" s="192">
        <f t="shared" si="30"/>
        <v>0.76046387115371139</v>
      </c>
      <c r="BZ90" s="380">
        <f t="shared" si="41"/>
        <v>186.59388646288207</v>
      </c>
      <c r="CA90" s="192"/>
      <c r="CB90" s="202">
        <f t="shared" si="35"/>
        <v>53559.090909090912</v>
      </c>
      <c r="CC90" s="202">
        <f t="shared" si="36"/>
        <v>589150</v>
      </c>
      <c r="CD90" s="202">
        <f t="shared" si="42"/>
        <v>287200</v>
      </c>
      <c r="CE90" s="191">
        <f t="shared" si="31"/>
        <v>0.71850198298528067</v>
      </c>
      <c r="CF90" s="380">
        <f t="shared" si="43"/>
        <v>332.24504768892149</v>
      </c>
      <c r="CG90" s="380">
        <f t="shared" si="32"/>
        <v>44.301111771195785</v>
      </c>
    </row>
    <row r="91" spans="2:86">
      <c r="B91" s="118">
        <f t="shared" si="37"/>
        <v>49</v>
      </c>
      <c r="C91" s="377">
        <v>1998</v>
      </c>
      <c r="D91" s="379" t="s">
        <v>572</v>
      </c>
      <c r="E91" s="379">
        <v>200</v>
      </c>
      <c r="F91" s="379">
        <v>14000</v>
      </c>
      <c r="G91" s="379" t="s">
        <v>572</v>
      </c>
      <c r="H91" s="379">
        <v>5000</v>
      </c>
      <c r="I91" s="379">
        <v>500</v>
      </c>
      <c r="J91" s="379">
        <v>1000</v>
      </c>
      <c r="K91" s="379">
        <v>500</v>
      </c>
      <c r="L91" s="379">
        <v>500</v>
      </c>
      <c r="M91" s="379">
        <v>5000</v>
      </c>
      <c r="N91" s="379">
        <v>30</v>
      </c>
      <c r="O91" s="379">
        <v>20</v>
      </c>
      <c r="P91" s="379">
        <v>400</v>
      </c>
      <c r="Q91" s="379" t="s">
        <v>570</v>
      </c>
      <c r="R91" s="379">
        <v>1200</v>
      </c>
      <c r="S91" s="382">
        <v>2500</v>
      </c>
      <c r="T91" s="379">
        <v>500</v>
      </c>
      <c r="U91" s="379" t="s">
        <v>572</v>
      </c>
      <c r="V91" s="379">
        <v>500</v>
      </c>
      <c r="W91" s="379" t="s">
        <v>570</v>
      </c>
      <c r="X91" s="379">
        <v>20</v>
      </c>
      <c r="Y91" s="379">
        <v>30</v>
      </c>
      <c r="Z91" s="379">
        <v>2000</v>
      </c>
      <c r="AA91" s="379">
        <v>200</v>
      </c>
      <c r="AB91" s="379">
        <v>8000</v>
      </c>
      <c r="AC91" s="379">
        <v>1700</v>
      </c>
      <c r="AD91" s="379">
        <v>11000</v>
      </c>
      <c r="AE91" s="379">
        <v>9000</v>
      </c>
      <c r="AF91" s="379" t="s">
        <v>570</v>
      </c>
      <c r="AG91" s="382">
        <v>6000</v>
      </c>
      <c r="AH91" s="379">
        <v>500</v>
      </c>
      <c r="AI91" s="379" t="s">
        <v>569</v>
      </c>
      <c r="AJ91" s="382">
        <v>5000</v>
      </c>
      <c r="AK91" s="379" t="s">
        <v>572</v>
      </c>
      <c r="AL91" s="379">
        <v>10000</v>
      </c>
      <c r="AM91" s="379">
        <v>5200</v>
      </c>
      <c r="AN91" s="379">
        <v>1100</v>
      </c>
      <c r="AO91" s="379">
        <v>15000</v>
      </c>
      <c r="AP91" s="379">
        <v>75</v>
      </c>
      <c r="AQ91" s="379" t="s">
        <v>570</v>
      </c>
      <c r="AR91" s="379" t="s">
        <v>572</v>
      </c>
      <c r="AS91" s="379" t="s">
        <v>572</v>
      </c>
      <c r="AT91" s="379">
        <v>30000</v>
      </c>
      <c r="AU91" s="379">
        <v>200</v>
      </c>
      <c r="AV91" s="379">
        <v>1000</v>
      </c>
      <c r="AW91" s="379" t="s">
        <v>570</v>
      </c>
      <c r="AX91" s="379">
        <v>20000</v>
      </c>
      <c r="AY91" s="379">
        <v>250</v>
      </c>
      <c r="AZ91" s="379">
        <v>3600</v>
      </c>
      <c r="BA91" s="379">
        <v>3000</v>
      </c>
      <c r="BB91" s="379">
        <v>32000</v>
      </c>
      <c r="BC91" s="379">
        <v>110000</v>
      </c>
      <c r="BD91" s="379" t="s">
        <v>570</v>
      </c>
      <c r="BE91" s="382">
        <v>700</v>
      </c>
      <c r="BF91" s="382">
        <v>2500</v>
      </c>
      <c r="BG91" s="382">
        <v>100</v>
      </c>
      <c r="BH91" s="382">
        <v>700</v>
      </c>
      <c r="BI91" s="382">
        <v>500</v>
      </c>
      <c r="BJ91" s="382">
        <v>600</v>
      </c>
      <c r="BK91" s="382" t="s">
        <v>570</v>
      </c>
      <c r="BL91" s="382">
        <v>500</v>
      </c>
      <c r="BM91" s="382">
        <v>50</v>
      </c>
      <c r="BN91" s="383">
        <v>600</v>
      </c>
      <c r="BO91" s="378" t="s">
        <v>569</v>
      </c>
      <c r="BP91" s="273">
        <f t="shared" si="27"/>
        <v>6387.2448979591836</v>
      </c>
      <c r="BQ91" s="273">
        <f t="shared" si="28"/>
        <v>312975</v>
      </c>
      <c r="BR91" s="125">
        <f t="shared" si="38"/>
        <v>694265.3217130634</v>
      </c>
      <c r="BS91" s="191">
        <f t="shared" si="29"/>
        <v>-0.79673088024391248</v>
      </c>
      <c r="BT91" s="380">
        <f t="shared" si="39"/>
        <v>-70.502441047294113</v>
      </c>
      <c r="BU91" s="192"/>
      <c r="BV91" s="202">
        <f t="shared" si="33"/>
        <v>28366.666666666668</v>
      </c>
      <c r="BW91" s="202">
        <f t="shared" si="34"/>
        <v>170200</v>
      </c>
      <c r="BX91" s="168">
        <f t="shared" si="40"/>
        <v>153393.56666666668</v>
      </c>
      <c r="BY91" s="192">
        <f t="shared" si="30"/>
        <v>0.10396726637325344</v>
      </c>
      <c r="BZ91" s="380">
        <f t="shared" si="41"/>
        <v>-48.133475544720397</v>
      </c>
      <c r="CA91" s="192"/>
      <c r="CB91" s="202">
        <f t="shared" si="35"/>
        <v>19033.333333333332</v>
      </c>
      <c r="CC91" s="202">
        <f t="shared" si="36"/>
        <v>228400</v>
      </c>
      <c r="CD91" s="202">
        <f t="shared" si="42"/>
        <v>287200</v>
      </c>
      <c r="CE91" s="191">
        <f t="shared" si="31"/>
        <v>-0.22908035939221399</v>
      </c>
      <c r="CF91" s="380">
        <f t="shared" si="43"/>
        <v>-61.232283798693032</v>
      </c>
      <c r="CG91" s="380">
        <f t="shared" si="32"/>
        <v>25.481611208406306</v>
      </c>
    </row>
    <row r="92" spans="2:86">
      <c r="B92" s="118">
        <f t="shared" si="37"/>
        <v>44</v>
      </c>
      <c r="C92" s="377">
        <v>2000</v>
      </c>
      <c r="D92" s="378">
        <v>10</v>
      </c>
      <c r="E92" s="384">
        <v>200</v>
      </c>
      <c r="F92" s="384">
        <v>42000</v>
      </c>
      <c r="G92" s="378" t="s">
        <v>570</v>
      </c>
      <c r="H92" s="384">
        <v>5500</v>
      </c>
      <c r="I92" s="378">
        <v>100</v>
      </c>
      <c r="J92" s="378">
        <v>3000</v>
      </c>
      <c r="K92" s="378" t="s">
        <v>572</v>
      </c>
      <c r="L92" s="378">
        <v>200</v>
      </c>
      <c r="M92" s="384">
        <v>8000</v>
      </c>
      <c r="N92" s="378" t="s">
        <v>572</v>
      </c>
      <c r="O92" s="378" t="s">
        <v>569</v>
      </c>
      <c r="P92" s="378" t="s">
        <v>569</v>
      </c>
      <c r="Q92" s="378" t="s">
        <v>570</v>
      </c>
      <c r="R92" s="378">
        <v>500</v>
      </c>
      <c r="S92" s="383">
        <v>4000</v>
      </c>
      <c r="T92" s="378">
        <v>4000</v>
      </c>
      <c r="U92" s="378" t="s">
        <v>569</v>
      </c>
      <c r="V92" s="384">
        <v>2000</v>
      </c>
      <c r="W92" s="378" t="s">
        <v>569</v>
      </c>
      <c r="X92" s="378" t="s">
        <v>570</v>
      </c>
      <c r="Y92" s="378" t="s">
        <v>570</v>
      </c>
      <c r="Z92" s="378">
        <v>1000</v>
      </c>
      <c r="AA92" s="378">
        <v>150</v>
      </c>
      <c r="AB92" s="378">
        <v>14400</v>
      </c>
      <c r="AC92" s="384">
        <v>4600</v>
      </c>
      <c r="AD92" s="384">
        <v>15000</v>
      </c>
      <c r="AE92" s="384">
        <v>10000</v>
      </c>
      <c r="AF92" s="378">
        <v>50</v>
      </c>
      <c r="AG92" s="383">
        <v>8000</v>
      </c>
      <c r="AH92" s="378">
        <v>500</v>
      </c>
      <c r="AI92" s="378" t="s">
        <v>569</v>
      </c>
      <c r="AJ92" s="383">
        <v>5000</v>
      </c>
      <c r="AK92" s="378" t="s">
        <v>572</v>
      </c>
      <c r="AL92" s="384">
        <v>4000</v>
      </c>
      <c r="AM92" s="378">
        <v>3000</v>
      </c>
      <c r="AN92" s="378">
        <v>2500</v>
      </c>
      <c r="AO92" s="383">
        <v>70000</v>
      </c>
      <c r="AP92" s="378">
        <v>50</v>
      </c>
      <c r="AQ92" s="378" t="s">
        <v>570</v>
      </c>
      <c r="AR92" s="378" t="s">
        <v>569</v>
      </c>
      <c r="AS92" s="378">
        <v>200</v>
      </c>
      <c r="AT92" s="384">
        <v>75000</v>
      </c>
      <c r="AU92" s="378" t="s">
        <v>569</v>
      </c>
      <c r="AV92" s="378" t="s">
        <v>572</v>
      </c>
      <c r="AW92" s="378" t="s">
        <v>572</v>
      </c>
      <c r="AX92" s="378">
        <v>100000</v>
      </c>
      <c r="AY92" s="378">
        <v>1500</v>
      </c>
      <c r="AZ92" s="378">
        <v>1200</v>
      </c>
      <c r="BA92" s="378">
        <v>30000</v>
      </c>
      <c r="BB92" s="384">
        <v>55000</v>
      </c>
      <c r="BC92" s="384">
        <v>140000</v>
      </c>
      <c r="BD92" s="378" t="s">
        <v>569</v>
      </c>
      <c r="BE92" s="383">
        <v>6000</v>
      </c>
      <c r="BF92" s="383">
        <v>75000</v>
      </c>
      <c r="BG92" s="383" t="s">
        <v>570</v>
      </c>
      <c r="BH92" s="383">
        <v>1700</v>
      </c>
      <c r="BI92" s="383">
        <v>1000</v>
      </c>
      <c r="BJ92" s="383">
        <v>1750</v>
      </c>
      <c r="BK92" s="383">
        <v>2100</v>
      </c>
      <c r="BL92" s="383">
        <v>740</v>
      </c>
      <c r="BM92" s="383">
        <v>65</v>
      </c>
      <c r="BN92" s="383">
        <v>18417</v>
      </c>
      <c r="BO92" s="378" t="s">
        <v>569</v>
      </c>
      <c r="BP92" s="273">
        <f t="shared" si="27"/>
        <v>16305.272727272728</v>
      </c>
      <c r="BQ92" s="273">
        <f t="shared" si="28"/>
        <v>717432</v>
      </c>
      <c r="BR92" s="125">
        <f t="shared" si="38"/>
        <v>694265.3217130634</v>
      </c>
      <c r="BS92" s="191">
        <f t="shared" si="29"/>
        <v>3.2823974233680199E-2</v>
      </c>
      <c r="BT92" s="380">
        <f t="shared" si="39"/>
        <v>129.22981068775459</v>
      </c>
      <c r="BU92" s="192"/>
      <c r="BV92" s="202">
        <f t="shared" si="33"/>
        <v>42533.333333333336</v>
      </c>
      <c r="BW92" s="202">
        <f t="shared" si="34"/>
        <v>255200</v>
      </c>
      <c r="BX92" s="168">
        <f t="shared" si="40"/>
        <v>153393.56666666668</v>
      </c>
      <c r="BY92" s="192">
        <f t="shared" si="30"/>
        <v>0.50904060170461451</v>
      </c>
      <c r="BZ92" s="380">
        <f t="shared" si="41"/>
        <v>49.941245593419509</v>
      </c>
      <c r="CA92" s="192"/>
      <c r="CB92" s="202">
        <f t="shared" si="35"/>
        <v>30108.333333333332</v>
      </c>
      <c r="CC92" s="202">
        <f t="shared" si="36"/>
        <v>361300</v>
      </c>
      <c r="CD92" s="202">
        <f t="shared" si="42"/>
        <v>287200</v>
      </c>
      <c r="CE92" s="191">
        <f t="shared" si="31"/>
        <v>0.22952980097952541</v>
      </c>
      <c r="CF92" s="380">
        <f t="shared" si="43"/>
        <v>58.187390542907181</v>
      </c>
      <c r="CG92" s="380">
        <f t="shared" si="32"/>
        <v>29.36617769166897</v>
      </c>
      <c r="CH92" s="430" t="s">
        <v>660</v>
      </c>
    </row>
    <row r="93" spans="2:86">
      <c r="B93" s="118">
        <f t="shared" si="37"/>
        <v>41</v>
      </c>
      <c r="C93" s="377">
        <v>2002</v>
      </c>
      <c r="D93" s="379" t="s">
        <v>569</v>
      </c>
      <c r="E93" s="381">
        <v>800</v>
      </c>
      <c r="F93" s="381">
        <v>60000</v>
      </c>
      <c r="G93" s="379" t="s">
        <v>570</v>
      </c>
      <c r="H93" s="381">
        <v>5100</v>
      </c>
      <c r="I93" s="382">
        <v>2200</v>
      </c>
      <c r="J93" s="382">
        <v>2000</v>
      </c>
      <c r="K93" s="379" t="s">
        <v>572</v>
      </c>
      <c r="L93" s="379" t="s">
        <v>572</v>
      </c>
      <c r="M93" s="381">
        <v>25000</v>
      </c>
      <c r="N93" s="379" t="s">
        <v>572</v>
      </c>
      <c r="O93" s="379" t="s">
        <v>572</v>
      </c>
      <c r="P93" s="379">
        <v>200</v>
      </c>
      <c r="Q93" s="379">
        <v>100</v>
      </c>
      <c r="R93" s="379">
        <v>1900</v>
      </c>
      <c r="S93" s="382">
        <v>10000</v>
      </c>
      <c r="T93" s="382" t="s">
        <v>572</v>
      </c>
      <c r="U93" s="382" t="s">
        <v>572</v>
      </c>
      <c r="V93" s="381">
        <v>17000</v>
      </c>
      <c r="W93" s="379" t="s">
        <v>569</v>
      </c>
      <c r="X93" s="379">
        <v>80</v>
      </c>
      <c r="Y93" s="379" t="s">
        <v>572</v>
      </c>
      <c r="Z93" s="382">
        <v>1300</v>
      </c>
      <c r="AA93" s="379">
        <v>25</v>
      </c>
      <c r="AB93" s="379">
        <v>7100</v>
      </c>
      <c r="AC93" s="381">
        <v>6300</v>
      </c>
      <c r="AD93" s="381">
        <v>19000</v>
      </c>
      <c r="AE93" s="381">
        <v>15400</v>
      </c>
      <c r="AF93" s="379">
        <v>650</v>
      </c>
      <c r="AG93" s="382">
        <v>6000</v>
      </c>
      <c r="AH93" s="382">
        <v>1500</v>
      </c>
      <c r="AI93" s="379" t="s">
        <v>572</v>
      </c>
      <c r="AJ93" s="382">
        <v>1400</v>
      </c>
      <c r="AK93" s="379" t="s">
        <v>572</v>
      </c>
      <c r="AL93" s="381">
        <v>5000</v>
      </c>
      <c r="AM93" s="379">
        <v>10200</v>
      </c>
      <c r="AN93" s="379" t="s">
        <v>572</v>
      </c>
      <c r="AO93" s="382">
        <v>4000</v>
      </c>
      <c r="AP93" s="379" t="s">
        <v>569</v>
      </c>
      <c r="AQ93" s="379" t="s">
        <v>570</v>
      </c>
      <c r="AR93" s="379" t="s">
        <v>569</v>
      </c>
      <c r="AS93" s="379" t="s">
        <v>570</v>
      </c>
      <c r="AT93" s="381">
        <v>280000</v>
      </c>
      <c r="AU93" s="382" t="s">
        <v>572</v>
      </c>
      <c r="AV93" s="382" t="s">
        <v>572</v>
      </c>
      <c r="AW93" s="382" t="s">
        <v>572</v>
      </c>
      <c r="AX93" s="382">
        <v>100000</v>
      </c>
      <c r="AY93" s="382">
        <v>17000</v>
      </c>
      <c r="AZ93" s="382">
        <v>12000</v>
      </c>
      <c r="BA93" s="382">
        <v>40000</v>
      </c>
      <c r="BB93" s="381">
        <v>270000</v>
      </c>
      <c r="BC93" s="381">
        <v>400000</v>
      </c>
      <c r="BD93" s="379" t="s">
        <v>569</v>
      </c>
      <c r="BE93" s="382">
        <v>17600</v>
      </c>
      <c r="BF93" s="382">
        <v>80000</v>
      </c>
      <c r="BG93" s="382" t="s">
        <v>572</v>
      </c>
      <c r="BH93" s="382">
        <v>11200</v>
      </c>
      <c r="BI93" s="382">
        <v>2000</v>
      </c>
      <c r="BJ93" s="382">
        <v>4300</v>
      </c>
      <c r="BK93" s="382">
        <v>6900</v>
      </c>
      <c r="BL93" s="382">
        <v>650</v>
      </c>
      <c r="BM93" s="382">
        <v>2850</v>
      </c>
      <c r="BN93" s="383">
        <v>100000</v>
      </c>
      <c r="BO93" s="378" t="s">
        <v>569</v>
      </c>
      <c r="BP93" s="273">
        <f t="shared" si="27"/>
        <v>37725.731707317071</v>
      </c>
      <c r="BQ93" s="273">
        <f t="shared" si="28"/>
        <v>1546755</v>
      </c>
      <c r="BR93" s="125">
        <f t="shared" si="38"/>
        <v>694265.3217130634</v>
      </c>
      <c r="BS93" s="191">
        <f t="shared" si="29"/>
        <v>0.80106027160068594</v>
      </c>
      <c r="BT93" s="380">
        <f t="shared" si="39"/>
        <v>115.59604255176797</v>
      </c>
      <c r="BU93" s="192"/>
      <c r="BV93" s="202">
        <f t="shared" si="33"/>
        <v>128533.33333333333</v>
      </c>
      <c r="BW93" s="202">
        <f t="shared" si="34"/>
        <v>771200</v>
      </c>
      <c r="BX93" s="168">
        <f t="shared" si="40"/>
        <v>153393.56666666668</v>
      </c>
      <c r="BY93" s="192">
        <f t="shared" si="30"/>
        <v>1.6149407935303155</v>
      </c>
      <c r="BZ93" s="380">
        <f t="shared" si="41"/>
        <v>202.19435736677113</v>
      </c>
      <c r="CA93" s="192"/>
      <c r="CB93" s="202">
        <f t="shared" si="35"/>
        <v>91966.666666666672</v>
      </c>
      <c r="CC93" s="202">
        <f t="shared" si="36"/>
        <v>1103600</v>
      </c>
      <c r="CD93" s="202">
        <f t="shared" si="42"/>
        <v>287200</v>
      </c>
      <c r="CE93" s="191">
        <f t="shared" si="31"/>
        <v>1.3461540051690619</v>
      </c>
      <c r="CF93" s="380">
        <f t="shared" si="43"/>
        <v>205.45253252145031</v>
      </c>
      <c r="CG93" s="380">
        <f t="shared" si="32"/>
        <v>30.119608553823852</v>
      </c>
      <c r="CH93" s="431" t="s">
        <v>661</v>
      </c>
    </row>
    <row r="94" spans="2:86">
      <c r="B94" s="118">
        <f t="shared" si="37"/>
        <v>32</v>
      </c>
      <c r="C94" s="377">
        <v>2004</v>
      </c>
      <c r="D94" s="379" t="s">
        <v>572</v>
      </c>
      <c r="E94" s="381">
        <v>800</v>
      </c>
      <c r="F94" s="381">
        <v>25000</v>
      </c>
      <c r="G94" s="379" t="s">
        <v>572</v>
      </c>
      <c r="H94" s="381">
        <v>2600</v>
      </c>
      <c r="I94" s="382">
        <v>710</v>
      </c>
      <c r="J94" s="382" t="s">
        <v>572</v>
      </c>
      <c r="K94" s="379" t="s">
        <v>569</v>
      </c>
      <c r="L94" s="379" t="s">
        <v>572</v>
      </c>
      <c r="M94" s="381">
        <v>15500</v>
      </c>
      <c r="N94" s="379" t="s">
        <v>572</v>
      </c>
      <c r="O94" s="379">
        <v>100</v>
      </c>
      <c r="P94" s="379">
        <v>150</v>
      </c>
      <c r="Q94" s="379" t="s">
        <v>570</v>
      </c>
      <c r="R94" s="379" t="s">
        <v>572</v>
      </c>
      <c r="S94" s="382">
        <v>2300</v>
      </c>
      <c r="T94" s="382">
        <v>170</v>
      </c>
      <c r="U94" s="382" t="s">
        <v>572</v>
      </c>
      <c r="V94" s="381">
        <v>4300</v>
      </c>
      <c r="W94" s="379" t="s">
        <v>569</v>
      </c>
      <c r="X94" s="379" t="s">
        <v>569</v>
      </c>
      <c r="Y94" s="379" t="s">
        <v>572</v>
      </c>
      <c r="Z94" s="382">
        <v>200</v>
      </c>
      <c r="AA94" s="379" t="s">
        <v>569</v>
      </c>
      <c r="AB94" s="379" t="s">
        <v>572</v>
      </c>
      <c r="AC94" s="381">
        <v>10000</v>
      </c>
      <c r="AD94" s="381">
        <v>6500</v>
      </c>
      <c r="AE94" s="381">
        <v>11000</v>
      </c>
      <c r="AF94" s="379" t="s">
        <v>570</v>
      </c>
      <c r="AG94" s="382">
        <v>11000</v>
      </c>
      <c r="AH94" s="382">
        <v>2500</v>
      </c>
      <c r="AI94" s="379" t="s">
        <v>570</v>
      </c>
      <c r="AJ94" s="382">
        <v>6500</v>
      </c>
      <c r="AK94" s="379" t="s">
        <v>570</v>
      </c>
      <c r="AL94" s="385">
        <f>(AL93/CC93)*239000</f>
        <v>1082.8198622689381</v>
      </c>
      <c r="AM94" s="379">
        <v>2000</v>
      </c>
      <c r="AN94" s="379" t="s">
        <v>569</v>
      </c>
      <c r="AO94" s="382">
        <v>16000</v>
      </c>
      <c r="AP94" s="379" t="s">
        <v>572</v>
      </c>
      <c r="AQ94" s="379" t="s">
        <v>570</v>
      </c>
      <c r="AR94" s="379" t="s">
        <v>570</v>
      </c>
      <c r="AS94" s="379">
        <v>4400</v>
      </c>
      <c r="AT94" s="381">
        <v>42000</v>
      </c>
      <c r="AU94" s="382">
        <v>5000</v>
      </c>
      <c r="AV94" s="382">
        <v>7000</v>
      </c>
      <c r="AW94" s="382" t="s">
        <v>572</v>
      </c>
      <c r="AX94" s="382">
        <v>20000</v>
      </c>
      <c r="AY94" s="382" t="s">
        <v>572</v>
      </c>
      <c r="AZ94" s="382">
        <v>2400</v>
      </c>
      <c r="BA94" s="382">
        <v>16000</v>
      </c>
      <c r="BB94" s="381">
        <v>20000</v>
      </c>
      <c r="BC94" s="381">
        <v>100000</v>
      </c>
      <c r="BD94" s="379" t="s">
        <v>569</v>
      </c>
      <c r="BE94" s="382" t="s">
        <v>572</v>
      </c>
      <c r="BF94" s="382">
        <v>7300</v>
      </c>
      <c r="BG94" s="382" t="s">
        <v>570</v>
      </c>
      <c r="BH94" s="382">
        <v>600</v>
      </c>
      <c r="BI94" s="382" t="s">
        <v>572</v>
      </c>
      <c r="BJ94" s="382" t="s">
        <v>569</v>
      </c>
      <c r="BK94" s="382">
        <v>600</v>
      </c>
      <c r="BL94" s="382" t="s">
        <v>569</v>
      </c>
      <c r="BM94" s="382" t="s">
        <v>572</v>
      </c>
      <c r="BN94" s="383" t="s">
        <v>572</v>
      </c>
      <c r="BO94" s="378" t="s">
        <v>569</v>
      </c>
      <c r="BP94" s="273">
        <f t="shared" si="27"/>
        <v>10741.025620695904</v>
      </c>
      <c r="BQ94" s="273">
        <f t="shared" si="28"/>
        <v>343712.81986226892</v>
      </c>
      <c r="BR94" s="125">
        <f t="shared" si="38"/>
        <v>694265.3217130634</v>
      </c>
      <c r="BS94" s="191">
        <f t="shared" si="29"/>
        <v>-0.70304771265928767</v>
      </c>
      <c r="BT94" s="380">
        <f t="shared" si="39"/>
        <v>-77.778457489242385</v>
      </c>
      <c r="BU94" s="192"/>
      <c r="BV94" s="202">
        <f t="shared" si="33"/>
        <v>28716.666666666668</v>
      </c>
      <c r="BW94" s="202">
        <f t="shared" si="34"/>
        <v>172300</v>
      </c>
      <c r="BX94" s="168">
        <f t="shared" si="40"/>
        <v>153393.56666666668</v>
      </c>
      <c r="BY94" s="192">
        <f t="shared" si="30"/>
        <v>0.11623019376786368</v>
      </c>
      <c r="BZ94" s="380">
        <f t="shared" si="41"/>
        <v>-77.658195020746888</v>
      </c>
      <c r="CA94" s="192"/>
      <c r="CB94" s="202">
        <f t="shared" si="35"/>
        <v>19898.568321855742</v>
      </c>
      <c r="CC94" s="202">
        <f t="shared" si="36"/>
        <v>238782.81986226892</v>
      </c>
      <c r="CD94" s="202">
        <f t="shared" si="42"/>
        <v>287200</v>
      </c>
      <c r="CE94" s="191">
        <f t="shared" si="31"/>
        <v>-0.18462440186902843</v>
      </c>
      <c r="CF94" s="380">
        <f t="shared" si="43"/>
        <v>-78.363281998707052</v>
      </c>
      <c r="CG94" s="380">
        <f t="shared" si="32"/>
        <v>27.842379908494479</v>
      </c>
      <c r="CH94" s="432">
        <f>AL94/CC94/0.01</f>
        <v>0.45347477799848152</v>
      </c>
    </row>
    <row r="95" spans="2:86">
      <c r="B95" s="118">
        <f>COUNT(D95:BO95)</f>
        <v>32</v>
      </c>
      <c r="C95" s="377">
        <v>2006</v>
      </c>
      <c r="D95" s="379" t="s">
        <v>540</v>
      </c>
      <c r="E95" s="381">
        <v>55</v>
      </c>
      <c r="F95" s="381">
        <v>6700</v>
      </c>
      <c r="G95" s="379">
        <v>40</v>
      </c>
      <c r="H95" s="381">
        <v>450</v>
      </c>
      <c r="I95" s="382">
        <v>105</v>
      </c>
      <c r="J95" s="382">
        <v>450</v>
      </c>
      <c r="K95" s="379" t="s">
        <v>540</v>
      </c>
      <c r="L95" s="379">
        <v>35</v>
      </c>
      <c r="M95" s="381">
        <v>3250</v>
      </c>
      <c r="N95" s="379" t="s">
        <v>570</v>
      </c>
      <c r="O95" s="379" t="s">
        <v>570</v>
      </c>
      <c r="P95" s="379" t="s">
        <v>570</v>
      </c>
      <c r="Q95" s="379" t="s">
        <v>570</v>
      </c>
      <c r="R95" s="379">
        <v>60</v>
      </c>
      <c r="S95" s="382">
        <v>800</v>
      </c>
      <c r="T95" s="382" t="s">
        <v>540</v>
      </c>
      <c r="U95" s="382" t="s">
        <v>540</v>
      </c>
      <c r="V95" s="381">
        <v>300</v>
      </c>
      <c r="W95" s="379" t="s">
        <v>570</v>
      </c>
      <c r="X95" s="379" t="s">
        <v>570</v>
      </c>
      <c r="Y95" s="379" t="s">
        <v>570</v>
      </c>
      <c r="Z95" s="382">
        <v>65</v>
      </c>
      <c r="AA95" s="379" t="s">
        <v>540</v>
      </c>
      <c r="AB95" s="379" t="s">
        <v>540</v>
      </c>
      <c r="AC95" s="381">
        <v>120</v>
      </c>
      <c r="AD95" s="385">
        <f>(AD94/CC94)*55400</f>
        <v>1508.0649445705826</v>
      </c>
      <c r="AE95" s="381">
        <v>400</v>
      </c>
      <c r="AF95" s="379" t="s">
        <v>570</v>
      </c>
      <c r="AG95" s="382">
        <v>370</v>
      </c>
      <c r="AH95" s="379" t="s">
        <v>540</v>
      </c>
      <c r="AI95" s="379" t="s">
        <v>570</v>
      </c>
      <c r="AJ95" s="382">
        <v>300</v>
      </c>
      <c r="AK95" s="379" t="s">
        <v>540</v>
      </c>
      <c r="AL95" s="381">
        <v>3650</v>
      </c>
      <c r="AM95" s="379" t="s">
        <v>540</v>
      </c>
      <c r="AN95" s="379">
        <v>800</v>
      </c>
      <c r="AO95" s="382" t="s">
        <v>569</v>
      </c>
      <c r="AP95" s="379" t="s">
        <v>570</v>
      </c>
      <c r="AQ95" s="379" t="s">
        <v>570</v>
      </c>
      <c r="AR95" s="379" t="s">
        <v>540</v>
      </c>
      <c r="AS95" s="379">
        <v>90</v>
      </c>
      <c r="AT95" s="381">
        <v>3000</v>
      </c>
      <c r="AU95" s="382">
        <v>1000</v>
      </c>
      <c r="AV95" s="382" t="s">
        <v>540</v>
      </c>
      <c r="AW95" s="382" t="s">
        <v>570</v>
      </c>
      <c r="AX95" s="382" t="s">
        <v>540</v>
      </c>
      <c r="AY95" s="382" t="s">
        <v>540</v>
      </c>
      <c r="AZ95" s="382">
        <v>400</v>
      </c>
      <c r="BA95" s="382">
        <v>1400</v>
      </c>
      <c r="BB95" s="381">
        <v>5000</v>
      </c>
      <c r="BC95" s="381">
        <v>31000</v>
      </c>
      <c r="BD95" s="379" t="s">
        <v>570</v>
      </c>
      <c r="BE95" s="382">
        <v>225</v>
      </c>
      <c r="BF95" s="382" t="s">
        <v>540</v>
      </c>
      <c r="BG95" s="382" t="s">
        <v>540</v>
      </c>
      <c r="BH95" s="382" t="s">
        <v>540</v>
      </c>
      <c r="BI95" s="382" t="s">
        <v>569</v>
      </c>
      <c r="BJ95" s="382">
        <v>180</v>
      </c>
      <c r="BK95" s="382">
        <v>100</v>
      </c>
      <c r="BL95" s="382">
        <v>50</v>
      </c>
      <c r="BM95" s="382">
        <v>30</v>
      </c>
      <c r="BN95" s="383">
        <v>350</v>
      </c>
      <c r="BO95" s="378" t="s">
        <v>569</v>
      </c>
      <c r="BP95" s="273">
        <f>AVERAGE(D95:BO95)</f>
        <v>1946.3457795178306</v>
      </c>
      <c r="BQ95" s="273">
        <f>SUM(D95:BO95)</f>
        <v>62283.064944570579</v>
      </c>
      <c r="BR95" s="125">
        <f t="shared" si="38"/>
        <v>694265.3217130634</v>
      </c>
      <c r="BS95" s="191">
        <f>LN(((BQ95-BR95)/BR95)+1)</f>
        <v>-2.4111646372941609</v>
      </c>
      <c r="BT95" s="380">
        <f t="shared" si="39"/>
        <v>-81.879330259043471</v>
      </c>
      <c r="BU95" s="192"/>
      <c r="BV95" s="202">
        <f t="shared" si="33"/>
        <v>7734.166666666667</v>
      </c>
      <c r="BW95" s="202">
        <f t="shared" si="34"/>
        <v>46405</v>
      </c>
      <c r="BX95" s="168">
        <f t="shared" si="40"/>
        <v>153393.56666666668</v>
      </c>
      <c r="BY95" s="192">
        <f t="shared" si="30"/>
        <v>-1.1955997377186642</v>
      </c>
      <c r="BZ95" s="380">
        <f t="shared" si="41"/>
        <v>-73.067324434126519</v>
      </c>
      <c r="CA95" s="192"/>
      <c r="CB95" s="202">
        <f t="shared" si="35"/>
        <v>4619.4220787142149</v>
      </c>
      <c r="CC95" s="202">
        <f t="shared" si="36"/>
        <v>55433.064944570579</v>
      </c>
      <c r="CD95" s="202">
        <f t="shared" si="42"/>
        <v>287200</v>
      </c>
      <c r="CE95" s="191">
        <f t="shared" si="31"/>
        <v>-1.6450025813043758</v>
      </c>
      <c r="CF95" s="380">
        <f t="shared" si="43"/>
        <v>-76.785153564839945</v>
      </c>
      <c r="CG95" s="380">
        <f t="shared" si="32"/>
        <v>16.286425716488974</v>
      </c>
      <c r="CH95" s="432">
        <f>AD95/CC95/0.01</f>
        <v>2.7205151764178086</v>
      </c>
    </row>
    <row r="96" spans="2:86">
      <c r="B96" s="118">
        <f t="shared" si="37"/>
        <v>20</v>
      </c>
      <c r="C96" s="391">
        <v>2008</v>
      </c>
      <c r="D96" s="392" t="s">
        <v>540</v>
      </c>
      <c r="E96" s="393">
        <v>32</v>
      </c>
      <c r="F96" s="393">
        <v>10200</v>
      </c>
      <c r="G96" s="392">
        <v>50</v>
      </c>
      <c r="H96" s="385">
        <f>(H95/$CC$95)*33500</f>
        <v>271.94960291432574</v>
      </c>
      <c r="I96" s="394" t="s">
        <v>570</v>
      </c>
      <c r="J96" s="394">
        <v>750</v>
      </c>
      <c r="K96" s="392">
        <v>2</v>
      </c>
      <c r="L96" s="392" t="s">
        <v>540</v>
      </c>
      <c r="M96" s="393">
        <v>2300</v>
      </c>
      <c r="N96" s="392" t="s">
        <v>570</v>
      </c>
      <c r="O96" s="392" t="s">
        <v>540</v>
      </c>
      <c r="P96" s="392" t="s">
        <v>570</v>
      </c>
      <c r="Q96" s="392" t="s">
        <v>570</v>
      </c>
      <c r="R96" s="392" t="s">
        <v>540</v>
      </c>
      <c r="S96" s="394" t="s">
        <v>540</v>
      </c>
      <c r="T96" s="392" t="s">
        <v>540</v>
      </c>
      <c r="U96" s="392" t="s">
        <v>570</v>
      </c>
      <c r="V96" s="385">
        <f>(V95/$CC$95)*33500</f>
        <v>181.29973527621718</v>
      </c>
      <c r="W96" s="392" t="s">
        <v>570</v>
      </c>
      <c r="X96" s="392" t="s">
        <v>540</v>
      </c>
      <c r="Y96" s="392">
        <v>50</v>
      </c>
      <c r="Z96" s="394">
        <v>150</v>
      </c>
      <c r="AA96" s="392" t="s">
        <v>569</v>
      </c>
      <c r="AB96" s="392" t="s">
        <v>540</v>
      </c>
      <c r="AC96" s="385">
        <f>(AC95/$CC$95)*33500</f>
        <v>72.519894110486874</v>
      </c>
      <c r="AD96" s="393">
        <v>350</v>
      </c>
      <c r="AE96" s="393">
        <v>800</v>
      </c>
      <c r="AF96" s="392" t="s">
        <v>570</v>
      </c>
      <c r="AG96" s="394" t="s">
        <v>540</v>
      </c>
      <c r="AH96" s="392" t="s">
        <v>570</v>
      </c>
      <c r="AI96" s="392" t="s">
        <v>570</v>
      </c>
      <c r="AJ96" s="394" t="s">
        <v>540</v>
      </c>
      <c r="AK96" s="392" t="s">
        <v>540</v>
      </c>
      <c r="AL96" s="393">
        <v>2500</v>
      </c>
      <c r="AM96" s="392" t="s">
        <v>570</v>
      </c>
      <c r="AN96" s="392" t="s">
        <v>570</v>
      </c>
      <c r="AO96" s="394" t="s">
        <v>570</v>
      </c>
      <c r="AP96" s="392" t="s">
        <v>570</v>
      </c>
      <c r="AQ96" s="392" t="s">
        <v>570</v>
      </c>
      <c r="AR96" s="392" t="s">
        <v>569</v>
      </c>
      <c r="AS96" s="392" t="s">
        <v>570</v>
      </c>
      <c r="AT96" s="385">
        <f>(AT95/$CC$95)*33500</f>
        <v>1812.9973527621717</v>
      </c>
      <c r="AU96" s="392" t="s">
        <v>570</v>
      </c>
      <c r="AV96" s="392" t="s">
        <v>540</v>
      </c>
      <c r="AW96" s="392" t="s">
        <v>570</v>
      </c>
      <c r="AX96" s="392" t="s">
        <v>540</v>
      </c>
      <c r="AY96" s="392" t="s">
        <v>540</v>
      </c>
      <c r="AZ96" s="394">
        <v>270</v>
      </c>
      <c r="BA96" s="394">
        <v>467</v>
      </c>
      <c r="BB96" s="393">
        <v>5000</v>
      </c>
      <c r="BC96" s="393">
        <v>10000</v>
      </c>
      <c r="BD96" s="392" t="s">
        <v>570</v>
      </c>
      <c r="BE96" s="394" t="s">
        <v>540</v>
      </c>
      <c r="BF96" s="394" t="s">
        <v>540</v>
      </c>
      <c r="BG96" s="394" t="s">
        <v>569</v>
      </c>
      <c r="BH96" s="394" t="s">
        <v>569</v>
      </c>
      <c r="BI96" s="394" t="s">
        <v>569</v>
      </c>
      <c r="BJ96" s="394" t="s">
        <v>570</v>
      </c>
      <c r="BK96" s="394" t="s">
        <v>569</v>
      </c>
      <c r="BL96" s="394" t="s">
        <v>570</v>
      </c>
      <c r="BM96" s="394" t="s">
        <v>569</v>
      </c>
      <c r="BN96" s="394">
        <v>628</v>
      </c>
      <c r="BO96" s="396" t="s">
        <v>570</v>
      </c>
      <c r="BP96" s="397">
        <f t="shared" si="27"/>
        <v>1794.3883292531602</v>
      </c>
      <c r="BQ96" s="397">
        <f t="shared" si="28"/>
        <v>35887.766585063204</v>
      </c>
      <c r="BR96" s="398">
        <f t="shared" si="38"/>
        <v>694265.3217130634</v>
      </c>
      <c r="BS96" s="421">
        <f t="shared" si="29"/>
        <v>-2.9624577216157939</v>
      </c>
      <c r="BT96" s="411">
        <f t="shared" si="39"/>
        <v>-42.37957522321377</v>
      </c>
      <c r="BU96" s="170"/>
      <c r="BV96" s="400">
        <f t="shared" si="33"/>
        <v>4722</v>
      </c>
      <c r="BW96" s="400">
        <f t="shared" si="34"/>
        <v>28332</v>
      </c>
      <c r="BX96" s="413">
        <f t="shared" si="40"/>
        <v>153393.56666666668</v>
      </c>
      <c r="BY96" s="399">
        <f t="shared" si="30"/>
        <v>-1.6890150418746441</v>
      </c>
      <c r="BZ96" s="411">
        <f t="shared" si="41"/>
        <v>-38.946234241999782</v>
      </c>
      <c r="CA96" s="170"/>
      <c r="CB96" s="400">
        <f t="shared" si="35"/>
        <v>2793.3972154219337</v>
      </c>
      <c r="CC96" s="400">
        <f t="shared" si="36"/>
        <v>33520.766585063204</v>
      </c>
      <c r="CD96" s="400">
        <f t="shared" si="42"/>
        <v>287200</v>
      </c>
      <c r="CE96" s="421">
        <f t="shared" si="31"/>
        <v>-2.1480136923388971</v>
      </c>
      <c r="CF96" s="411">
        <f t="shared" si="43"/>
        <v>-39.529292456439549</v>
      </c>
      <c r="CG96" s="411">
        <f t="shared" si="32"/>
        <v>15.479259914584736</v>
      </c>
      <c r="CH96" s="433">
        <f>(H96+V96+AC96+AT96)/CC96/0.01</f>
        <v>6.977067720477943</v>
      </c>
    </row>
    <row r="97" spans="2:85">
      <c r="B97" s="118"/>
      <c r="C97" s="118" t="s">
        <v>123</v>
      </c>
      <c r="D97" s="273">
        <f>MAX(D67:D96)</f>
        <v>9000</v>
      </c>
      <c r="E97" s="273">
        <f t="shared" ref="E97:BP97" si="44">MAX(E67:E96)</f>
        <v>12000</v>
      </c>
      <c r="F97" s="273">
        <f t="shared" si="44"/>
        <v>125000</v>
      </c>
      <c r="G97" s="273">
        <f t="shared" si="44"/>
        <v>4000</v>
      </c>
      <c r="H97" s="273">
        <f t="shared" si="44"/>
        <v>40000</v>
      </c>
      <c r="I97" s="273">
        <f t="shared" si="44"/>
        <v>7500</v>
      </c>
      <c r="J97" s="273">
        <f t="shared" si="44"/>
        <v>15000</v>
      </c>
      <c r="K97" s="273">
        <f t="shared" si="44"/>
        <v>1000</v>
      </c>
      <c r="L97" s="273">
        <f t="shared" si="44"/>
        <v>30000</v>
      </c>
      <c r="M97" s="273">
        <f t="shared" si="44"/>
        <v>60000</v>
      </c>
      <c r="N97" s="273">
        <f t="shared" si="44"/>
        <v>2800</v>
      </c>
      <c r="O97" s="273">
        <f t="shared" si="44"/>
        <v>1500</v>
      </c>
      <c r="P97" s="273">
        <f t="shared" si="44"/>
        <v>1500</v>
      </c>
      <c r="Q97" s="273">
        <f t="shared" si="44"/>
        <v>3500</v>
      </c>
      <c r="R97" s="273">
        <f t="shared" si="44"/>
        <v>7000</v>
      </c>
      <c r="S97" s="202">
        <f t="shared" si="44"/>
        <v>45000</v>
      </c>
      <c r="T97" s="273">
        <f t="shared" si="44"/>
        <v>12000</v>
      </c>
      <c r="U97" s="273">
        <f t="shared" si="44"/>
        <v>3000</v>
      </c>
      <c r="V97" s="273">
        <f t="shared" si="44"/>
        <v>35000</v>
      </c>
      <c r="W97" s="273">
        <f t="shared" si="44"/>
        <v>5000</v>
      </c>
      <c r="X97" s="273">
        <f t="shared" si="44"/>
        <v>7500</v>
      </c>
      <c r="Y97" s="273">
        <f t="shared" si="44"/>
        <v>35000</v>
      </c>
      <c r="Z97" s="273">
        <f t="shared" si="44"/>
        <v>31402</v>
      </c>
      <c r="AA97" s="273">
        <f t="shared" si="44"/>
        <v>1000</v>
      </c>
      <c r="AB97" s="273">
        <f t="shared" si="44"/>
        <v>14400</v>
      </c>
      <c r="AC97" s="273">
        <f t="shared" si="44"/>
        <v>75000</v>
      </c>
      <c r="AD97" s="273">
        <f t="shared" si="44"/>
        <v>23000</v>
      </c>
      <c r="AE97" s="273">
        <f t="shared" si="44"/>
        <v>35000</v>
      </c>
      <c r="AF97" s="273">
        <f t="shared" si="44"/>
        <v>2500</v>
      </c>
      <c r="AG97" s="273">
        <f t="shared" si="44"/>
        <v>24000</v>
      </c>
      <c r="AH97" s="273">
        <f t="shared" si="44"/>
        <v>7500</v>
      </c>
      <c r="AI97" s="273">
        <f t="shared" si="44"/>
        <v>1500</v>
      </c>
      <c r="AJ97" s="273">
        <f t="shared" si="44"/>
        <v>13000</v>
      </c>
      <c r="AK97" s="273">
        <f t="shared" si="44"/>
        <v>3000000</v>
      </c>
      <c r="AL97" s="273">
        <f t="shared" si="44"/>
        <v>150000</v>
      </c>
      <c r="AM97" s="273">
        <f t="shared" si="44"/>
        <v>45000</v>
      </c>
      <c r="AN97" s="273">
        <f t="shared" si="44"/>
        <v>8000</v>
      </c>
      <c r="AO97" s="273">
        <f t="shared" si="44"/>
        <v>100000</v>
      </c>
      <c r="AP97" s="273">
        <f t="shared" si="44"/>
        <v>1300</v>
      </c>
      <c r="AQ97" s="273">
        <f t="shared" si="44"/>
        <v>10000</v>
      </c>
      <c r="AR97" s="273">
        <f t="shared" si="44"/>
        <v>3500</v>
      </c>
      <c r="AS97" s="273">
        <f t="shared" si="44"/>
        <v>20000</v>
      </c>
      <c r="AT97" s="273">
        <f t="shared" si="44"/>
        <v>280000</v>
      </c>
      <c r="AU97" s="273">
        <f t="shared" si="44"/>
        <v>17000</v>
      </c>
      <c r="AV97" s="273">
        <f t="shared" si="44"/>
        <v>35000</v>
      </c>
      <c r="AW97" s="273">
        <f t="shared" si="44"/>
        <v>3500</v>
      </c>
      <c r="AX97" s="273">
        <f t="shared" si="44"/>
        <v>200000</v>
      </c>
      <c r="AY97" s="273">
        <f t="shared" si="44"/>
        <v>17000</v>
      </c>
      <c r="AZ97" s="273">
        <f t="shared" si="44"/>
        <v>35000</v>
      </c>
      <c r="BA97" s="273">
        <f t="shared" si="44"/>
        <v>175000</v>
      </c>
      <c r="BB97" s="273">
        <f t="shared" si="44"/>
        <v>270000</v>
      </c>
      <c r="BC97" s="273">
        <f t="shared" si="44"/>
        <v>400000</v>
      </c>
      <c r="BD97" s="273">
        <f t="shared" si="44"/>
        <v>3500</v>
      </c>
      <c r="BE97" s="273">
        <f t="shared" si="44"/>
        <v>17600</v>
      </c>
      <c r="BF97" s="273">
        <f t="shared" si="44"/>
        <v>90000</v>
      </c>
      <c r="BG97" s="273">
        <f t="shared" si="44"/>
        <v>450</v>
      </c>
      <c r="BH97" s="273">
        <f t="shared" si="44"/>
        <v>15000</v>
      </c>
      <c r="BI97" s="273">
        <f t="shared" si="44"/>
        <v>8000</v>
      </c>
      <c r="BJ97" s="273">
        <f t="shared" si="44"/>
        <v>12000</v>
      </c>
      <c r="BK97" s="273">
        <f t="shared" si="44"/>
        <v>7500</v>
      </c>
      <c r="BL97" s="273">
        <f t="shared" si="44"/>
        <v>2250</v>
      </c>
      <c r="BM97" s="273">
        <f t="shared" si="44"/>
        <v>4300</v>
      </c>
      <c r="BN97" s="273">
        <f t="shared" si="44"/>
        <v>100000</v>
      </c>
      <c r="BO97" s="273">
        <f t="shared" si="44"/>
        <v>1000</v>
      </c>
      <c r="BP97" s="273">
        <f t="shared" si="44"/>
        <v>64920.610169491527</v>
      </c>
      <c r="BQ97" s="273">
        <f>MAX(BQ67:BQ96)</f>
        <v>3830316</v>
      </c>
      <c r="BR97" s="124" t="s">
        <v>123</v>
      </c>
      <c r="BS97" s="423">
        <f>MAX(BS67:BS96)</f>
        <v>1.707848389908992</v>
      </c>
      <c r="BT97" s="420">
        <f>MAX(BT68:BT96)</f>
        <v>486.23287377056215</v>
      </c>
      <c r="BU97" s="140"/>
      <c r="BV97" s="243">
        <f>MAX(BV67:BV96)</f>
        <v>128533.33333333333</v>
      </c>
      <c r="BW97" s="243">
        <f>MAX(BW67:BW96)</f>
        <v>771200</v>
      </c>
      <c r="BX97" s="140"/>
      <c r="BY97" s="140">
        <f>MAX(BY67:BY96)</f>
        <v>1.6149407935303155</v>
      </c>
      <c r="BZ97" s="420">
        <f>MAX(BZ68:BZ96)</f>
        <v>518.98395721925124</v>
      </c>
      <c r="CA97" s="140"/>
      <c r="CB97" s="243">
        <f>MAX(CB67:CB96)</f>
        <v>91966.666666666672</v>
      </c>
      <c r="CC97" s="243">
        <f>MAX(CC67:CC96)</f>
        <v>1103600</v>
      </c>
      <c r="CD97" s="140"/>
      <c r="CE97" s="422">
        <f>MAX(CE67:CE96)</f>
        <v>1.3461540051690619</v>
      </c>
      <c r="CF97" s="420">
        <f>MAX(CF68:CF96)</f>
        <v>400.45289855072463</v>
      </c>
      <c r="CG97" s="420">
        <f>MAX(CG68:CG96)</f>
        <v>66.123188405797109</v>
      </c>
    </row>
    <row r="98" spans="2:85">
      <c r="B98" s="118"/>
      <c r="C98" s="118" t="s">
        <v>122</v>
      </c>
      <c r="D98" s="273">
        <f>MIN(D67:D96)</f>
        <v>10</v>
      </c>
      <c r="E98" s="273">
        <f t="shared" ref="E98:BP98" si="45">MIN(E67:E96)</f>
        <v>32</v>
      </c>
      <c r="F98" s="273">
        <f t="shared" si="45"/>
        <v>1500</v>
      </c>
      <c r="G98" s="273">
        <f t="shared" si="45"/>
        <v>6</v>
      </c>
      <c r="H98" s="273">
        <f t="shared" si="45"/>
        <v>271.94960291432574</v>
      </c>
      <c r="I98" s="273">
        <f t="shared" si="45"/>
        <v>50</v>
      </c>
      <c r="J98" s="273">
        <f t="shared" si="45"/>
        <v>75</v>
      </c>
      <c r="K98" s="273">
        <f t="shared" si="45"/>
        <v>2</v>
      </c>
      <c r="L98" s="273">
        <f t="shared" si="45"/>
        <v>25</v>
      </c>
      <c r="M98" s="273">
        <f t="shared" si="45"/>
        <v>2300</v>
      </c>
      <c r="N98" s="273">
        <f t="shared" si="45"/>
        <v>22</v>
      </c>
      <c r="O98" s="273">
        <f t="shared" si="45"/>
        <v>20</v>
      </c>
      <c r="P98" s="273">
        <f t="shared" si="45"/>
        <v>5</v>
      </c>
      <c r="Q98" s="273">
        <f t="shared" si="45"/>
        <v>25</v>
      </c>
      <c r="R98" s="273">
        <f t="shared" si="45"/>
        <v>60</v>
      </c>
      <c r="S98" s="273">
        <f t="shared" si="45"/>
        <v>800</v>
      </c>
      <c r="T98" s="273">
        <f t="shared" si="45"/>
        <v>170</v>
      </c>
      <c r="U98" s="273">
        <f t="shared" si="45"/>
        <v>50</v>
      </c>
      <c r="V98" s="273">
        <f t="shared" si="45"/>
        <v>181.29973527621718</v>
      </c>
      <c r="W98" s="273">
        <f t="shared" si="45"/>
        <v>200</v>
      </c>
      <c r="X98" s="273">
        <f t="shared" si="45"/>
        <v>20</v>
      </c>
      <c r="Y98" s="273">
        <f t="shared" si="45"/>
        <v>20</v>
      </c>
      <c r="Z98" s="273">
        <f t="shared" si="45"/>
        <v>65</v>
      </c>
      <c r="AA98" s="273">
        <f t="shared" si="45"/>
        <v>10</v>
      </c>
      <c r="AB98" s="273">
        <f t="shared" si="45"/>
        <v>75</v>
      </c>
      <c r="AC98" s="273">
        <f t="shared" si="45"/>
        <v>72.519894110486874</v>
      </c>
      <c r="AD98" s="273">
        <f t="shared" si="45"/>
        <v>200</v>
      </c>
      <c r="AE98" s="273">
        <f t="shared" si="45"/>
        <v>400</v>
      </c>
      <c r="AF98" s="273">
        <f t="shared" si="45"/>
        <v>25</v>
      </c>
      <c r="AG98" s="273">
        <f t="shared" si="45"/>
        <v>250</v>
      </c>
      <c r="AH98" s="273">
        <f t="shared" si="45"/>
        <v>500</v>
      </c>
      <c r="AI98" s="273">
        <f t="shared" si="45"/>
        <v>20</v>
      </c>
      <c r="AJ98" s="273">
        <f t="shared" si="45"/>
        <v>125</v>
      </c>
      <c r="AK98" s="273">
        <f t="shared" si="45"/>
        <v>1500</v>
      </c>
      <c r="AL98" s="273">
        <f t="shared" si="45"/>
        <v>1082.8198622689381</v>
      </c>
      <c r="AM98" s="273">
        <f t="shared" si="45"/>
        <v>400</v>
      </c>
      <c r="AN98" s="273">
        <f t="shared" si="45"/>
        <v>200</v>
      </c>
      <c r="AO98" s="273">
        <f t="shared" si="45"/>
        <v>750</v>
      </c>
      <c r="AP98" s="273">
        <f t="shared" si="45"/>
        <v>25</v>
      </c>
      <c r="AQ98" s="273">
        <f t="shared" si="45"/>
        <v>25</v>
      </c>
      <c r="AR98" s="273">
        <f t="shared" si="45"/>
        <v>25</v>
      </c>
      <c r="AS98" s="273">
        <f t="shared" si="45"/>
        <v>90</v>
      </c>
      <c r="AT98" s="273">
        <f t="shared" si="45"/>
        <v>1812.9973527621717</v>
      </c>
      <c r="AU98" s="273">
        <f t="shared" si="45"/>
        <v>200</v>
      </c>
      <c r="AV98" s="273">
        <f t="shared" si="45"/>
        <v>100</v>
      </c>
      <c r="AW98" s="273">
        <f t="shared" si="45"/>
        <v>10</v>
      </c>
      <c r="AX98" s="273">
        <f t="shared" si="45"/>
        <v>3500</v>
      </c>
      <c r="AY98" s="273">
        <f t="shared" si="45"/>
        <v>50</v>
      </c>
      <c r="AZ98" s="273">
        <f t="shared" si="45"/>
        <v>200</v>
      </c>
      <c r="BA98" s="273">
        <f t="shared" si="45"/>
        <v>75</v>
      </c>
      <c r="BB98" s="273">
        <f t="shared" si="45"/>
        <v>500</v>
      </c>
      <c r="BC98" s="273">
        <f t="shared" si="45"/>
        <v>750</v>
      </c>
      <c r="BD98" s="273">
        <f t="shared" si="45"/>
        <v>200</v>
      </c>
      <c r="BE98" s="273">
        <f t="shared" si="45"/>
        <v>25</v>
      </c>
      <c r="BF98" s="273">
        <f t="shared" si="45"/>
        <v>75</v>
      </c>
      <c r="BG98" s="273">
        <f t="shared" si="45"/>
        <v>10</v>
      </c>
      <c r="BH98" s="273">
        <f t="shared" si="45"/>
        <v>75</v>
      </c>
      <c r="BI98" s="273">
        <f t="shared" si="45"/>
        <v>10</v>
      </c>
      <c r="BJ98" s="273">
        <f t="shared" si="45"/>
        <v>150</v>
      </c>
      <c r="BK98" s="273">
        <f t="shared" si="45"/>
        <v>10</v>
      </c>
      <c r="BL98" s="273">
        <f t="shared" si="45"/>
        <v>25</v>
      </c>
      <c r="BM98" s="273">
        <f t="shared" si="45"/>
        <v>25</v>
      </c>
      <c r="BN98" s="273">
        <f t="shared" si="45"/>
        <v>350</v>
      </c>
      <c r="BO98" s="273">
        <f t="shared" si="45"/>
        <v>10</v>
      </c>
      <c r="BP98" s="273">
        <f t="shared" si="45"/>
        <v>1794.3883292531602</v>
      </c>
      <c r="BQ98" s="273">
        <f>MIN(BQ67:BQ96)</f>
        <v>35887.766585063204</v>
      </c>
      <c r="BR98" s="125" t="s">
        <v>122</v>
      </c>
      <c r="BS98" s="123">
        <f>MIN(BS67:BS96)</f>
        <v>-2.9624577216157939</v>
      </c>
      <c r="BT98" s="424">
        <f>MIN(BT68:BT96)</f>
        <v>-85.503577388163762</v>
      </c>
      <c r="BU98" s="221"/>
      <c r="BV98" s="269">
        <f>MIN(BV67:BV96)</f>
        <v>2700</v>
      </c>
      <c r="BW98" s="269">
        <f>MIN(BW67:BW96)</f>
        <v>13500</v>
      </c>
      <c r="BX98" s="221"/>
      <c r="BY98" s="221">
        <f>MIN(BY67:BY96)</f>
        <v>-2.4303172643216366</v>
      </c>
      <c r="BZ98" s="424">
        <f>MIN(BZ68:BZ96)</f>
        <v>-91.743119266055047</v>
      </c>
      <c r="CA98" s="140"/>
      <c r="CB98" s="269">
        <f>MIN(CB67:CB96)</f>
        <v>2790.909090909091</v>
      </c>
      <c r="CC98" s="269">
        <f>MIN(CC67:CC96)</f>
        <v>30700</v>
      </c>
      <c r="CD98" s="140"/>
      <c r="CE98" s="425">
        <f>MIN(CE67:CE96)</f>
        <v>-2.2359161825809175</v>
      </c>
      <c r="CF98" s="424">
        <f>MIN(CF68:CF96)</f>
        <v>-90.361067503924644</v>
      </c>
      <c r="CG98" s="424">
        <f>MIN(CG68:CG96)</f>
        <v>15.479259914584736</v>
      </c>
    </row>
    <row r="99" spans="2:85">
      <c r="B99" s="118"/>
      <c r="C99" s="118" t="s">
        <v>257</v>
      </c>
      <c r="D99" s="220">
        <f>D97/D98</f>
        <v>900</v>
      </c>
      <c r="E99" s="220">
        <f t="shared" ref="E99:BP99" si="46">E97/E98</f>
        <v>375</v>
      </c>
      <c r="F99" s="220">
        <f t="shared" si="46"/>
        <v>83.333333333333329</v>
      </c>
      <c r="G99" s="220">
        <f t="shared" si="46"/>
        <v>666.66666666666663</v>
      </c>
      <c r="H99" s="220">
        <f t="shared" si="46"/>
        <v>147.08607613816406</v>
      </c>
      <c r="I99" s="220">
        <f t="shared" si="46"/>
        <v>150</v>
      </c>
      <c r="J99" s="220">
        <f t="shared" si="46"/>
        <v>200</v>
      </c>
      <c r="K99" s="220">
        <f t="shared" si="46"/>
        <v>500</v>
      </c>
      <c r="L99" s="220">
        <f t="shared" si="46"/>
        <v>1200</v>
      </c>
      <c r="M99" s="220">
        <f t="shared" si="46"/>
        <v>26.086956521739129</v>
      </c>
      <c r="N99" s="220">
        <f t="shared" si="46"/>
        <v>127.27272727272727</v>
      </c>
      <c r="O99" s="220">
        <f t="shared" si="46"/>
        <v>75</v>
      </c>
      <c r="P99" s="220">
        <f t="shared" si="46"/>
        <v>300</v>
      </c>
      <c r="Q99" s="220">
        <f t="shared" si="46"/>
        <v>140</v>
      </c>
      <c r="R99" s="220">
        <f t="shared" si="46"/>
        <v>116.66666666666667</v>
      </c>
      <c r="S99" s="220">
        <f t="shared" si="46"/>
        <v>56.25</v>
      </c>
      <c r="T99" s="220">
        <f t="shared" si="46"/>
        <v>70.588235294117652</v>
      </c>
      <c r="U99" s="220">
        <f t="shared" si="46"/>
        <v>60</v>
      </c>
      <c r="V99" s="220">
        <f t="shared" si="46"/>
        <v>193.05047493134032</v>
      </c>
      <c r="W99" s="220">
        <f t="shared" si="46"/>
        <v>25</v>
      </c>
      <c r="X99" s="220">
        <f t="shared" si="46"/>
        <v>375</v>
      </c>
      <c r="Y99" s="220">
        <f t="shared" si="46"/>
        <v>1750</v>
      </c>
      <c r="Z99" s="220">
        <f t="shared" si="46"/>
        <v>483.10769230769233</v>
      </c>
      <c r="AA99" s="220">
        <f t="shared" si="46"/>
        <v>100</v>
      </c>
      <c r="AB99" s="220">
        <f t="shared" si="46"/>
        <v>192</v>
      </c>
      <c r="AC99" s="220">
        <f t="shared" si="46"/>
        <v>1034.1989728464659</v>
      </c>
      <c r="AD99" s="220">
        <f t="shared" si="46"/>
        <v>115</v>
      </c>
      <c r="AE99" s="220">
        <f t="shared" si="46"/>
        <v>87.5</v>
      </c>
      <c r="AF99" s="220">
        <f t="shared" si="46"/>
        <v>100</v>
      </c>
      <c r="AG99" s="220">
        <f t="shared" si="46"/>
        <v>96</v>
      </c>
      <c r="AH99" s="220">
        <f t="shared" si="46"/>
        <v>15</v>
      </c>
      <c r="AI99" s="220">
        <f t="shared" si="46"/>
        <v>75</v>
      </c>
      <c r="AJ99" s="220">
        <f t="shared" si="46"/>
        <v>104</v>
      </c>
      <c r="AK99" s="220">
        <f t="shared" si="46"/>
        <v>2000</v>
      </c>
      <c r="AL99" s="220">
        <f t="shared" si="46"/>
        <v>138.52719665271965</v>
      </c>
      <c r="AM99" s="220">
        <f t="shared" si="46"/>
        <v>112.5</v>
      </c>
      <c r="AN99" s="220">
        <f t="shared" si="46"/>
        <v>40</v>
      </c>
      <c r="AO99" s="220">
        <f t="shared" si="46"/>
        <v>133.33333333333334</v>
      </c>
      <c r="AP99" s="220">
        <f t="shared" si="46"/>
        <v>52</v>
      </c>
      <c r="AQ99" s="220">
        <f t="shared" si="46"/>
        <v>400</v>
      </c>
      <c r="AR99" s="220">
        <f t="shared" si="46"/>
        <v>140</v>
      </c>
      <c r="AS99" s="220">
        <f t="shared" si="46"/>
        <v>222.22222222222223</v>
      </c>
      <c r="AT99" s="220">
        <f t="shared" si="46"/>
        <v>154.44037994507227</v>
      </c>
      <c r="AU99" s="220">
        <f t="shared" si="46"/>
        <v>85</v>
      </c>
      <c r="AV99" s="220">
        <f t="shared" si="46"/>
        <v>350</v>
      </c>
      <c r="AW99" s="220">
        <f t="shared" si="46"/>
        <v>350</v>
      </c>
      <c r="AX99" s="220">
        <f t="shared" si="46"/>
        <v>57.142857142857146</v>
      </c>
      <c r="AY99" s="220">
        <f t="shared" si="46"/>
        <v>340</v>
      </c>
      <c r="AZ99" s="220">
        <f t="shared" si="46"/>
        <v>175</v>
      </c>
      <c r="BA99" s="220">
        <f t="shared" si="46"/>
        <v>2333.3333333333335</v>
      </c>
      <c r="BB99" s="220">
        <f t="shared" si="46"/>
        <v>540</v>
      </c>
      <c r="BC99" s="220">
        <f t="shared" si="46"/>
        <v>533.33333333333337</v>
      </c>
      <c r="BD99" s="220">
        <f t="shared" si="46"/>
        <v>17.5</v>
      </c>
      <c r="BE99" s="220">
        <f t="shared" si="46"/>
        <v>704</v>
      </c>
      <c r="BF99" s="220">
        <f t="shared" si="46"/>
        <v>1200</v>
      </c>
      <c r="BG99" s="220">
        <f t="shared" si="46"/>
        <v>45</v>
      </c>
      <c r="BH99" s="220">
        <f t="shared" si="46"/>
        <v>200</v>
      </c>
      <c r="BI99" s="220">
        <f t="shared" si="46"/>
        <v>800</v>
      </c>
      <c r="BJ99" s="220">
        <f t="shared" si="46"/>
        <v>80</v>
      </c>
      <c r="BK99" s="220">
        <f t="shared" si="46"/>
        <v>750</v>
      </c>
      <c r="BL99" s="220">
        <f t="shared" si="46"/>
        <v>90</v>
      </c>
      <c r="BM99" s="220">
        <f t="shared" si="46"/>
        <v>172</v>
      </c>
      <c r="BN99" s="220">
        <f t="shared" si="46"/>
        <v>285.71428571428572</v>
      </c>
      <c r="BO99" s="220">
        <f t="shared" si="46"/>
        <v>100</v>
      </c>
      <c r="BP99" s="220">
        <f t="shared" si="46"/>
        <v>36.179799606984758</v>
      </c>
      <c r="BQ99" s="220">
        <f>BQ97/BQ98</f>
        <v>106.73040884060504</v>
      </c>
      <c r="BR99" s="124"/>
      <c r="BS99" s="164">
        <f t="shared" ref="BS99:BT99" si="47">BS97/BS98</f>
        <v>-0.57649713528316326</v>
      </c>
      <c r="BT99" s="426">
        <f t="shared" si="47"/>
        <v>-5.686696260241753</v>
      </c>
      <c r="BU99" s="118"/>
      <c r="BV99" s="220">
        <f t="shared" ref="BV99" si="48">BV97/BV98</f>
        <v>47.604938271604937</v>
      </c>
      <c r="BW99" s="220">
        <f t="shared" ref="BW99" si="49">BW97/BW98</f>
        <v>57.125925925925927</v>
      </c>
      <c r="BX99" s="118"/>
      <c r="BY99" s="164">
        <f t="shared" ref="BY99" si="50">BY97/BY98</f>
        <v>-0.66449793088273457</v>
      </c>
      <c r="BZ99" s="426">
        <f t="shared" ref="BZ99" si="51">BZ97/BZ98</f>
        <v>-5.6569251336898381</v>
      </c>
      <c r="CA99" s="390"/>
      <c r="CB99" s="220">
        <f t="shared" ref="CB99" si="52">CB97/CB98</f>
        <v>32.952225841476654</v>
      </c>
      <c r="CC99" s="220">
        <f t="shared" ref="CC99" si="53">CC97/CC98</f>
        <v>35.947882736156352</v>
      </c>
      <c r="CD99" s="365"/>
      <c r="CE99" s="164">
        <f t="shared" ref="CE99" si="54">CE97/CE98</f>
        <v>-0.60205924339041939</v>
      </c>
      <c r="CF99" s="426">
        <f t="shared" ref="CF99:CG99" si="55">CF97/CF98</f>
        <v>-4.4316972963309871</v>
      </c>
      <c r="CG99" s="426">
        <f t="shared" si="55"/>
        <v>4.2717280264475104</v>
      </c>
    </row>
  </sheetData>
  <mergeCells count="10">
    <mergeCell ref="C4:D4"/>
    <mergeCell ref="G4:H4"/>
    <mergeCell ref="K4:L4"/>
    <mergeCell ref="O4:P4"/>
    <mergeCell ref="S4:Y4"/>
    <mergeCell ref="BV62:BY62"/>
    <mergeCell ref="CB62:CE62"/>
    <mergeCell ref="BV24:BY24"/>
    <mergeCell ref="CB24:CE24"/>
    <mergeCell ref="BN27:BO27"/>
  </mergeCells>
  <pageMargins left="0.7" right="0.7" top="0.75" bottom="0.75" header="0.3" footer="0.3"/>
  <pageSetup orientation="portrait" horizontalDpi="1200" verticalDpi="1200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A109"/>
  <sheetViews>
    <sheetView topLeftCell="A54" zoomScale="115" zoomScaleNormal="115" workbookViewId="0">
      <selection activeCell="H75" sqref="H75"/>
    </sheetView>
  </sheetViews>
  <sheetFormatPr defaultRowHeight="12.75"/>
  <cols>
    <col min="1" max="1" width="11" style="494" bestFit="1" customWidth="1"/>
    <col min="2" max="2" width="11" style="494" customWidth="1"/>
    <col min="3" max="3" width="11" style="494" bestFit="1" customWidth="1"/>
    <col min="4" max="6" width="11.28515625" style="494" bestFit="1" customWidth="1"/>
    <col min="7" max="7" width="15.85546875" style="494" customWidth="1"/>
    <col min="8" max="8" width="9.140625" style="494"/>
    <col min="9" max="9" width="11.5703125" style="494" bestFit="1" customWidth="1"/>
    <col min="10" max="12" width="11.42578125" style="494" customWidth="1"/>
    <col min="13" max="13" width="13.42578125" style="494" bestFit="1" customWidth="1"/>
    <col min="14" max="17" width="9.140625" style="494"/>
    <col min="18" max="18" width="12.85546875" style="494" customWidth="1"/>
    <col min="19" max="19" width="11.5703125" style="494" customWidth="1"/>
    <col min="20" max="22" width="9.42578125" style="494" customWidth="1"/>
    <col min="23" max="23" width="12.85546875" style="494" customWidth="1"/>
    <col min="24" max="26" width="9.140625" style="494"/>
    <col min="27" max="27" width="3.28515625" style="494" customWidth="1"/>
    <col min="28" max="16384" width="9.140625" style="494"/>
  </cols>
  <sheetData>
    <row r="1" spans="1:26">
      <c r="A1" s="118" t="s">
        <v>780</v>
      </c>
      <c r="B1"/>
      <c r="C1"/>
      <c r="E1"/>
      <c r="F1"/>
    </row>
    <row r="2" spans="1:26">
      <c r="A2" s="57" t="s">
        <v>725</v>
      </c>
      <c r="B2" s="57"/>
      <c r="C2" s="503" t="s">
        <v>722</v>
      </c>
      <c r="D2"/>
      <c r="E2" s="340" t="s">
        <v>723</v>
      </c>
      <c r="F2" s="340" t="s">
        <v>723</v>
      </c>
      <c r="H2" s="497" t="s">
        <v>781</v>
      </c>
      <c r="R2" s="497" t="s">
        <v>787</v>
      </c>
    </row>
    <row r="3" spans="1:26">
      <c r="A3" s="503" t="s">
        <v>722</v>
      </c>
      <c r="B3" s="503" t="s">
        <v>722</v>
      </c>
      <c r="C3" s="504" t="s">
        <v>772</v>
      </c>
      <c r="D3" s="340" t="s">
        <v>723</v>
      </c>
      <c r="E3" s="340" t="s">
        <v>96</v>
      </c>
      <c r="F3" s="340" t="s">
        <v>96</v>
      </c>
      <c r="H3" t="s">
        <v>459</v>
      </c>
      <c r="I3"/>
      <c r="J3"/>
      <c r="K3"/>
      <c r="L3"/>
      <c r="M3"/>
      <c r="N3"/>
      <c r="O3"/>
      <c r="P3"/>
      <c r="R3" t="s">
        <v>459</v>
      </c>
      <c r="S3"/>
      <c r="T3"/>
      <c r="U3"/>
      <c r="V3"/>
      <c r="W3"/>
      <c r="X3"/>
      <c r="Y3"/>
      <c r="Z3"/>
    </row>
    <row r="4" spans="1:26" ht="13.5" thickBot="1">
      <c r="A4" s="504" t="s">
        <v>777</v>
      </c>
      <c r="B4" s="504" t="s">
        <v>439</v>
      </c>
      <c r="C4" s="504" t="s">
        <v>433</v>
      </c>
      <c r="D4" s="340" t="s">
        <v>210</v>
      </c>
      <c r="E4" s="494" t="s">
        <v>678</v>
      </c>
      <c r="F4" s="494" t="s">
        <v>492</v>
      </c>
      <c r="H4"/>
      <c r="I4"/>
      <c r="J4"/>
      <c r="K4"/>
      <c r="L4"/>
      <c r="M4"/>
      <c r="N4"/>
      <c r="O4"/>
      <c r="P4"/>
      <c r="R4"/>
      <c r="S4"/>
      <c r="T4"/>
      <c r="U4"/>
      <c r="V4"/>
      <c r="W4"/>
      <c r="X4"/>
      <c r="Y4"/>
      <c r="Z4"/>
    </row>
    <row r="5" spans="1:26">
      <c r="A5" s="416" t="s">
        <v>0</v>
      </c>
      <c r="B5" s="416" t="s">
        <v>721</v>
      </c>
      <c r="C5" s="416" t="s">
        <v>439</v>
      </c>
      <c r="D5" s="505" t="s">
        <v>0</v>
      </c>
      <c r="E5" s="506" t="s">
        <v>107</v>
      </c>
      <c r="F5" s="506" t="s">
        <v>107</v>
      </c>
      <c r="H5" s="449" t="s">
        <v>460</v>
      </c>
      <c r="I5" s="449"/>
      <c r="J5"/>
      <c r="K5"/>
      <c r="L5"/>
      <c r="M5"/>
      <c r="N5"/>
      <c r="O5"/>
      <c r="P5"/>
      <c r="R5" s="449" t="s">
        <v>460</v>
      </c>
      <c r="S5" s="449"/>
      <c r="T5"/>
      <c r="U5"/>
      <c r="V5"/>
      <c r="W5"/>
      <c r="X5"/>
      <c r="Y5"/>
      <c r="Z5"/>
    </row>
    <row r="6" spans="1:26">
      <c r="A6">
        <v>1999</v>
      </c>
      <c r="B6">
        <v>3600000</v>
      </c>
      <c r="C6" s="21">
        <v>603030.13744886289</v>
      </c>
      <c r="D6" s="48">
        <v>2000</v>
      </c>
      <c r="E6" s="21">
        <f>E7*(F6/F7)</f>
        <v>9124881.7090750281</v>
      </c>
      <c r="F6" s="21">
        <f>BroughtonPivot!AG5</f>
        <v>10419064.796003865</v>
      </c>
      <c r="H6" s="6" t="s">
        <v>461</v>
      </c>
      <c r="I6" s="6">
        <v>0.46285231324721116</v>
      </c>
      <c r="J6"/>
      <c r="K6"/>
      <c r="L6"/>
      <c r="M6"/>
      <c r="N6"/>
      <c r="O6"/>
      <c r="P6"/>
      <c r="R6" s="6" t="s">
        <v>461</v>
      </c>
      <c r="S6" s="6">
        <v>0.44377252854797644</v>
      </c>
      <c r="T6"/>
      <c r="U6"/>
      <c r="V6"/>
      <c r="W6"/>
      <c r="X6"/>
      <c r="Y6"/>
      <c r="Z6"/>
    </row>
    <row r="7" spans="1:26">
      <c r="A7">
        <v>2000</v>
      </c>
      <c r="B7">
        <v>0</v>
      </c>
      <c r="C7" s="21">
        <v>4479313.40877055</v>
      </c>
      <c r="D7" s="48">
        <v>2001</v>
      </c>
      <c r="E7" s="21">
        <f>BroughtonPivot!AG16</f>
        <v>7547883.6797598703</v>
      </c>
      <c r="F7" s="21">
        <f>BroughtonPivot!AG17</f>
        <v>8618400.9436424747</v>
      </c>
      <c r="H7" s="6" t="s">
        <v>462</v>
      </c>
      <c r="I7" s="6">
        <v>0.2142322638782945</v>
      </c>
      <c r="J7"/>
      <c r="K7"/>
      <c r="L7"/>
      <c r="M7"/>
      <c r="N7"/>
      <c r="O7"/>
      <c r="P7"/>
      <c r="R7" s="6" t="s">
        <v>462</v>
      </c>
      <c r="S7" s="6">
        <v>0.19693405709386455</v>
      </c>
      <c r="T7"/>
      <c r="U7"/>
      <c r="V7"/>
      <c r="W7"/>
      <c r="X7"/>
      <c r="Y7"/>
      <c r="Z7"/>
    </row>
    <row r="8" spans="1:26">
      <c r="A8">
        <v>2001</v>
      </c>
      <c r="B8">
        <v>21000000</v>
      </c>
      <c r="C8" s="21">
        <v>1700351.7491424014</v>
      </c>
      <c r="D8" s="48">
        <v>2002</v>
      </c>
      <c r="E8" s="21">
        <f>BroughtonPivot!AG28</f>
        <v>14640897.840283608</v>
      </c>
      <c r="F8" s="21">
        <f>BroughtonPivot!AG29</f>
        <v>18705715.680859476</v>
      </c>
      <c r="H8" s="6" t="s">
        <v>463</v>
      </c>
      <c r="I8" s="6">
        <v>0.11601129686308131</v>
      </c>
      <c r="J8"/>
      <c r="K8"/>
      <c r="L8"/>
      <c r="M8"/>
      <c r="N8"/>
      <c r="O8"/>
      <c r="P8"/>
      <c r="R8" s="6" t="s">
        <v>463</v>
      </c>
      <c r="S8" s="6">
        <v>9.6550814230597609E-2</v>
      </c>
      <c r="T8"/>
      <c r="U8"/>
      <c r="V8"/>
      <c r="W8"/>
      <c r="X8"/>
      <c r="Y8"/>
      <c r="Z8"/>
    </row>
    <row r="9" spans="1:26">
      <c r="A9">
        <v>2002</v>
      </c>
      <c r="B9">
        <v>0</v>
      </c>
      <c r="C9" s="21">
        <v>125377.02233912013</v>
      </c>
      <c r="D9" s="48">
        <v>2003</v>
      </c>
      <c r="E9" s="21">
        <f>BroughtonPivot!AG40</f>
        <v>4849224.7879999997</v>
      </c>
      <c r="F9" s="21">
        <f>BroughtonPivot!AG41</f>
        <v>1412283.8800000001</v>
      </c>
      <c r="H9" s="6" t="s">
        <v>197</v>
      </c>
      <c r="I9" s="6">
        <v>5603975.7955790851</v>
      </c>
      <c r="J9"/>
      <c r="K9"/>
      <c r="L9"/>
      <c r="M9"/>
      <c r="N9"/>
      <c r="O9"/>
      <c r="P9"/>
      <c r="R9" s="6" t="s">
        <v>197</v>
      </c>
      <c r="S9" s="6">
        <v>3987721.1285549132</v>
      </c>
      <c r="T9"/>
      <c r="U9"/>
      <c r="V9"/>
      <c r="W9"/>
      <c r="X9"/>
      <c r="Y9"/>
      <c r="Z9"/>
    </row>
    <row r="10" spans="1:26" ht="13.5" thickBot="1">
      <c r="A10">
        <v>2003</v>
      </c>
      <c r="B10">
        <v>26000000</v>
      </c>
      <c r="C10" s="21">
        <v>186761.25</v>
      </c>
      <c r="D10" s="48">
        <v>2004</v>
      </c>
      <c r="E10" s="21">
        <f>BroughtonPivot!AG52</f>
        <v>5566962.5999999996</v>
      </c>
      <c r="F10" s="21">
        <f>BroughtonPivot!AG53</f>
        <v>7885960.5499999989</v>
      </c>
      <c r="H10" s="75" t="s">
        <v>464</v>
      </c>
      <c r="I10" s="75">
        <v>10</v>
      </c>
      <c r="J10"/>
      <c r="K10"/>
      <c r="L10"/>
      <c r="M10"/>
      <c r="N10"/>
      <c r="O10"/>
      <c r="P10"/>
      <c r="R10" s="75" t="s">
        <v>464</v>
      </c>
      <c r="S10" s="75">
        <v>10</v>
      </c>
      <c r="T10"/>
      <c r="U10"/>
      <c r="V10"/>
      <c r="W10"/>
      <c r="X10"/>
      <c r="Y10"/>
      <c r="Z10"/>
    </row>
    <row r="11" spans="1:26">
      <c r="A11">
        <v>2004</v>
      </c>
      <c r="B11">
        <v>0</v>
      </c>
      <c r="C11" s="21">
        <v>1145669.1190617357</v>
      </c>
      <c r="D11" s="48">
        <v>2005</v>
      </c>
      <c r="E11" s="21">
        <f>BroughtonPivot!AG64</f>
        <v>4019714.8800000004</v>
      </c>
      <c r="F11" s="21">
        <f>BroughtonPivot!AG65</f>
        <v>4261532.12</v>
      </c>
      <c r="H11"/>
      <c r="I11"/>
      <c r="J11"/>
      <c r="K11"/>
      <c r="L11"/>
      <c r="M11"/>
      <c r="N11"/>
      <c r="O11"/>
      <c r="P11"/>
      <c r="R11"/>
      <c r="S11"/>
      <c r="T11"/>
      <c r="U11"/>
      <c r="V11"/>
      <c r="W11"/>
      <c r="X11"/>
      <c r="Y11"/>
      <c r="Z11"/>
    </row>
    <row r="12" spans="1:26" ht="13.5" thickBot="1">
      <c r="A12">
        <v>2005</v>
      </c>
      <c r="B12">
        <v>10000000</v>
      </c>
      <c r="C12" s="21">
        <v>282263.75906701991</v>
      </c>
      <c r="D12" s="48">
        <v>2006</v>
      </c>
      <c r="E12" s="21">
        <f>BroughtonPivot!AG76</f>
        <v>4490380.3600000013</v>
      </c>
      <c r="F12" s="21">
        <f>BroughtonPivot!AG77</f>
        <v>1095941.2899999998</v>
      </c>
      <c r="H12" t="s">
        <v>465</v>
      </c>
      <c r="I12"/>
      <c r="J12"/>
      <c r="K12"/>
      <c r="L12"/>
      <c r="M12"/>
      <c r="N12"/>
      <c r="O12"/>
      <c r="P12"/>
      <c r="R12" t="s">
        <v>465</v>
      </c>
      <c r="S12"/>
      <c r="T12"/>
      <c r="U12"/>
      <c r="V12"/>
      <c r="W12"/>
      <c r="X12"/>
      <c r="Y12"/>
      <c r="Z12"/>
    </row>
    <row r="13" spans="1:26">
      <c r="A13">
        <v>2006</v>
      </c>
      <c r="B13">
        <v>0</v>
      </c>
      <c r="C13" s="21">
        <v>361153.40961790271</v>
      </c>
      <c r="D13" s="48">
        <v>2007</v>
      </c>
      <c r="E13" s="21">
        <f>BroughtonPivot!AG88</f>
        <v>2310171.0400000005</v>
      </c>
      <c r="F13" s="21">
        <f>BroughtonPivot!AG89</f>
        <v>1442069.35</v>
      </c>
      <c r="H13" s="76"/>
      <c r="I13" s="76" t="s">
        <v>198</v>
      </c>
      <c r="J13" s="76" t="s">
        <v>199</v>
      </c>
      <c r="K13" s="76" t="s">
        <v>200</v>
      </c>
      <c r="L13" s="76" t="s">
        <v>201</v>
      </c>
      <c r="M13" s="76" t="s">
        <v>202</v>
      </c>
      <c r="N13"/>
      <c r="O13"/>
      <c r="P13"/>
      <c r="R13" s="76"/>
      <c r="S13" s="76" t="s">
        <v>198</v>
      </c>
      <c r="T13" s="76" t="s">
        <v>199</v>
      </c>
      <c r="U13" s="76" t="s">
        <v>200</v>
      </c>
      <c r="V13" s="76" t="s">
        <v>201</v>
      </c>
      <c r="W13" s="76" t="s">
        <v>202</v>
      </c>
      <c r="X13"/>
      <c r="Y13"/>
      <c r="Z13"/>
    </row>
    <row r="14" spans="1:26">
      <c r="A14">
        <v>2007</v>
      </c>
      <c r="B14">
        <v>10500000</v>
      </c>
      <c r="C14" s="21">
        <v>320679.94195065869</v>
      </c>
      <c r="D14" s="48">
        <v>2008</v>
      </c>
      <c r="E14" s="21">
        <f>BroughtonPivot!AG100</f>
        <v>1044197.7799999999</v>
      </c>
      <c r="F14" s="21">
        <f>BroughtonPivot!AG101</f>
        <v>687060.39000000013</v>
      </c>
      <c r="H14" s="6" t="s">
        <v>466</v>
      </c>
      <c r="I14" s="6">
        <v>1</v>
      </c>
      <c r="J14" s="6">
        <v>68497255884697.594</v>
      </c>
      <c r="K14" s="6">
        <v>68497255884697.594</v>
      </c>
      <c r="L14" s="6">
        <v>2.1811255823322595</v>
      </c>
      <c r="M14" s="6">
        <v>0.17795942143855425</v>
      </c>
      <c r="N14"/>
      <c r="O14"/>
      <c r="P14"/>
      <c r="R14" s="6" t="s">
        <v>466</v>
      </c>
      <c r="S14" s="6">
        <v>1</v>
      </c>
      <c r="T14" s="6">
        <v>31196736549826.578</v>
      </c>
      <c r="U14" s="6">
        <v>31196736549826.578</v>
      </c>
      <c r="V14" s="6">
        <v>1.9618220280262364</v>
      </c>
      <c r="W14" s="6">
        <v>0.19889176367882322</v>
      </c>
      <c r="X14"/>
      <c r="Y14"/>
      <c r="Z14"/>
    </row>
    <row r="15" spans="1:26">
      <c r="A15">
        <v>2008</v>
      </c>
      <c r="B15">
        <v>0</v>
      </c>
      <c r="C15" s="21">
        <v>83505.817041584509</v>
      </c>
      <c r="D15" s="48">
        <v>2009</v>
      </c>
      <c r="E15" s="21">
        <f>BroughtonPivot!AG112</f>
        <v>609381.82499999995</v>
      </c>
      <c r="F15" s="21">
        <f>BroughtonPivot!AG113</f>
        <v>164499.79499999998</v>
      </c>
      <c r="H15" s="6" t="s">
        <v>453</v>
      </c>
      <c r="I15" s="6">
        <v>8</v>
      </c>
      <c r="J15" s="6">
        <v>251236357739489.91</v>
      </c>
      <c r="K15" s="6">
        <v>31404544717436.238</v>
      </c>
      <c r="L15" s="6"/>
      <c r="M15" s="6"/>
      <c r="N15"/>
      <c r="O15"/>
      <c r="P15"/>
      <c r="R15" s="6" t="s">
        <v>453</v>
      </c>
      <c r="S15" s="6">
        <v>8</v>
      </c>
      <c r="T15" s="6">
        <v>127215358392986.17</v>
      </c>
      <c r="U15" s="6">
        <v>15901919799123.271</v>
      </c>
      <c r="V15" s="6"/>
      <c r="W15" s="6"/>
      <c r="X15"/>
      <c r="Y15"/>
      <c r="Z15"/>
    </row>
    <row r="16" spans="1:26" ht="13.5" thickBot="1">
      <c r="A16"/>
      <c r="B16"/>
      <c r="C16"/>
      <c r="D16"/>
      <c r="E16"/>
      <c r="F16"/>
      <c r="H16" s="75" t="s">
        <v>111</v>
      </c>
      <c r="I16" s="75">
        <v>9</v>
      </c>
      <c r="J16" s="75">
        <v>319733613624187.5</v>
      </c>
      <c r="K16" s="75"/>
      <c r="L16" s="75"/>
      <c r="M16" s="75"/>
      <c r="N16"/>
      <c r="O16"/>
      <c r="P16"/>
      <c r="R16" s="75" t="s">
        <v>111</v>
      </c>
      <c r="S16" s="75">
        <v>9</v>
      </c>
      <c r="T16" s="75">
        <v>158412094942812.75</v>
      </c>
      <c r="U16" s="75"/>
      <c r="V16" s="75"/>
      <c r="W16" s="75"/>
      <c r="X16"/>
      <c r="Y16"/>
      <c r="Z16"/>
    </row>
    <row r="17" spans="1:27" ht="13.5" thickBot="1">
      <c r="A17"/>
      <c r="B17"/>
      <c r="C17"/>
      <c r="D17"/>
      <c r="E17"/>
      <c r="F17"/>
      <c r="H17"/>
      <c r="I17"/>
      <c r="J17"/>
      <c r="K17"/>
      <c r="L17"/>
      <c r="M17"/>
      <c r="N17"/>
      <c r="O17"/>
      <c r="P17"/>
      <c r="R17"/>
      <c r="S17"/>
      <c r="T17"/>
      <c r="U17"/>
      <c r="V17"/>
      <c r="W17"/>
      <c r="X17"/>
      <c r="Y17"/>
      <c r="Z17"/>
    </row>
    <row r="18" spans="1:27">
      <c r="A18"/>
      <c r="B18"/>
      <c r="C18"/>
      <c r="D18"/>
      <c r="E18"/>
      <c r="F18"/>
      <c r="H18" s="76"/>
      <c r="I18" s="76" t="s">
        <v>203</v>
      </c>
      <c r="J18" s="76" t="s">
        <v>197</v>
      </c>
      <c r="K18" s="76" t="s">
        <v>204</v>
      </c>
      <c r="L18" s="76" t="s">
        <v>205</v>
      </c>
      <c r="M18" s="76" t="s">
        <v>206</v>
      </c>
      <c r="N18" s="76" t="s">
        <v>207</v>
      </c>
      <c r="O18" s="76" t="s">
        <v>208</v>
      </c>
      <c r="P18" s="76" t="s">
        <v>209</v>
      </c>
      <c r="R18" s="76"/>
      <c r="S18" s="76" t="s">
        <v>203</v>
      </c>
      <c r="T18" s="76" t="s">
        <v>197</v>
      </c>
      <c r="U18" s="76" t="s">
        <v>204</v>
      </c>
      <c r="V18" s="76" t="s">
        <v>205</v>
      </c>
      <c r="W18" s="76" t="s">
        <v>206</v>
      </c>
      <c r="X18" s="76" t="s">
        <v>207</v>
      </c>
      <c r="Y18" s="76" t="s">
        <v>208</v>
      </c>
      <c r="Z18" s="76" t="s">
        <v>209</v>
      </c>
    </row>
    <row r="19" spans="1:27">
      <c r="A19"/>
      <c r="B19"/>
      <c r="C19"/>
      <c r="D19"/>
      <c r="E19"/>
      <c r="F19"/>
      <c r="H19" s="6" t="s">
        <v>467</v>
      </c>
      <c r="I19" s="6">
        <v>3569620.7794812829</v>
      </c>
      <c r="J19" s="6">
        <v>2189731.1032871329</v>
      </c>
      <c r="K19" s="6">
        <v>1.6301639841178295</v>
      </c>
      <c r="L19" s="6">
        <v>0.14171401896703606</v>
      </c>
      <c r="M19" s="6">
        <v>-1479908.1955124815</v>
      </c>
      <c r="N19" s="6">
        <v>8619149.7544750478</v>
      </c>
      <c r="O19" s="6">
        <v>-1479908.1955124815</v>
      </c>
      <c r="P19" s="6">
        <v>8619149.7544750478</v>
      </c>
      <c r="R19" s="6" t="s">
        <v>467</v>
      </c>
      <c r="S19" s="6">
        <v>4138371.2129950104</v>
      </c>
      <c r="T19" s="6">
        <v>1558186.0637800344</v>
      </c>
      <c r="U19" s="6">
        <v>2.6558902747183182</v>
      </c>
      <c r="V19" s="6">
        <v>2.8989683530390865E-2</v>
      </c>
      <c r="W19" s="6">
        <v>545187.70946916891</v>
      </c>
      <c r="X19" s="6">
        <v>7731554.7165208515</v>
      </c>
      <c r="Y19" s="6">
        <v>545187.70946916891</v>
      </c>
      <c r="Z19" s="6">
        <v>7731554.7165208515</v>
      </c>
    </row>
    <row r="20" spans="1:27" ht="13.5" thickBot="1">
      <c r="A20"/>
      <c r="B20"/>
      <c r="C20"/>
      <c r="D20"/>
      <c r="E20"/>
      <c r="F20"/>
      <c r="H20" s="75" t="s">
        <v>680</v>
      </c>
      <c r="I20" s="75">
        <v>2.0452309425896478</v>
      </c>
      <c r="J20" s="75">
        <v>1.3848477151290743</v>
      </c>
      <c r="K20" s="75">
        <v>1.4768634271090397</v>
      </c>
      <c r="L20" s="75">
        <v>0.17795942143855481</v>
      </c>
      <c r="M20" s="75">
        <v>-1.1482336124878363</v>
      </c>
      <c r="N20" s="75">
        <v>5.2386954976671323</v>
      </c>
      <c r="O20" s="75">
        <v>-1.1482336124878363</v>
      </c>
      <c r="P20" s="75">
        <v>5.2386954976671323</v>
      </c>
      <c r="R20" s="75" t="s">
        <v>680</v>
      </c>
      <c r="S20" s="75">
        <v>1.3802582468741202</v>
      </c>
      <c r="T20" s="75">
        <v>0.98544081825045637</v>
      </c>
      <c r="U20" s="75">
        <v>1.4006505731360099</v>
      </c>
      <c r="V20" s="75">
        <v>0.19889176367882355</v>
      </c>
      <c r="W20" s="75">
        <v>-0.89217235313309651</v>
      </c>
      <c r="X20" s="75">
        <v>3.652688846881337</v>
      </c>
      <c r="Y20" s="75">
        <v>-0.89217235313309651</v>
      </c>
      <c r="Z20" s="75">
        <v>3.652688846881337</v>
      </c>
    </row>
    <row r="21" spans="1:27">
      <c r="A21"/>
      <c r="B21"/>
      <c r="C21"/>
      <c r="D21"/>
      <c r="E21"/>
      <c r="F21"/>
      <c r="H21" s="501" t="s">
        <v>724</v>
      </c>
      <c r="I21"/>
      <c r="J21"/>
      <c r="K21"/>
      <c r="L21"/>
      <c r="M21"/>
      <c r="N21"/>
      <c r="O21"/>
      <c r="P21"/>
      <c r="R21" s="501" t="s">
        <v>724</v>
      </c>
      <c r="S21"/>
      <c r="T21"/>
      <c r="U21"/>
      <c r="V21"/>
      <c r="W21"/>
      <c r="X21"/>
      <c r="Y21"/>
      <c r="Z21"/>
      <c r="AA21"/>
    </row>
    <row r="22" spans="1:27">
      <c r="A22"/>
      <c r="B22"/>
      <c r="C22"/>
      <c r="D22"/>
      <c r="E22"/>
      <c r="F22"/>
      <c r="H22"/>
      <c r="I22"/>
      <c r="J22"/>
      <c r="K22"/>
      <c r="L22"/>
      <c r="M22"/>
      <c r="N22"/>
      <c r="O22"/>
      <c r="P22"/>
      <c r="R22"/>
      <c r="S22"/>
      <c r="T22"/>
      <c r="U22"/>
      <c r="V22"/>
      <c r="W22"/>
      <c r="X22"/>
      <c r="Y22"/>
      <c r="Z22"/>
    </row>
    <row r="23" spans="1:27">
      <c r="A23"/>
      <c r="B23"/>
      <c r="C23"/>
      <c r="D23"/>
      <c r="E23"/>
      <c r="F23"/>
      <c r="H23"/>
      <c r="I23"/>
      <c r="J23"/>
      <c r="K23"/>
      <c r="L23"/>
      <c r="M23"/>
      <c r="N23"/>
      <c r="O23"/>
      <c r="P23"/>
      <c r="R23"/>
      <c r="S23"/>
      <c r="T23"/>
      <c r="U23"/>
      <c r="V23"/>
      <c r="W23"/>
      <c r="X23"/>
      <c r="Y23"/>
      <c r="Z23"/>
    </row>
    <row r="24" spans="1:27">
      <c r="A24"/>
      <c r="B24"/>
      <c r="C24"/>
      <c r="D24"/>
      <c r="E24"/>
      <c r="F24"/>
      <c r="G24" s="501"/>
      <c r="H24"/>
      <c r="I24"/>
      <c r="J24"/>
      <c r="K24"/>
      <c r="L24"/>
      <c r="M24"/>
      <c r="N24"/>
      <c r="O24"/>
      <c r="P24"/>
      <c r="R24"/>
      <c r="S24"/>
      <c r="T24"/>
      <c r="U24"/>
      <c r="V24"/>
      <c r="W24"/>
      <c r="X24"/>
      <c r="Y24"/>
      <c r="Z24"/>
      <c r="AA24" s="501"/>
    </row>
    <row r="25" spans="1:27">
      <c r="A25" s="57" t="s">
        <v>778</v>
      </c>
      <c r="B25" s="57"/>
      <c r="C25" s="503" t="s">
        <v>722</v>
      </c>
      <c r="D25"/>
      <c r="E25" s="340" t="s">
        <v>723</v>
      </c>
      <c r="F25" s="340" t="s">
        <v>723</v>
      </c>
      <c r="H25" s="497" t="s">
        <v>782</v>
      </c>
      <c r="R25" s="497" t="s">
        <v>786</v>
      </c>
      <c r="S25"/>
      <c r="T25"/>
      <c r="U25"/>
      <c r="V25"/>
      <c r="W25"/>
      <c r="X25"/>
      <c r="Y25"/>
      <c r="Z25"/>
    </row>
    <row r="26" spans="1:27">
      <c r="A26" s="503"/>
      <c r="B26" s="503" t="s">
        <v>722</v>
      </c>
      <c r="C26" s="504" t="s">
        <v>772</v>
      </c>
      <c r="D26" s="340" t="s">
        <v>723</v>
      </c>
      <c r="E26" s="340" t="s">
        <v>96</v>
      </c>
      <c r="F26" s="340" t="s">
        <v>96</v>
      </c>
      <c r="H26" t="s">
        <v>459</v>
      </c>
      <c r="I26"/>
      <c r="J26"/>
      <c r="K26"/>
      <c r="L26"/>
      <c r="M26"/>
      <c r="N26"/>
      <c r="O26"/>
      <c r="P26"/>
      <c r="R26" t="s">
        <v>459</v>
      </c>
      <c r="S26"/>
      <c r="T26"/>
      <c r="U26"/>
      <c r="V26"/>
      <c r="W26"/>
      <c r="X26"/>
      <c r="Y26"/>
      <c r="Z26"/>
    </row>
    <row r="27" spans="1:27" ht="13.5" thickBot="1">
      <c r="A27" s="504" t="s">
        <v>777</v>
      </c>
      <c r="B27" s="504" t="s">
        <v>439</v>
      </c>
      <c r="C27" s="504" t="s">
        <v>433</v>
      </c>
      <c r="D27" s="340" t="s">
        <v>210</v>
      </c>
      <c r="E27" s="517" t="s">
        <v>178</v>
      </c>
      <c r="F27" s="517" t="s">
        <v>95</v>
      </c>
      <c r="H27"/>
      <c r="I27"/>
      <c r="J27"/>
      <c r="K27"/>
      <c r="L27"/>
      <c r="M27"/>
      <c r="N27"/>
      <c r="O27"/>
      <c r="P27"/>
      <c r="R27"/>
      <c r="S27"/>
      <c r="T27"/>
      <c r="U27"/>
      <c r="V27"/>
      <c r="W27"/>
      <c r="X27"/>
      <c r="Y27"/>
      <c r="Z27"/>
    </row>
    <row r="28" spans="1:27">
      <c r="A28" s="416" t="s">
        <v>0</v>
      </c>
      <c r="B28" s="416" t="s">
        <v>721</v>
      </c>
      <c r="C28" s="416" t="s">
        <v>439</v>
      </c>
      <c r="D28" s="505" t="s">
        <v>0</v>
      </c>
      <c r="E28" s="506" t="s">
        <v>107</v>
      </c>
      <c r="F28" s="506" t="s">
        <v>107</v>
      </c>
      <c r="H28" s="449" t="s">
        <v>460</v>
      </c>
      <c r="I28" s="449"/>
      <c r="J28"/>
      <c r="K28"/>
      <c r="L28"/>
      <c r="M28"/>
      <c r="N28"/>
      <c r="O28"/>
      <c r="P28"/>
      <c r="R28" s="449" t="s">
        <v>460</v>
      </c>
      <c r="S28" s="449"/>
      <c r="T28"/>
      <c r="U28"/>
      <c r="V28"/>
      <c r="W28"/>
      <c r="X28"/>
      <c r="Y28"/>
      <c r="Z28"/>
    </row>
    <row r="29" spans="1:27">
      <c r="A29">
        <f t="shared" ref="A29:F29" si="0">A6</f>
        <v>1999</v>
      </c>
      <c r="B29" s="21">
        <f t="shared" si="0"/>
        <v>3600000</v>
      </c>
      <c r="C29" s="21">
        <f t="shared" si="0"/>
        <v>603030.13744886289</v>
      </c>
      <c r="D29">
        <f t="shared" si="0"/>
        <v>2000</v>
      </c>
      <c r="E29" s="21">
        <f t="shared" si="0"/>
        <v>9124881.7090750281</v>
      </c>
      <c r="F29" s="21">
        <f t="shared" si="0"/>
        <v>10419064.796003865</v>
      </c>
      <c r="H29" s="6" t="s">
        <v>461</v>
      </c>
      <c r="I29" s="6">
        <v>0.86642136333374042</v>
      </c>
      <c r="J29"/>
      <c r="K29"/>
      <c r="L29"/>
      <c r="M29"/>
      <c r="N29"/>
      <c r="O29"/>
      <c r="P29"/>
      <c r="R29" s="6" t="s">
        <v>461</v>
      </c>
      <c r="S29" s="6">
        <v>0.88928325752162929</v>
      </c>
      <c r="T29"/>
      <c r="U29"/>
      <c r="V29"/>
      <c r="W29"/>
      <c r="X29"/>
      <c r="Y29"/>
      <c r="Z29"/>
    </row>
    <row r="30" spans="1:27">
      <c r="A30">
        <f t="shared" ref="A30:F30" si="1">A8</f>
        <v>2001</v>
      </c>
      <c r="B30" s="21">
        <f t="shared" si="1"/>
        <v>21000000</v>
      </c>
      <c r="C30" s="21">
        <f t="shared" si="1"/>
        <v>1700351.7491424014</v>
      </c>
      <c r="D30">
        <f t="shared" si="1"/>
        <v>2002</v>
      </c>
      <c r="E30" s="21">
        <f t="shared" si="1"/>
        <v>14640897.840283608</v>
      </c>
      <c r="F30" s="21">
        <f t="shared" si="1"/>
        <v>18705715.680859476</v>
      </c>
      <c r="H30" s="6" t="s">
        <v>462</v>
      </c>
      <c r="I30" s="6">
        <v>0.75068597884109745</v>
      </c>
      <c r="J30"/>
      <c r="K30"/>
      <c r="L30"/>
      <c r="M30"/>
      <c r="N30"/>
      <c r="O30"/>
      <c r="P30"/>
      <c r="R30" s="6" t="s">
        <v>462</v>
      </c>
      <c r="S30" s="6">
        <v>0.79082471210828043</v>
      </c>
      <c r="T30"/>
      <c r="U30"/>
      <c r="V30"/>
      <c r="W30"/>
      <c r="X30"/>
      <c r="Y30"/>
      <c r="Z30"/>
    </row>
    <row r="31" spans="1:27">
      <c r="A31">
        <f t="shared" ref="A31:F31" si="2">A10</f>
        <v>2003</v>
      </c>
      <c r="B31" s="21">
        <f t="shared" si="2"/>
        <v>26000000</v>
      </c>
      <c r="C31" s="21">
        <f t="shared" si="2"/>
        <v>186761.25</v>
      </c>
      <c r="D31">
        <f t="shared" si="2"/>
        <v>2004</v>
      </c>
      <c r="E31" s="21">
        <f t="shared" si="2"/>
        <v>5566962.5999999996</v>
      </c>
      <c r="F31" s="21">
        <f t="shared" si="2"/>
        <v>7885960.5499999989</v>
      </c>
      <c r="H31" s="6" t="s">
        <v>463</v>
      </c>
      <c r="I31" s="6">
        <v>0.6675813051214633</v>
      </c>
      <c r="J31"/>
      <c r="K31"/>
      <c r="L31"/>
      <c r="M31"/>
      <c r="N31"/>
      <c r="O31"/>
      <c r="P31"/>
      <c r="R31" s="6" t="s">
        <v>463</v>
      </c>
      <c r="S31" s="6">
        <v>0.7210996161443739</v>
      </c>
      <c r="T31"/>
      <c r="U31"/>
      <c r="V31"/>
      <c r="W31"/>
      <c r="X31"/>
      <c r="Y31"/>
      <c r="Z31"/>
    </row>
    <row r="32" spans="1:27">
      <c r="A32">
        <f t="shared" ref="A32:F32" si="3">A12</f>
        <v>2005</v>
      </c>
      <c r="B32" s="21">
        <f t="shared" si="3"/>
        <v>10000000</v>
      </c>
      <c r="C32" s="21">
        <f t="shared" si="3"/>
        <v>282263.75906701991</v>
      </c>
      <c r="D32">
        <f t="shared" si="3"/>
        <v>2006</v>
      </c>
      <c r="E32" s="21">
        <f t="shared" si="3"/>
        <v>4490380.3600000013</v>
      </c>
      <c r="F32" s="21">
        <f t="shared" si="3"/>
        <v>1095941.2899999998</v>
      </c>
      <c r="H32" s="6" t="s">
        <v>197</v>
      </c>
      <c r="I32" s="6">
        <v>4288783.9609875251</v>
      </c>
      <c r="J32"/>
      <c r="K32"/>
      <c r="L32"/>
      <c r="M32"/>
      <c r="N32"/>
      <c r="O32"/>
      <c r="P32"/>
      <c r="R32" s="6" t="s">
        <v>197</v>
      </c>
      <c r="S32" s="6">
        <v>2727809.1747290599</v>
      </c>
      <c r="T32"/>
      <c r="U32"/>
      <c r="V32"/>
      <c r="W32"/>
      <c r="X32"/>
      <c r="Y32"/>
      <c r="Z32"/>
    </row>
    <row r="33" spans="1:27" ht="13.5" thickBot="1">
      <c r="A33">
        <f t="shared" ref="A33:F33" si="4">A14</f>
        <v>2007</v>
      </c>
      <c r="B33" s="21">
        <f t="shared" si="4"/>
        <v>10500000</v>
      </c>
      <c r="C33" s="21">
        <f t="shared" si="4"/>
        <v>320679.94195065869</v>
      </c>
      <c r="D33">
        <f t="shared" si="4"/>
        <v>2008</v>
      </c>
      <c r="E33" s="21">
        <f t="shared" si="4"/>
        <v>1044197.7799999999</v>
      </c>
      <c r="F33" s="21">
        <f t="shared" si="4"/>
        <v>687060.39000000013</v>
      </c>
      <c r="H33" s="75" t="s">
        <v>464</v>
      </c>
      <c r="I33" s="75">
        <v>5</v>
      </c>
      <c r="J33"/>
      <c r="K33"/>
      <c r="L33"/>
      <c r="M33"/>
      <c r="N33"/>
      <c r="O33"/>
      <c r="P33"/>
      <c r="R33" s="75" t="s">
        <v>464</v>
      </c>
      <c r="S33" s="75">
        <v>5</v>
      </c>
      <c r="T33"/>
      <c r="U33"/>
      <c r="V33"/>
      <c r="W33"/>
      <c r="X33"/>
      <c r="Y33"/>
      <c r="Z33"/>
    </row>
    <row r="34" spans="1:27">
      <c r="A34"/>
      <c r="B34"/>
      <c r="C34"/>
      <c r="D34"/>
      <c r="E34"/>
      <c r="F34"/>
      <c r="H34"/>
      <c r="I34"/>
      <c r="J34"/>
      <c r="K34"/>
      <c r="L34"/>
      <c r="M34"/>
      <c r="N34"/>
      <c r="O34"/>
      <c r="P34"/>
      <c r="R34"/>
      <c r="S34"/>
      <c r="T34"/>
      <c r="U34"/>
      <c r="V34"/>
      <c r="W34"/>
      <c r="X34"/>
      <c r="Y34"/>
      <c r="Z34"/>
    </row>
    <row r="35" spans="1:27" ht="13.5" thickBot="1">
      <c r="A35"/>
      <c r="B35"/>
      <c r="C35"/>
      <c r="D35"/>
      <c r="E35" s="21"/>
      <c r="F35" s="21"/>
      <c r="H35" t="s">
        <v>465</v>
      </c>
      <c r="I35"/>
      <c r="J35"/>
      <c r="K35"/>
      <c r="L35"/>
      <c r="M35"/>
      <c r="N35"/>
      <c r="O35"/>
      <c r="P35"/>
      <c r="R35" t="s">
        <v>465</v>
      </c>
      <c r="S35"/>
      <c r="T35"/>
      <c r="U35"/>
      <c r="V35"/>
      <c r="W35"/>
      <c r="X35"/>
      <c r="Y35"/>
      <c r="Z35"/>
    </row>
    <row r="36" spans="1:27">
      <c r="A36"/>
      <c r="B36"/>
      <c r="C36"/>
      <c r="D36"/>
      <c r="E36"/>
      <c r="F36"/>
      <c r="H36" s="76"/>
      <c r="I36" s="76" t="s">
        <v>198</v>
      </c>
      <c r="J36" s="76" t="s">
        <v>199</v>
      </c>
      <c r="K36" s="76" t="s">
        <v>200</v>
      </c>
      <c r="L36" s="76" t="s">
        <v>201</v>
      </c>
      <c r="M36" s="76" t="s">
        <v>202</v>
      </c>
      <c r="N36"/>
      <c r="O36"/>
      <c r="P36"/>
      <c r="R36" s="76"/>
      <c r="S36" s="76" t="s">
        <v>198</v>
      </c>
      <c r="T36" s="76" t="s">
        <v>199</v>
      </c>
      <c r="U36" s="76" t="s">
        <v>200</v>
      </c>
      <c r="V36" s="76" t="s">
        <v>201</v>
      </c>
      <c r="W36" s="76" t="s">
        <v>202</v>
      </c>
      <c r="X36"/>
      <c r="Y36"/>
      <c r="Z36"/>
    </row>
    <row r="37" spans="1:27">
      <c r="A37"/>
      <c r="B37"/>
      <c r="C37"/>
      <c r="D37"/>
      <c r="E37"/>
      <c r="F37"/>
      <c r="H37" s="6" t="s">
        <v>466</v>
      </c>
      <c r="I37" s="6">
        <v>1</v>
      </c>
      <c r="J37" s="6">
        <v>166150325209935.19</v>
      </c>
      <c r="K37" s="6">
        <v>166150325209935.19</v>
      </c>
      <c r="L37" s="6">
        <v>9.0330175818227314</v>
      </c>
      <c r="M37" s="6">
        <v>5.7416982895702622E-2</v>
      </c>
      <c r="N37"/>
      <c r="O37"/>
      <c r="P37"/>
      <c r="R37" s="6" t="s">
        <v>466</v>
      </c>
      <c r="S37" s="6">
        <v>1</v>
      </c>
      <c r="T37" s="6">
        <v>84395459631910.437</v>
      </c>
      <c r="U37" s="6">
        <v>84395459631910.437</v>
      </c>
      <c r="V37" s="6">
        <v>11.342038346102152</v>
      </c>
      <c r="W37" s="450">
        <v>4.3481706187418638E-2</v>
      </c>
      <c r="X37"/>
      <c r="Y37"/>
      <c r="Z37"/>
    </row>
    <row r="38" spans="1:27">
      <c r="A38"/>
      <c r="B38"/>
      <c r="C38"/>
      <c r="D38"/>
      <c r="E38"/>
      <c r="F38"/>
      <c r="H38" s="6" t="s">
        <v>453</v>
      </c>
      <c r="I38" s="6">
        <v>3</v>
      </c>
      <c r="J38" s="6">
        <v>55181003592071.547</v>
      </c>
      <c r="K38" s="6">
        <v>18393667864023.848</v>
      </c>
      <c r="L38" s="6"/>
      <c r="M38" s="6"/>
      <c r="N38"/>
      <c r="O38"/>
      <c r="P38"/>
      <c r="R38" s="6" t="s">
        <v>453</v>
      </c>
      <c r="S38" s="6">
        <v>3</v>
      </c>
      <c r="T38" s="6">
        <v>22322828681208.109</v>
      </c>
      <c r="U38" s="6">
        <v>7440942893736.0361</v>
      </c>
      <c r="V38" s="6"/>
      <c r="W38" s="6"/>
      <c r="X38"/>
      <c r="Y38"/>
      <c r="Z38"/>
    </row>
    <row r="39" spans="1:27" ht="13.5" thickBot="1">
      <c r="A39"/>
      <c r="B39"/>
      <c r="C39"/>
      <c r="D39"/>
      <c r="E39"/>
      <c r="F39"/>
      <c r="H39" s="75" t="s">
        <v>111</v>
      </c>
      <c r="I39" s="75">
        <v>4</v>
      </c>
      <c r="J39" s="75">
        <v>221331328802006.75</v>
      </c>
      <c r="K39" s="75"/>
      <c r="L39" s="75"/>
      <c r="M39" s="75"/>
      <c r="N39"/>
      <c r="O39"/>
      <c r="P39"/>
      <c r="R39" s="75" t="s">
        <v>111</v>
      </c>
      <c r="S39" s="75">
        <v>4</v>
      </c>
      <c r="T39" s="75">
        <v>106718288313118.55</v>
      </c>
      <c r="U39" s="75"/>
      <c r="V39" s="75"/>
      <c r="W39" s="75"/>
      <c r="X39"/>
      <c r="Y39"/>
      <c r="Z39"/>
    </row>
    <row r="40" spans="1:27" ht="13.5" thickBot="1">
      <c r="A40"/>
      <c r="B40"/>
      <c r="C40"/>
      <c r="D40"/>
      <c r="E40"/>
      <c r="F40"/>
      <c r="H40"/>
      <c r="I40"/>
      <c r="J40"/>
      <c r="K40"/>
      <c r="L40"/>
      <c r="M40"/>
      <c r="N40"/>
      <c r="O40"/>
      <c r="P40"/>
      <c r="R40"/>
      <c r="S40"/>
      <c r="T40"/>
      <c r="U40"/>
      <c r="V40"/>
      <c r="W40"/>
      <c r="X40"/>
      <c r="Y40"/>
      <c r="Z40"/>
    </row>
    <row r="41" spans="1:27">
      <c r="A41"/>
      <c r="B41"/>
      <c r="C41"/>
      <c r="D41"/>
      <c r="E41"/>
      <c r="F41"/>
      <c r="H41" s="76"/>
      <c r="I41" s="76" t="s">
        <v>203</v>
      </c>
      <c r="J41" s="76" t="s">
        <v>197</v>
      </c>
      <c r="K41" s="76" t="s">
        <v>204</v>
      </c>
      <c r="L41" s="76" t="s">
        <v>205</v>
      </c>
      <c r="M41" s="76" t="s">
        <v>206</v>
      </c>
      <c r="N41" s="76" t="s">
        <v>207</v>
      </c>
      <c r="O41" s="76" t="s">
        <v>208</v>
      </c>
      <c r="P41" s="76" t="s">
        <v>209</v>
      </c>
      <c r="R41" s="76"/>
      <c r="S41" s="76" t="s">
        <v>203</v>
      </c>
      <c r="T41" s="76" t="s">
        <v>197</v>
      </c>
      <c r="U41" s="76" t="s">
        <v>204</v>
      </c>
      <c r="V41" s="76" t="s">
        <v>205</v>
      </c>
      <c r="W41" s="76" t="s">
        <v>206</v>
      </c>
      <c r="X41" s="76" t="s">
        <v>207</v>
      </c>
      <c r="Y41" s="76" t="s">
        <v>208</v>
      </c>
      <c r="Z41" s="76" t="s">
        <v>209</v>
      </c>
    </row>
    <row r="42" spans="1:27">
      <c r="A42"/>
      <c r="B42"/>
      <c r="C42"/>
      <c r="D42"/>
      <c r="E42"/>
      <c r="F42"/>
      <c r="H42" s="6" t="s">
        <v>467</v>
      </c>
      <c r="I42" s="6">
        <v>1372018.3961582016</v>
      </c>
      <c r="J42" s="6">
        <v>2862590.6465013926</v>
      </c>
      <c r="K42" s="6">
        <v>0.47929255893959483</v>
      </c>
      <c r="L42" s="6">
        <v>0.66450032890972144</v>
      </c>
      <c r="M42" s="6">
        <v>-7738022.6292038988</v>
      </c>
      <c r="N42" s="6">
        <v>10482059.421520302</v>
      </c>
      <c r="O42" s="6">
        <v>-7738022.6292038988</v>
      </c>
      <c r="P42" s="6">
        <v>10482059.421520302</v>
      </c>
      <c r="R42" s="6" t="s">
        <v>467</v>
      </c>
      <c r="S42" s="6">
        <v>2421618.5850416953</v>
      </c>
      <c r="T42" s="6">
        <v>1820702.8146090391</v>
      </c>
      <c r="U42" s="6">
        <v>1.3300460490372181</v>
      </c>
      <c r="V42" s="6">
        <v>0.27557949312563879</v>
      </c>
      <c r="W42" s="6">
        <v>-3372670.3596079834</v>
      </c>
      <c r="X42" s="6">
        <v>8215907.5296913739</v>
      </c>
      <c r="Y42" s="6">
        <v>-3372670.3596079834</v>
      </c>
      <c r="Z42" s="6">
        <v>8215907.5296913739</v>
      </c>
    </row>
    <row r="43" spans="1:27" ht="13.5" thickBot="1">
      <c r="A43"/>
      <c r="B43"/>
      <c r="C43"/>
      <c r="D43"/>
      <c r="E43"/>
      <c r="F43"/>
      <c r="H43" s="75" t="s">
        <v>680</v>
      </c>
      <c r="I43" s="75">
        <v>10.324201162990329</v>
      </c>
      <c r="J43" s="75">
        <v>3.435105108126399</v>
      </c>
      <c r="K43" s="75">
        <v>3.0054978925001317</v>
      </c>
      <c r="L43" s="75">
        <v>5.741698289570258E-2</v>
      </c>
      <c r="M43" s="75">
        <v>-0.60783639526457556</v>
      </c>
      <c r="N43" s="75">
        <v>21.256238721245232</v>
      </c>
      <c r="O43" s="75">
        <v>-0.60783639526457556</v>
      </c>
      <c r="P43" s="75">
        <v>21.256238721245232</v>
      </c>
      <c r="R43" s="75" t="s">
        <v>680</v>
      </c>
      <c r="S43" s="75">
        <v>7.3580951842088549</v>
      </c>
      <c r="T43" s="75">
        <v>2.1848410447674458</v>
      </c>
      <c r="U43" s="75">
        <v>3.3677942850034883</v>
      </c>
      <c r="V43" s="75">
        <v>4.3481706187418596E-2</v>
      </c>
      <c r="W43" s="75">
        <v>0.40495587452350712</v>
      </c>
      <c r="X43" s="75">
        <v>14.311234493894203</v>
      </c>
      <c r="Y43" s="75">
        <v>0.40495587452350712</v>
      </c>
      <c r="Z43" s="75">
        <v>14.311234493894203</v>
      </c>
    </row>
    <row r="44" spans="1:27">
      <c r="A44"/>
      <c r="B44"/>
      <c r="C44"/>
      <c r="D44"/>
      <c r="E44"/>
      <c r="F44"/>
      <c r="H44" s="495" t="s">
        <v>789</v>
      </c>
      <c r="I44"/>
      <c r="J44"/>
      <c r="K44"/>
      <c r="L44"/>
      <c r="M44"/>
      <c r="N44"/>
      <c r="O44"/>
      <c r="P44"/>
      <c r="R44" s="495" t="s">
        <v>790</v>
      </c>
      <c r="S44"/>
      <c r="T44"/>
      <c r="U44"/>
      <c r="V44"/>
      <c r="W44"/>
      <c r="X44"/>
      <c r="Y44"/>
      <c r="Z44"/>
      <c r="AA44"/>
    </row>
    <row r="45" spans="1:27">
      <c r="A45"/>
      <c r="B45"/>
      <c r="C45"/>
      <c r="D45"/>
      <c r="E45"/>
      <c r="F45"/>
      <c r="G45" s="495"/>
      <c r="H45"/>
      <c r="I45"/>
      <c r="J45"/>
      <c r="K45"/>
      <c r="L45"/>
      <c r="M45"/>
      <c r="N45"/>
      <c r="O45"/>
      <c r="P45"/>
      <c r="R45"/>
      <c r="S45"/>
      <c r="T45"/>
      <c r="U45"/>
      <c r="V45"/>
      <c r="W45"/>
      <c r="X45"/>
      <c r="Y45"/>
      <c r="Z45"/>
    </row>
    <row r="46" spans="1:27">
      <c r="A46"/>
      <c r="B46"/>
      <c r="C46"/>
      <c r="D46"/>
      <c r="E46"/>
      <c r="F46"/>
      <c r="G46" s="495"/>
      <c r="H46"/>
      <c r="I46"/>
      <c r="J46"/>
      <c r="K46"/>
      <c r="L46"/>
      <c r="M46"/>
      <c r="N46"/>
      <c r="O46"/>
      <c r="P46"/>
      <c r="R46"/>
      <c r="S46"/>
      <c r="T46"/>
      <c r="U46"/>
      <c r="V46"/>
      <c r="W46"/>
      <c r="X46"/>
      <c r="Y46"/>
      <c r="Z46"/>
    </row>
    <row r="47" spans="1:27">
      <c r="A47"/>
      <c r="B47"/>
      <c r="C47"/>
      <c r="D47"/>
      <c r="E47"/>
      <c r="F47"/>
      <c r="H47"/>
      <c r="I47"/>
      <c r="J47"/>
      <c r="K47"/>
      <c r="L47"/>
      <c r="M47"/>
      <c r="N47"/>
      <c r="O47"/>
      <c r="P47"/>
      <c r="R47"/>
      <c r="S47"/>
      <c r="T47"/>
      <c r="U47"/>
      <c r="V47"/>
      <c r="W47"/>
      <c r="X47"/>
      <c r="Y47"/>
      <c r="Z47"/>
    </row>
    <row r="48" spans="1:27">
      <c r="A48" s="57" t="s">
        <v>779</v>
      </c>
      <c r="B48" s="57"/>
      <c r="C48"/>
      <c r="D48"/>
      <c r="E48"/>
      <c r="F48"/>
      <c r="H48" s="497" t="s">
        <v>783</v>
      </c>
      <c r="R48" s="497" t="s">
        <v>785</v>
      </c>
    </row>
    <row r="49" spans="1:26">
      <c r="A49" s="503"/>
      <c r="B49" s="503" t="s">
        <v>722</v>
      </c>
      <c r="C49" s="504" t="s">
        <v>772</v>
      </c>
      <c r="D49" s="340"/>
      <c r="E49" s="340" t="s">
        <v>96</v>
      </c>
      <c r="F49" s="340" t="s">
        <v>96</v>
      </c>
      <c r="H49" t="s">
        <v>459</v>
      </c>
      <c r="I49"/>
      <c r="J49"/>
      <c r="K49"/>
      <c r="L49"/>
      <c r="M49"/>
      <c r="N49"/>
      <c r="O49"/>
      <c r="P49"/>
      <c r="R49" t="s">
        <v>459</v>
      </c>
      <c r="S49"/>
      <c r="T49"/>
      <c r="U49"/>
      <c r="V49"/>
      <c r="W49"/>
      <c r="X49"/>
      <c r="Y49"/>
      <c r="Z49"/>
    </row>
    <row r="50" spans="1:26" ht="13.5" thickBot="1">
      <c r="A50" s="504" t="s">
        <v>777</v>
      </c>
      <c r="B50" s="504" t="s">
        <v>439</v>
      </c>
      <c r="C50" s="504" t="s">
        <v>433</v>
      </c>
      <c r="D50" s="340" t="s">
        <v>210</v>
      </c>
      <c r="E50" s="517" t="s">
        <v>178</v>
      </c>
      <c r="F50" s="517" t="s">
        <v>95</v>
      </c>
      <c r="H50"/>
      <c r="I50"/>
      <c r="J50"/>
      <c r="K50"/>
      <c r="L50"/>
      <c r="M50"/>
      <c r="N50"/>
      <c r="O50"/>
      <c r="P50"/>
      <c r="R50"/>
      <c r="S50"/>
      <c r="T50"/>
      <c r="U50"/>
      <c r="V50"/>
      <c r="W50"/>
      <c r="X50"/>
      <c r="Y50"/>
      <c r="Z50"/>
    </row>
    <row r="51" spans="1:26">
      <c r="A51" s="416" t="s">
        <v>0</v>
      </c>
      <c r="B51" s="416" t="s">
        <v>721</v>
      </c>
      <c r="C51" s="416" t="s">
        <v>439</v>
      </c>
      <c r="D51" s="505" t="s">
        <v>0</v>
      </c>
      <c r="E51" s="506" t="s">
        <v>107</v>
      </c>
      <c r="F51" s="506" t="s">
        <v>107</v>
      </c>
      <c r="H51" s="449" t="s">
        <v>460</v>
      </c>
      <c r="I51" s="449"/>
      <c r="J51"/>
      <c r="K51"/>
      <c r="L51"/>
      <c r="M51"/>
      <c r="N51"/>
      <c r="O51"/>
      <c r="P51"/>
      <c r="R51" s="449" t="s">
        <v>460</v>
      </c>
      <c r="S51" s="449"/>
      <c r="T51"/>
      <c r="U51"/>
      <c r="V51"/>
      <c r="W51"/>
      <c r="X51"/>
      <c r="Y51"/>
      <c r="Z51"/>
    </row>
    <row r="52" spans="1:26">
      <c r="A52">
        <f>A7</f>
        <v>2000</v>
      </c>
      <c r="B52" s="21">
        <v>0</v>
      </c>
      <c r="C52" s="21">
        <f>C7</f>
        <v>4479313.40877055</v>
      </c>
      <c r="D52">
        <f>D7</f>
        <v>2001</v>
      </c>
      <c r="E52" s="21">
        <f>E7</f>
        <v>7547883.6797598703</v>
      </c>
      <c r="F52" s="21">
        <f>F7</f>
        <v>8618400.9436424747</v>
      </c>
      <c r="H52" s="6" t="s">
        <v>461</v>
      </c>
      <c r="I52" s="6">
        <v>0.97065540614357104</v>
      </c>
      <c r="J52"/>
      <c r="K52"/>
      <c r="L52"/>
      <c r="M52"/>
      <c r="N52"/>
      <c r="O52"/>
      <c r="P52"/>
      <c r="R52" s="6" t="s">
        <v>461</v>
      </c>
      <c r="S52" s="6">
        <v>0.81606938756046288</v>
      </c>
      <c r="T52"/>
      <c r="U52"/>
      <c r="V52"/>
      <c r="W52"/>
      <c r="X52"/>
      <c r="Y52"/>
      <c r="Z52"/>
    </row>
    <row r="53" spans="1:26">
      <c r="A53">
        <f>A9</f>
        <v>2002</v>
      </c>
      <c r="B53" s="21">
        <v>0</v>
      </c>
      <c r="C53" s="21">
        <f>C9</f>
        <v>125377.02233912013</v>
      </c>
      <c r="D53">
        <f>D9</f>
        <v>2003</v>
      </c>
      <c r="E53" s="21">
        <f>E9</f>
        <v>4849224.7879999997</v>
      </c>
      <c r="F53" s="21">
        <f>F9</f>
        <v>1412283.8800000001</v>
      </c>
      <c r="H53" s="6" t="s">
        <v>462</v>
      </c>
      <c r="I53" s="6">
        <v>0.94217191747574092</v>
      </c>
      <c r="J53"/>
      <c r="K53"/>
      <c r="L53"/>
      <c r="M53"/>
      <c r="N53"/>
      <c r="O53"/>
      <c r="P53"/>
      <c r="R53" s="6" t="s">
        <v>462</v>
      </c>
      <c r="S53" s="6">
        <v>0.66596924531330903</v>
      </c>
      <c r="T53"/>
      <c r="U53"/>
      <c r="V53"/>
      <c r="W53"/>
      <c r="X53"/>
      <c r="Y53"/>
      <c r="Z53"/>
    </row>
    <row r="54" spans="1:26">
      <c r="A54">
        <f>A11</f>
        <v>2004</v>
      </c>
      <c r="B54" s="21">
        <v>0</v>
      </c>
      <c r="C54" s="21">
        <f>C11</f>
        <v>1145669.1190617357</v>
      </c>
      <c r="D54">
        <f>D11</f>
        <v>2005</v>
      </c>
      <c r="E54" s="21">
        <f>E11</f>
        <v>4019714.8800000004</v>
      </c>
      <c r="F54" s="21">
        <f>F11</f>
        <v>4261532.12</v>
      </c>
      <c r="H54" s="6" t="s">
        <v>463</v>
      </c>
      <c r="I54" s="6">
        <v>0.92289588996765459</v>
      </c>
      <c r="J54"/>
      <c r="K54"/>
      <c r="L54"/>
      <c r="M54"/>
      <c r="N54"/>
      <c r="O54"/>
      <c r="P54"/>
      <c r="R54" s="6" t="s">
        <v>463</v>
      </c>
      <c r="S54" s="6">
        <v>0.55462566041774541</v>
      </c>
      <c r="T54"/>
      <c r="U54"/>
      <c r="V54"/>
      <c r="W54"/>
      <c r="X54"/>
      <c r="Y54"/>
      <c r="Z54"/>
    </row>
    <row r="55" spans="1:26">
      <c r="A55">
        <f>A13</f>
        <v>2006</v>
      </c>
      <c r="B55" s="21">
        <v>0</v>
      </c>
      <c r="C55" s="21">
        <f>C13</f>
        <v>361153.40961790271</v>
      </c>
      <c r="D55">
        <f>D13</f>
        <v>2007</v>
      </c>
      <c r="E55" s="21">
        <f>E13</f>
        <v>2310171.0400000005</v>
      </c>
      <c r="F55" s="21">
        <f>F13</f>
        <v>1442069.35</v>
      </c>
      <c r="H55" s="6" t="s">
        <v>197</v>
      </c>
      <c r="I55" s="6">
        <v>941486.16158989992</v>
      </c>
      <c r="J55"/>
      <c r="K55"/>
      <c r="L55"/>
      <c r="M55"/>
      <c r="N55"/>
      <c r="O55"/>
      <c r="P55"/>
      <c r="R55" s="6" t="s">
        <v>197</v>
      </c>
      <c r="S55" s="6">
        <v>1752156.5691122531</v>
      </c>
      <c r="T55"/>
      <c r="U55"/>
      <c r="V55"/>
      <c r="W55"/>
      <c r="X55"/>
      <c r="Y55"/>
      <c r="Z55"/>
    </row>
    <row r="56" spans="1:26" ht="13.5" thickBot="1">
      <c r="A56">
        <f>A15</f>
        <v>2008</v>
      </c>
      <c r="B56" s="21">
        <v>0</v>
      </c>
      <c r="C56" s="21">
        <f>C15</f>
        <v>83505.817041584509</v>
      </c>
      <c r="D56">
        <f>D15</f>
        <v>2009</v>
      </c>
      <c r="E56" s="21">
        <f>E15</f>
        <v>609381.82499999995</v>
      </c>
      <c r="F56" s="21">
        <f>F15</f>
        <v>164499.79499999998</v>
      </c>
      <c r="H56" s="75" t="s">
        <v>464</v>
      </c>
      <c r="I56" s="75">
        <v>5</v>
      </c>
      <c r="J56"/>
      <c r="K56"/>
      <c r="L56"/>
      <c r="M56"/>
      <c r="N56"/>
      <c r="O56"/>
      <c r="P56"/>
      <c r="R56" s="75" t="s">
        <v>464</v>
      </c>
      <c r="S56" s="75">
        <v>5</v>
      </c>
      <c r="T56"/>
      <c r="U56"/>
      <c r="V56"/>
      <c r="W56"/>
      <c r="X56"/>
      <c r="Y56"/>
      <c r="Z56"/>
    </row>
    <row r="57" spans="1:26">
      <c r="A57"/>
      <c r="B57"/>
      <c r="C57"/>
      <c r="D57"/>
      <c r="E57"/>
      <c r="F57"/>
      <c r="H57"/>
      <c r="I57"/>
      <c r="J57"/>
      <c r="K57"/>
      <c r="L57"/>
      <c r="M57"/>
      <c r="N57"/>
      <c r="O57"/>
      <c r="P57"/>
      <c r="R57"/>
      <c r="S57"/>
      <c r="T57"/>
      <c r="U57"/>
      <c r="V57"/>
      <c r="W57"/>
      <c r="X57"/>
      <c r="Y57"/>
      <c r="Z57"/>
    </row>
    <row r="58" spans="1:26" ht="13.5" thickBot="1">
      <c r="A58"/>
      <c r="B58"/>
      <c r="C58"/>
      <c r="D58"/>
      <c r="E58"/>
      <c r="F58"/>
      <c r="H58" t="s">
        <v>465</v>
      </c>
      <c r="I58"/>
      <c r="J58"/>
      <c r="K58"/>
      <c r="L58"/>
      <c r="M58"/>
      <c r="N58"/>
      <c r="O58"/>
      <c r="P58"/>
      <c r="R58" t="s">
        <v>465</v>
      </c>
      <c r="S58"/>
      <c r="T58"/>
      <c r="U58"/>
      <c r="V58"/>
      <c r="W58"/>
      <c r="X58"/>
      <c r="Y58"/>
      <c r="Z58"/>
    </row>
    <row r="59" spans="1:26">
      <c r="A59"/>
      <c r="B59"/>
      <c r="C59"/>
      <c r="D59"/>
      <c r="E59"/>
      <c r="F59"/>
      <c r="H59" s="76"/>
      <c r="I59" s="76" t="s">
        <v>198</v>
      </c>
      <c r="J59" s="76" t="s">
        <v>199</v>
      </c>
      <c r="K59" s="76" t="s">
        <v>200</v>
      </c>
      <c r="L59" s="76" t="s">
        <v>201</v>
      </c>
      <c r="M59" s="76" t="s">
        <v>202</v>
      </c>
      <c r="N59"/>
      <c r="O59"/>
      <c r="P59"/>
      <c r="R59" s="76"/>
      <c r="S59" s="76" t="s">
        <v>198</v>
      </c>
      <c r="T59" s="76" t="s">
        <v>199</v>
      </c>
      <c r="U59" s="76" t="s">
        <v>200</v>
      </c>
      <c r="V59" s="76" t="s">
        <v>201</v>
      </c>
      <c r="W59" s="76" t="s">
        <v>202</v>
      </c>
      <c r="X59"/>
      <c r="Y59"/>
      <c r="Z59"/>
    </row>
    <row r="60" spans="1:26">
      <c r="A60"/>
      <c r="B60"/>
      <c r="C60"/>
      <c r="D60"/>
      <c r="E60"/>
      <c r="F60"/>
      <c r="H60" s="6" t="s">
        <v>466</v>
      </c>
      <c r="I60" s="6">
        <v>1</v>
      </c>
      <c r="J60" s="6">
        <v>43325192389763.367</v>
      </c>
      <c r="K60" s="6">
        <v>43325192389763.367</v>
      </c>
      <c r="L60" s="6">
        <v>48.877908950923491</v>
      </c>
      <c r="M60" s="450">
        <v>6.0076566434606737E-3</v>
      </c>
      <c r="N60"/>
      <c r="O60"/>
      <c r="P60"/>
      <c r="R60" s="6" t="s">
        <v>466</v>
      </c>
      <c r="S60" s="6">
        <v>1</v>
      </c>
      <c r="T60" s="6">
        <v>18362626310600.656</v>
      </c>
      <c r="U60" s="6">
        <v>18362626310600.656</v>
      </c>
      <c r="V60" s="6">
        <v>5.9812089393202532</v>
      </c>
      <c r="W60" s="6">
        <v>9.2035309575616189E-2</v>
      </c>
      <c r="X60"/>
      <c r="Y60"/>
      <c r="Z60"/>
    </row>
    <row r="61" spans="1:26">
      <c r="A61"/>
      <c r="B61"/>
      <c r="C61"/>
      <c r="D61"/>
      <c r="E61"/>
      <c r="F61"/>
      <c r="H61" s="6" t="s">
        <v>453</v>
      </c>
      <c r="I61" s="6">
        <v>3</v>
      </c>
      <c r="J61" s="6">
        <v>2659188577395.8496</v>
      </c>
      <c r="K61" s="6">
        <v>886396192465.2832</v>
      </c>
      <c r="L61" s="6"/>
      <c r="M61" s="6"/>
      <c r="N61"/>
      <c r="O61"/>
      <c r="P61"/>
      <c r="R61" s="6" t="s">
        <v>453</v>
      </c>
      <c r="S61" s="6">
        <v>3</v>
      </c>
      <c r="T61" s="6">
        <v>9210157928049.666</v>
      </c>
      <c r="U61" s="6">
        <v>3070052642683.2222</v>
      </c>
      <c r="V61" s="6"/>
      <c r="W61" s="6"/>
      <c r="X61"/>
      <c r="Y61"/>
      <c r="Z61"/>
    </row>
    <row r="62" spans="1:26" ht="13.5" thickBot="1">
      <c r="A62"/>
      <c r="B62"/>
      <c r="C62"/>
      <c r="D62"/>
      <c r="E62"/>
      <c r="F62"/>
      <c r="H62" s="75" t="s">
        <v>111</v>
      </c>
      <c r="I62" s="75">
        <v>4</v>
      </c>
      <c r="J62" s="75">
        <v>45984380967159.219</v>
      </c>
      <c r="K62" s="75"/>
      <c r="L62" s="75"/>
      <c r="M62" s="75"/>
      <c r="N62"/>
      <c r="O62"/>
      <c r="P62"/>
      <c r="R62" s="75" t="s">
        <v>111</v>
      </c>
      <c r="S62" s="75">
        <v>4</v>
      </c>
      <c r="T62" s="75">
        <v>27572784238650.32</v>
      </c>
      <c r="U62" s="75"/>
      <c r="V62" s="75"/>
      <c r="W62" s="75"/>
      <c r="X62"/>
      <c r="Y62"/>
      <c r="Z62"/>
    </row>
    <row r="63" spans="1:26" ht="13.5" thickBot="1">
      <c r="A63"/>
      <c r="B63"/>
      <c r="C63"/>
      <c r="D63"/>
      <c r="E63"/>
      <c r="F63"/>
      <c r="H63"/>
      <c r="I63"/>
      <c r="J63"/>
      <c r="K63"/>
      <c r="L63"/>
      <c r="M63"/>
      <c r="N63"/>
      <c r="O63"/>
      <c r="P63"/>
      <c r="R63"/>
      <c r="S63"/>
      <c r="T63"/>
      <c r="U63"/>
      <c r="V63"/>
      <c r="W63"/>
      <c r="X63"/>
      <c r="Y63"/>
      <c r="Z63"/>
    </row>
    <row r="64" spans="1:26">
      <c r="A64"/>
      <c r="B64"/>
      <c r="C64"/>
      <c r="D64"/>
      <c r="E64"/>
      <c r="F64"/>
      <c r="H64" s="76"/>
      <c r="I64" s="76" t="s">
        <v>203</v>
      </c>
      <c r="J64" s="76" t="s">
        <v>197</v>
      </c>
      <c r="K64" s="76" t="s">
        <v>204</v>
      </c>
      <c r="L64" s="76" t="s">
        <v>205</v>
      </c>
      <c r="M64" s="76" t="s">
        <v>206</v>
      </c>
      <c r="N64" s="76" t="s">
        <v>207</v>
      </c>
      <c r="O64" s="76" t="s">
        <v>208</v>
      </c>
      <c r="P64" s="76" t="s">
        <v>209</v>
      </c>
      <c r="R64" s="76"/>
      <c r="S64" s="76" t="s">
        <v>203</v>
      </c>
      <c r="T64" s="76" t="s">
        <v>197</v>
      </c>
      <c r="U64" s="76" t="s">
        <v>204</v>
      </c>
      <c r="V64" s="76" t="s">
        <v>205</v>
      </c>
      <c r="W64" s="76" t="s">
        <v>206</v>
      </c>
      <c r="X64" s="76" t="s">
        <v>207</v>
      </c>
      <c r="Y64" s="76" t="s">
        <v>208</v>
      </c>
      <c r="Z64" s="76" t="s">
        <v>209</v>
      </c>
    </row>
    <row r="65" spans="1:27">
      <c r="A65"/>
      <c r="B65"/>
      <c r="C65"/>
      <c r="D65"/>
      <c r="E65"/>
      <c r="F65"/>
      <c r="H65" s="6" t="s">
        <v>467</v>
      </c>
      <c r="I65" s="6">
        <v>988714.19883088395</v>
      </c>
      <c r="J65" s="6">
        <v>524877.8999539949</v>
      </c>
      <c r="K65" s="6">
        <v>1.8837032363480037</v>
      </c>
      <c r="L65" s="6">
        <v>0.15612250200621261</v>
      </c>
      <c r="M65" s="6">
        <v>-681681.53439449263</v>
      </c>
      <c r="N65" s="6">
        <v>2659109.9320562603</v>
      </c>
      <c r="O65" s="6">
        <v>-681681.53439449263</v>
      </c>
      <c r="P65" s="6">
        <v>2659109.9320562603</v>
      </c>
      <c r="R65" s="6" t="s">
        <v>467</v>
      </c>
      <c r="S65" s="6">
        <v>2440853.1628262317</v>
      </c>
      <c r="T65" s="6">
        <v>976826.10526444763</v>
      </c>
      <c r="U65" s="6">
        <v>2.4987591442035026</v>
      </c>
      <c r="V65" s="6">
        <v>8.7802658039819889E-2</v>
      </c>
      <c r="W65" s="6">
        <v>-667843.46638965188</v>
      </c>
      <c r="X65" s="6">
        <v>5549549.7920421157</v>
      </c>
      <c r="Y65" s="6">
        <v>-667843.46638965188</v>
      </c>
      <c r="Z65" s="6">
        <v>5549549.7920421157</v>
      </c>
    </row>
    <row r="66" spans="1:27" ht="13.5" thickBot="1">
      <c r="A66"/>
      <c r="B66"/>
      <c r="C66"/>
      <c r="D66"/>
      <c r="E66"/>
      <c r="F66"/>
      <c r="H66" s="75" t="s">
        <v>680</v>
      </c>
      <c r="I66" s="75">
        <v>1.7683909426489701</v>
      </c>
      <c r="J66" s="75">
        <v>0.25294259678488107</v>
      </c>
      <c r="K66" s="75">
        <v>6.9912737717045159</v>
      </c>
      <c r="L66" s="75">
        <v>6.0076566434606737E-3</v>
      </c>
      <c r="M66" s="75">
        <v>0.96341471016243341</v>
      </c>
      <c r="N66" s="75">
        <v>2.5733671751355067</v>
      </c>
      <c r="O66" s="75">
        <v>0.96341471016243341</v>
      </c>
      <c r="P66" s="75">
        <v>2.5733671751355067</v>
      </c>
      <c r="R66" s="75" t="s">
        <v>680</v>
      </c>
      <c r="S66" s="75">
        <v>1.1512653400345614</v>
      </c>
      <c r="T66" s="75">
        <v>0.47073982671876136</v>
      </c>
      <c r="U66" s="75">
        <v>2.445651025661725</v>
      </c>
      <c r="V66" s="75">
        <v>9.2035309575616286E-2</v>
      </c>
      <c r="W66" s="75">
        <v>-0.34683888206965086</v>
      </c>
      <c r="X66" s="75">
        <v>2.6493695621387738</v>
      </c>
      <c r="Y66" s="75">
        <v>-0.34683888206965086</v>
      </c>
      <c r="Z66" s="75">
        <v>2.6493695621387738</v>
      </c>
    </row>
    <row r="67" spans="1:27">
      <c r="A67"/>
      <c r="B67"/>
      <c r="C67"/>
      <c r="D67"/>
      <c r="E67"/>
      <c r="F67"/>
      <c r="H67" s="495" t="s">
        <v>791</v>
      </c>
      <c r="I67"/>
      <c r="J67"/>
      <c r="K67"/>
      <c r="L67"/>
      <c r="M67"/>
      <c r="N67"/>
      <c r="O67"/>
      <c r="P67"/>
      <c r="R67" s="495" t="s">
        <v>792</v>
      </c>
      <c r="S67"/>
      <c r="T67"/>
      <c r="U67"/>
      <c r="V67"/>
      <c r="W67"/>
      <c r="X67"/>
      <c r="Y67"/>
      <c r="Z67"/>
      <c r="AA67"/>
    </row>
    <row r="68" spans="1:27">
      <c r="A68"/>
      <c r="B68"/>
      <c r="C68"/>
      <c r="D68"/>
      <c r="E68"/>
      <c r="F68"/>
      <c r="H68"/>
      <c r="I68"/>
      <c r="J68"/>
      <c r="K68"/>
      <c r="L68"/>
      <c r="M68"/>
      <c r="N68"/>
      <c r="O68"/>
      <c r="P68"/>
      <c r="R68"/>
      <c r="S68"/>
      <c r="T68"/>
      <c r="U68"/>
      <c r="V68"/>
      <c r="W68"/>
      <c r="X68"/>
      <c r="Y68"/>
      <c r="Z68"/>
    </row>
    <row r="69" spans="1:27">
      <c r="A69"/>
      <c r="B69"/>
      <c r="C69"/>
      <c r="D69"/>
      <c r="E69"/>
      <c r="F69"/>
      <c r="H69"/>
      <c r="I69"/>
      <c r="J69"/>
      <c r="K69"/>
      <c r="L69"/>
      <c r="M69"/>
      <c r="N69"/>
      <c r="O69"/>
      <c r="P69"/>
      <c r="R69"/>
      <c r="S69"/>
      <c r="T69"/>
      <c r="U69"/>
      <c r="V69"/>
      <c r="W69"/>
      <c r="X69"/>
      <c r="Y69"/>
      <c r="Z69"/>
    </row>
    <row r="70" spans="1:27">
      <c r="A70"/>
      <c r="B70"/>
      <c r="C70"/>
      <c r="D70"/>
      <c r="E70"/>
      <c r="F70"/>
    </row>
    <row r="71" spans="1:27">
      <c r="A71"/>
      <c r="B71"/>
      <c r="C71"/>
      <c r="D71"/>
      <c r="E71"/>
      <c r="F71"/>
      <c r="H71" s="525" t="s">
        <v>726</v>
      </c>
      <c r="I71" s="526"/>
      <c r="J71" s="526"/>
      <c r="K71" s="526"/>
      <c r="L71" s="526"/>
      <c r="M71" s="526"/>
      <c r="N71" s="526"/>
      <c r="O71" s="526"/>
      <c r="R71" s="525" t="s">
        <v>726</v>
      </c>
      <c r="S71" s="526"/>
      <c r="T71" s="526"/>
      <c r="U71" s="526"/>
      <c r="V71" s="526"/>
      <c r="W71" s="526"/>
      <c r="X71" s="526"/>
      <c r="Y71" s="526"/>
    </row>
    <row r="72" spans="1:27">
      <c r="H72" s="45" t="s">
        <v>719</v>
      </c>
      <c r="I72" s="45" t="s">
        <v>718</v>
      </c>
      <c r="J72" s="45">
        <f>(J61+J38)/(I61+I38)</f>
        <v>9640032028244.5664</v>
      </c>
      <c r="K72" s="502"/>
      <c r="L72" s="502"/>
      <c r="R72" s="499" t="s">
        <v>719</v>
      </c>
      <c r="S72" s="499" t="s">
        <v>718</v>
      </c>
      <c r="T72" s="45">
        <f>(T61+T38)/(S61+S38)</f>
        <v>5255497768209.6289</v>
      </c>
      <c r="U72" s="2"/>
      <c r="V72" s="2"/>
      <c r="W72"/>
      <c r="X72"/>
      <c r="Y72"/>
      <c r="Z72"/>
      <c r="AA72"/>
    </row>
    <row r="73" spans="1:27" ht="15">
      <c r="H73" s="45" t="s">
        <v>717</v>
      </c>
      <c r="I73" s="513" t="s">
        <v>756</v>
      </c>
      <c r="J73" s="45">
        <f>VAR(C29:C33)*I39</f>
        <v>1558792399838.9658</v>
      </c>
      <c r="K73" s="502"/>
      <c r="L73" s="502"/>
      <c r="R73" s="499" t="s">
        <v>717</v>
      </c>
      <c r="S73" s="500" t="s">
        <v>716</v>
      </c>
      <c r="T73" s="45">
        <f>VAR(C29:C33)*S39</f>
        <v>1558792399838.9658</v>
      </c>
      <c r="U73" s="2"/>
      <c r="V73" s="2"/>
      <c r="W73"/>
      <c r="X73"/>
      <c r="Y73"/>
      <c r="Z73"/>
      <c r="AA73"/>
    </row>
    <row r="74" spans="1:27" ht="15">
      <c r="H74" s="45" t="s">
        <v>713</v>
      </c>
      <c r="I74" s="513" t="s">
        <v>757</v>
      </c>
      <c r="J74" s="45">
        <f>VAR(C52:C56)*I62</f>
        <v>13854279219794.916</v>
      </c>
      <c r="K74" s="502"/>
      <c r="L74" s="502"/>
      <c r="R74" s="499" t="s">
        <v>713</v>
      </c>
      <c r="S74" s="500" t="s">
        <v>712</v>
      </c>
      <c r="T74" s="45">
        <f>VAR(C52:C56)*S62</f>
        <v>13854279219794.916</v>
      </c>
      <c r="U74" s="2"/>
      <c r="V74" s="2"/>
      <c r="W74"/>
      <c r="X74"/>
      <c r="Y74"/>
      <c r="Z74"/>
      <c r="AA74"/>
    </row>
    <row r="75" spans="1:27">
      <c r="H75" s="45" t="s">
        <v>711</v>
      </c>
      <c r="I75" s="45" t="s">
        <v>710</v>
      </c>
      <c r="J75" s="45">
        <f>I43-I66</f>
        <v>8.5558102203413586</v>
      </c>
      <c r="K75" s="502"/>
      <c r="L75" s="502"/>
      <c r="R75" s="499" t="s">
        <v>711</v>
      </c>
      <c r="S75" s="499" t="s">
        <v>710</v>
      </c>
      <c r="T75" s="45">
        <f>S43-S66</f>
        <v>6.206829844174294</v>
      </c>
      <c r="U75" s="2"/>
      <c r="V75" s="2"/>
      <c r="W75"/>
      <c r="X75"/>
      <c r="Y75"/>
      <c r="Z75"/>
      <c r="AA75"/>
    </row>
    <row r="76" spans="1:27">
      <c r="H76" s="45" t="s">
        <v>709</v>
      </c>
      <c r="I76" s="45" t="s">
        <v>708</v>
      </c>
      <c r="J76" s="45">
        <f>SQRT(J72/J73+J72/J74)</f>
        <v>2.6229966064485004</v>
      </c>
      <c r="K76" s="502"/>
      <c r="L76" s="502"/>
      <c r="R76" s="499" t="s">
        <v>709</v>
      </c>
      <c r="S76" s="499" t="s">
        <v>708</v>
      </c>
      <c r="T76" s="45">
        <f>SQRT(T72/T73+T72/T74)</f>
        <v>1.9367136715083095</v>
      </c>
      <c r="U76" s="2"/>
      <c r="V76" s="2"/>
      <c r="W76"/>
      <c r="X76"/>
      <c r="Y76"/>
      <c r="Z76"/>
      <c r="AA76"/>
    </row>
    <row r="77" spans="1:27">
      <c r="H77" s="45" t="s">
        <v>707</v>
      </c>
      <c r="I77" s="45" t="s">
        <v>446</v>
      </c>
      <c r="J77" s="45">
        <f>ABS(J75)/J76</f>
        <v>3.2618457070464162</v>
      </c>
      <c r="K77" s="502"/>
      <c r="L77" s="502"/>
      <c r="R77" s="499" t="s">
        <v>707</v>
      </c>
      <c r="S77" s="499" t="s">
        <v>446</v>
      </c>
      <c r="T77" s="45">
        <f>ABS(T75)/T76</f>
        <v>3.204825749663049</v>
      </c>
      <c r="U77" s="2"/>
      <c r="V77" s="2"/>
      <c r="W77"/>
      <c r="X77"/>
      <c r="Y77"/>
      <c r="Z77"/>
      <c r="AA77"/>
    </row>
    <row r="78" spans="1:27">
      <c r="H78" s="45" t="s">
        <v>205</v>
      </c>
      <c r="I78" s="45"/>
      <c r="J78" s="514">
        <f>TDIST(J77,I38+I61,2)</f>
        <v>1.7208978172821417E-2</v>
      </c>
      <c r="K78" s="502"/>
      <c r="L78" s="502"/>
      <c r="R78" s="499" t="s">
        <v>205</v>
      </c>
      <c r="S78" s="499"/>
      <c r="T78" s="514">
        <f>TDIST(T77,S38+S61,2)</f>
        <v>1.8487203103259638E-2</v>
      </c>
      <c r="U78" s="2"/>
      <c r="V78" s="2"/>
      <c r="W78"/>
      <c r="X78"/>
      <c r="Y78"/>
      <c r="Z78"/>
      <c r="AA78"/>
    </row>
    <row r="87" spans="1:26">
      <c r="A87" s="57" t="s">
        <v>720</v>
      </c>
      <c r="B87" s="57"/>
      <c r="C87"/>
      <c r="D87"/>
      <c r="E87"/>
      <c r="F87"/>
      <c r="H87" s="497" t="s">
        <v>784</v>
      </c>
      <c r="R87" s="497" t="s">
        <v>773</v>
      </c>
    </row>
    <row r="88" spans="1:26">
      <c r="A88"/>
      <c r="B88"/>
      <c r="C88" s="504"/>
      <c r="D88"/>
      <c r="E88"/>
      <c r="F88"/>
      <c r="H88" t="s">
        <v>459</v>
      </c>
      <c r="I88"/>
      <c r="J88"/>
      <c r="K88"/>
      <c r="L88"/>
      <c r="M88"/>
      <c r="N88"/>
      <c r="O88"/>
      <c r="P88"/>
      <c r="R88" t="s">
        <v>459</v>
      </c>
      <c r="S88"/>
      <c r="T88"/>
      <c r="U88"/>
      <c r="V88"/>
      <c r="W88"/>
      <c r="X88"/>
      <c r="Y88"/>
      <c r="Z88"/>
    </row>
    <row r="89" spans="1:26" ht="13.5" thickBot="1">
      <c r="A89" s="416" t="s">
        <v>0</v>
      </c>
      <c r="B89" s="519" t="s">
        <v>715</v>
      </c>
      <c r="C89" s="131" t="s">
        <v>714</v>
      </c>
      <c r="D89" s="54"/>
      <c r="E89" s="54"/>
      <c r="F89" s="543"/>
      <c r="H89"/>
      <c r="I89"/>
      <c r="J89"/>
      <c r="K89"/>
      <c r="L89"/>
      <c r="M89"/>
      <c r="N89"/>
      <c r="O89"/>
      <c r="P89"/>
      <c r="R89"/>
      <c r="S89"/>
      <c r="T89"/>
      <c r="U89"/>
      <c r="V89"/>
      <c r="W89"/>
      <c r="X89"/>
      <c r="Y89"/>
      <c r="Z89"/>
    </row>
    <row r="90" spans="1:26">
      <c r="A90">
        <v>1999</v>
      </c>
      <c r="B90" s="48">
        <v>3.6</v>
      </c>
      <c r="C90" s="498" t="s">
        <v>706</v>
      </c>
      <c r="E90"/>
      <c r="F90"/>
      <c r="H90" s="449" t="s">
        <v>460</v>
      </c>
      <c r="I90" s="449"/>
      <c r="J90"/>
      <c r="K90"/>
      <c r="L90"/>
      <c r="M90"/>
      <c r="N90"/>
      <c r="O90"/>
      <c r="P90"/>
      <c r="R90" s="449" t="s">
        <v>460</v>
      </c>
      <c r="S90" s="449"/>
      <c r="T90"/>
      <c r="U90"/>
      <c r="V90"/>
      <c r="W90"/>
      <c r="X90"/>
      <c r="Y90"/>
      <c r="Z90"/>
    </row>
    <row r="91" spans="1:26">
      <c r="A91">
        <v>2000</v>
      </c>
      <c r="B91" s="48">
        <v>0</v>
      </c>
      <c r="C91"/>
      <c r="E91"/>
      <c r="F91"/>
      <c r="H91" s="6" t="s">
        <v>461</v>
      </c>
      <c r="I91" s="6">
        <v>0.74706573772325791</v>
      </c>
      <c r="J91"/>
      <c r="K91"/>
      <c r="L91"/>
      <c r="M91"/>
      <c r="N91"/>
      <c r="O91"/>
      <c r="P91"/>
      <c r="R91" s="6" t="s">
        <v>461</v>
      </c>
      <c r="S91" s="6">
        <v>0.66706998227741976</v>
      </c>
      <c r="T91"/>
      <c r="U91"/>
      <c r="V91"/>
      <c r="W91"/>
      <c r="X91"/>
      <c r="Y91"/>
      <c r="Z91"/>
    </row>
    <row r="92" spans="1:26">
      <c r="A92">
        <v>2001</v>
      </c>
      <c r="B92" s="48">
        <v>21</v>
      </c>
      <c r="C92" s="498" t="s">
        <v>706</v>
      </c>
      <c r="E92"/>
      <c r="F92"/>
      <c r="H92" s="6" t="s">
        <v>462</v>
      </c>
      <c r="I92" s="6">
        <v>0.55810721647999562</v>
      </c>
      <c r="J92"/>
      <c r="K92"/>
      <c r="L92"/>
      <c r="M92"/>
      <c r="N92"/>
      <c r="O92"/>
      <c r="P92"/>
      <c r="R92" s="6" t="s">
        <v>462</v>
      </c>
      <c r="S92" s="6">
        <v>0.44498236125559715</v>
      </c>
      <c r="T92"/>
      <c r="U92"/>
      <c r="V92"/>
      <c r="W92"/>
      <c r="X92"/>
      <c r="Y92"/>
      <c r="Z92"/>
    </row>
    <row r="93" spans="1:26">
      <c r="A93">
        <v>2002</v>
      </c>
      <c r="B93" s="48">
        <v>0</v>
      </c>
      <c r="C93"/>
      <c r="E93"/>
      <c r="F93"/>
      <c r="H93" s="6" t="s">
        <v>463</v>
      </c>
      <c r="I93" s="6">
        <v>0.43185213547428003</v>
      </c>
      <c r="J93"/>
      <c r="K93"/>
      <c r="L93"/>
      <c r="M93"/>
      <c r="N93"/>
      <c r="O93"/>
      <c r="P93"/>
      <c r="R93" s="6" t="s">
        <v>463</v>
      </c>
      <c r="S93" s="6">
        <v>0.28640589304291059</v>
      </c>
      <c r="T93"/>
      <c r="U93"/>
      <c r="V93"/>
      <c r="W93"/>
      <c r="X93"/>
      <c r="Y93"/>
      <c r="Z93"/>
    </row>
    <row r="94" spans="1:26">
      <c r="A94">
        <v>2003</v>
      </c>
      <c r="B94" s="48">
        <v>26</v>
      </c>
      <c r="C94" s="498" t="s">
        <v>706</v>
      </c>
      <c r="E94"/>
      <c r="F94"/>
      <c r="H94" s="6" t="s">
        <v>197</v>
      </c>
      <c r="I94" s="6">
        <v>4492660.3081232365</v>
      </c>
      <c r="J94"/>
      <c r="K94"/>
      <c r="L94"/>
      <c r="M94"/>
      <c r="N94"/>
      <c r="O94"/>
      <c r="P94"/>
      <c r="R94" s="6" t="s">
        <v>197</v>
      </c>
      <c r="S94" s="6">
        <v>3544039.4000493297</v>
      </c>
      <c r="T94"/>
      <c r="U94"/>
      <c r="V94"/>
      <c r="W94"/>
      <c r="X94"/>
      <c r="Y94"/>
      <c r="Z94"/>
    </row>
    <row r="95" spans="1:26" ht="13.5" thickBot="1">
      <c r="A95">
        <v>2004</v>
      </c>
      <c r="B95" s="48">
        <v>0</v>
      </c>
      <c r="C95"/>
      <c r="E95"/>
      <c r="F95"/>
      <c r="H95" s="75" t="s">
        <v>464</v>
      </c>
      <c r="I95" s="75">
        <v>10</v>
      </c>
      <c r="J95"/>
      <c r="K95"/>
      <c r="L95"/>
      <c r="M95"/>
      <c r="N95"/>
      <c r="O95"/>
      <c r="P95"/>
      <c r="R95" s="75" t="s">
        <v>464</v>
      </c>
      <c r="S95" s="75">
        <v>10</v>
      </c>
      <c r="T95"/>
      <c r="U95"/>
      <c r="V95"/>
      <c r="W95"/>
      <c r="X95"/>
      <c r="Y95"/>
      <c r="Z95"/>
    </row>
    <row r="96" spans="1:26">
      <c r="A96">
        <v>2005</v>
      </c>
      <c r="B96" s="48">
        <v>10</v>
      </c>
      <c r="C96" s="498" t="s">
        <v>706</v>
      </c>
      <c r="E96"/>
      <c r="F96"/>
      <c r="H96"/>
      <c r="I96"/>
      <c r="J96"/>
      <c r="K96"/>
      <c r="L96"/>
      <c r="M96"/>
      <c r="N96"/>
      <c r="O96"/>
      <c r="P96"/>
      <c r="R96"/>
      <c r="S96"/>
      <c r="T96"/>
      <c r="U96"/>
      <c r="V96"/>
      <c r="W96"/>
      <c r="X96"/>
      <c r="Y96"/>
      <c r="Z96"/>
    </row>
    <row r="97" spans="1:27" ht="13.5" thickBot="1">
      <c r="A97">
        <v>2006</v>
      </c>
      <c r="B97" s="48">
        <v>0</v>
      </c>
      <c r="C97"/>
      <c r="E97"/>
      <c r="F97"/>
      <c r="H97" t="s">
        <v>465</v>
      </c>
      <c r="I97"/>
      <c r="J97"/>
      <c r="K97"/>
      <c r="L97"/>
      <c r="M97"/>
      <c r="N97"/>
      <c r="O97"/>
      <c r="P97"/>
      <c r="R97" t="s">
        <v>465</v>
      </c>
      <c r="S97"/>
      <c r="T97"/>
      <c r="U97"/>
      <c r="V97"/>
      <c r="W97"/>
      <c r="X97"/>
      <c r="Y97"/>
      <c r="Z97"/>
    </row>
    <row r="98" spans="1:27">
      <c r="A98">
        <v>2007</v>
      </c>
      <c r="B98" s="48">
        <v>10.5</v>
      </c>
      <c r="C98" s="118" t="s">
        <v>705</v>
      </c>
      <c r="E98"/>
      <c r="F98"/>
      <c r="H98" s="76"/>
      <c r="I98" s="76" t="s">
        <v>198</v>
      </c>
      <c r="J98" s="76" t="s">
        <v>199</v>
      </c>
      <c r="K98" s="76" t="s">
        <v>200</v>
      </c>
      <c r="L98" s="76" t="s">
        <v>201</v>
      </c>
      <c r="M98" s="76" t="s">
        <v>202</v>
      </c>
      <c r="N98"/>
      <c r="O98"/>
      <c r="P98"/>
      <c r="R98" s="76"/>
      <c r="S98" s="76" t="s">
        <v>198</v>
      </c>
      <c r="T98" s="76" t="s">
        <v>199</v>
      </c>
      <c r="U98" s="76" t="s">
        <v>200</v>
      </c>
      <c r="V98" s="76" t="s">
        <v>201</v>
      </c>
      <c r="W98" s="76" t="s">
        <v>202</v>
      </c>
      <c r="X98"/>
      <c r="Y98"/>
      <c r="Z98"/>
    </row>
    <row r="99" spans="1:27">
      <c r="A99">
        <v>2008</v>
      </c>
      <c r="B99" s="48">
        <v>0</v>
      </c>
      <c r="C99"/>
      <c r="E99"/>
      <c r="F99"/>
      <c r="H99" s="6" t="s">
        <v>466</v>
      </c>
      <c r="I99" s="6">
        <v>2</v>
      </c>
      <c r="J99" s="6">
        <v>178445637114885.69</v>
      </c>
      <c r="K99" s="6">
        <v>89222818557442.844</v>
      </c>
      <c r="L99" s="6">
        <v>4.4204733150876541</v>
      </c>
      <c r="M99" s="6">
        <v>5.7360005235855716E-2</v>
      </c>
      <c r="N99"/>
      <c r="O99"/>
      <c r="P99"/>
      <c r="R99" s="6" t="s">
        <v>466</v>
      </c>
      <c r="S99" s="6">
        <v>2</v>
      </c>
      <c r="T99" s="6">
        <v>70490588059098.656</v>
      </c>
      <c r="U99" s="6">
        <v>35245294029549.328</v>
      </c>
      <c r="V99" s="6">
        <v>2.8061058886667611</v>
      </c>
      <c r="W99" s="6">
        <v>0.12737193573714803</v>
      </c>
      <c r="X99"/>
      <c r="Y99"/>
      <c r="Z99"/>
    </row>
    <row r="100" spans="1:27">
      <c r="A100">
        <v>2009</v>
      </c>
      <c r="B100" s="48">
        <v>19.3</v>
      </c>
      <c r="C100" s="118" t="s">
        <v>705</v>
      </c>
      <c r="E100"/>
      <c r="F100"/>
      <c r="H100" s="6" t="s">
        <v>453</v>
      </c>
      <c r="I100" s="6">
        <v>7</v>
      </c>
      <c r="J100" s="6">
        <v>141287976509301.81</v>
      </c>
      <c r="K100" s="6">
        <v>20183996644185.973</v>
      </c>
      <c r="L100" s="6"/>
      <c r="M100" s="6"/>
      <c r="N100"/>
      <c r="O100"/>
      <c r="P100"/>
      <c r="R100" s="6" t="s">
        <v>453</v>
      </c>
      <c r="S100" s="6">
        <v>7</v>
      </c>
      <c r="T100" s="6">
        <v>87921506883714.094</v>
      </c>
      <c r="U100" s="6">
        <v>12560215269102.014</v>
      </c>
      <c r="V100" s="6"/>
      <c r="W100" s="6"/>
      <c r="X100"/>
      <c r="Y100"/>
      <c r="Z100"/>
    </row>
    <row r="101" spans="1:27" ht="13.5" thickBot="1">
      <c r="A101">
        <v>2010</v>
      </c>
      <c r="B101" s="48">
        <v>0</v>
      </c>
      <c r="C101"/>
      <c r="E101"/>
      <c r="F101"/>
      <c r="H101" s="75" t="s">
        <v>111</v>
      </c>
      <c r="I101" s="75">
        <v>9</v>
      </c>
      <c r="J101" s="75">
        <v>319733613624187.5</v>
      </c>
      <c r="K101" s="75"/>
      <c r="L101" s="75"/>
      <c r="M101" s="75"/>
      <c r="N101"/>
      <c r="O101"/>
      <c r="P101"/>
      <c r="R101" s="75" t="s">
        <v>111</v>
      </c>
      <c r="S101" s="75">
        <v>9</v>
      </c>
      <c r="T101" s="75">
        <v>158412094942812.75</v>
      </c>
      <c r="U101" s="75"/>
      <c r="V101" s="75"/>
      <c r="W101" s="75"/>
      <c r="X101"/>
      <c r="Y101"/>
      <c r="Z101"/>
    </row>
    <row r="102" spans="1:27" ht="13.5" thickBot="1">
      <c r="H102"/>
      <c r="I102"/>
      <c r="J102"/>
      <c r="K102"/>
      <c r="L102"/>
      <c r="M102"/>
      <c r="N102"/>
      <c r="O102"/>
      <c r="P102"/>
      <c r="R102"/>
      <c r="S102"/>
      <c r="T102"/>
      <c r="U102"/>
      <c r="V102"/>
      <c r="W102"/>
      <c r="X102"/>
      <c r="Y102"/>
      <c r="Z102"/>
    </row>
    <row r="103" spans="1:27">
      <c r="H103" s="76"/>
      <c r="I103" s="76" t="s">
        <v>203</v>
      </c>
      <c r="J103" s="76" t="s">
        <v>197</v>
      </c>
      <c r="K103" s="76" t="s">
        <v>204</v>
      </c>
      <c r="L103" s="76" t="s">
        <v>205</v>
      </c>
      <c r="M103" s="76" t="s">
        <v>206</v>
      </c>
      <c r="N103" s="76" t="s">
        <v>207</v>
      </c>
      <c r="O103" s="76" t="s">
        <v>208</v>
      </c>
      <c r="P103" s="76" t="s">
        <v>209</v>
      </c>
      <c r="R103" s="76"/>
      <c r="S103" s="76" t="s">
        <v>203</v>
      </c>
      <c r="T103" s="76" t="s">
        <v>197</v>
      </c>
      <c r="U103" s="76" t="s">
        <v>204</v>
      </c>
      <c r="V103" s="76" t="s">
        <v>205</v>
      </c>
      <c r="W103" s="76" t="s">
        <v>206</v>
      </c>
      <c r="X103" s="76" t="s">
        <v>207</v>
      </c>
      <c r="Y103" s="76" t="s">
        <v>208</v>
      </c>
      <c r="Z103" s="76" t="s">
        <v>209</v>
      </c>
    </row>
    <row r="104" spans="1:27">
      <c r="H104" s="6" t="s">
        <v>467</v>
      </c>
      <c r="I104" s="6">
        <v>604875.27533513773</v>
      </c>
      <c r="J104" s="6">
        <v>2166871.387782231</v>
      </c>
      <c r="K104" s="6">
        <v>0.27914682834693799</v>
      </c>
      <c r="L104" s="6">
        <v>0.78819949452785831</v>
      </c>
      <c r="M104" s="6">
        <v>-4518961.3569029318</v>
      </c>
      <c r="N104" s="6">
        <v>5728711.9075732073</v>
      </c>
      <c r="O104" s="6">
        <v>-4518961.3569029318</v>
      </c>
      <c r="P104" s="6">
        <v>5728711.9075732073</v>
      </c>
      <c r="R104" s="6" t="s">
        <v>467</v>
      </c>
      <c r="S104" s="6">
        <v>2365997.5040999288</v>
      </c>
      <c r="T104" s="6">
        <v>1709338.5759111221</v>
      </c>
      <c r="U104" s="6">
        <v>1.384159661194559</v>
      </c>
      <c r="V104" s="6">
        <v>0.20882987661134056</v>
      </c>
      <c r="W104" s="6">
        <v>-1675945.9455826841</v>
      </c>
      <c r="X104" s="6">
        <v>6407940.9537825417</v>
      </c>
      <c r="Y104" s="6">
        <v>-1675945.9455826841</v>
      </c>
      <c r="Z104" s="6">
        <v>6407940.9537825417</v>
      </c>
    </row>
    <row r="105" spans="1:27">
      <c r="G105" s="496" t="s">
        <v>775</v>
      </c>
      <c r="H105" s="6" t="s">
        <v>680</v>
      </c>
      <c r="I105" s="6">
        <v>0.36689017958185854</v>
      </c>
      <c r="J105" s="6">
        <v>0.1571973607230564</v>
      </c>
      <c r="K105" s="6">
        <v>2.333946180103049</v>
      </c>
      <c r="L105" s="6">
        <v>5.2309086765629009E-2</v>
      </c>
      <c r="M105" s="6">
        <v>-4.8225117691086394E-3</v>
      </c>
      <c r="N105" s="6">
        <v>0.73860287093282573</v>
      </c>
      <c r="O105" s="6">
        <v>-4.8225117691086394E-3</v>
      </c>
      <c r="P105" s="6">
        <v>0.73860287093282573</v>
      </c>
      <c r="R105" s="6" t="s">
        <v>680</v>
      </c>
      <c r="S105" s="6">
        <v>0.21933299415862004</v>
      </c>
      <c r="T105" s="6">
        <v>0.12400528902195311</v>
      </c>
      <c r="U105" s="6">
        <v>1.7687390262829088</v>
      </c>
      <c r="V105" s="6">
        <v>0.12025769015581578</v>
      </c>
      <c r="W105" s="6">
        <v>-7.3892919508669691E-2</v>
      </c>
      <c r="X105" s="6">
        <v>0.51255890782590974</v>
      </c>
      <c r="Y105" s="6">
        <v>-7.3892919508669691E-2</v>
      </c>
      <c r="Z105" s="6">
        <v>0.51255890782590974</v>
      </c>
    </row>
    <row r="106" spans="1:27" ht="13.5" thickBot="1">
      <c r="G106" s="496" t="s">
        <v>776</v>
      </c>
      <c r="H106" s="75" t="s">
        <v>704</v>
      </c>
      <c r="I106" s="75">
        <v>2.4286851603856094</v>
      </c>
      <c r="J106" s="75">
        <v>1.1223113712188832</v>
      </c>
      <c r="K106" s="75">
        <v>2.1640029876449907</v>
      </c>
      <c r="L106" s="75">
        <v>6.7209515260248223E-2</v>
      </c>
      <c r="M106" s="75">
        <v>-0.22515952511474557</v>
      </c>
      <c r="N106" s="75">
        <v>5.0825298458859649</v>
      </c>
      <c r="O106" s="75">
        <v>-0.22515952511474557</v>
      </c>
      <c r="P106" s="75">
        <v>5.0825298458859649</v>
      </c>
      <c r="R106" s="75" t="s">
        <v>704</v>
      </c>
      <c r="S106" s="75">
        <v>1.6094934959827021</v>
      </c>
      <c r="T106" s="75">
        <v>0.885336403362461</v>
      </c>
      <c r="U106" s="75">
        <v>1.8179456869388073</v>
      </c>
      <c r="V106" s="75">
        <v>0.11190484921811103</v>
      </c>
      <c r="W106" s="75">
        <v>-0.48399443365642147</v>
      </c>
      <c r="X106" s="75">
        <v>3.7029814256218256</v>
      </c>
      <c r="Y106" s="75">
        <v>-0.48399443365642147</v>
      </c>
      <c r="Z106" s="75">
        <v>3.7029814256218256</v>
      </c>
    </row>
    <row r="107" spans="1:27">
      <c r="H107" s="495" t="s">
        <v>788</v>
      </c>
      <c r="I107"/>
      <c r="J107"/>
      <c r="K107"/>
      <c r="L107"/>
      <c r="M107"/>
      <c r="N107"/>
      <c r="O107"/>
      <c r="P107"/>
      <c r="R107" s="495" t="s">
        <v>774</v>
      </c>
      <c r="S107"/>
      <c r="T107"/>
      <c r="U107"/>
      <c r="V107"/>
      <c r="W107"/>
      <c r="X107"/>
      <c r="Y107"/>
      <c r="Z107"/>
      <c r="AA107"/>
    </row>
    <row r="108" spans="1:27">
      <c r="H108"/>
      <c r="I108"/>
      <c r="J108"/>
      <c r="K108"/>
      <c r="L108"/>
      <c r="M108"/>
      <c r="N108"/>
      <c r="O108"/>
      <c r="P108"/>
      <c r="R108"/>
      <c r="S108"/>
      <c r="T108"/>
      <c r="U108"/>
      <c r="V108"/>
      <c r="W108"/>
      <c r="X108"/>
      <c r="Y108"/>
      <c r="Z108"/>
    </row>
    <row r="109" spans="1:27">
      <c r="H109"/>
      <c r="I109"/>
      <c r="J109"/>
      <c r="K109"/>
      <c r="L109"/>
      <c r="M109"/>
      <c r="N109"/>
      <c r="O109"/>
      <c r="P109"/>
    </row>
  </sheetData>
  <hyperlinks>
    <hyperlink ref="C96" r:id="rId1"/>
    <hyperlink ref="C90" r:id="rId2"/>
    <hyperlink ref="C92" r:id="rId3"/>
    <hyperlink ref="C94" r:id="rId4"/>
  </hyperlinks>
  <pageMargins left="0.7" right="0.7" top="0.75" bottom="0.75" header="0.3" footer="0.3"/>
  <pageSetup orientation="portrait" r:id="rId5"/>
  <drawing r:id="rId6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Q211"/>
  <sheetViews>
    <sheetView topLeftCell="A22" workbookViewId="0">
      <selection activeCell="G40" sqref="G40"/>
    </sheetView>
  </sheetViews>
  <sheetFormatPr defaultRowHeight="14.25"/>
  <cols>
    <col min="1" max="1" width="15.7109375" style="284" customWidth="1"/>
    <col min="2" max="2" width="14.7109375" style="284" bestFit="1" customWidth="1"/>
    <col min="3" max="3" width="12.5703125" style="284" customWidth="1"/>
    <col min="4" max="4" width="21" style="284" customWidth="1"/>
    <col min="5" max="5" width="23.85546875" style="284" customWidth="1"/>
    <col min="6" max="6" width="15.85546875" style="284" customWidth="1"/>
    <col min="7" max="7" width="14.85546875" style="284" customWidth="1"/>
    <col min="8" max="8" width="15.85546875" style="284" customWidth="1"/>
    <col min="9" max="10" width="11.5703125" style="284" customWidth="1"/>
    <col min="11" max="12" width="13.85546875" style="284" customWidth="1"/>
    <col min="13" max="13" width="15.42578125" style="284" customWidth="1"/>
    <col min="14" max="14" width="14.85546875" style="284" customWidth="1"/>
    <col min="15" max="15" width="15.42578125" style="284" customWidth="1"/>
    <col min="16" max="17" width="13.85546875" style="284" customWidth="1"/>
    <col min="18" max="18" width="1.5703125" style="284" customWidth="1"/>
    <col min="19" max="19" width="12" style="284" customWidth="1"/>
    <col min="20" max="20" width="15.28515625" style="284" customWidth="1"/>
    <col min="21" max="21" width="14.42578125" style="284" bestFit="1" customWidth="1"/>
    <col min="22" max="22" width="12.140625" style="284" customWidth="1"/>
    <col min="23" max="23" width="10.5703125" style="284" customWidth="1"/>
    <col min="24" max="24" width="14.7109375" style="284" customWidth="1"/>
    <col min="25" max="25" width="14.5703125" style="284" customWidth="1"/>
    <col min="26" max="26" width="17.7109375" style="284" customWidth="1"/>
    <col min="27" max="27" width="15" style="284" customWidth="1"/>
    <col min="28" max="28" width="2.28515625" style="284" customWidth="1"/>
    <col min="29" max="29" width="20.42578125" style="284" customWidth="1"/>
    <col min="30" max="30" width="16" style="284" customWidth="1"/>
    <col min="31" max="31" width="14.85546875" style="284" bestFit="1" customWidth="1"/>
    <col min="32" max="32" width="15.140625" style="284" customWidth="1"/>
    <col min="33" max="33" width="11.85546875" style="284" customWidth="1"/>
    <col min="34" max="34" width="10.7109375" style="284" bestFit="1" customWidth="1"/>
    <col min="35" max="35" width="13.85546875" style="284" customWidth="1"/>
    <col min="36" max="38" width="18.140625" style="284" bestFit="1" customWidth="1"/>
    <col min="39" max="43" width="8.85546875" style="284"/>
    <col min="44" max="44" width="10.42578125" style="284" bestFit="1" customWidth="1"/>
    <col min="45" max="46" width="14.28515625" style="284" bestFit="1" customWidth="1"/>
    <col min="47" max="51" width="10.42578125" style="284" bestFit="1" customWidth="1"/>
    <col min="52" max="257" width="8.85546875" style="284"/>
    <col min="258" max="258" width="15.7109375" style="284" customWidth="1"/>
    <col min="259" max="259" width="14.7109375" style="284" bestFit="1" customWidth="1"/>
    <col min="260" max="260" width="12.5703125" style="284" customWidth="1"/>
    <col min="261" max="261" width="21" style="284" bestFit="1" customWidth="1"/>
    <col min="262" max="262" width="19.85546875" style="284" customWidth="1"/>
    <col min="263" max="263" width="15.85546875" style="284" bestFit="1" customWidth="1"/>
    <col min="264" max="264" width="14.85546875" style="284" bestFit="1" customWidth="1"/>
    <col min="265" max="265" width="15.85546875" style="284" bestFit="1" customWidth="1"/>
    <col min="266" max="267" width="11.5703125" style="284" customWidth="1"/>
    <col min="268" max="269" width="13.85546875" style="284" customWidth="1"/>
    <col min="270" max="270" width="15.42578125" style="284" customWidth="1"/>
    <col min="271" max="271" width="14.85546875" style="284" customWidth="1"/>
    <col min="272" max="272" width="15.42578125" style="284" customWidth="1"/>
    <col min="273" max="274" width="13.85546875" style="284" customWidth="1"/>
    <col min="275" max="275" width="1.5703125" style="284" customWidth="1"/>
    <col min="276" max="276" width="12" style="284" customWidth="1"/>
    <col min="277" max="277" width="15.28515625" style="284" bestFit="1" customWidth="1"/>
    <col min="278" max="278" width="14.42578125" style="284" bestFit="1" customWidth="1"/>
    <col min="279" max="279" width="12.140625" style="284" customWidth="1"/>
    <col min="280" max="280" width="10.5703125" style="284" bestFit="1" customWidth="1"/>
    <col min="281" max="281" width="14.7109375" style="284" customWidth="1"/>
    <col min="282" max="282" width="14.5703125" style="284" bestFit="1" customWidth="1"/>
    <col min="283" max="283" width="17.7109375" style="284" customWidth="1"/>
    <col min="284" max="284" width="15" style="284" customWidth="1"/>
    <col min="285" max="285" width="8.85546875" style="284" customWidth="1"/>
    <col min="286" max="286" width="16" style="284" customWidth="1"/>
    <col min="287" max="287" width="14.85546875" style="284" bestFit="1" customWidth="1"/>
    <col min="288" max="288" width="15.140625" style="284" customWidth="1"/>
    <col min="289" max="289" width="11.85546875" style="284" customWidth="1"/>
    <col min="290" max="290" width="10.7109375" style="284" bestFit="1" customWidth="1"/>
    <col min="291" max="291" width="13.85546875" style="284" customWidth="1"/>
    <col min="292" max="294" width="18.140625" style="284" bestFit="1" customWidth="1"/>
    <col min="295" max="299" width="8.85546875" style="284"/>
    <col min="300" max="300" width="10.42578125" style="284" bestFit="1" customWidth="1"/>
    <col min="301" max="302" width="14.28515625" style="284" bestFit="1" customWidth="1"/>
    <col min="303" max="307" width="10.42578125" style="284" bestFit="1" customWidth="1"/>
    <col min="308" max="513" width="8.85546875" style="284"/>
    <col min="514" max="514" width="15.7109375" style="284" customWidth="1"/>
    <col min="515" max="515" width="14.7109375" style="284" bestFit="1" customWidth="1"/>
    <col min="516" max="516" width="12.5703125" style="284" customWidth="1"/>
    <col min="517" max="517" width="21" style="284" bestFit="1" customWidth="1"/>
    <col min="518" max="518" width="19.85546875" style="284" customWidth="1"/>
    <col min="519" max="519" width="15.85546875" style="284" bestFit="1" customWidth="1"/>
    <col min="520" max="520" width="14.85546875" style="284" bestFit="1" customWidth="1"/>
    <col min="521" max="521" width="15.85546875" style="284" bestFit="1" customWidth="1"/>
    <col min="522" max="523" width="11.5703125" style="284" customWidth="1"/>
    <col min="524" max="525" width="13.85546875" style="284" customWidth="1"/>
    <col min="526" max="526" width="15.42578125" style="284" customWidth="1"/>
    <col min="527" max="527" width="14.85546875" style="284" customWidth="1"/>
    <col min="528" max="528" width="15.42578125" style="284" customWidth="1"/>
    <col min="529" max="530" width="13.85546875" style="284" customWidth="1"/>
    <col min="531" max="531" width="1.5703125" style="284" customWidth="1"/>
    <col min="532" max="532" width="12" style="284" customWidth="1"/>
    <col min="533" max="533" width="15.28515625" style="284" bestFit="1" customWidth="1"/>
    <col min="534" max="534" width="14.42578125" style="284" bestFit="1" customWidth="1"/>
    <col min="535" max="535" width="12.140625" style="284" customWidth="1"/>
    <col min="536" max="536" width="10.5703125" style="284" bestFit="1" customWidth="1"/>
    <col min="537" max="537" width="14.7109375" style="284" customWidth="1"/>
    <col min="538" max="538" width="14.5703125" style="284" bestFit="1" customWidth="1"/>
    <col min="539" max="539" width="17.7109375" style="284" customWidth="1"/>
    <col min="540" max="540" width="15" style="284" customWidth="1"/>
    <col min="541" max="541" width="8.85546875" style="284" customWidth="1"/>
    <col min="542" max="542" width="16" style="284" customWidth="1"/>
    <col min="543" max="543" width="14.85546875" style="284" bestFit="1" customWidth="1"/>
    <col min="544" max="544" width="15.140625" style="284" customWidth="1"/>
    <col min="545" max="545" width="11.85546875" style="284" customWidth="1"/>
    <col min="546" max="546" width="10.7109375" style="284" bestFit="1" customWidth="1"/>
    <col min="547" max="547" width="13.85546875" style="284" customWidth="1"/>
    <col min="548" max="550" width="18.140625" style="284" bestFit="1" customWidth="1"/>
    <col min="551" max="555" width="8.85546875" style="284"/>
    <col min="556" max="556" width="10.42578125" style="284" bestFit="1" customWidth="1"/>
    <col min="557" max="558" width="14.28515625" style="284" bestFit="1" customWidth="1"/>
    <col min="559" max="563" width="10.42578125" style="284" bestFit="1" customWidth="1"/>
    <col min="564" max="769" width="8.85546875" style="284"/>
    <col min="770" max="770" width="15.7109375" style="284" customWidth="1"/>
    <col min="771" max="771" width="14.7109375" style="284" bestFit="1" customWidth="1"/>
    <col min="772" max="772" width="12.5703125" style="284" customWidth="1"/>
    <col min="773" max="773" width="21" style="284" bestFit="1" customWidth="1"/>
    <col min="774" max="774" width="19.85546875" style="284" customWidth="1"/>
    <col min="775" max="775" width="15.85546875" style="284" bestFit="1" customWidth="1"/>
    <col min="776" max="776" width="14.85546875" style="284" bestFit="1" customWidth="1"/>
    <col min="777" max="777" width="15.85546875" style="284" bestFit="1" customWidth="1"/>
    <col min="778" max="779" width="11.5703125" style="284" customWidth="1"/>
    <col min="780" max="781" width="13.85546875" style="284" customWidth="1"/>
    <col min="782" max="782" width="15.42578125" style="284" customWidth="1"/>
    <col min="783" max="783" width="14.85546875" style="284" customWidth="1"/>
    <col min="784" max="784" width="15.42578125" style="284" customWidth="1"/>
    <col min="785" max="786" width="13.85546875" style="284" customWidth="1"/>
    <col min="787" max="787" width="1.5703125" style="284" customWidth="1"/>
    <col min="788" max="788" width="12" style="284" customWidth="1"/>
    <col min="789" max="789" width="15.28515625" style="284" bestFit="1" customWidth="1"/>
    <col min="790" max="790" width="14.42578125" style="284" bestFit="1" customWidth="1"/>
    <col min="791" max="791" width="12.140625" style="284" customWidth="1"/>
    <col min="792" max="792" width="10.5703125" style="284" bestFit="1" customWidth="1"/>
    <col min="793" max="793" width="14.7109375" style="284" customWidth="1"/>
    <col min="794" max="794" width="14.5703125" style="284" bestFit="1" customWidth="1"/>
    <col min="795" max="795" width="17.7109375" style="284" customWidth="1"/>
    <col min="796" max="796" width="15" style="284" customWidth="1"/>
    <col min="797" max="797" width="8.85546875" style="284" customWidth="1"/>
    <col min="798" max="798" width="16" style="284" customWidth="1"/>
    <col min="799" max="799" width="14.85546875" style="284" bestFit="1" customWidth="1"/>
    <col min="800" max="800" width="15.140625" style="284" customWidth="1"/>
    <col min="801" max="801" width="11.85546875" style="284" customWidth="1"/>
    <col min="802" max="802" width="10.7109375" style="284" bestFit="1" customWidth="1"/>
    <col min="803" max="803" width="13.85546875" style="284" customWidth="1"/>
    <col min="804" max="806" width="18.140625" style="284" bestFit="1" customWidth="1"/>
    <col min="807" max="811" width="8.85546875" style="284"/>
    <col min="812" max="812" width="10.42578125" style="284" bestFit="1" customWidth="1"/>
    <col min="813" max="814" width="14.28515625" style="284" bestFit="1" customWidth="1"/>
    <col min="815" max="819" width="10.42578125" style="284" bestFit="1" customWidth="1"/>
    <col min="820" max="1025" width="8.85546875" style="284"/>
    <col min="1026" max="1026" width="15.7109375" style="284" customWidth="1"/>
    <col min="1027" max="1027" width="14.7109375" style="284" bestFit="1" customWidth="1"/>
    <col min="1028" max="1028" width="12.5703125" style="284" customWidth="1"/>
    <col min="1029" max="1029" width="21" style="284" bestFit="1" customWidth="1"/>
    <col min="1030" max="1030" width="19.85546875" style="284" customWidth="1"/>
    <col min="1031" max="1031" width="15.85546875" style="284" bestFit="1" customWidth="1"/>
    <col min="1032" max="1032" width="14.85546875" style="284" bestFit="1" customWidth="1"/>
    <col min="1033" max="1033" width="15.85546875" style="284" bestFit="1" customWidth="1"/>
    <col min="1034" max="1035" width="11.5703125" style="284" customWidth="1"/>
    <col min="1036" max="1037" width="13.85546875" style="284" customWidth="1"/>
    <col min="1038" max="1038" width="15.42578125" style="284" customWidth="1"/>
    <col min="1039" max="1039" width="14.85546875" style="284" customWidth="1"/>
    <col min="1040" max="1040" width="15.42578125" style="284" customWidth="1"/>
    <col min="1041" max="1042" width="13.85546875" style="284" customWidth="1"/>
    <col min="1043" max="1043" width="1.5703125" style="284" customWidth="1"/>
    <col min="1044" max="1044" width="12" style="284" customWidth="1"/>
    <col min="1045" max="1045" width="15.28515625" style="284" bestFit="1" customWidth="1"/>
    <col min="1046" max="1046" width="14.42578125" style="284" bestFit="1" customWidth="1"/>
    <col min="1047" max="1047" width="12.140625" style="284" customWidth="1"/>
    <col min="1048" max="1048" width="10.5703125" style="284" bestFit="1" customWidth="1"/>
    <col min="1049" max="1049" width="14.7109375" style="284" customWidth="1"/>
    <col min="1050" max="1050" width="14.5703125" style="284" bestFit="1" customWidth="1"/>
    <col min="1051" max="1051" width="17.7109375" style="284" customWidth="1"/>
    <col min="1052" max="1052" width="15" style="284" customWidth="1"/>
    <col min="1053" max="1053" width="8.85546875" style="284" customWidth="1"/>
    <col min="1054" max="1054" width="16" style="284" customWidth="1"/>
    <col min="1055" max="1055" width="14.85546875" style="284" bestFit="1" customWidth="1"/>
    <col min="1056" max="1056" width="15.140625" style="284" customWidth="1"/>
    <col min="1057" max="1057" width="11.85546875" style="284" customWidth="1"/>
    <col min="1058" max="1058" width="10.7109375" style="284" bestFit="1" customWidth="1"/>
    <col min="1059" max="1059" width="13.85546875" style="284" customWidth="1"/>
    <col min="1060" max="1062" width="18.140625" style="284" bestFit="1" customWidth="1"/>
    <col min="1063" max="1067" width="8.85546875" style="284"/>
    <col min="1068" max="1068" width="10.42578125" style="284" bestFit="1" customWidth="1"/>
    <col min="1069" max="1070" width="14.28515625" style="284" bestFit="1" customWidth="1"/>
    <col min="1071" max="1075" width="10.42578125" style="284" bestFit="1" customWidth="1"/>
    <col min="1076" max="1281" width="8.85546875" style="284"/>
    <col min="1282" max="1282" width="15.7109375" style="284" customWidth="1"/>
    <col min="1283" max="1283" width="14.7109375" style="284" bestFit="1" customWidth="1"/>
    <col min="1284" max="1284" width="12.5703125" style="284" customWidth="1"/>
    <col min="1285" max="1285" width="21" style="284" bestFit="1" customWidth="1"/>
    <col min="1286" max="1286" width="19.85546875" style="284" customWidth="1"/>
    <col min="1287" max="1287" width="15.85546875" style="284" bestFit="1" customWidth="1"/>
    <col min="1288" max="1288" width="14.85546875" style="284" bestFit="1" customWidth="1"/>
    <col min="1289" max="1289" width="15.85546875" style="284" bestFit="1" customWidth="1"/>
    <col min="1290" max="1291" width="11.5703125" style="284" customWidth="1"/>
    <col min="1292" max="1293" width="13.85546875" style="284" customWidth="1"/>
    <col min="1294" max="1294" width="15.42578125" style="284" customWidth="1"/>
    <col min="1295" max="1295" width="14.85546875" style="284" customWidth="1"/>
    <col min="1296" max="1296" width="15.42578125" style="284" customWidth="1"/>
    <col min="1297" max="1298" width="13.85546875" style="284" customWidth="1"/>
    <col min="1299" max="1299" width="1.5703125" style="284" customWidth="1"/>
    <col min="1300" max="1300" width="12" style="284" customWidth="1"/>
    <col min="1301" max="1301" width="15.28515625" style="284" bestFit="1" customWidth="1"/>
    <col min="1302" max="1302" width="14.42578125" style="284" bestFit="1" customWidth="1"/>
    <col min="1303" max="1303" width="12.140625" style="284" customWidth="1"/>
    <col min="1304" max="1304" width="10.5703125" style="284" bestFit="1" customWidth="1"/>
    <col min="1305" max="1305" width="14.7109375" style="284" customWidth="1"/>
    <col min="1306" max="1306" width="14.5703125" style="284" bestFit="1" customWidth="1"/>
    <col min="1307" max="1307" width="17.7109375" style="284" customWidth="1"/>
    <col min="1308" max="1308" width="15" style="284" customWidth="1"/>
    <col min="1309" max="1309" width="8.85546875" style="284" customWidth="1"/>
    <col min="1310" max="1310" width="16" style="284" customWidth="1"/>
    <col min="1311" max="1311" width="14.85546875" style="284" bestFit="1" customWidth="1"/>
    <col min="1312" max="1312" width="15.140625" style="284" customWidth="1"/>
    <col min="1313" max="1313" width="11.85546875" style="284" customWidth="1"/>
    <col min="1314" max="1314" width="10.7109375" style="284" bestFit="1" customWidth="1"/>
    <col min="1315" max="1315" width="13.85546875" style="284" customWidth="1"/>
    <col min="1316" max="1318" width="18.140625" style="284" bestFit="1" customWidth="1"/>
    <col min="1319" max="1323" width="8.85546875" style="284"/>
    <col min="1324" max="1324" width="10.42578125" style="284" bestFit="1" customWidth="1"/>
    <col min="1325" max="1326" width="14.28515625" style="284" bestFit="1" customWidth="1"/>
    <col min="1327" max="1331" width="10.42578125" style="284" bestFit="1" customWidth="1"/>
    <col min="1332" max="1537" width="8.85546875" style="284"/>
    <col min="1538" max="1538" width="15.7109375" style="284" customWidth="1"/>
    <col min="1539" max="1539" width="14.7109375" style="284" bestFit="1" customWidth="1"/>
    <col min="1540" max="1540" width="12.5703125" style="284" customWidth="1"/>
    <col min="1541" max="1541" width="21" style="284" bestFit="1" customWidth="1"/>
    <col min="1542" max="1542" width="19.85546875" style="284" customWidth="1"/>
    <col min="1543" max="1543" width="15.85546875" style="284" bestFit="1" customWidth="1"/>
    <col min="1544" max="1544" width="14.85546875" style="284" bestFit="1" customWidth="1"/>
    <col min="1545" max="1545" width="15.85546875" style="284" bestFit="1" customWidth="1"/>
    <col min="1546" max="1547" width="11.5703125" style="284" customWidth="1"/>
    <col min="1548" max="1549" width="13.85546875" style="284" customWidth="1"/>
    <col min="1550" max="1550" width="15.42578125" style="284" customWidth="1"/>
    <col min="1551" max="1551" width="14.85546875" style="284" customWidth="1"/>
    <col min="1552" max="1552" width="15.42578125" style="284" customWidth="1"/>
    <col min="1553" max="1554" width="13.85546875" style="284" customWidth="1"/>
    <col min="1555" max="1555" width="1.5703125" style="284" customWidth="1"/>
    <col min="1556" max="1556" width="12" style="284" customWidth="1"/>
    <col min="1557" max="1557" width="15.28515625" style="284" bestFit="1" customWidth="1"/>
    <col min="1558" max="1558" width="14.42578125" style="284" bestFit="1" customWidth="1"/>
    <col min="1559" max="1559" width="12.140625" style="284" customWidth="1"/>
    <col min="1560" max="1560" width="10.5703125" style="284" bestFit="1" customWidth="1"/>
    <col min="1561" max="1561" width="14.7109375" style="284" customWidth="1"/>
    <col min="1562" max="1562" width="14.5703125" style="284" bestFit="1" customWidth="1"/>
    <col min="1563" max="1563" width="17.7109375" style="284" customWidth="1"/>
    <col min="1564" max="1564" width="15" style="284" customWidth="1"/>
    <col min="1565" max="1565" width="8.85546875" style="284" customWidth="1"/>
    <col min="1566" max="1566" width="16" style="284" customWidth="1"/>
    <col min="1567" max="1567" width="14.85546875" style="284" bestFit="1" customWidth="1"/>
    <col min="1568" max="1568" width="15.140625" style="284" customWidth="1"/>
    <col min="1569" max="1569" width="11.85546875" style="284" customWidth="1"/>
    <col min="1570" max="1570" width="10.7109375" style="284" bestFit="1" customWidth="1"/>
    <col min="1571" max="1571" width="13.85546875" style="284" customWidth="1"/>
    <col min="1572" max="1574" width="18.140625" style="284" bestFit="1" customWidth="1"/>
    <col min="1575" max="1579" width="8.85546875" style="284"/>
    <col min="1580" max="1580" width="10.42578125" style="284" bestFit="1" customWidth="1"/>
    <col min="1581" max="1582" width="14.28515625" style="284" bestFit="1" customWidth="1"/>
    <col min="1583" max="1587" width="10.42578125" style="284" bestFit="1" customWidth="1"/>
    <col min="1588" max="1793" width="8.85546875" style="284"/>
    <col min="1794" max="1794" width="15.7109375" style="284" customWidth="1"/>
    <col min="1795" max="1795" width="14.7109375" style="284" bestFit="1" customWidth="1"/>
    <col min="1796" max="1796" width="12.5703125" style="284" customWidth="1"/>
    <col min="1797" max="1797" width="21" style="284" bestFit="1" customWidth="1"/>
    <col min="1798" max="1798" width="19.85546875" style="284" customWidth="1"/>
    <col min="1799" max="1799" width="15.85546875" style="284" bestFit="1" customWidth="1"/>
    <col min="1800" max="1800" width="14.85546875" style="284" bestFit="1" customWidth="1"/>
    <col min="1801" max="1801" width="15.85546875" style="284" bestFit="1" customWidth="1"/>
    <col min="1802" max="1803" width="11.5703125" style="284" customWidth="1"/>
    <col min="1804" max="1805" width="13.85546875" style="284" customWidth="1"/>
    <col min="1806" max="1806" width="15.42578125" style="284" customWidth="1"/>
    <col min="1807" max="1807" width="14.85546875" style="284" customWidth="1"/>
    <col min="1808" max="1808" width="15.42578125" style="284" customWidth="1"/>
    <col min="1809" max="1810" width="13.85546875" style="284" customWidth="1"/>
    <col min="1811" max="1811" width="1.5703125" style="284" customWidth="1"/>
    <col min="1812" max="1812" width="12" style="284" customWidth="1"/>
    <col min="1813" max="1813" width="15.28515625" style="284" bestFit="1" customWidth="1"/>
    <col min="1814" max="1814" width="14.42578125" style="284" bestFit="1" customWidth="1"/>
    <col min="1815" max="1815" width="12.140625" style="284" customWidth="1"/>
    <col min="1816" max="1816" width="10.5703125" style="284" bestFit="1" customWidth="1"/>
    <col min="1817" max="1817" width="14.7109375" style="284" customWidth="1"/>
    <col min="1818" max="1818" width="14.5703125" style="284" bestFit="1" customWidth="1"/>
    <col min="1819" max="1819" width="17.7109375" style="284" customWidth="1"/>
    <col min="1820" max="1820" width="15" style="284" customWidth="1"/>
    <col min="1821" max="1821" width="8.85546875" style="284" customWidth="1"/>
    <col min="1822" max="1822" width="16" style="284" customWidth="1"/>
    <col min="1823" max="1823" width="14.85546875" style="284" bestFit="1" customWidth="1"/>
    <col min="1824" max="1824" width="15.140625" style="284" customWidth="1"/>
    <col min="1825" max="1825" width="11.85546875" style="284" customWidth="1"/>
    <col min="1826" max="1826" width="10.7109375" style="284" bestFit="1" customWidth="1"/>
    <col min="1827" max="1827" width="13.85546875" style="284" customWidth="1"/>
    <col min="1828" max="1830" width="18.140625" style="284" bestFit="1" customWidth="1"/>
    <col min="1831" max="1835" width="8.85546875" style="284"/>
    <col min="1836" max="1836" width="10.42578125" style="284" bestFit="1" customWidth="1"/>
    <col min="1837" max="1838" width="14.28515625" style="284" bestFit="1" customWidth="1"/>
    <col min="1839" max="1843" width="10.42578125" style="284" bestFit="1" customWidth="1"/>
    <col min="1844" max="2049" width="8.85546875" style="284"/>
    <col min="2050" max="2050" width="15.7109375" style="284" customWidth="1"/>
    <col min="2051" max="2051" width="14.7109375" style="284" bestFit="1" customWidth="1"/>
    <col min="2052" max="2052" width="12.5703125" style="284" customWidth="1"/>
    <col min="2053" max="2053" width="21" style="284" bestFit="1" customWidth="1"/>
    <col min="2054" max="2054" width="19.85546875" style="284" customWidth="1"/>
    <col min="2055" max="2055" width="15.85546875" style="284" bestFit="1" customWidth="1"/>
    <col min="2056" max="2056" width="14.85546875" style="284" bestFit="1" customWidth="1"/>
    <col min="2057" max="2057" width="15.85546875" style="284" bestFit="1" customWidth="1"/>
    <col min="2058" max="2059" width="11.5703125" style="284" customWidth="1"/>
    <col min="2060" max="2061" width="13.85546875" style="284" customWidth="1"/>
    <col min="2062" max="2062" width="15.42578125" style="284" customWidth="1"/>
    <col min="2063" max="2063" width="14.85546875" style="284" customWidth="1"/>
    <col min="2064" max="2064" width="15.42578125" style="284" customWidth="1"/>
    <col min="2065" max="2066" width="13.85546875" style="284" customWidth="1"/>
    <col min="2067" max="2067" width="1.5703125" style="284" customWidth="1"/>
    <col min="2068" max="2068" width="12" style="284" customWidth="1"/>
    <col min="2069" max="2069" width="15.28515625" style="284" bestFit="1" customWidth="1"/>
    <col min="2070" max="2070" width="14.42578125" style="284" bestFit="1" customWidth="1"/>
    <col min="2071" max="2071" width="12.140625" style="284" customWidth="1"/>
    <col min="2072" max="2072" width="10.5703125" style="284" bestFit="1" customWidth="1"/>
    <col min="2073" max="2073" width="14.7109375" style="284" customWidth="1"/>
    <col min="2074" max="2074" width="14.5703125" style="284" bestFit="1" customWidth="1"/>
    <col min="2075" max="2075" width="17.7109375" style="284" customWidth="1"/>
    <col min="2076" max="2076" width="15" style="284" customWidth="1"/>
    <col min="2077" max="2077" width="8.85546875" style="284" customWidth="1"/>
    <col min="2078" max="2078" width="16" style="284" customWidth="1"/>
    <col min="2079" max="2079" width="14.85546875" style="284" bestFit="1" customWidth="1"/>
    <col min="2080" max="2080" width="15.140625" style="284" customWidth="1"/>
    <col min="2081" max="2081" width="11.85546875" style="284" customWidth="1"/>
    <col min="2082" max="2082" width="10.7109375" style="284" bestFit="1" customWidth="1"/>
    <col min="2083" max="2083" width="13.85546875" style="284" customWidth="1"/>
    <col min="2084" max="2086" width="18.140625" style="284" bestFit="1" customWidth="1"/>
    <col min="2087" max="2091" width="8.85546875" style="284"/>
    <col min="2092" max="2092" width="10.42578125" style="284" bestFit="1" customWidth="1"/>
    <col min="2093" max="2094" width="14.28515625" style="284" bestFit="1" customWidth="1"/>
    <col min="2095" max="2099" width="10.42578125" style="284" bestFit="1" customWidth="1"/>
    <col min="2100" max="2305" width="8.85546875" style="284"/>
    <col min="2306" max="2306" width="15.7109375" style="284" customWidth="1"/>
    <col min="2307" max="2307" width="14.7109375" style="284" bestFit="1" customWidth="1"/>
    <col min="2308" max="2308" width="12.5703125" style="284" customWidth="1"/>
    <col min="2309" max="2309" width="21" style="284" bestFit="1" customWidth="1"/>
    <col min="2310" max="2310" width="19.85546875" style="284" customWidth="1"/>
    <col min="2311" max="2311" width="15.85546875" style="284" bestFit="1" customWidth="1"/>
    <col min="2312" max="2312" width="14.85546875" style="284" bestFit="1" customWidth="1"/>
    <col min="2313" max="2313" width="15.85546875" style="284" bestFit="1" customWidth="1"/>
    <col min="2314" max="2315" width="11.5703125" style="284" customWidth="1"/>
    <col min="2316" max="2317" width="13.85546875" style="284" customWidth="1"/>
    <col min="2318" max="2318" width="15.42578125" style="284" customWidth="1"/>
    <col min="2319" max="2319" width="14.85546875" style="284" customWidth="1"/>
    <col min="2320" max="2320" width="15.42578125" style="284" customWidth="1"/>
    <col min="2321" max="2322" width="13.85546875" style="284" customWidth="1"/>
    <col min="2323" max="2323" width="1.5703125" style="284" customWidth="1"/>
    <col min="2324" max="2324" width="12" style="284" customWidth="1"/>
    <col min="2325" max="2325" width="15.28515625" style="284" bestFit="1" customWidth="1"/>
    <col min="2326" max="2326" width="14.42578125" style="284" bestFit="1" customWidth="1"/>
    <col min="2327" max="2327" width="12.140625" style="284" customWidth="1"/>
    <col min="2328" max="2328" width="10.5703125" style="284" bestFit="1" customWidth="1"/>
    <col min="2329" max="2329" width="14.7109375" style="284" customWidth="1"/>
    <col min="2330" max="2330" width="14.5703125" style="284" bestFit="1" customWidth="1"/>
    <col min="2331" max="2331" width="17.7109375" style="284" customWidth="1"/>
    <col min="2332" max="2332" width="15" style="284" customWidth="1"/>
    <col min="2333" max="2333" width="8.85546875" style="284" customWidth="1"/>
    <col min="2334" max="2334" width="16" style="284" customWidth="1"/>
    <col min="2335" max="2335" width="14.85546875" style="284" bestFit="1" customWidth="1"/>
    <col min="2336" max="2336" width="15.140625" style="284" customWidth="1"/>
    <col min="2337" max="2337" width="11.85546875" style="284" customWidth="1"/>
    <col min="2338" max="2338" width="10.7109375" style="284" bestFit="1" customWidth="1"/>
    <col min="2339" max="2339" width="13.85546875" style="284" customWidth="1"/>
    <col min="2340" max="2342" width="18.140625" style="284" bestFit="1" customWidth="1"/>
    <col min="2343" max="2347" width="8.85546875" style="284"/>
    <col min="2348" max="2348" width="10.42578125" style="284" bestFit="1" customWidth="1"/>
    <col min="2349" max="2350" width="14.28515625" style="284" bestFit="1" customWidth="1"/>
    <col min="2351" max="2355" width="10.42578125" style="284" bestFit="1" customWidth="1"/>
    <col min="2356" max="2561" width="8.85546875" style="284"/>
    <col min="2562" max="2562" width="15.7109375" style="284" customWidth="1"/>
    <col min="2563" max="2563" width="14.7109375" style="284" bestFit="1" customWidth="1"/>
    <col min="2564" max="2564" width="12.5703125" style="284" customWidth="1"/>
    <col min="2565" max="2565" width="21" style="284" bestFit="1" customWidth="1"/>
    <col min="2566" max="2566" width="19.85546875" style="284" customWidth="1"/>
    <col min="2567" max="2567" width="15.85546875" style="284" bestFit="1" customWidth="1"/>
    <col min="2568" max="2568" width="14.85546875" style="284" bestFit="1" customWidth="1"/>
    <col min="2569" max="2569" width="15.85546875" style="284" bestFit="1" customWidth="1"/>
    <col min="2570" max="2571" width="11.5703125" style="284" customWidth="1"/>
    <col min="2572" max="2573" width="13.85546875" style="284" customWidth="1"/>
    <col min="2574" max="2574" width="15.42578125" style="284" customWidth="1"/>
    <col min="2575" max="2575" width="14.85546875" style="284" customWidth="1"/>
    <col min="2576" max="2576" width="15.42578125" style="284" customWidth="1"/>
    <col min="2577" max="2578" width="13.85546875" style="284" customWidth="1"/>
    <col min="2579" max="2579" width="1.5703125" style="284" customWidth="1"/>
    <col min="2580" max="2580" width="12" style="284" customWidth="1"/>
    <col min="2581" max="2581" width="15.28515625" style="284" bestFit="1" customWidth="1"/>
    <col min="2582" max="2582" width="14.42578125" style="284" bestFit="1" customWidth="1"/>
    <col min="2583" max="2583" width="12.140625" style="284" customWidth="1"/>
    <col min="2584" max="2584" width="10.5703125" style="284" bestFit="1" customWidth="1"/>
    <col min="2585" max="2585" width="14.7109375" style="284" customWidth="1"/>
    <col min="2586" max="2586" width="14.5703125" style="284" bestFit="1" customWidth="1"/>
    <col min="2587" max="2587" width="17.7109375" style="284" customWidth="1"/>
    <col min="2588" max="2588" width="15" style="284" customWidth="1"/>
    <col min="2589" max="2589" width="8.85546875" style="284" customWidth="1"/>
    <col min="2590" max="2590" width="16" style="284" customWidth="1"/>
    <col min="2591" max="2591" width="14.85546875" style="284" bestFit="1" customWidth="1"/>
    <col min="2592" max="2592" width="15.140625" style="284" customWidth="1"/>
    <col min="2593" max="2593" width="11.85546875" style="284" customWidth="1"/>
    <col min="2594" max="2594" width="10.7109375" style="284" bestFit="1" customWidth="1"/>
    <col min="2595" max="2595" width="13.85546875" style="284" customWidth="1"/>
    <col min="2596" max="2598" width="18.140625" style="284" bestFit="1" customWidth="1"/>
    <col min="2599" max="2603" width="8.85546875" style="284"/>
    <col min="2604" max="2604" width="10.42578125" style="284" bestFit="1" customWidth="1"/>
    <col min="2605" max="2606" width="14.28515625" style="284" bestFit="1" customWidth="1"/>
    <col min="2607" max="2611" width="10.42578125" style="284" bestFit="1" customWidth="1"/>
    <col min="2612" max="2817" width="8.85546875" style="284"/>
    <col min="2818" max="2818" width="15.7109375" style="284" customWidth="1"/>
    <col min="2819" max="2819" width="14.7109375" style="284" bestFit="1" customWidth="1"/>
    <col min="2820" max="2820" width="12.5703125" style="284" customWidth="1"/>
    <col min="2821" max="2821" width="21" style="284" bestFit="1" customWidth="1"/>
    <col min="2822" max="2822" width="19.85546875" style="284" customWidth="1"/>
    <col min="2823" max="2823" width="15.85546875" style="284" bestFit="1" customWidth="1"/>
    <col min="2824" max="2824" width="14.85546875" style="284" bestFit="1" customWidth="1"/>
    <col min="2825" max="2825" width="15.85546875" style="284" bestFit="1" customWidth="1"/>
    <col min="2826" max="2827" width="11.5703125" style="284" customWidth="1"/>
    <col min="2828" max="2829" width="13.85546875" style="284" customWidth="1"/>
    <col min="2830" max="2830" width="15.42578125" style="284" customWidth="1"/>
    <col min="2831" max="2831" width="14.85546875" style="284" customWidth="1"/>
    <col min="2832" max="2832" width="15.42578125" style="284" customWidth="1"/>
    <col min="2833" max="2834" width="13.85546875" style="284" customWidth="1"/>
    <col min="2835" max="2835" width="1.5703125" style="284" customWidth="1"/>
    <col min="2836" max="2836" width="12" style="284" customWidth="1"/>
    <col min="2837" max="2837" width="15.28515625" style="284" bestFit="1" customWidth="1"/>
    <col min="2838" max="2838" width="14.42578125" style="284" bestFit="1" customWidth="1"/>
    <col min="2839" max="2839" width="12.140625" style="284" customWidth="1"/>
    <col min="2840" max="2840" width="10.5703125" style="284" bestFit="1" customWidth="1"/>
    <col min="2841" max="2841" width="14.7109375" style="284" customWidth="1"/>
    <col min="2842" max="2842" width="14.5703125" style="284" bestFit="1" customWidth="1"/>
    <col min="2843" max="2843" width="17.7109375" style="284" customWidth="1"/>
    <col min="2844" max="2844" width="15" style="284" customWidth="1"/>
    <col min="2845" max="2845" width="8.85546875" style="284" customWidth="1"/>
    <col min="2846" max="2846" width="16" style="284" customWidth="1"/>
    <col min="2847" max="2847" width="14.85546875" style="284" bestFit="1" customWidth="1"/>
    <col min="2848" max="2848" width="15.140625" style="284" customWidth="1"/>
    <col min="2849" max="2849" width="11.85546875" style="284" customWidth="1"/>
    <col min="2850" max="2850" width="10.7109375" style="284" bestFit="1" customWidth="1"/>
    <col min="2851" max="2851" width="13.85546875" style="284" customWidth="1"/>
    <col min="2852" max="2854" width="18.140625" style="284" bestFit="1" customWidth="1"/>
    <col min="2855" max="2859" width="8.85546875" style="284"/>
    <col min="2860" max="2860" width="10.42578125" style="284" bestFit="1" customWidth="1"/>
    <col min="2861" max="2862" width="14.28515625" style="284" bestFit="1" customWidth="1"/>
    <col min="2863" max="2867" width="10.42578125" style="284" bestFit="1" customWidth="1"/>
    <col min="2868" max="3073" width="8.85546875" style="284"/>
    <col min="3074" max="3074" width="15.7109375" style="284" customWidth="1"/>
    <col min="3075" max="3075" width="14.7109375" style="284" bestFit="1" customWidth="1"/>
    <col min="3076" max="3076" width="12.5703125" style="284" customWidth="1"/>
    <col min="3077" max="3077" width="21" style="284" bestFit="1" customWidth="1"/>
    <col min="3078" max="3078" width="19.85546875" style="284" customWidth="1"/>
    <col min="3079" max="3079" width="15.85546875" style="284" bestFit="1" customWidth="1"/>
    <col min="3080" max="3080" width="14.85546875" style="284" bestFit="1" customWidth="1"/>
    <col min="3081" max="3081" width="15.85546875" style="284" bestFit="1" customWidth="1"/>
    <col min="3082" max="3083" width="11.5703125" style="284" customWidth="1"/>
    <col min="3084" max="3085" width="13.85546875" style="284" customWidth="1"/>
    <col min="3086" max="3086" width="15.42578125" style="284" customWidth="1"/>
    <col min="3087" max="3087" width="14.85546875" style="284" customWidth="1"/>
    <col min="3088" max="3088" width="15.42578125" style="284" customWidth="1"/>
    <col min="3089" max="3090" width="13.85546875" style="284" customWidth="1"/>
    <col min="3091" max="3091" width="1.5703125" style="284" customWidth="1"/>
    <col min="3092" max="3092" width="12" style="284" customWidth="1"/>
    <col min="3093" max="3093" width="15.28515625" style="284" bestFit="1" customWidth="1"/>
    <col min="3094" max="3094" width="14.42578125" style="284" bestFit="1" customWidth="1"/>
    <col min="3095" max="3095" width="12.140625" style="284" customWidth="1"/>
    <col min="3096" max="3096" width="10.5703125" style="284" bestFit="1" customWidth="1"/>
    <col min="3097" max="3097" width="14.7109375" style="284" customWidth="1"/>
    <col min="3098" max="3098" width="14.5703125" style="284" bestFit="1" customWidth="1"/>
    <col min="3099" max="3099" width="17.7109375" style="284" customWidth="1"/>
    <col min="3100" max="3100" width="15" style="284" customWidth="1"/>
    <col min="3101" max="3101" width="8.85546875" style="284" customWidth="1"/>
    <col min="3102" max="3102" width="16" style="284" customWidth="1"/>
    <col min="3103" max="3103" width="14.85546875" style="284" bestFit="1" customWidth="1"/>
    <col min="3104" max="3104" width="15.140625" style="284" customWidth="1"/>
    <col min="3105" max="3105" width="11.85546875" style="284" customWidth="1"/>
    <col min="3106" max="3106" width="10.7109375" style="284" bestFit="1" customWidth="1"/>
    <col min="3107" max="3107" width="13.85546875" style="284" customWidth="1"/>
    <col min="3108" max="3110" width="18.140625" style="284" bestFit="1" customWidth="1"/>
    <col min="3111" max="3115" width="8.85546875" style="284"/>
    <col min="3116" max="3116" width="10.42578125" style="284" bestFit="1" customWidth="1"/>
    <col min="3117" max="3118" width="14.28515625" style="284" bestFit="1" customWidth="1"/>
    <col min="3119" max="3123" width="10.42578125" style="284" bestFit="1" customWidth="1"/>
    <col min="3124" max="3329" width="8.85546875" style="284"/>
    <col min="3330" max="3330" width="15.7109375" style="284" customWidth="1"/>
    <col min="3331" max="3331" width="14.7109375" style="284" bestFit="1" customWidth="1"/>
    <col min="3332" max="3332" width="12.5703125" style="284" customWidth="1"/>
    <col min="3333" max="3333" width="21" style="284" bestFit="1" customWidth="1"/>
    <col min="3334" max="3334" width="19.85546875" style="284" customWidth="1"/>
    <col min="3335" max="3335" width="15.85546875" style="284" bestFit="1" customWidth="1"/>
    <col min="3336" max="3336" width="14.85546875" style="284" bestFit="1" customWidth="1"/>
    <col min="3337" max="3337" width="15.85546875" style="284" bestFit="1" customWidth="1"/>
    <col min="3338" max="3339" width="11.5703125" style="284" customWidth="1"/>
    <col min="3340" max="3341" width="13.85546875" style="284" customWidth="1"/>
    <col min="3342" max="3342" width="15.42578125" style="284" customWidth="1"/>
    <col min="3343" max="3343" width="14.85546875" style="284" customWidth="1"/>
    <col min="3344" max="3344" width="15.42578125" style="284" customWidth="1"/>
    <col min="3345" max="3346" width="13.85546875" style="284" customWidth="1"/>
    <col min="3347" max="3347" width="1.5703125" style="284" customWidth="1"/>
    <col min="3348" max="3348" width="12" style="284" customWidth="1"/>
    <col min="3349" max="3349" width="15.28515625" style="284" bestFit="1" customWidth="1"/>
    <col min="3350" max="3350" width="14.42578125" style="284" bestFit="1" customWidth="1"/>
    <col min="3351" max="3351" width="12.140625" style="284" customWidth="1"/>
    <col min="3352" max="3352" width="10.5703125" style="284" bestFit="1" customWidth="1"/>
    <col min="3353" max="3353" width="14.7109375" style="284" customWidth="1"/>
    <col min="3354" max="3354" width="14.5703125" style="284" bestFit="1" customWidth="1"/>
    <col min="3355" max="3355" width="17.7109375" style="284" customWidth="1"/>
    <col min="3356" max="3356" width="15" style="284" customWidth="1"/>
    <col min="3357" max="3357" width="8.85546875" style="284" customWidth="1"/>
    <col min="3358" max="3358" width="16" style="284" customWidth="1"/>
    <col min="3359" max="3359" width="14.85546875" style="284" bestFit="1" customWidth="1"/>
    <col min="3360" max="3360" width="15.140625" style="284" customWidth="1"/>
    <col min="3361" max="3361" width="11.85546875" style="284" customWidth="1"/>
    <col min="3362" max="3362" width="10.7109375" style="284" bestFit="1" customWidth="1"/>
    <col min="3363" max="3363" width="13.85546875" style="284" customWidth="1"/>
    <col min="3364" max="3366" width="18.140625" style="284" bestFit="1" customWidth="1"/>
    <col min="3367" max="3371" width="8.85546875" style="284"/>
    <col min="3372" max="3372" width="10.42578125" style="284" bestFit="1" customWidth="1"/>
    <col min="3373" max="3374" width="14.28515625" style="284" bestFit="1" customWidth="1"/>
    <col min="3375" max="3379" width="10.42578125" style="284" bestFit="1" customWidth="1"/>
    <col min="3380" max="3585" width="8.85546875" style="284"/>
    <col min="3586" max="3586" width="15.7109375" style="284" customWidth="1"/>
    <col min="3587" max="3587" width="14.7109375" style="284" bestFit="1" customWidth="1"/>
    <col min="3588" max="3588" width="12.5703125" style="284" customWidth="1"/>
    <col min="3589" max="3589" width="21" style="284" bestFit="1" customWidth="1"/>
    <col min="3590" max="3590" width="19.85546875" style="284" customWidth="1"/>
    <col min="3591" max="3591" width="15.85546875" style="284" bestFit="1" customWidth="1"/>
    <col min="3592" max="3592" width="14.85546875" style="284" bestFit="1" customWidth="1"/>
    <col min="3593" max="3593" width="15.85546875" style="284" bestFit="1" customWidth="1"/>
    <col min="3594" max="3595" width="11.5703125" style="284" customWidth="1"/>
    <col min="3596" max="3597" width="13.85546875" style="284" customWidth="1"/>
    <col min="3598" max="3598" width="15.42578125" style="284" customWidth="1"/>
    <col min="3599" max="3599" width="14.85546875" style="284" customWidth="1"/>
    <col min="3600" max="3600" width="15.42578125" style="284" customWidth="1"/>
    <col min="3601" max="3602" width="13.85546875" style="284" customWidth="1"/>
    <col min="3603" max="3603" width="1.5703125" style="284" customWidth="1"/>
    <col min="3604" max="3604" width="12" style="284" customWidth="1"/>
    <col min="3605" max="3605" width="15.28515625" style="284" bestFit="1" customWidth="1"/>
    <col min="3606" max="3606" width="14.42578125" style="284" bestFit="1" customWidth="1"/>
    <col min="3607" max="3607" width="12.140625" style="284" customWidth="1"/>
    <col min="3608" max="3608" width="10.5703125" style="284" bestFit="1" customWidth="1"/>
    <col min="3609" max="3609" width="14.7109375" style="284" customWidth="1"/>
    <col min="3610" max="3610" width="14.5703125" style="284" bestFit="1" customWidth="1"/>
    <col min="3611" max="3611" width="17.7109375" style="284" customWidth="1"/>
    <col min="3612" max="3612" width="15" style="284" customWidth="1"/>
    <col min="3613" max="3613" width="8.85546875" style="284" customWidth="1"/>
    <col min="3614" max="3614" width="16" style="284" customWidth="1"/>
    <col min="3615" max="3615" width="14.85546875" style="284" bestFit="1" customWidth="1"/>
    <col min="3616" max="3616" width="15.140625" style="284" customWidth="1"/>
    <col min="3617" max="3617" width="11.85546875" style="284" customWidth="1"/>
    <col min="3618" max="3618" width="10.7109375" style="284" bestFit="1" customWidth="1"/>
    <col min="3619" max="3619" width="13.85546875" style="284" customWidth="1"/>
    <col min="3620" max="3622" width="18.140625" style="284" bestFit="1" customWidth="1"/>
    <col min="3623" max="3627" width="8.85546875" style="284"/>
    <col min="3628" max="3628" width="10.42578125" style="284" bestFit="1" customWidth="1"/>
    <col min="3629" max="3630" width="14.28515625" style="284" bestFit="1" customWidth="1"/>
    <col min="3631" max="3635" width="10.42578125" style="284" bestFit="1" customWidth="1"/>
    <col min="3636" max="3841" width="8.85546875" style="284"/>
    <col min="3842" max="3842" width="15.7109375" style="284" customWidth="1"/>
    <col min="3843" max="3843" width="14.7109375" style="284" bestFit="1" customWidth="1"/>
    <col min="3844" max="3844" width="12.5703125" style="284" customWidth="1"/>
    <col min="3845" max="3845" width="21" style="284" bestFit="1" customWidth="1"/>
    <col min="3846" max="3846" width="19.85546875" style="284" customWidth="1"/>
    <col min="3847" max="3847" width="15.85546875" style="284" bestFit="1" customWidth="1"/>
    <col min="3848" max="3848" width="14.85546875" style="284" bestFit="1" customWidth="1"/>
    <col min="3849" max="3849" width="15.85546875" style="284" bestFit="1" customWidth="1"/>
    <col min="3850" max="3851" width="11.5703125" style="284" customWidth="1"/>
    <col min="3852" max="3853" width="13.85546875" style="284" customWidth="1"/>
    <col min="3854" max="3854" width="15.42578125" style="284" customWidth="1"/>
    <col min="3855" max="3855" width="14.85546875" style="284" customWidth="1"/>
    <col min="3856" max="3856" width="15.42578125" style="284" customWidth="1"/>
    <col min="3857" max="3858" width="13.85546875" style="284" customWidth="1"/>
    <col min="3859" max="3859" width="1.5703125" style="284" customWidth="1"/>
    <col min="3860" max="3860" width="12" style="284" customWidth="1"/>
    <col min="3861" max="3861" width="15.28515625" style="284" bestFit="1" customWidth="1"/>
    <col min="3862" max="3862" width="14.42578125" style="284" bestFit="1" customWidth="1"/>
    <col min="3863" max="3863" width="12.140625" style="284" customWidth="1"/>
    <col min="3864" max="3864" width="10.5703125" style="284" bestFit="1" customWidth="1"/>
    <col min="3865" max="3865" width="14.7109375" style="284" customWidth="1"/>
    <col min="3866" max="3866" width="14.5703125" style="284" bestFit="1" customWidth="1"/>
    <col min="3867" max="3867" width="17.7109375" style="284" customWidth="1"/>
    <col min="3868" max="3868" width="15" style="284" customWidth="1"/>
    <col min="3869" max="3869" width="8.85546875" style="284" customWidth="1"/>
    <col min="3870" max="3870" width="16" style="284" customWidth="1"/>
    <col min="3871" max="3871" width="14.85546875" style="284" bestFit="1" customWidth="1"/>
    <col min="3872" max="3872" width="15.140625" style="284" customWidth="1"/>
    <col min="3873" max="3873" width="11.85546875" style="284" customWidth="1"/>
    <col min="3874" max="3874" width="10.7109375" style="284" bestFit="1" customWidth="1"/>
    <col min="3875" max="3875" width="13.85546875" style="284" customWidth="1"/>
    <col min="3876" max="3878" width="18.140625" style="284" bestFit="1" customWidth="1"/>
    <col min="3879" max="3883" width="8.85546875" style="284"/>
    <col min="3884" max="3884" width="10.42578125" style="284" bestFit="1" customWidth="1"/>
    <col min="3885" max="3886" width="14.28515625" style="284" bestFit="1" customWidth="1"/>
    <col min="3887" max="3891" width="10.42578125" style="284" bestFit="1" customWidth="1"/>
    <col min="3892" max="4097" width="8.85546875" style="284"/>
    <col min="4098" max="4098" width="15.7109375" style="284" customWidth="1"/>
    <col min="4099" max="4099" width="14.7109375" style="284" bestFit="1" customWidth="1"/>
    <col min="4100" max="4100" width="12.5703125" style="284" customWidth="1"/>
    <col min="4101" max="4101" width="21" style="284" bestFit="1" customWidth="1"/>
    <col min="4102" max="4102" width="19.85546875" style="284" customWidth="1"/>
    <col min="4103" max="4103" width="15.85546875" style="284" bestFit="1" customWidth="1"/>
    <col min="4104" max="4104" width="14.85546875" style="284" bestFit="1" customWidth="1"/>
    <col min="4105" max="4105" width="15.85546875" style="284" bestFit="1" customWidth="1"/>
    <col min="4106" max="4107" width="11.5703125" style="284" customWidth="1"/>
    <col min="4108" max="4109" width="13.85546875" style="284" customWidth="1"/>
    <col min="4110" max="4110" width="15.42578125" style="284" customWidth="1"/>
    <col min="4111" max="4111" width="14.85546875" style="284" customWidth="1"/>
    <col min="4112" max="4112" width="15.42578125" style="284" customWidth="1"/>
    <col min="4113" max="4114" width="13.85546875" style="284" customWidth="1"/>
    <col min="4115" max="4115" width="1.5703125" style="284" customWidth="1"/>
    <col min="4116" max="4116" width="12" style="284" customWidth="1"/>
    <col min="4117" max="4117" width="15.28515625" style="284" bestFit="1" customWidth="1"/>
    <col min="4118" max="4118" width="14.42578125" style="284" bestFit="1" customWidth="1"/>
    <col min="4119" max="4119" width="12.140625" style="284" customWidth="1"/>
    <col min="4120" max="4120" width="10.5703125" style="284" bestFit="1" customWidth="1"/>
    <col min="4121" max="4121" width="14.7109375" style="284" customWidth="1"/>
    <col min="4122" max="4122" width="14.5703125" style="284" bestFit="1" customWidth="1"/>
    <col min="4123" max="4123" width="17.7109375" style="284" customWidth="1"/>
    <col min="4124" max="4124" width="15" style="284" customWidth="1"/>
    <col min="4125" max="4125" width="8.85546875" style="284" customWidth="1"/>
    <col min="4126" max="4126" width="16" style="284" customWidth="1"/>
    <col min="4127" max="4127" width="14.85546875" style="284" bestFit="1" customWidth="1"/>
    <col min="4128" max="4128" width="15.140625" style="284" customWidth="1"/>
    <col min="4129" max="4129" width="11.85546875" style="284" customWidth="1"/>
    <col min="4130" max="4130" width="10.7109375" style="284" bestFit="1" customWidth="1"/>
    <col min="4131" max="4131" width="13.85546875" style="284" customWidth="1"/>
    <col min="4132" max="4134" width="18.140625" style="284" bestFit="1" customWidth="1"/>
    <col min="4135" max="4139" width="8.85546875" style="284"/>
    <col min="4140" max="4140" width="10.42578125" style="284" bestFit="1" customWidth="1"/>
    <col min="4141" max="4142" width="14.28515625" style="284" bestFit="1" customWidth="1"/>
    <col min="4143" max="4147" width="10.42578125" style="284" bestFit="1" customWidth="1"/>
    <col min="4148" max="4353" width="8.85546875" style="284"/>
    <col min="4354" max="4354" width="15.7109375" style="284" customWidth="1"/>
    <col min="4355" max="4355" width="14.7109375" style="284" bestFit="1" customWidth="1"/>
    <col min="4356" max="4356" width="12.5703125" style="284" customWidth="1"/>
    <col min="4357" max="4357" width="21" style="284" bestFit="1" customWidth="1"/>
    <col min="4358" max="4358" width="19.85546875" style="284" customWidth="1"/>
    <col min="4359" max="4359" width="15.85546875" style="284" bestFit="1" customWidth="1"/>
    <col min="4360" max="4360" width="14.85546875" style="284" bestFit="1" customWidth="1"/>
    <col min="4361" max="4361" width="15.85546875" style="284" bestFit="1" customWidth="1"/>
    <col min="4362" max="4363" width="11.5703125" style="284" customWidth="1"/>
    <col min="4364" max="4365" width="13.85546875" style="284" customWidth="1"/>
    <col min="4366" max="4366" width="15.42578125" style="284" customWidth="1"/>
    <col min="4367" max="4367" width="14.85546875" style="284" customWidth="1"/>
    <col min="4368" max="4368" width="15.42578125" style="284" customWidth="1"/>
    <col min="4369" max="4370" width="13.85546875" style="284" customWidth="1"/>
    <col min="4371" max="4371" width="1.5703125" style="284" customWidth="1"/>
    <col min="4372" max="4372" width="12" style="284" customWidth="1"/>
    <col min="4373" max="4373" width="15.28515625" style="284" bestFit="1" customWidth="1"/>
    <col min="4374" max="4374" width="14.42578125" style="284" bestFit="1" customWidth="1"/>
    <col min="4375" max="4375" width="12.140625" style="284" customWidth="1"/>
    <col min="4376" max="4376" width="10.5703125" style="284" bestFit="1" customWidth="1"/>
    <col min="4377" max="4377" width="14.7109375" style="284" customWidth="1"/>
    <col min="4378" max="4378" width="14.5703125" style="284" bestFit="1" customWidth="1"/>
    <col min="4379" max="4379" width="17.7109375" style="284" customWidth="1"/>
    <col min="4380" max="4380" width="15" style="284" customWidth="1"/>
    <col min="4381" max="4381" width="8.85546875" style="284" customWidth="1"/>
    <col min="4382" max="4382" width="16" style="284" customWidth="1"/>
    <col min="4383" max="4383" width="14.85546875" style="284" bestFit="1" customWidth="1"/>
    <col min="4384" max="4384" width="15.140625" style="284" customWidth="1"/>
    <col min="4385" max="4385" width="11.85546875" style="284" customWidth="1"/>
    <col min="4386" max="4386" width="10.7109375" style="284" bestFit="1" customWidth="1"/>
    <col min="4387" max="4387" width="13.85546875" style="284" customWidth="1"/>
    <col min="4388" max="4390" width="18.140625" style="284" bestFit="1" customWidth="1"/>
    <col min="4391" max="4395" width="8.85546875" style="284"/>
    <col min="4396" max="4396" width="10.42578125" style="284" bestFit="1" customWidth="1"/>
    <col min="4397" max="4398" width="14.28515625" style="284" bestFit="1" customWidth="1"/>
    <col min="4399" max="4403" width="10.42578125" style="284" bestFit="1" customWidth="1"/>
    <col min="4404" max="4609" width="8.85546875" style="284"/>
    <col min="4610" max="4610" width="15.7109375" style="284" customWidth="1"/>
    <col min="4611" max="4611" width="14.7109375" style="284" bestFit="1" customWidth="1"/>
    <col min="4612" max="4612" width="12.5703125" style="284" customWidth="1"/>
    <col min="4613" max="4613" width="21" style="284" bestFit="1" customWidth="1"/>
    <col min="4614" max="4614" width="19.85546875" style="284" customWidth="1"/>
    <col min="4615" max="4615" width="15.85546875" style="284" bestFit="1" customWidth="1"/>
    <col min="4616" max="4616" width="14.85546875" style="284" bestFit="1" customWidth="1"/>
    <col min="4617" max="4617" width="15.85546875" style="284" bestFit="1" customWidth="1"/>
    <col min="4618" max="4619" width="11.5703125" style="284" customWidth="1"/>
    <col min="4620" max="4621" width="13.85546875" style="284" customWidth="1"/>
    <col min="4622" max="4622" width="15.42578125" style="284" customWidth="1"/>
    <col min="4623" max="4623" width="14.85546875" style="284" customWidth="1"/>
    <col min="4624" max="4624" width="15.42578125" style="284" customWidth="1"/>
    <col min="4625" max="4626" width="13.85546875" style="284" customWidth="1"/>
    <col min="4627" max="4627" width="1.5703125" style="284" customWidth="1"/>
    <col min="4628" max="4628" width="12" style="284" customWidth="1"/>
    <col min="4629" max="4629" width="15.28515625" style="284" bestFit="1" customWidth="1"/>
    <col min="4630" max="4630" width="14.42578125" style="284" bestFit="1" customWidth="1"/>
    <col min="4631" max="4631" width="12.140625" style="284" customWidth="1"/>
    <col min="4632" max="4632" width="10.5703125" style="284" bestFit="1" customWidth="1"/>
    <col min="4633" max="4633" width="14.7109375" style="284" customWidth="1"/>
    <col min="4634" max="4634" width="14.5703125" style="284" bestFit="1" customWidth="1"/>
    <col min="4635" max="4635" width="17.7109375" style="284" customWidth="1"/>
    <col min="4636" max="4636" width="15" style="284" customWidth="1"/>
    <col min="4637" max="4637" width="8.85546875" style="284" customWidth="1"/>
    <col min="4638" max="4638" width="16" style="284" customWidth="1"/>
    <col min="4639" max="4639" width="14.85546875" style="284" bestFit="1" customWidth="1"/>
    <col min="4640" max="4640" width="15.140625" style="284" customWidth="1"/>
    <col min="4641" max="4641" width="11.85546875" style="284" customWidth="1"/>
    <col min="4642" max="4642" width="10.7109375" style="284" bestFit="1" customWidth="1"/>
    <col min="4643" max="4643" width="13.85546875" style="284" customWidth="1"/>
    <col min="4644" max="4646" width="18.140625" style="284" bestFit="1" customWidth="1"/>
    <col min="4647" max="4651" width="8.85546875" style="284"/>
    <col min="4652" max="4652" width="10.42578125" style="284" bestFit="1" customWidth="1"/>
    <col min="4653" max="4654" width="14.28515625" style="284" bestFit="1" customWidth="1"/>
    <col min="4655" max="4659" width="10.42578125" style="284" bestFit="1" customWidth="1"/>
    <col min="4660" max="4865" width="8.85546875" style="284"/>
    <col min="4866" max="4866" width="15.7109375" style="284" customWidth="1"/>
    <col min="4867" max="4867" width="14.7109375" style="284" bestFit="1" customWidth="1"/>
    <col min="4868" max="4868" width="12.5703125" style="284" customWidth="1"/>
    <col min="4869" max="4869" width="21" style="284" bestFit="1" customWidth="1"/>
    <col min="4870" max="4870" width="19.85546875" style="284" customWidth="1"/>
    <col min="4871" max="4871" width="15.85546875" style="284" bestFit="1" customWidth="1"/>
    <col min="4872" max="4872" width="14.85546875" style="284" bestFit="1" customWidth="1"/>
    <col min="4873" max="4873" width="15.85546875" style="284" bestFit="1" customWidth="1"/>
    <col min="4874" max="4875" width="11.5703125" style="284" customWidth="1"/>
    <col min="4876" max="4877" width="13.85546875" style="284" customWidth="1"/>
    <col min="4878" max="4878" width="15.42578125" style="284" customWidth="1"/>
    <col min="4879" max="4879" width="14.85546875" style="284" customWidth="1"/>
    <col min="4880" max="4880" width="15.42578125" style="284" customWidth="1"/>
    <col min="4881" max="4882" width="13.85546875" style="284" customWidth="1"/>
    <col min="4883" max="4883" width="1.5703125" style="284" customWidth="1"/>
    <col min="4884" max="4884" width="12" style="284" customWidth="1"/>
    <col min="4885" max="4885" width="15.28515625" style="284" bestFit="1" customWidth="1"/>
    <col min="4886" max="4886" width="14.42578125" style="284" bestFit="1" customWidth="1"/>
    <col min="4887" max="4887" width="12.140625" style="284" customWidth="1"/>
    <col min="4888" max="4888" width="10.5703125" style="284" bestFit="1" customWidth="1"/>
    <col min="4889" max="4889" width="14.7109375" style="284" customWidth="1"/>
    <col min="4890" max="4890" width="14.5703125" style="284" bestFit="1" customWidth="1"/>
    <col min="4891" max="4891" width="17.7109375" style="284" customWidth="1"/>
    <col min="4892" max="4892" width="15" style="284" customWidth="1"/>
    <col min="4893" max="4893" width="8.85546875" style="284" customWidth="1"/>
    <col min="4894" max="4894" width="16" style="284" customWidth="1"/>
    <col min="4895" max="4895" width="14.85546875" style="284" bestFit="1" customWidth="1"/>
    <col min="4896" max="4896" width="15.140625" style="284" customWidth="1"/>
    <col min="4897" max="4897" width="11.85546875" style="284" customWidth="1"/>
    <col min="4898" max="4898" width="10.7109375" style="284" bestFit="1" customWidth="1"/>
    <col min="4899" max="4899" width="13.85546875" style="284" customWidth="1"/>
    <col min="4900" max="4902" width="18.140625" style="284" bestFit="1" customWidth="1"/>
    <col min="4903" max="4907" width="8.85546875" style="284"/>
    <col min="4908" max="4908" width="10.42578125" style="284" bestFit="1" customWidth="1"/>
    <col min="4909" max="4910" width="14.28515625" style="284" bestFit="1" customWidth="1"/>
    <col min="4911" max="4915" width="10.42578125" style="284" bestFit="1" customWidth="1"/>
    <col min="4916" max="5121" width="8.85546875" style="284"/>
    <col min="5122" max="5122" width="15.7109375" style="284" customWidth="1"/>
    <col min="5123" max="5123" width="14.7109375" style="284" bestFit="1" customWidth="1"/>
    <col min="5124" max="5124" width="12.5703125" style="284" customWidth="1"/>
    <col min="5125" max="5125" width="21" style="284" bestFit="1" customWidth="1"/>
    <col min="5126" max="5126" width="19.85546875" style="284" customWidth="1"/>
    <col min="5127" max="5127" width="15.85546875" style="284" bestFit="1" customWidth="1"/>
    <col min="5128" max="5128" width="14.85546875" style="284" bestFit="1" customWidth="1"/>
    <col min="5129" max="5129" width="15.85546875" style="284" bestFit="1" customWidth="1"/>
    <col min="5130" max="5131" width="11.5703125" style="284" customWidth="1"/>
    <col min="5132" max="5133" width="13.85546875" style="284" customWidth="1"/>
    <col min="5134" max="5134" width="15.42578125" style="284" customWidth="1"/>
    <col min="5135" max="5135" width="14.85546875" style="284" customWidth="1"/>
    <col min="5136" max="5136" width="15.42578125" style="284" customWidth="1"/>
    <col min="5137" max="5138" width="13.85546875" style="284" customWidth="1"/>
    <col min="5139" max="5139" width="1.5703125" style="284" customWidth="1"/>
    <col min="5140" max="5140" width="12" style="284" customWidth="1"/>
    <col min="5141" max="5141" width="15.28515625" style="284" bestFit="1" customWidth="1"/>
    <col min="5142" max="5142" width="14.42578125" style="284" bestFit="1" customWidth="1"/>
    <col min="5143" max="5143" width="12.140625" style="284" customWidth="1"/>
    <col min="5144" max="5144" width="10.5703125" style="284" bestFit="1" customWidth="1"/>
    <col min="5145" max="5145" width="14.7109375" style="284" customWidth="1"/>
    <col min="5146" max="5146" width="14.5703125" style="284" bestFit="1" customWidth="1"/>
    <col min="5147" max="5147" width="17.7109375" style="284" customWidth="1"/>
    <col min="5148" max="5148" width="15" style="284" customWidth="1"/>
    <col min="5149" max="5149" width="8.85546875" style="284" customWidth="1"/>
    <col min="5150" max="5150" width="16" style="284" customWidth="1"/>
    <col min="5151" max="5151" width="14.85546875" style="284" bestFit="1" customWidth="1"/>
    <col min="5152" max="5152" width="15.140625" style="284" customWidth="1"/>
    <col min="5153" max="5153" width="11.85546875" style="284" customWidth="1"/>
    <col min="5154" max="5154" width="10.7109375" style="284" bestFit="1" customWidth="1"/>
    <col min="5155" max="5155" width="13.85546875" style="284" customWidth="1"/>
    <col min="5156" max="5158" width="18.140625" style="284" bestFit="1" customWidth="1"/>
    <col min="5159" max="5163" width="8.85546875" style="284"/>
    <col min="5164" max="5164" width="10.42578125" style="284" bestFit="1" customWidth="1"/>
    <col min="5165" max="5166" width="14.28515625" style="284" bestFit="1" customWidth="1"/>
    <col min="5167" max="5171" width="10.42578125" style="284" bestFit="1" customWidth="1"/>
    <col min="5172" max="5377" width="8.85546875" style="284"/>
    <col min="5378" max="5378" width="15.7109375" style="284" customWidth="1"/>
    <col min="5379" max="5379" width="14.7109375" style="284" bestFit="1" customWidth="1"/>
    <col min="5380" max="5380" width="12.5703125" style="284" customWidth="1"/>
    <col min="5381" max="5381" width="21" style="284" bestFit="1" customWidth="1"/>
    <col min="5382" max="5382" width="19.85546875" style="284" customWidth="1"/>
    <col min="5383" max="5383" width="15.85546875" style="284" bestFit="1" customWidth="1"/>
    <col min="5384" max="5384" width="14.85546875" style="284" bestFit="1" customWidth="1"/>
    <col min="5385" max="5385" width="15.85546875" style="284" bestFit="1" customWidth="1"/>
    <col min="5386" max="5387" width="11.5703125" style="284" customWidth="1"/>
    <col min="5388" max="5389" width="13.85546875" style="284" customWidth="1"/>
    <col min="5390" max="5390" width="15.42578125" style="284" customWidth="1"/>
    <col min="5391" max="5391" width="14.85546875" style="284" customWidth="1"/>
    <col min="5392" max="5392" width="15.42578125" style="284" customWidth="1"/>
    <col min="5393" max="5394" width="13.85546875" style="284" customWidth="1"/>
    <col min="5395" max="5395" width="1.5703125" style="284" customWidth="1"/>
    <col min="5396" max="5396" width="12" style="284" customWidth="1"/>
    <col min="5397" max="5397" width="15.28515625" style="284" bestFit="1" customWidth="1"/>
    <col min="5398" max="5398" width="14.42578125" style="284" bestFit="1" customWidth="1"/>
    <col min="5399" max="5399" width="12.140625" style="284" customWidth="1"/>
    <col min="5400" max="5400" width="10.5703125" style="284" bestFit="1" customWidth="1"/>
    <col min="5401" max="5401" width="14.7109375" style="284" customWidth="1"/>
    <col min="5402" max="5402" width="14.5703125" style="284" bestFit="1" customWidth="1"/>
    <col min="5403" max="5403" width="17.7109375" style="284" customWidth="1"/>
    <col min="5404" max="5404" width="15" style="284" customWidth="1"/>
    <col min="5405" max="5405" width="8.85546875" style="284" customWidth="1"/>
    <col min="5406" max="5406" width="16" style="284" customWidth="1"/>
    <col min="5407" max="5407" width="14.85546875" style="284" bestFit="1" customWidth="1"/>
    <col min="5408" max="5408" width="15.140625" style="284" customWidth="1"/>
    <col min="5409" max="5409" width="11.85546875" style="284" customWidth="1"/>
    <col min="5410" max="5410" width="10.7109375" style="284" bestFit="1" customWidth="1"/>
    <col min="5411" max="5411" width="13.85546875" style="284" customWidth="1"/>
    <col min="5412" max="5414" width="18.140625" style="284" bestFit="1" customWidth="1"/>
    <col min="5415" max="5419" width="8.85546875" style="284"/>
    <col min="5420" max="5420" width="10.42578125" style="284" bestFit="1" customWidth="1"/>
    <col min="5421" max="5422" width="14.28515625" style="284" bestFit="1" customWidth="1"/>
    <col min="5423" max="5427" width="10.42578125" style="284" bestFit="1" customWidth="1"/>
    <col min="5428" max="5633" width="8.85546875" style="284"/>
    <col min="5634" max="5634" width="15.7109375" style="284" customWidth="1"/>
    <col min="5635" max="5635" width="14.7109375" style="284" bestFit="1" customWidth="1"/>
    <col min="5636" max="5636" width="12.5703125" style="284" customWidth="1"/>
    <col min="5637" max="5637" width="21" style="284" bestFit="1" customWidth="1"/>
    <col min="5638" max="5638" width="19.85546875" style="284" customWidth="1"/>
    <col min="5639" max="5639" width="15.85546875" style="284" bestFit="1" customWidth="1"/>
    <col min="5640" max="5640" width="14.85546875" style="284" bestFit="1" customWidth="1"/>
    <col min="5641" max="5641" width="15.85546875" style="284" bestFit="1" customWidth="1"/>
    <col min="5642" max="5643" width="11.5703125" style="284" customWidth="1"/>
    <col min="5644" max="5645" width="13.85546875" style="284" customWidth="1"/>
    <col min="5646" max="5646" width="15.42578125" style="284" customWidth="1"/>
    <col min="5647" max="5647" width="14.85546875" style="284" customWidth="1"/>
    <col min="5648" max="5648" width="15.42578125" style="284" customWidth="1"/>
    <col min="5649" max="5650" width="13.85546875" style="284" customWidth="1"/>
    <col min="5651" max="5651" width="1.5703125" style="284" customWidth="1"/>
    <col min="5652" max="5652" width="12" style="284" customWidth="1"/>
    <col min="5653" max="5653" width="15.28515625" style="284" bestFit="1" customWidth="1"/>
    <col min="5654" max="5654" width="14.42578125" style="284" bestFit="1" customWidth="1"/>
    <col min="5655" max="5655" width="12.140625" style="284" customWidth="1"/>
    <col min="5656" max="5656" width="10.5703125" style="284" bestFit="1" customWidth="1"/>
    <col min="5657" max="5657" width="14.7109375" style="284" customWidth="1"/>
    <col min="5658" max="5658" width="14.5703125" style="284" bestFit="1" customWidth="1"/>
    <col min="5659" max="5659" width="17.7109375" style="284" customWidth="1"/>
    <col min="5660" max="5660" width="15" style="284" customWidth="1"/>
    <col min="5661" max="5661" width="8.85546875" style="284" customWidth="1"/>
    <col min="5662" max="5662" width="16" style="284" customWidth="1"/>
    <col min="5663" max="5663" width="14.85546875" style="284" bestFit="1" customWidth="1"/>
    <col min="5664" max="5664" width="15.140625" style="284" customWidth="1"/>
    <col min="5665" max="5665" width="11.85546875" style="284" customWidth="1"/>
    <col min="5666" max="5666" width="10.7109375" style="284" bestFit="1" customWidth="1"/>
    <col min="5667" max="5667" width="13.85546875" style="284" customWidth="1"/>
    <col min="5668" max="5670" width="18.140625" style="284" bestFit="1" customWidth="1"/>
    <col min="5671" max="5675" width="8.85546875" style="284"/>
    <col min="5676" max="5676" width="10.42578125" style="284" bestFit="1" customWidth="1"/>
    <col min="5677" max="5678" width="14.28515625" style="284" bestFit="1" customWidth="1"/>
    <col min="5679" max="5683" width="10.42578125" style="284" bestFit="1" customWidth="1"/>
    <col min="5684" max="5889" width="8.85546875" style="284"/>
    <col min="5890" max="5890" width="15.7109375" style="284" customWidth="1"/>
    <col min="5891" max="5891" width="14.7109375" style="284" bestFit="1" customWidth="1"/>
    <col min="5892" max="5892" width="12.5703125" style="284" customWidth="1"/>
    <col min="5893" max="5893" width="21" style="284" bestFit="1" customWidth="1"/>
    <col min="5894" max="5894" width="19.85546875" style="284" customWidth="1"/>
    <col min="5895" max="5895" width="15.85546875" style="284" bestFit="1" customWidth="1"/>
    <col min="5896" max="5896" width="14.85546875" style="284" bestFit="1" customWidth="1"/>
    <col min="5897" max="5897" width="15.85546875" style="284" bestFit="1" customWidth="1"/>
    <col min="5898" max="5899" width="11.5703125" style="284" customWidth="1"/>
    <col min="5900" max="5901" width="13.85546875" style="284" customWidth="1"/>
    <col min="5902" max="5902" width="15.42578125" style="284" customWidth="1"/>
    <col min="5903" max="5903" width="14.85546875" style="284" customWidth="1"/>
    <col min="5904" max="5904" width="15.42578125" style="284" customWidth="1"/>
    <col min="5905" max="5906" width="13.85546875" style="284" customWidth="1"/>
    <col min="5907" max="5907" width="1.5703125" style="284" customWidth="1"/>
    <col min="5908" max="5908" width="12" style="284" customWidth="1"/>
    <col min="5909" max="5909" width="15.28515625" style="284" bestFit="1" customWidth="1"/>
    <col min="5910" max="5910" width="14.42578125" style="284" bestFit="1" customWidth="1"/>
    <col min="5911" max="5911" width="12.140625" style="284" customWidth="1"/>
    <col min="5912" max="5912" width="10.5703125" style="284" bestFit="1" customWidth="1"/>
    <col min="5913" max="5913" width="14.7109375" style="284" customWidth="1"/>
    <col min="5914" max="5914" width="14.5703125" style="284" bestFit="1" customWidth="1"/>
    <col min="5915" max="5915" width="17.7109375" style="284" customWidth="1"/>
    <col min="5916" max="5916" width="15" style="284" customWidth="1"/>
    <col min="5917" max="5917" width="8.85546875" style="284" customWidth="1"/>
    <col min="5918" max="5918" width="16" style="284" customWidth="1"/>
    <col min="5919" max="5919" width="14.85546875" style="284" bestFit="1" customWidth="1"/>
    <col min="5920" max="5920" width="15.140625" style="284" customWidth="1"/>
    <col min="5921" max="5921" width="11.85546875" style="284" customWidth="1"/>
    <col min="5922" max="5922" width="10.7109375" style="284" bestFit="1" customWidth="1"/>
    <col min="5923" max="5923" width="13.85546875" style="284" customWidth="1"/>
    <col min="5924" max="5926" width="18.140625" style="284" bestFit="1" customWidth="1"/>
    <col min="5927" max="5931" width="8.85546875" style="284"/>
    <col min="5932" max="5932" width="10.42578125" style="284" bestFit="1" customWidth="1"/>
    <col min="5933" max="5934" width="14.28515625" style="284" bestFit="1" customWidth="1"/>
    <col min="5935" max="5939" width="10.42578125" style="284" bestFit="1" customWidth="1"/>
    <col min="5940" max="6145" width="8.85546875" style="284"/>
    <col min="6146" max="6146" width="15.7109375" style="284" customWidth="1"/>
    <col min="6147" max="6147" width="14.7109375" style="284" bestFit="1" customWidth="1"/>
    <col min="6148" max="6148" width="12.5703125" style="284" customWidth="1"/>
    <col min="6149" max="6149" width="21" style="284" bestFit="1" customWidth="1"/>
    <col min="6150" max="6150" width="19.85546875" style="284" customWidth="1"/>
    <col min="6151" max="6151" width="15.85546875" style="284" bestFit="1" customWidth="1"/>
    <col min="6152" max="6152" width="14.85546875" style="284" bestFit="1" customWidth="1"/>
    <col min="6153" max="6153" width="15.85546875" style="284" bestFit="1" customWidth="1"/>
    <col min="6154" max="6155" width="11.5703125" style="284" customWidth="1"/>
    <col min="6156" max="6157" width="13.85546875" style="284" customWidth="1"/>
    <col min="6158" max="6158" width="15.42578125" style="284" customWidth="1"/>
    <col min="6159" max="6159" width="14.85546875" style="284" customWidth="1"/>
    <col min="6160" max="6160" width="15.42578125" style="284" customWidth="1"/>
    <col min="6161" max="6162" width="13.85546875" style="284" customWidth="1"/>
    <col min="6163" max="6163" width="1.5703125" style="284" customWidth="1"/>
    <col min="6164" max="6164" width="12" style="284" customWidth="1"/>
    <col min="6165" max="6165" width="15.28515625" style="284" bestFit="1" customWidth="1"/>
    <col min="6166" max="6166" width="14.42578125" style="284" bestFit="1" customWidth="1"/>
    <col min="6167" max="6167" width="12.140625" style="284" customWidth="1"/>
    <col min="6168" max="6168" width="10.5703125" style="284" bestFit="1" customWidth="1"/>
    <col min="6169" max="6169" width="14.7109375" style="284" customWidth="1"/>
    <col min="6170" max="6170" width="14.5703125" style="284" bestFit="1" customWidth="1"/>
    <col min="6171" max="6171" width="17.7109375" style="284" customWidth="1"/>
    <col min="6172" max="6172" width="15" style="284" customWidth="1"/>
    <col min="6173" max="6173" width="8.85546875" style="284" customWidth="1"/>
    <col min="6174" max="6174" width="16" style="284" customWidth="1"/>
    <col min="6175" max="6175" width="14.85546875" style="284" bestFit="1" customWidth="1"/>
    <col min="6176" max="6176" width="15.140625" style="284" customWidth="1"/>
    <col min="6177" max="6177" width="11.85546875" style="284" customWidth="1"/>
    <col min="6178" max="6178" width="10.7109375" style="284" bestFit="1" customWidth="1"/>
    <col min="6179" max="6179" width="13.85546875" style="284" customWidth="1"/>
    <col min="6180" max="6182" width="18.140625" style="284" bestFit="1" customWidth="1"/>
    <col min="6183" max="6187" width="8.85546875" style="284"/>
    <col min="6188" max="6188" width="10.42578125" style="284" bestFit="1" customWidth="1"/>
    <col min="6189" max="6190" width="14.28515625" style="284" bestFit="1" customWidth="1"/>
    <col min="6191" max="6195" width="10.42578125" style="284" bestFit="1" customWidth="1"/>
    <col min="6196" max="6401" width="8.85546875" style="284"/>
    <col min="6402" max="6402" width="15.7109375" style="284" customWidth="1"/>
    <col min="6403" max="6403" width="14.7109375" style="284" bestFit="1" customWidth="1"/>
    <col min="6404" max="6404" width="12.5703125" style="284" customWidth="1"/>
    <col min="6405" max="6405" width="21" style="284" bestFit="1" customWidth="1"/>
    <col min="6406" max="6406" width="19.85546875" style="284" customWidth="1"/>
    <col min="6407" max="6407" width="15.85546875" style="284" bestFit="1" customWidth="1"/>
    <col min="6408" max="6408" width="14.85546875" style="284" bestFit="1" customWidth="1"/>
    <col min="6409" max="6409" width="15.85546875" style="284" bestFit="1" customWidth="1"/>
    <col min="6410" max="6411" width="11.5703125" style="284" customWidth="1"/>
    <col min="6412" max="6413" width="13.85546875" style="284" customWidth="1"/>
    <col min="6414" max="6414" width="15.42578125" style="284" customWidth="1"/>
    <col min="6415" max="6415" width="14.85546875" style="284" customWidth="1"/>
    <col min="6416" max="6416" width="15.42578125" style="284" customWidth="1"/>
    <col min="6417" max="6418" width="13.85546875" style="284" customWidth="1"/>
    <col min="6419" max="6419" width="1.5703125" style="284" customWidth="1"/>
    <col min="6420" max="6420" width="12" style="284" customWidth="1"/>
    <col min="6421" max="6421" width="15.28515625" style="284" bestFit="1" customWidth="1"/>
    <col min="6422" max="6422" width="14.42578125" style="284" bestFit="1" customWidth="1"/>
    <col min="6423" max="6423" width="12.140625" style="284" customWidth="1"/>
    <col min="6424" max="6424" width="10.5703125" style="284" bestFit="1" customWidth="1"/>
    <col min="6425" max="6425" width="14.7109375" style="284" customWidth="1"/>
    <col min="6426" max="6426" width="14.5703125" style="284" bestFit="1" customWidth="1"/>
    <col min="6427" max="6427" width="17.7109375" style="284" customWidth="1"/>
    <col min="6428" max="6428" width="15" style="284" customWidth="1"/>
    <col min="6429" max="6429" width="8.85546875" style="284" customWidth="1"/>
    <col min="6430" max="6430" width="16" style="284" customWidth="1"/>
    <col min="6431" max="6431" width="14.85546875" style="284" bestFit="1" customWidth="1"/>
    <col min="6432" max="6432" width="15.140625" style="284" customWidth="1"/>
    <col min="6433" max="6433" width="11.85546875" style="284" customWidth="1"/>
    <col min="6434" max="6434" width="10.7109375" style="284" bestFit="1" customWidth="1"/>
    <col min="6435" max="6435" width="13.85546875" style="284" customWidth="1"/>
    <col min="6436" max="6438" width="18.140625" style="284" bestFit="1" customWidth="1"/>
    <col min="6439" max="6443" width="8.85546875" style="284"/>
    <col min="6444" max="6444" width="10.42578125" style="284" bestFit="1" customWidth="1"/>
    <col min="6445" max="6446" width="14.28515625" style="284" bestFit="1" customWidth="1"/>
    <col min="6447" max="6451" width="10.42578125" style="284" bestFit="1" customWidth="1"/>
    <col min="6452" max="6657" width="8.85546875" style="284"/>
    <col min="6658" max="6658" width="15.7109375" style="284" customWidth="1"/>
    <col min="6659" max="6659" width="14.7109375" style="284" bestFit="1" customWidth="1"/>
    <col min="6660" max="6660" width="12.5703125" style="284" customWidth="1"/>
    <col min="6661" max="6661" width="21" style="284" bestFit="1" customWidth="1"/>
    <col min="6662" max="6662" width="19.85546875" style="284" customWidth="1"/>
    <col min="6663" max="6663" width="15.85546875" style="284" bestFit="1" customWidth="1"/>
    <col min="6664" max="6664" width="14.85546875" style="284" bestFit="1" customWidth="1"/>
    <col min="6665" max="6665" width="15.85546875" style="284" bestFit="1" customWidth="1"/>
    <col min="6666" max="6667" width="11.5703125" style="284" customWidth="1"/>
    <col min="6668" max="6669" width="13.85546875" style="284" customWidth="1"/>
    <col min="6670" max="6670" width="15.42578125" style="284" customWidth="1"/>
    <col min="6671" max="6671" width="14.85546875" style="284" customWidth="1"/>
    <col min="6672" max="6672" width="15.42578125" style="284" customWidth="1"/>
    <col min="6673" max="6674" width="13.85546875" style="284" customWidth="1"/>
    <col min="6675" max="6675" width="1.5703125" style="284" customWidth="1"/>
    <col min="6676" max="6676" width="12" style="284" customWidth="1"/>
    <col min="6677" max="6677" width="15.28515625" style="284" bestFit="1" customWidth="1"/>
    <col min="6678" max="6678" width="14.42578125" style="284" bestFit="1" customWidth="1"/>
    <col min="6679" max="6679" width="12.140625" style="284" customWidth="1"/>
    <col min="6680" max="6680" width="10.5703125" style="284" bestFit="1" customWidth="1"/>
    <col min="6681" max="6681" width="14.7109375" style="284" customWidth="1"/>
    <col min="6682" max="6682" width="14.5703125" style="284" bestFit="1" customWidth="1"/>
    <col min="6683" max="6683" width="17.7109375" style="284" customWidth="1"/>
    <col min="6684" max="6684" width="15" style="284" customWidth="1"/>
    <col min="6685" max="6685" width="8.85546875" style="284" customWidth="1"/>
    <col min="6686" max="6686" width="16" style="284" customWidth="1"/>
    <col min="6687" max="6687" width="14.85546875" style="284" bestFit="1" customWidth="1"/>
    <col min="6688" max="6688" width="15.140625" style="284" customWidth="1"/>
    <col min="6689" max="6689" width="11.85546875" style="284" customWidth="1"/>
    <col min="6690" max="6690" width="10.7109375" style="284" bestFit="1" customWidth="1"/>
    <col min="6691" max="6691" width="13.85546875" style="284" customWidth="1"/>
    <col min="6692" max="6694" width="18.140625" style="284" bestFit="1" customWidth="1"/>
    <col min="6695" max="6699" width="8.85546875" style="284"/>
    <col min="6700" max="6700" width="10.42578125" style="284" bestFit="1" customWidth="1"/>
    <col min="6701" max="6702" width="14.28515625" style="284" bestFit="1" customWidth="1"/>
    <col min="6703" max="6707" width="10.42578125" style="284" bestFit="1" customWidth="1"/>
    <col min="6708" max="6913" width="8.85546875" style="284"/>
    <col min="6914" max="6914" width="15.7109375" style="284" customWidth="1"/>
    <col min="6915" max="6915" width="14.7109375" style="284" bestFit="1" customWidth="1"/>
    <col min="6916" max="6916" width="12.5703125" style="284" customWidth="1"/>
    <col min="6917" max="6917" width="21" style="284" bestFit="1" customWidth="1"/>
    <col min="6918" max="6918" width="19.85546875" style="284" customWidth="1"/>
    <col min="6919" max="6919" width="15.85546875" style="284" bestFit="1" customWidth="1"/>
    <col min="6920" max="6920" width="14.85546875" style="284" bestFit="1" customWidth="1"/>
    <col min="6921" max="6921" width="15.85546875" style="284" bestFit="1" customWidth="1"/>
    <col min="6922" max="6923" width="11.5703125" style="284" customWidth="1"/>
    <col min="6924" max="6925" width="13.85546875" style="284" customWidth="1"/>
    <col min="6926" max="6926" width="15.42578125" style="284" customWidth="1"/>
    <col min="6927" max="6927" width="14.85546875" style="284" customWidth="1"/>
    <col min="6928" max="6928" width="15.42578125" style="284" customWidth="1"/>
    <col min="6929" max="6930" width="13.85546875" style="284" customWidth="1"/>
    <col min="6931" max="6931" width="1.5703125" style="284" customWidth="1"/>
    <col min="6932" max="6932" width="12" style="284" customWidth="1"/>
    <col min="6933" max="6933" width="15.28515625" style="284" bestFit="1" customWidth="1"/>
    <col min="6934" max="6934" width="14.42578125" style="284" bestFit="1" customWidth="1"/>
    <col min="6935" max="6935" width="12.140625" style="284" customWidth="1"/>
    <col min="6936" max="6936" width="10.5703125" style="284" bestFit="1" customWidth="1"/>
    <col min="6937" max="6937" width="14.7109375" style="284" customWidth="1"/>
    <col min="6938" max="6938" width="14.5703125" style="284" bestFit="1" customWidth="1"/>
    <col min="6939" max="6939" width="17.7109375" style="284" customWidth="1"/>
    <col min="6940" max="6940" width="15" style="284" customWidth="1"/>
    <col min="6941" max="6941" width="8.85546875" style="284" customWidth="1"/>
    <col min="6942" max="6942" width="16" style="284" customWidth="1"/>
    <col min="6943" max="6943" width="14.85546875" style="284" bestFit="1" customWidth="1"/>
    <col min="6944" max="6944" width="15.140625" style="284" customWidth="1"/>
    <col min="6945" max="6945" width="11.85546875" style="284" customWidth="1"/>
    <col min="6946" max="6946" width="10.7109375" style="284" bestFit="1" customWidth="1"/>
    <col min="6947" max="6947" width="13.85546875" style="284" customWidth="1"/>
    <col min="6948" max="6950" width="18.140625" style="284" bestFit="1" customWidth="1"/>
    <col min="6951" max="6955" width="8.85546875" style="284"/>
    <col min="6956" max="6956" width="10.42578125" style="284" bestFit="1" customWidth="1"/>
    <col min="6957" max="6958" width="14.28515625" style="284" bestFit="1" customWidth="1"/>
    <col min="6959" max="6963" width="10.42578125" style="284" bestFit="1" customWidth="1"/>
    <col min="6964" max="7169" width="8.85546875" style="284"/>
    <col min="7170" max="7170" width="15.7109375" style="284" customWidth="1"/>
    <col min="7171" max="7171" width="14.7109375" style="284" bestFit="1" customWidth="1"/>
    <col min="7172" max="7172" width="12.5703125" style="284" customWidth="1"/>
    <col min="7173" max="7173" width="21" style="284" bestFit="1" customWidth="1"/>
    <col min="7174" max="7174" width="19.85546875" style="284" customWidth="1"/>
    <col min="7175" max="7175" width="15.85546875" style="284" bestFit="1" customWidth="1"/>
    <col min="7176" max="7176" width="14.85546875" style="284" bestFit="1" customWidth="1"/>
    <col min="7177" max="7177" width="15.85546875" style="284" bestFit="1" customWidth="1"/>
    <col min="7178" max="7179" width="11.5703125" style="284" customWidth="1"/>
    <col min="7180" max="7181" width="13.85546875" style="284" customWidth="1"/>
    <col min="7182" max="7182" width="15.42578125" style="284" customWidth="1"/>
    <col min="7183" max="7183" width="14.85546875" style="284" customWidth="1"/>
    <col min="7184" max="7184" width="15.42578125" style="284" customWidth="1"/>
    <col min="7185" max="7186" width="13.85546875" style="284" customWidth="1"/>
    <col min="7187" max="7187" width="1.5703125" style="284" customWidth="1"/>
    <col min="7188" max="7188" width="12" style="284" customWidth="1"/>
    <col min="7189" max="7189" width="15.28515625" style="284" bestFit="1" customWidth="1"/>
    <col min="7190" max="7190" width="14.42578125" style="284" bestFit="1" customWidth="1"/>
    <col min="7191" max="7191" width="12.140625" style="284" customWidth="1"/>
    <col min="7192" max="7192" width="10.5703125" style="284" bestFit="1" customWidth="1"/>
    <col min="7193" max="7193" width="14.7109375" style="284" customWidth="1"/>
    <col min="7194" max="7194" width="14.5703125" style="284" bestFit="1" customWidth="1"/>
    <col min="7195" max="7195" width="17.7109375" style="284" customWidth="1"/>
    <col min="7196" max="7196" width="15" style="284" customWidth="1"/>
    <col min="7197" max="7197" width="8.85546875" style="284" customWidth="1"/>
    <col min="7198" max="7198" width="16" style="284" customWidth="1"/>
    <col min="7199" max="7199" width="14.85546875" style="284" bestFit="1" customWidth="1"/>
    <col min="7200" max="7200" width="15.140625" style="284" customWidth="1"/>
    <col min="7201" max="7201" width="11.85546875" style="284" customWidth="1"/>
    <col min="7202" max="7202" width="10.7109375" style="284" bestFit="1" customWidth="1"/>
    <col min="7203" max="7203" width="13.85546875" style="284" customWidth="1"/>
    <col min="7204" max="7206" width="18.140625" style="284" bestFit="1" customWidth="1"/>
    <col min="7207" max="7211" width="8.85546875" style="284"/>
    <col min="7212" max="7212" width="10.42578125" style="284" bestFit="1" customWidth="1"/>
    <col min="7213" max="7214" width="14.28515625" style="284" bestFit="1" customWidth="1"/>
    <col min="7215" max="7219" width="10.42578125" style="284" bestFit="1" customWidth="1"/>
    <col min="7220" max="7425" width="8.85546875" style="284"/>
    <col min="7426" max="7426" width="15.7109375" style="284" customWidth="1"/>
    <col min="7427" max="7427" width="14.7109375" style="284" bestFit="1" customWidth="1"/>
    <col min="7428" max="7428" width="12.5703125" style="284" customWidth="1"/>
    <col min="7429" max="7429" width="21" style="284" bestFit="1" customWidth="1"/>
    <col min="7430" max="7430" width="19.85546875" style="284" customWidth="1"/>
    <col min="7431" max="7431" width="15.85546875" style="284" bestFit="1" customWidth="1"/>
    <col min="7432" max="7432" width="14.85546875" style="284" bestFit="1" customWidth="1"/>
    <col min="7433" max="7433" width="15.85546875" style="284" bestFit="1" customWidth="1"/>
    <col min="7434" max="7435" width="11.5703125" style="284" customWidth="1"/>
    <col min="7436" max="7437" width="13.85546875" style="284" customWidth="1"/>
    <col min="7438" max="7438" width="15.42578125" style="284" customWidth="1"/>
    <col min="7439" max="7439" width="14.85546875" style="284" customWidth="1"/>
    <col min="7440" max="7440" width="15.42578125" style="284" customWidth="1"/>
    <col min="7441" max="7442" width="13.85546875" style="284" customWidth="1"/>
    <col min="7443" max="7443" width="1.5703125" style="284" customWidth="1"/>
    <col min="7444" max="7444" width="12" style="284" customWidth="1"/>
    <col min="7445" max="7445" width="15.28515625" style="284" bestFit="1" customWidth="1"/>
    <col min="7446" max="7446" width="14.42578125" style="284" bestFit="1" customWidth="1"/>
    <col min="7447" max="7447" width="12.140625" style="284" customWidth="1"/>
    <col min="7448" max="7448" width="10.5703125" style="284" bestFit="1" customWidth="1"/>
    <col min="7449" max="7449" width="14.7109375" style="284" customWidth="1"/>
    <col min="7450" max="7450" width="14.5703125" style="284" bestFit="1" customWidth="1"/>
    <col min="7451" max="7451" width="17.7109375" style="284" customWidth="1"/>
    <col min="7452" max="7452" width="15" style="284" customWidth="1"/>
    <col min="7453" max="7453" width="8.85546875" style="284" customWidth="1"/>
    <col min="7454" max="7454" width="16" style="284" customWidth="1"/>
    <col min="7455" max="7455" width="14.85546875" style="284" bestFit="1" customWidth="1"/>
    <col min="7456" max="7456" width="15.140625" style="284" customWidth="1"/>
    <col min="7457" max="7457" width="11.85546875" style="284" customWidth="1"/>
    <col min="7458" max="7458" width="10.7109375" style="284" bestFit="1" customWidth="1"/>
    <col min="7459" max="7459" width="13.85546875" style="284" customWidth="1"/>
    <col min="7460" max="7462" width="18.140625" style="284" bestFit="1" customWidth="1"/>
    <col min="7463" max="7467" width="8.85546875" style="284"/>
    <col min="7468" max="7468" width="10.42578125" style="284" bestFit="1" customWidth="1"/>
    <col min="7469" max="7470" width="14.28515625" style="284" bestFit="1" customWidth="1"/>
    <col min="7471" max="7475" width="10.42578125" style="284" bestFit="1" customWidth="1"/>
    <col min="7476" max="7681" width="8.85546875" style="284"/>
    <col min="7682" max="7682" width="15.7109375" style="284" customWidth="1"/>
    <col min="7683" max="7683" width="14.7109375" style="284" bestFit="1" customWidth="1"/>
    <col min="7684" max="7684" width="12.5703125" style="284" customWidth="1"/>
    <col min="7685" max="7685" width="21" style="284" bestFit="1" customWidth="1"/>
    <col min="7686" max="7686" width="19.85546875" style="284" customWidth="1"/>
    <col min="7687" max="7687" width="15.85546875" style="284" bestFit="1" customWidth="1"/>
    <col min="7688" max="7688" width="14.85546875" style="284" bestFit="1" customWidth="1"/>
    <col min="7689" max="7689" width="15.85546875" style="284" bestFit="1" customWidth="1"/>
    <col min="7690" max="7691" width="11.5703125" style="284" customWidth="1"/>
    <col min="7692" max="7693" width="13.85546875" style="284" customWidth="1"/>
    <col min="7694" max="7694" width="15.42578125" style="284" customWidth="1"/>
    <col min="7695" max="7695" width="14.85546875" style="284" customWidth="1"/>
    <col min="7696" max="7696" width="15.42578125" style="284" customWidth="1"/>
    <col min="7697" max="7698" width="13.85546875" style="284" customWidth="1"/>
    <col min="7699" max="7699" width="1.5703125" style="284" customWidth="1"/>
    <col min="7700" max="7700" width="12" style="284" customWidth="1"/>
    <col min="7701" max="7701" width="15.28515625" style="284" bestFit="1" customWidth="1"/>
    <col min="7702" max="7702" width="14.42578125" style="284" bestFit="1" customWidth="1"/>
    <col min="7703" max="7703" width="12.140625" style="284" customWidth="1"/>
    <col min="7704" max="7704" width="10.5703125" style="284" bestFit="1" customWidth="1"/>
    <col min="7705" max="7705" width="14.7109375" style="284" customWidth="1"/>
    <col min="7706" max="7706" width="14.5703125" style="284" bestFit="1" customWidth="1"/>
    <col min="7707" max="7707" width="17.7109375" style="284" customWidth="1"/>
    <col min="7708" max="7708" width="15" style="284" customWidth="1"/>
    <col min="7709" max="7709" width="8.85546875" style="284" customWidth="1"/>
    <col min="7710" max="7710" width="16" style="284" customWidth="1"/>
    <col min="7711" max="7711" width="14.85546875" style="284" bestFit="1" customWidth="1"/>
    <col min="7712" max="7712" width="15.140625" style="284" customWidth="1"/>
    <col min="7713" max="7713" width="11.85546875" style="284" customWidth="1"/>
    <col min="7714" max="7714" width="10.7109375" style="284" bestFit="1" customWidth="1"/>
    <col min="7715" max="7715" width="13.85546875" style="284" customWidth="1"/>
    <col min="7716" max="7718" width="18.140625" style="284" bestFit="1" customWidth="1"/>
    <col min="7719" max="7723" width="8.85546875" style="284"/>
    <col min="7724" max="7724" width="10.42578125" style="284" bestFit="1" customWidth="1"/>
    <col min="7725" max="7726" width="14.28515625" style="284" bestFit="1" customWidth="1"/>
    <col min="7727" max="7731" width="10.42578125" style="284" bestFit="1" customWidth="1"/>
    <col min="7732" max="7937" width="8.85546875" style="284"/>
    <col min="7938" max="7938" width="15.7109375" style="284" customWidth="1"/>
    <col min="7939" max="7939" width="14.7109375" style="284" bestFit="1" customWidth="1"/>
    <col min="7940" max="7940" width="12.5703125" style="284" customWidth="1"/>
    <col min="7941" max="7941" width="21" style="284" bestFit="1" customWidth="1"/>
    <col min="7942" max="7942" width="19.85546875" style="284" customWidth="1"/>
    <col min="7943" max="7943" width="15.85546875" style="284" bestFit="1" customWidth="1"/>
    <col min="7944" max="7944" width="14.85546875" style="284" bestFit="1" customWidth="1"/>
    <col min="7945" max="7945" width="15.85546875" style="284" bestFit="1" customWidth="1"/>
    <col min="7946" max="7947" width="11.5703125" style="284" customWidth="1"/>
    <col min="7948" max="7949" width="13.85546875" style="284" customWidth="1"/>
    <col min="7950" max="7950" width="15.42578125" style="284" customWidth="1"/>
    <col min="7951" max="7951" width="14.85546875" style="284" customWidth="1"/>
    <col min="7952" max="7952" width="15.42578125" style="284" customWidth="1"/>
    <col min="7953" max="7954" width="13.85546875" style="284" customWidth="1"/>
    <col min="7955" max="7955" width="1.5703125" style="284" customWidth="1"/>
    <col min="7956" max="7956" width="12" style="284" customWidth="1"/>
    <col min="7957" max="7957" width="15.28515625" style="284" bestFit="1" customWidth="1"/>
    <col min="7958" max="7958" width="14.42578125" style="284" bestFit="1" customWidth="1"/>
    <col min="7959" max="7959" width="12.140625" style="284" customWidth="1"/>
    <col min="7960" max="7960" width="10.5703125" style="284" bestFit="1" customWidth="1"/>
    <col min="7961" max="7961" width="14.7109375" style="284" customWidth="1"/>
    <col min="7962" max="7962" width="14.5703125" style="284" bestFit="1" customWidth="1"/>
    <col min="7963" max="7963" width="17.7109375" style="284" customWidth="1"/>
    <col min="7964" max="7964" width="15" style="284" customWidth="1"/>
    <col min="7965" max="7965" width="8.85546875" style="284" customWidth="1"/>
    <col min="7966" max="7966" width="16" style="284" customWidth="1"/>
    <col min="7967" max="7967" width="14.85546875" style="284" bestFit="1" customWidth="1"/>
    <col min="7968" max="7968" width="15.140625" style="284" customWidth="1"/>
    <col min="7969" max="7969" width="11.85546875" style="284" customWidth="1"/>
    <col min="7970" max="7970" width="10.7109375" style="284" bestFit="1" customWidth="1"/>
    <col min="7971" max="7971" width="13.85546875" style="284" customWidth="1"/>
    <col min="7972" max="7974" width="18.140625" style="284" bestFit="1" customWidth="1"/>
    <col min="7975" max="7979" width="8.85546875" style="284"/>
    <col min="7980" max="7980" width="10.42578125" style="284" bestFit="1" customWidth="1"/>
    <col min="7981" max="7982" width="14.28515625" style="284" bestFit="1" customWidth="1"/>
    <col min="7983" max="7987" width="10.42578125" style="284" bestFit="1" customWidth="1"/>
    <col min="7988" max="8193" width="8.85546875" style="284"/>
    <col min="8194" max="8194" width="15.7109375" style="284" customWidth="1"/>
    <col min="8195" max="8195" width="14.7109375" style="284" bestFit="1" customWidth="1"/>
    <col min="8196" max="8196" width="12.5703125" style="284" customWidth="1"/>
    <col min="8197" max="8197" width="21" style="284" bestFit="1" customWidth="1"/>
    <col min="8198" max="8198" width="19.85546875" style="284" customWidth="1"/>
    <col min="8199" max="8199" width="15.85546875" style="284" bestFit="1" customWidth="1"/>
    <col min="8200" max="8200" width="14.85546875" style="284" bestFit="1" customWidth="1"/>
    <col min="8201" max="8201" width="15.85546875" style="284" bestFit="1" customWidth="1"/>
    <col min="8202" max="8203" width="11.5703125" style="284" customWidth="1"/>
    <col min="8204" max="8205" width="13.85546875" style="284" customWidth="1"/>
    <col min="8206" max="8206" width="15.42578125" style="284" customWidth="1"/>
    <col min="8207" max="8207" width="14.85546875" style="284" customWidth="1"/>
    <col min="8208" max="8208" width="15.42578125" style="284" customWidth="1"/>
    <col min="8209" max="8210" width="13.85546875" style="284" customWidth="1"/>
    <col min="8211" max="8211" width="1.5703125" style="284" customWidth="1"/>
    <col min="8212" max="8212" width="12" style="284" customWidth="1"/>
    <col min="8213" max="8213" width="15.28515625" style="284" bestFit="1" customWidth="1"/>
    <col min="8214" max="8214" width="14.42578125" style="284" bestFit="1" customWidth="1"/>
    <col min="8215" max="8215" width="12.140625" style="284" customWidth="1"/>
    <col min="8216" max="8216" width="10.5703125" style="284" bestFit="1" customWidth="1"/>
    <col min="8217" max="8217" width="14.7109375" style="284" customWidth="1"/>
    <col min="8218" max="8218" width="14.5703125" style="284" bestFit="1" customWidth="1"/>
    <col min="8219" max="8219" width="17.7109375" style="284" customWidth="1"/>
    <col min="8220" max="8220" width="15" style="284" customWidth="1"/>
    <col min="8221" max="8221" width="8.85546875" style="284" customWidth="1"/>
    <col min="8222" max="8222" width="16" style="284" customWidth="1"/>
    <col min="8223" max="8223" width="14.85546875" style="284" bestFit="1" customWidth="1"/>
    <col min="8224" max="8224" width="15.140625" style="284" customWidth="1"/>
    <col min="8225" max="8225" width="11.85546875" style="284" customWidth="1"/>
    <col min="8226" max="8226" width="10.7109375" style="284" bestFit="1" customWidth="1"/>
    <col min="8227" max="8227" width="13.85546875" style="284" customWidth="1"/>
    <col min="8228" max="8230" width="18.140625" style="284" bestFit="1" customWidth="1"/>
    <col min="8231" max="8235" width="8.85546875" style="284"/>
    <col min="8236" max="8236" width="10.42578125" style="284" bestFit="1" customWidth="1"/>
    <col min="8237" max="8238" width="14.28515625" style="284" bestFit="1" customWidth="1"/>
    <col min="8239" max="8243" width="10.42578125" style="284" bestFit="1" customWidth="1"/>
    <col min="8244" max="8449" width="8.85546875" style="284"/>
    <col min="8450" max="8450" width="15.7109375" style="284" customWidth="1"/>
    <col min="8451" max="8451" width="14.7109375" style="284" bestFit="1" customWidth="1"/>
    <col min="8452" max="8452" width="12.5703125" style="284" customWidth="1"/>
    <col min="8453" max="8453" width="21" style="284" bestFit="1" customWidth="1"/>
    <col min="8454" max="8454" width="19.85546875" style="284" customWidth="1"/>
    <col min="8455" max="8455" width="15.85546875" style="284" bestFit="1" customWidth="1"/>
    <col min="8456" max="8456" width="14.85546875" style="284" bestFit="1" customWidth="1"/>
    <col min="8457" max="8457" width="15.85546875" style="284" bestFit="1" customWidth="1"/>
    <col min="8458" max="8459" width="11.5703125" style="284" customWidth="1"/>
    <col min="8460" max="8461" width="13.85546875" style="284" customWidth="1"/>
    <col min="8462" max="8462" width="15.42578125" style="284" customWidth="1"/>
    <col min="8463" max="8463" width="14.85546875" style="284" customWidth="1"/>
    <col min="8464" max="8464" width="15.42578125" style="284" customWidth="1"/>
    <col min="8465" max="8466" width="13.85546875" style="284" customWidth="1"/>
    <col min="8467" max="8467" width="1.5703125" style="284" customWidth="1"/>
    <col min="8468" max="8468" width="12" style="284" customWidth="1"/>
    <col min="8469" max="8469" width="15.28515625" style="284" bestFit="1" customWidth="1"/>
    <col min="8470" max="8470" width="14.42578125" style="284" bestFit="1" customWidth="1"/>
    <col min="8471" max="8471" width="12.140625" style="284" customWidth="1"/>
    <col min="8472" max="8472" width="10.5703125" style="284" bestFit="1" customWidth="1"/>
    <col min="8473" max="8473" width="14.7109375" style="284" customWidth="1"/>
    <col min="8474" max="8474" width="14.5703125" style="284" bestFit="1" customWidth="1"/>
    <col min="8475" max="8475" width="17.7109375" style="284" customWidth="1"/>
    <col min="8476" max="8476" width="15" style="284" customWidth="1"/>
    <col min="8477" max="8477" width="8.85546875" style="284" customWidth="1"/>
    <col min="8478" max="8478" width="16" style="284" customWidth="1"/>
    <col min="8479" max="8479" width="14.85546875" style="284" bestFit="1" customWidth="1"/>
    <col min="8480" max="8480" width="15.140625" style="284" customWidth="1"/>
    <col min="8481" max="8481" width="11.85546875" style="284" customWidth="1"/>
    <col min="8482" max="8482" width="10.7109375" style="284" bestFit="1" customWidth="1"/>
    <col min="8483" max="8483" width="13.85546875" style="284" customWidth="1"/>
    <col min="8484" max="8486" width="18.140625" style="284" bestFit="1" customWidth="1"/>
    <col min="8487" max="8491" width="8.85546875" style="284"/>
    <col min="8492" max="8492" width="10.42578125" style="284" bestFit="1" customWidth="1"/>
    <col min="8493" max="8494" width="14.28515625" style="284" bestFit="1" customWidth="1"/>
    <col min="8495" max="8499" width="10.42578125" style="284" bestFit="1" customWidth="1"/>
    <col min="8500" max="8705" width="8.85546875" style="284"/>
    <col min="8706" max="8706" width="15.7109375" style="284" customWidth="1"/>
    <col min="8707" max="8707" width="14.7109375" style="284" bestFit="1" customWidth="1"/>
    <col min="8708" max="8708" width="12.5703125" style="284" customWidth="1"/>
    <col min="8709" max="8709" width="21" style="284" bestFit="1" customWidth="1"/>
    <col min="8710" max="8710" width="19.85546875" style="284" customWidth="1"/>
    <col min="8711" max="8711" width="15.85546875" style="284" bestFit="1" customWidth="1"/>
    <col min="8712" max="8712" width="14.85546875" style="284" bestFit="1" customWidth="1"/>
    <col min="8713" max="8713" width="15.85546875" style="284" bestFit="1" customWidth="1"/>
    <col min="8714" max="8715" width="11.5703125" style="284" customWidth="1"/>
    <col min="8716" max="8717" width="13.85546875" style="284" customWidth="1"/>
    <col min="8718" max="8718" width="15.42578125" style="284" customWidth="1"/>
    <col min="8719" max="8719" width="14.85546875" style="284" customWidth="1"/>
    <col min="8720" max="8720" width="15.42578125" style="284" customWidth="1"/>
    <col min="8721" max="8722" width="13.85546875" style="284" customWidth="1"/>
    <col min="8723" max="8723" width="1.5703125" style="284" customWidth="1"/>
    <col min="8724" max="8724" width="12" style="284" customWidth="1"/>
    <col min="8725" max="8725" width="15.28515625" style="284" bestFit="1" customWidth="1"/>
    <col min="8726" max="8726" width="14.42578125" style="284" bestFit="1" customWidth="1"/>
    <col min="8727" max="8727" width="12.140625" style="284" customWidth="1"/>
    <col min="8728" max="8728" width="10.5703125" style="284" bestFit="1" customWidth="1"/>
    <col min="8729" max="8729" width="14.7109375" style="284" customWidth="1"/>
    <col min="8730" max="8730" width="14.5703125" style="284" bestFit="1" customWidth="1"/>
    <col min="8731" max="8731" width="17.7109375" style="284" customWidth="1"/>
    <col min="8732" max="8732" width="15" style="284" customWidth="1"/>
    <col min="8733" max="8733" width="8.85546875" style="284" customWidth="1"/>
    <col min="8734" max="8734" width="16" style="284" customWidth="1"/>
    <col min="8735" max="8735" width="14.85546875" style="284" bestFit="1" customWidth="1"/>
    <col min="8736" max="8736" width="15.140625" style="284" customWidth="1"/>
    <col min="8737" max="8737" width="11.85546875" style="284" customWidth="1"/>
    <col min="8738" max="8738" width="10.7109375" style="284" bestFit="1" customWidth="1"/>
    <col min="8739" max="8739" width="13.85546875" style="284" customWidth="1"/>
    <col min="8740" max="8742" width="18.140625" style="284" bestFit="1" customWidth="1"/>
    <col min="8743" max="8747" width="8.85546875" style="284"/>
    <col min="8748" max="8748" width="10.42578125" style="284" bestFit="1" customWidth="1"/>
    <col min="8749" max="8750" width="14.28515625" style="284" bestFit="1" customWidth="1"/>
    <col min="8751" max="8755" width="10.42578125" style="284" bestFit="1" customWidth="1"/>
    <col min="8756" max="8961" width="8.85546875" style="284"/>
    <col min="8962" max="8962" width="15.7109375" style="284" customWidth="1"/>
    <col min="8963" max="8963" width="14.7109375" style="284" bestFit="1" customWidth="1"/>
    <col min="8964" max="8964" width="12.5703125" style="284" customWidth="1"/>
    <col min="8965" max="8965" width="21" style="284" bestFit="1" customWidth="1"/>
    <col min="8966" max="8966" width="19.85546875" style="284" customWidth="1"/>
    <col min="8967" max="8967" width="15.85546875" style="284" bestFit="1" customWidth="1"/>
    <col min="8968" max="8968" width="14.85546875" style="284" bestFit="1" customWidth="1"/>
    <col min="8969" max="8969" width="15.85546875" style="284" bestFit="1" customWidth="1"/>
    <col min="8970" max="8971" width="11.5703125" style="284" customWidth="1"/>
    <col min="8972" max="8973" width="13.85546875" style="284" customWidth="1"/>
    <col min="8974" max="8974" width="15.42578125" style="284" customWidth="1"/>
    <col min="8975" max="8975" width="14.85546875" style="284" customWidth="1"/>
    <col min="8976" max="8976" width="15.42578125" style="284" customWidth="1"/>
    <col min="8977" max="8978" width="13.85546875" style="284" customWidth="1"/>
    <col min="8979" max="8979" width="1.5703125" style="284" customWidth="1"/>
    <col min="8980" max="8980" width="12" style="284" customWidth="1"/>
    <col min="8981" max="8981" width="15.28515625" style="284" bestFit="1" customWidth="1"/>
    <col min="8982" max="8982" width="14.42578125" style="284" bestFit="1" customWidth="1"/>
    <col min="8983" max="8983" width="12.140625" style="284" customWidth="1"/>
    <col min="8984" max="8984" width="10.5703125" style="284" bestFit="1" customWidth="1"/>
    <col min="8985" max="8985" width="14.7109375" style="284" customWidth="1"/>
    <col min="8986" max="8986" width="14.5703125" style="284" bestFit="1" customWidth="1"/>
    <col min="8987" max="8987" width="17.7109375" style="284" customWidth="1"/>
    <col min="8988" max="8988" width="15" style="284" customWidth="1"/>
    <col min="8989" max="8989" width="8.85546875" style="284" customWidth="1"/>
    <col min="8990" max="8990" width="16" style="284" customWidth="1"/>
    <col min="8991" max="8991" width="14.85546875" style="284" bestFit="1" customWidth="1"/>
    <col min="8992" max="8992" width="15.140625" style="284" customWidth="1"/>
    <col min="8993" max="8993" width="11.85546875" style="284" customWidth="1"/>
    <col min="8994" max="8994" width="10.7109375" style="284" bestFit="1" customWidth="1"/>
    <col min="8995" max="8995" width="13.85546875" style="284" customWidth="1"/>
    <col min="8996" max="8998" width="18.140625" style="284" bestFit="1" customWidth="1"/>
    <col min="8999" max="9003" width="8.85546875" style="284"/>
    <col min="9004" max="9004" width="10.42578125" style="284" bestFit="1" customWidth="1"/>
    <col min="9005" max="9006" width="14.28515625" style="284" bestFit="1" customWidth="1"/>
    <col min="9007" max="9011" width="10.42578125" style="284" bestFit="1" customWidth="1"/>
    <col min="9012" max="9217" width="8.85546875" style="284"/>
    <col min="9218" max="9218" width="15.7109375" style="284" customWidth="1"/>
    <col min="9219" max="9219" width="14.7109375" style="284" bestFit="1" customWidth="1"/>
    <col min="9220" max="9220" width="12.5703125" style="284" customWidth="1"/>
    <col min="9221" max="9221" width="21" style="284" bestFit="1" customWidth="1"/>
    <col min="9222" max="9222" width="19.85546875" style="284" customWidth="1"/>
    <col min="9223" max="9223" width="15.85546875" style="284" bestFit="1" customWidth="1"/>
    <col min="9224" max="9224" width="14.85546875" style="284" bestFit="1" customWidth="1"/>
    <col min="9225" max="9225" width="15.85546875" style="284" bestFit="1" customWidth="1"/>
    <col min="9226" max="9227" width="11.5703125" style="284" customWidth="1"/>
    <col min="9228" max="9229" width="13.85546875" style="284" customWidth="1"/>
    <col min="9230" max="9230" width="15.42578125" style="284" customWidth="1"/>
    <col min="9231" max="9231" width="14.85546875" style="284" customWidth="1"/>
    <col min="9232" max="9232" width="15.42578125" style="284" customWidth="1"/>
    <col min="9233" max="9234" width="13.85546875" style="284" customWidth="1"/>
    <col min="9235" max="9235" width="1.5703125" style="284" customWidth="1"/>
    <col min="9236" max="9236" width="12" style="284" customWidth="1"/>
    <col min="9237" max="9237" width="15.28515625" style="284" bestFit="1" customWidth="1"/>
    <col min="9238" max="9238" width="14.42578125" style="284" bestFit="1" customWidth="1"/>
    <col min="9239" max="9239" width="12.140625" style="284" customWidth="1"/>
    <col min="9240" max="9240" width="10.5703125" style="284" bestFit="1" customWidth="1"/>
    <col min="9241" max="9241" width="14.7109375" style="284" customWidth="1"/>
    <col min="9242" max="9242" width="14.5703125" style="284" bestFit="1" customWidth="1"/>
    <col min="9243" max="9243" width="17.7109375" style="284" customWidth="1"/>
    <col min="9244" max="9244" width="15" style="284" customWidth="1"/>
    <col min="9245" max="9245" width="8.85546875" style="284" customWidth="1"/>
    <col min="9246" max="9246" width="16" style="284" customWidth="1"/>
    <col min="9247" max="9247" width="14.85546875" style="284" bestFit="1" customWidth="1"/>
    <col min="9248" max="9248" width="15.140625" style="284" customWidth="1"/>
    <col min="9249" max="9249" width="11.85546875" style="284" customWidth="1"/>
    <col min="9250" max="9250" width="10.7109375" style="284" bestFit="1" customWidth="1"/>
    <col min="9251" max="9251" width="13.85546875" style="284" customWidth="1"/>
    <col min="9252" max="9254" width="18.140625" style="284" bestFit="1" customWidth="1"/>
    <col min="9255" max="9259" width="8.85546875" style="284"/>
    <col min="9260" max="9260" width="10.42578125" style="284" bestFit="1" customWidth="1"/>
    <col min="9261" max="9262" width="14.28515625" style="284" bestFit="1" customWidth="1"/>
    <col min="9263" max="9267" width="10.42578125" style="284" bestFit="1" customWidth="1"/>
    <col min="9268" max="9473" width="8.85546875" style="284"/>
    <col min="9474" max="9474" width="15.7109375" style="284" customWidth="1"/>
    <col min="9475" max="9475" width="14.7109375" style="284" bestFit="1" customWidth="1"/>
    <col min="9476" max="9476" width="12.5703125" style="284" customWidth="1"/>
    <col min="9477" max="9477" width="21" style="284" bestFit="1" customWidth="1"/>
    <col min="9478" max="9478" width="19.85546875" style="284" customWidth="1"/>
    <col min="9479" max="9479" width="15.85546875" style="284" bestFit="1" customWidth="1"/>
    <col min="9480" max="9480" width="14.85546875" style="284" bestFit="1" customWidth="1"/>
    <col min="9481" max="9481" width="15.85546875" style="284" bestFit="1" customWidth="1"/>
    <col min="9482" max="9483" width="11.5703125" style="284" customWidth="1"/>
    <col min="9484" max="9485" width="13.85546875" style="284" customWidth="1"/>
    <col min="9486" max="9486" width="15.42578125" style="284" customWidth="1"/>
    <col min="9487" max="9487" width="14.85546875" style="284" customWidth="1"/>
    <col min="9488" max="9488" width="15.42578125" style="284" customWidth="1"/>
    <col min="9489" max="9490" width="13.85546875" style="284" customWidth="1"/>
    <col min="9491" max="9491" width="1.5703125" style="284" customWidth="1"/>
    <col min="9492" max="9492" width="12" style="284" customWidth="1"/>
    <col min="9493" max="9493" width="15.28515625" style="284" bestFit="1" customWidth="1"/>
    <col min="9494" max="9494" width="14.42578125" style="284" bestFit="1" customWidth="1"/>
    <col min="9495" max="9495" width="12.140625" style="284" customWidth="1"/>
    <col min="9496" max="9496" width="10.5703125" style="284" bestFit="1" customWidth="1"/>
    <col min="9497" max="9497" width="14.7109375" style="284" customWidth="1"/>
    <col min="9498" max="9498" width="14.5703125" style="284" bestFit="1" customWidth="1"/>
    <col min="9499" max="9499" width="17.7109375" style="284" customWidth="1"/>
    <col min="9500" max="9500" width="15" style="284" customWidth="1"/>
    <col min="9501" max="9501" width="8.85546875" style="284" customWidth="1"/>
    <col min="9502" max="9502" width="16" style="284" customWidth="1"/>
    <col min="9503" max="9503" width="14.85546875" style="284" bestFit="1" customWidth="1"/>
    <col min="9504" max="9504" width="15.140625" style="284" customWidth="1"/>
    <col min="9505" max="9505" width="11.85546875" style="284" customWidth="1"/>
    <col min="9506" max="9506" width="10.7109375" style="284" bestFit="1" customWidth="1"/>
    <col min="9507" max="9507" width="13.85546875" style="284" customWidth="1"/>
    <col min="9508" max="9510" width="18.140625" style="284" bestFit="1" customWidth="1"/>
    <col min="9511" max="9515" width="8.85546875" style="284"/>
    <col min="9516" max="9516" width="10.42578125" style="284" bestFit="1" customWidth="1"/>
    <col min="9517" max="9518" width="14.28515625" style="284" bestFit="1" customWidth="1"/>
    <col min="9519" max="9523" width="10.42578125" style="284" bestFit="1" customWidth="1"/>
    <col min="9524" max="9729" width="8.85546875" style="284"/>
    <col min="9730" max="9730" width="15.7109375" style="284" customWidth="1"/>
    <col min="9731" max="9731" width="14.7109375" style="284" bestFit="1" customWidth="1"/>
    <col min="9732" max="9732" width="12.5703125" style="284" customWidth="1"/>
    <col min="9733" max="9733" width="21" style="284" bestFit="1" customWidth="1"/>
    <col min="9734" max="9734" width="19.85546875" style="284" customWidth="1"/>
    <col min="9735" max="9735" width="15.85546875" style="284" bestFit="1" customWidth="1"/>
    <col min="9736" max="9736" width="14.85546875" style="284" bestFit="1" customWidth="1"/>
    <col min="9737" max="9737" width="15.85546875" style="284" bestFit="1" customWidth="1"/>
    <col min="9738" max="9739" width="11.5703125" style="284" customWidth="1"/>
    <col min="9740" max="9741" width="13.85546875" style="284" customWidth="1"/>
    <col min="9742" max="9742" width="15.42578125" style="284" customWidth="1"/>
    <col min="9743" max="9743" width="14.85546875" style="284" customWidth="1"/>
    <col min="9744" max="9744" width="15.42578125" style="284" customWidth="1"/>
    <col min="9745" max="9746" width="13.85546875" style="284" customWidth="1"/>
    <col min="9747" max="9747" width="1.5703125" style="284" customWidth="1"/>
    <col min="9748" max="9748" width="12" style="284" customWidth="1"/>
    <col min="9749" max="9749" width="15.28515625" style="284" bestFit="1" customWidth="1"/>
    <col min="9750" max="9750" width="14.42578125" style="284" bestFit="1" customWidth="1"/>
    <col min="9751" max="9751" width="12.140625" style="284" customWidth="1"/>
    <col min="9752" max="9752" width="10.5703125" style="284" bestFit="1" customWidth="1"/>
    <col min="9753" max="9753" width="14.7109375" style="284" customWidth="1"/>
    <col min="9754" max="9754" width="14.5703125" style="284" bestFit="1" customWidth="1"/>
    <col min="9755" max="9755" width="17.7109375" style="284" customWidth="1"/>
    <col min="9756" max="9756" width="15" style="284" customWidth="1"/>
    <col min="9757" max="9757" width="8.85546875" style="284" customWidth="1"/>
    <col min="9758" max="9758" width="16" style="284" customWidth="1"/>
    <col min="9759" max="9759" width="14.85546875" style="284" bestFit="1" customWidth="1"/>
    <col min="9760" max="9760" width="15.140625" style="284" customWidth="1"/>
    <col min="9761" max="9761" width="11.85546875" style="284" customWidth="1"/>
    <col min="9762" max="9762" width="10.7109375" style="284" bestFit="1" customWidth="1"/>
    <col min="9763" max="9763" width="13.85546875" style="284" customWidth="1"/>
    <col min="9764" max="9766" width="18.140625" style="284" bestFit="1" customWidth="1"/>
    <col min="9767" max="9771" width="8.85546875" style="284"/>
    <col min="9772" max="9772" width="10.42578125" style="284" bestFit="1" customWidth="1"/>
    <col min="9773" max="9774" width="14.28515625" style="284" bestFit="1" customWidth="1"/>
    <col min="9775" max="9779" width="10.42578125" style="284" bestFit="1" customWidth="1"/>
    <col min="9780" max="9985" width="8.85546875" style="284"/>
    <col min="9986" max="9986" width="15.7109375" style="284" customWidth="1"/>
    <col min="9987" max="9987" width="14.7109375" style="284" bestFit="1" customWidth="1"/>
    <col min="9988" max="9988" width="12.5703125" style="284" customWidth="1"/>
    <col min="9989" max="9989" width="21" style="284" bestFit="1" customWidth="1"/>
    <col min="9990" max="9990" width="19.85546875" style="284" customWidth="1"/>
    <col min="9991" max="9991" width="15.85546875" style="284" bestFit="1" customWidth="1"/>
    <col min="9992" max="9992" width="14.85546875" style="284" bestFit="1" customWidth="1"/>
    <col min="9993" max="9993" width="15.85546875" style="284" bestFit="1" customWidth="1"/>
    <col min="9994" max="9995" width="11.5703125" style="284" customWidth="1"/>
    <col min="9996" max="9997" width="13.85546875" style="284" customWidth="1"/>
    <col min="9998" max="9998" width="15.42578125" style="284" customWidth="1"/>
    <col min="9999" max="9999" width="14.85546875" style="284" customWidth="1"/>
    <col min="10000" max="10000" width="15.42578125" style="284" customWidth="1"/>
    <col min="10001" max="10002" width="13.85546875" style="284" customWidth="1"/>
    <col min="10003" max="10003" width="1.5703125" style="284" customWidth="1"/>
    <col min="10004" max="10004" width="12" style="284" customWidth="1"/>
    <col min="10005" max="10005" width="15.28515625" style="284" bestFit="1" customWidth="1"/>
    <col min="10006" max="10006" width="14.42578125" style="284" bestFit="1" customWidth="1"/>
    <col min="10007" max="10007" width="12.140625" style="284" customWidth="1"/>
    <col min="10008" max="10008" width="10.5703125" style="284" bestFit="1" customWidth="1"/>
    <col min="10009" max="10009" width="14.7109375" style="284" customWidth="1"/>
    <col min="10010" max="10010" width="14.5703125" style="284" bestFit="1" customWidth="1"/>
    <col min="10011" max="10011" width="17.7109375" style="284" customWidth="1"/>
    <col min="10012" max="10012" width="15" style="284" customWidth="1"/>
    <col min="10013" max="10013" width="8.85546875" style="284" customWidth="1"/>
    <col min="10014" max="10014" width="16" style="284" customWidth="1"/>
    <col min="10015" max="10015" width="14.85546875" style="284" bestFit="1" customWidth="1"/>
    <col min="10016" max="10016" width="15.140625" style="284" customWidth="1"/>
    <col min="10017" max="10017" width="11.85546875" style="284" customWidth="1"/>
    <col min="10018" max="10018" width="10.7109375" style="284" bestFit="1" customWidth="1"/>
    <col min="10019" max="10019" width="13.85546875" style="284" customWidth="1"/>
    <col min="10020" max="10022" width="18.140625" style="284" bestFit="1" customWidth="1"/>
    <col min="10023" max="10027" width="8.85546875" style="284"/>
    <col min="10028" max="10028" width="10.42578125" style="284" bestFit="1" customWidth="1"/>
    <col min="10029" max="10030" width="14.28515625" style="284" bestFit="1" customWidth="1"/>
    <col min="10031" max="10035" width="10.42578125" style="284" bestFit="1" customWidth="1"/>
    <col min="10036" max="10241" width="8.85546875" style="284"/>
    <col min="10242" max="10242" width="15.7109375" style="284" customWidth="1"/>
    <col min="10243" max="10243" width="14.7109375" style="284" bestFit="1" customWidth="1"/>
    <col min="10244" max="10244" width="12.5703125" style="284" customWidth="1"/>
    <col min="10245" max="10245" width="21" style="284" bestFit="1" customWidth="1"/>
    <col min="10246" max="10246" width="19.85546875" style="284" customWidth="1"/>
    <col min="10247" max="10247" width="15.85546875" style="284" bestFit="1" customWidth="1"/>
    <col min="10248" max="10248" width="14.85546875" style="284" bestFit="1" customWidth="1"/>
    <col min="10249" max="10249" width="15.85546875" style="284" bestFit="1" customWidth="1"/>
    <col min="10250" max="10251" width="11.5703125" style="284" customWidth="1"/>
    <col min="10252" max="10253" width="13.85546875" style="284" customWidth="1"/>
    <col min="10254" max="10254" width="15.42578125" style="284" customWidth="1"/>
    <col min="10255" max="10255" width="14.85546875" style="284" customWidth="1"/>
    <col min="10256" max="10256" width="15.42578125" style="284" customWidth="1"/>
    <col min="10257" max="10258" width="13.85546875" style="284" customWidth="1"/>
    <col min="10259" max="10259" width="1.5703125" style="284" customWidth="1"/>
    <col min="10260" max="10260" width="12" style="284" customWidth="1"/>
    <col min="10261" max="10261" width="15.28515625" style="284" bestFit="1" customWidth="1"/>
    <col min="10262" max="10262" width="14.42578125" style="284" bestFit="1" customWidth="1"/>
    <col min="10263" max="10263" width="12.140625" style="284" customWidth="1"/>
    <col min="10264" max="10264" width="10.5703125" style="284" bestFit="1" customWidth="1"/>
    <col min="10265" max="10265" width="14.7109375" style="284" customWidth="1"/>
    <col min="10266" max="10266" width="14.5703125" style="284" bestFit="1" customWidth="1"/>
    <col min="10267" max="10267" width="17.7109375" style="284" customWidth="1"/>
    <col min="10268" max="10268" width="15" style="284" customWidth="1"/>
    <col min="10269" max="10269" width="8.85546875" style="284" customWidth="1"/>
    <col min="10270" max="10270" width="16" style="284" customWidth="1"/>
    <col min="10271" max="10271" width="14.85546875" style="284" bestFit="1" customWidth="1"/>
    <col min="10272" max="10272" width="15.140625" style="284" customWidth="1"/>
    <col min="10273" max="10273" width="11.85546875" style="284" customWidth="1"/>
    <col min="10274" max="10274" width="10.7109375" style="284" bestFit="1" customWidth="1"/>
    <col min="10275" max="10275" width="13.85546875" style="284" customWidth="1"/>
    <col min="10276" max="10278" width="18.140625" style="284" bestFit="1" customWidth="1"/>
    <col min="10279" max="10283" width="8.85546875" style="284"/>
    <col min="10284" max="10284" width="10.42578125" style="284" bestFit="1" customWidth="1"/>
    <col min="10285" max="10286" width="14.28515625" style="284" bestFit="1" customWidth="1"/>
    <col min="10287" max="10291" width="10.42578125" style="284" bestFit="1" customWidth="1"/>
    <col min="10292" max="10497" width="8.85546875" style="284"/>
    <col min="10498" max="10498" width="15.7109375" style="284" customWidth="1"/>
    <col min="10499" max="10499" width="14.7109375" style="284" bestFit="1" customWidth="1"/>
    <col min="10500" max="10500" width="12.5703125" style="284" customWidth="1"/>
    <col min="10501" max="10501" width="21" style="284" bestFit="1" customWidth="1"/>
    <col min="10502" max="10502" width="19.85546875" style="284" customWidth="1"/>
    <col min="10503" max="10503" width="15.85546875" style="284" bestFit="1" customWidth="1"/>
    <col min="10504" max="10504" width="14.85546875" style="284" bestFit="1" customWidth="1"/>
    <col min="10505" max="10505" width="15.85546875" style="284" bestFit="1" customWidth="1"/>
    <col min="10506" max="10507" width="11.5703125" style="284" customWidth="1"/>
    <col min="10508" max="10509" width="13.85546875" style="284" customWidth="1"/>
    <col min="10510" max="10510" width="15.42578125" style="284" customWidth="1"/>
    <col min="10511" max="10511" width="14.85546875" style="284" customWidth="1"/>
    <col min="10512" max="10512" width="15.42578125" style="284" customWidth="1"/>
    <col min="10513" max="10514" width="13.85546875" style="284" customWidth="1"/>
    <col min="10515" max="10515" width="1.5703125" style="284" customWidth="1"/>
    <col min="10516" max="10516" width="12" style="284" customWidth="1"/>
    <col min="10517" max="10517" width="15.28515625" style="284" bestFit="1" customWidth="1"/>
    <col min="10518" max="10518" width="14.42578125" style="284" bestFit="1" customWidth="1"/>
    <col min="10519" max="10519" width="12.140625" style="284" customWidth="1"/>
    <col min="10520" max="10520" width="10.5703125" style="284" bestFit="1" customWidth="1"/>
    <col min="10521" max="10521" width="14.7109375" style="284" customWidth="1"/>
    <col min="10522" max="10522" width="14.5703125" style="284" bestFit="1" customWidth="1"/>
    <col min="10523" max="10523" width="17.7109375" style="284" customWidth="1"/>
    <col min="10524" max="10524" width="15" style="284" customWidth="1"/>
    <col min="10525" max="10525" width="8.85546875" style="284" customWidth="1"/>
    <col min="10526" max="10526" width="16" style="284" customWidth="1"/>
    <col min="10527" max="10527" width="14.85546875" style="284" bestFit="1" customWidth="1"/>
    <col min="10528" max="10528" width="15.140625" style="284" customWidth="1"/>
    <col min="10529" max="10529" width="11.85546875" style="284" customWidth="1"/>
    <col min="10530" max="10530" width="10.7109375" style="284" bestFit="1" customWidth="1"/>
    <col min="10531" max="10531" width="13.85546875" style="284" customWidth="1"/>
    <col min="10532" max="10534" width="18.140625" style="284" bestFit="1" customWidth="1"/>
    <col min="10535" max="10539" width="8.85546875" style="284"/>
    <col min="10540" max="10540" width="10.42578125" style="284" bestFit="1" customWidth="1"/>
    <col min="10541" max="10542" width="14.28515625" style="284" bestFit="1" customWidth="1"/>
    <col min="10543" max="10547" width="10.42578125" style="284" bestFit="1" customWidth="1"/>
    <col min="10548" max="10753" width="8.85546875" style="284"/>
    <col min="10754" max="10754" width="15.7109375" style="284" customWidth="1"/>
    <col min="10755" max="10755" width="14.7109375" style="284" bestFit="1" customWidth="1"/>
    <col min="10756" max="10756" width="12.5703125" style="284" customWidth="1"/>
    <col min="10757" max="10757" width="21" style="284" bestFit="1" customWidth="1"/>
    <col min="10758" max="10758" width="19.85546875" style="284" customWidth="1"/>
    <col min="10759" max="10759" width="15.85546875" style="284" bestFit="1" customWidth="1"/>
    <col min="10760" max="10760" width="14.85546875" style="284" bestFit="1" customWidth="1"/>
    <col min="10761" max="10761" width="15.85546875" style="284" bestFit="1" customWidth="1"/>
    <col min="10762" max="10763" width="11.5703125" style="284" customWidth="1"/>
    <col min="10764" max="10765" width="13.85546875" style="284" customWidth="1"/>
    <col min="10766" max="10766" width="15.42578125" style="284" customWidth="1"/>
    <col min="10767" max="10767" width="14.85546875" style="284" customWidth="1"/>
    <col min="10768" max="10768" width="15.42578125" style="284" customWidth="1"/>
    <col min="10769" max="10770" width="13.85546875" style="284" customWidth="1"/>
    <col min="10771" max="10771" width="1.5703125" style="284" customWidth="1"/>
    <col min="10772" max="10772" width="12" style="284" customWidth="1"/>
    <col min="10773" max="10773" width="15.28515625" style="284" bestFit="1" customWidth="1"/>
    <col min="10774" max="10774" width="14.42578125" style="284" bestFit="1" customWidth="1"/>
    <col min="10775" max="10775" width="12.140625" style="284" customWidth="1"/>
    <col min="10776" max="10776" width="10.5703125" style="284" bestFit="1" customWidth="1"/>
    <col min="10777" max="10777" width="14.7109375" style="284" customWidth="1"/>
    <col min="10778" max="10778" width="14.5703125" style="284" bestFit="1" customWidth="1"/>
    <col min="10779" max="10779" width="17.7109375" style="284" customWidth="1"/>
    <col min="10780" max="10780" width="15" style="284" customWidth="1"/>
    <col min="10781" max="10781" width="8.85546875" style="284" customWidth="1"/>
    <col min="10782" max="10782" width="16" style="284" customWidth="1"/>
    <col min="10783" max="10783" width="14.85546875" style="284" bestFit="1" customWidth="1"/>
    <col min="10784" max="10784" width="15.140625" style="284" customWidth="1"/>
    <col min="10785" max="10785" width="11.85546875" style="284" customWidth="1"/>
    <col min="10786" max="10786" width="10.7109375" style="284" bestFit="1" customWidth="1"/>
    <col min="10787" max="10787" width="13.85546875" style="284" customWidth="1"/>
    <col min="10788" max="10790" width="18.140625" style="284" bestFit="1" customWidth="1"/>
    <col min="10791" max="10795" width="8.85546875" style="284"/>
    <col min="10796" max="10796" width="10.42578125" style="284" bestFit="1" customWidth="1"/>
    <col min="10797" max="10798" width="14.28515625" style="284" bestFit="1" customWidth="1"/>
    <col min="10799" max="10803" width="10.42578125" style="284" bestFit="1" customWidth="1"/>
    <col min="10804" max="11009" width="8.85546875" style="284"/>
    <col min="11010" max="11010" width="15.7109375" style="284" customWidth="1"/>
    <col min="11011" max="11011" width="14.7109375" style="284" bestFit="1" customWidth="1"/>
    <col min="11012" max="11012" width="12.5703125" style="284" customWidth="1"/>
    <col min="11013" max="11013" width="21" style="284" bestFit="1" customWidth="1"/>
    <col min="11014" max="11014" width="19.85546875" style="284" customWidth="1"/>
    <col min="11015" max="11015" width="15.85546875" style="284" bestFit="1" customWidth="1"/>
    <col min="11016" max="11016" width="14.85546875" style="284" bestFit="1" customWidth="1"/>
    <col min="11017" max="11017" width="15.85546875" style="284" bestFit="1" customWidth="1"/>
    <col min="11018" max="11019" width="11.5703125" style="284" customWidth="1"/>
    <col min="11020" max="11021" width="13.85546875" style="284" customWidth="1"/>
    <col min="11022" max="11022" width="15.42578125" style="284" customWidth="1"/>
    <col min="11023" max="11023" width="14.85546875" style="284" customWidth="1"/>
    <col min="11024" max="11024" width="15.42578125" style="284" customWidth="1"/>
    <col min="11025" max="11026" width="13.85546875" style="284" customWidth="1"/>
    <col min="11027" max="11027" width="1.5703125" style="284" customWidth="1"/>
    <col min="11028" max="11028" width="12" style="284" customWidth="1"/>
    <col min="11029" max="11029" width="15.28515625" style="284" bestFit="1" customWidth="1"/>
    <col min="11030" max="11030" width="14.42578125" style="284" bestFit="1" customWidth="1"/>
    <col min="11031" max="11031" width="12.140625" style="284" customWidth="1"/>
    <col min="11032" max="11032" width="10.5703125" style="284" bestFit="1" customWidth="1"/>
    <col min="11033" max="11033" width="14.7109375" style="284" customWidth="1"/>
    <col min="11034" max="11034" width="14.5703125" style="284" bestFit="1" customWidth="1"/>
    <col min="11035" max="11035" width="17.7109375" style="284" customWidth="1"/>
    <col min="11036" max="11036" width="15" style="284" customWidth="1"/>
    <col min="11037" max="11037" width="8.85546875" style="284" customWidth="1"/>
    <col min="11038" max="11038" width="16" style="284" customWidth="1"/>
    <col min="11039" max="11039" width="14.85546875" style="284" bestFit="1" customWidth="1"/>
    <col min="11040" max="11040" width="15.140625" style="284" customWidth="1"/>
    <col min="11041" max="11041" width="11.85546875" style="284" customWidth="1"/>
    <col min="11042" max="11042" width="10.7109375" style="284" bestFit="1" customWidth="1"/>
    <col min="11043" max="11043" width="13.85546875" style="284" customWidth="1"/>
    <col min="11044" max="11046" width="18.140625" style="284" bestFit="1" customWidth="1"/>
    <col min="11047" max="11051" width="8.85546875" style="284"/>
    <col min="11052" max="11052" width="10.42578125" style="284" bestFit="1" customWidth="1"/>
    <col min="11053" max="11054" width="14.28515625" style="284" bestFit="1" customWidth="1"/>
    <col min="11055" max="11059" width="10.42578125" style="284" bestFit="1" customWidth="1"/>
    <col min="11060" max="11265" width="8.85546875" style="284"/>
    <col min="11266" max="11266" width="15.7109375" style="284" customWidth="1"/>
    <col min="11267" max="11267" width="14.7109375" style="284" bestFit="1" customWidth="1"/>
    <col min="11268" max="11268" width="12.5703125" style="284" customWidth="1"/>
    <col min="11269" max="11269" width="21" style="284" bestFit="1" customWidth="1"/>
    <col min="11270" max="11270" width="19.85546875" style="284" customWidth="1"/>
    <col min="11271" max="11271" width="15.85546875" style="284" bestFit="1" customWidth="1"/>
    <col min="11272" max="11272" width="14.85546875" style="284" bestFit="1" customWidth="1"/>
    <col min="11273" max="11273" width="15.85546875" style="284" bestFit="1" customWidth="1"/>
    <col min="11274" max="11275" width="11.5703125" style="284" customWidth="1"/>
    <col min="11276" max="11277" width="13.85546875" style="284" customWidth="1"/>
    <col min="11278" max="11278" width="15.42578125" style="284" customWidth="1"/>
    <col min="11279" max="11279" width="14.85546875" style="284" customWidth="1"/>
    <col min="11280" max="11280" width="15.42578125" style="284" customWidth="1"/>
    <col min="11281" max="11282" width="13.85546875" style="284" customWidth="1"/>
    <col min="11283" max="11283" width="1.5703125" style="284" customWidth="1"/>
    <col min="11284" max="11284" width="12" style="284" customWidth="1"/>
    <col min="11285" max="11285" width="15.28515625" style="284" bestFit="1" customWidth="1"/>
    <col min="11286" max="11286" width="14.42578125" style="284" bestFit="1" customWidth="1"/>
    <col min="11287" max="11287" width="12.140625" style="284" customWidth="1"/>
    <col min="11288" max="11288" width="10.5703125" style="284" bestFit="1" customWidth="1"/>
    <col min="11289" max="11289" width="14.7109375" style="284" customWidth="1"/>
    <col min="11290" max="11290" width="14.5703125" style="284" bestFit="1" customWidth="1"/>
    <col min="11291" max="11291" width="17.7109375" style="284" customWidth="1"/>
    <col min="11292" max="11292" width="15" style="284" customWidth="1"/>
    <col min="11293" max="11293" width="8.85546875" style="284" customWidth="1"/>
    <col min="11294" max="11294" width="16" style="284" customWidth="1"/>
    <col min="11295" max="11295" width="14.85546875" style="284" bestFit="1" customWidth="1"/>
    <col min="11296" max="11296" width="15.140625" style="284" customWidth="1"/>
    <col min="11297" max="11297" width="11.85546875" style="284" customWidth="1"/>
    <col min="11298" max="11298" width="10.7109375" style="284" bestFit="1" customWidth="1"/>
    <col min="11299" max="11299" width="13.85546875" style="284" customWidth="1"/>
    <col min="11300" max="11302" width="18.140625" style="284" bestFit="1" customWidth="1"/>
    <col min="11303" max="11307" width="8.85546875" style="284"/>
    <col min="11308" max="11308" width="10.42578125" style="284" bestFit="1" customWidth="1"/>
    <col min="11309" max="11310" width="14.28515625" style="284" bestFit="1" customWidth="1"/>
    <col min="11311" max="11315" width="10.42578125" style="284" bestFit="1" customWidth="1"/>
    <col min="11316" max="11521" width="8.85546875" style="284"/>
    <col min="11522" max="11522" width="15.7109375" style="284" customWidth="1"/>
    <col min="11523" max="11523" width="14.7109375" style="284" bestFit="1" customWidth="1"/>
    <col min="11524" max="11524" width="12.5703125" style="284" customWidth="1"/>
    <col min="11525" max="11525" width="21" style="284" bestFit="1" customWidth="1"/>
    <col min="11526" max="11526" width="19.85546875" style="284" customWidth="1"/>
    <col min="11527" max="11527" width="15.85546875" style="284" bestFit="1" customWidth="1"/>
    <col min="11528" max="11528" width="14.85546875" style="284" bestFit="1" customWidth="1"/>
    <col min="11529" max="11529" width="15.85546875" style="284" bestFit="1" customWidth="1"/>
    <col min="11530" max="11531" width="11.5703125" style="284" customWidth="1"/>
    <col min="11532" max="11533" width="13.85546875" style="284" customWidth="1"/>
    <col min="11534" max="11534" width="15.42578125" style="284" customWidth="1"/>
    <col min="11535" max="11535" width="14.85546875" style="284" customWidth="1"/>
    <col min="11536" max="11536" width="15.42578125" style="284" customWidth="1"/>
    <col min="11537" max="11538" width="13.85546875" style="284" customWidth="1"/>
    <col min="11539" max="11539" width="1.5703125" style="284" customWidth="1"/>
    <col min="11540" max="11540" width="12" style="284" customWidth="1"/>
    <col min="11541" max="11541" width="15.28515625" style="284" bestFit="1" customWidth="1"/>
    <col min="11542" max="11542" width="14.42578125" style="284" bestFit="1" customWidth="1"/>
    <col min="11543" max="11543" width="12.140625" style="284" customWidth="1"/>
    <col min="11544" max="11544" width="10.5703125" style="284" bestFit="1" customWidth="1"/>
    <col min="11545" max="11545" width="14.7109375" style="284" customWidth="1"/>
    <col min="11546" max="11546" width="14.5703125" style="284" bestFit="1" customWidth="1"/>
    <col min="11547" max="11547" width="17.7109375" style="284" customWidth="1"/>
    <col min="11548" max="11548" width="15" style="284" customWidth="1"/>
    <col min="11549" max="11549" width="8.85546875" style="284" customWidth="1"/>
    <col min="11550" max="11550" width="16" style="284" customWidth="1"/>
    <col min="11551" max="11551" width="14.85546875" style="284" bestFit="1" customWidth="1"/>
    <col min="11552" max="11552" width="15.140625" style="284" customWidth="1"/>
    <col min="11553" max="11553" width="11.85546875" style="284" customWidth="1"/>
    <col min="11554" max="11554" width="10.7109375" style="284" bestFit="1" customWidth="1"/>
    <col min="11555" max="11555" width="13.85546875" style="284" customWidth="1"/>
    <col min="11556" max="11558" width="18.140625" style="284" bestFit="1" customWidth="1"/>
    <col min="11559" max="11563" width="8.85546875" style="284"/>
    <col min="11564" max="11564" width="10.42578125" style="284" bestFit="1" customWidth="1"/>
    <col min="11565" max="11566" width="14.28515625" style="284" bestFit="1" customWidth="1"/>
    <col min="11567" max="11571" width="10.42578125" style="284" bestFit="1" customWidth="1"/>
    <col min="11572" max="11777" width="8.85546875" style="284"/>
    <col min="11778" max="11778" width="15.7109375" style="284" customWidth="1"/>
    <col min="11779" max="11779" width="14.7109375" style="284" bestFit="1" customWidth="1"/>
    <col min="11780" max="11780" width="12.5703125" style="284" customWidth="1"/>
    <col min="11781" max="11781" width="21" style="284" bestFit="1" customWidth="1"/>
    <col min="11782" max="11782" width="19.85546875" style="284" customWidth="1"/>
    <col min="11783" max="11783" width="15.85546875" style="284" bestFit="1" customWidth="1"/>
    <col min="11784" max="11784" width="14.85546875" style="284" bestFit="1" customWidth="1"/>
    <col min="11785" max="11785" width="15.85546875" style="284" bestFit="1" customWidth="1"/>
    <col min="11786" max="11787" width="11.5703125" style="284" customWidth="1"/>
    <col min="11788" max="11789" width="13.85546875" style="284" customWidth="1"/>
    <col min="11790" max="11790" width="15.42578125" style="284" customWidth="1"/>
    <col min="11791" max="11791" width="14.85546875" style="284" customWidth="1"/>
    <col min="11792" max="11792" width="15.42578125" style="284" customWidth="1"/>
    <col min="11793" max="11794" width="13.85546875" style="284" customWidth="1"/>
    <col min="11795" max="11795" width="1.5703125" style="284" customWidth="1"/>
    <col min="11796" max="11796" width="12" style="284" customWidth="1"/>
    <col min="11797" max="11797" width="15.28515625" style="284" bestFit="1" customWidth="1"/>
    <col min="11798" max="11798" width="14.42578125" style="284" bestFit="1" customWidth="1"/>
    <col min="11799" max="11799" width="12.140625" style="284" customWidth="1"/>
    <col min="11800" max="11800" width="10.5703125" style="284" bestFit="1" customWidth="1"/>
    <col min="11801" max="11801" width="14.7109375" style="284" customWidth="1"/>
    <col min="11802" max="11802" width="14.5703125" style="284" bestFit="1" customWidth="1"/>
    <col min="11803" max="11803" width="17.7109375" style="284" customWidth="1"/>
    <col min="11804" max="11804" width="15" style="284" customWidth="1"/>
    <col min="11805" max="11805" width="8.85546875" style="284" customWidth="1"/>
    <col min="11806" max="11806" width="16" style="284" customWidth="1"/>
    <col min="11807" max="11807" width="14.85546875" style="284" bestFit="1" customWidth="1"/>
    <col min="11808" max="11808" width="15.140625" style="284" customWidth="1"/>
    <col min="11809" max="11809" width="11.85546875" style="284" customWidth="1"/>
    <col min="11810" max="11810" width="10.7109375" style="284" bestFit="1" customWidth="1"/>
    <col min="11811" max="11811" width="13.85546875" style="284" customWidth="1"/>
    <col min="11812" max="11814" width="18.140625" style="284" bestFit="1" customWidth="1"/>
    <col min="11815" max="11819" width="8.85546875" style="284"/>
    <col min="11820" max="11820" width="10.42578125" style="284" bestFit="1" customWidth="1"/>
    <col min="11821" max="11822" width="14.28515625" style="284" bestFit="1" customWidth="1"/>
    <col min="11823" max="11827" width="10.42578125" style="284" bestFit="1" customWidth="1"/>
    <col min="11828" max="12033" width="8.85546875" style="284"/>
    <col min="12034" max="12034" width="15.7109375" style="284" customWidth="1"/>
    <col min="12035" max="12035" width="14.7109375" style="284" bestFit="1" customWidth="1"/>
    <col min="12036" max="12036" width="12.5703125" style="284" customWidth="1"/>
    <col min="12037" max="12037" width="21" style="284" bestFit="1" customWidth="1"/>
    <col min="12038" max="12038" width="19.85546875" style="284" customWidth="1"/>
    <col min="12039" max="12039" width="15.85546875" style="284" bestFit="1" customWidth="1"/>
    <col min="12040" max="12040" width="14.85546875" style="284" bestFit="1" customWidth="1"/>
    <col min="12041" max="12041" width="15.85546875" style="284" bestFit="1" customWidth="1"/>
    <col min="12042" max="12043" width="11.5703125" style="284" customWidth="1"/>
    <col min="12044" max="12045" width="13.85546875" style="284" customWidth="1"/>
    <col min="12046" max="12046" width="15.42578125" style="284" customWidth="1"/>
    <col min="12047" max="12047" width="14.85546875" style="284" customWidth="1"/>
    <col min="12048" max="12048" width="15.42578125" style="284" customWidth="1"/>
    <col min="12049" max="12050" width="13.85546875" style="284" customWidth="1"/>
    <col min="12051" max="12051" width="1.5703125" style="284" customWidth="1"/>
    <col min="12052" max="12052" width="12" style="284" customWidth="1"/>
    <col min="12053" max="12053" width="15.28515625" style="284" bestFit="1" customWidth="1"/>
    <col min="12054" max="12054" width="14.42578125" style="284" bestFit="1" customWidth="1"/>
    <col min="12055" max="12055" width="12.140625" style="284" customWidth="1"/>
    <col min="12056" max="12056" width="10.5703125" style="284" bestFit="1" customWidth="1"/>
    <col min="12057" max="12057" width="14.7109375" style="284" customWidth="1"/>
    <col min="12058" max="12058" width="14.5703125" style="284" bestFit="1" customWidth="1"/>
    <col min="12059" max="12059" width="17.7109375" style="284" customWidth="1"/>
    <col min="12060" max="12060" width="15" style="284" customWidth="1"/>
    <col min="12061" max="12061" width="8.85546875" style="284" customWidth="1"/>
    <col min="12062" max="12062" width="16" style="284" customWidth="1"/>
    <col min="12063" max="12063" width="14.85546875" style="284" bestFit="1" customWidth="1"/>
    <col min="12064" max="12064" width="15.140625" style="284" customWidth="1"/>
    <col min="12065" max="12065" width="11.85546875" style="284" customWidth="1"/>
    <col min="12066" max="12066" width="10.7109375" style="284" bestFit="1" customWidth="1"/>
    <col min="12067" max="12067" width="13.85546875" style="284" customWidth="1"/>
    <col min="12068" max="12070" width="18.140625" style="284" bestFit="1" customWidth="1"/>
    <col min="12071" max="12075" width="8.85546875" style="284"/>
    <col min="12076" max="12076" width="10.42578125" style="284" bestFit="1" customWidth="1"/>
    <col min="12077" max="12078" width="14.28515625" style="284" bestFit="1" customWidth="1"/>
    <col min="12079" max="12083" width="10.42578125" style="284" bestFit="1" customWidth="1"/>
    <col min="12084" max="12289" width="8.85546875" style="284"/>
    <col min="12290" max="12290" width="15.7109375" style="284" customWidth="1"/>
    <col min="12291" max="12291" width="14.7109375" style="284" bestFit="1" customWidth="1"/>
    <col min="12292" max="12292" width="12.5703125" style="284" customWidth="1"/>
    <col min="12293" max="12293" width="21" style="284" bestFit="1" customWidth="1"/>
    <col min="12294" max="12294" width="19.85546875" style="284" customWidth="1"/>
    <col min="12295" max="12295" width="15.85546875" style="284" bestFit="1" customWidth="1"/>
    <col min="12296" max="12296" width="14.85546875" style="284" bestFit="1" customWidth="1"/>
    <col min="12297" max="12297" width="15.85546875" style="284" bestFit="1" customWidth="1"/>
    <col min="12298" max="12299" width="11.5703125" style="284" customWidth="1"/>
    <col min="12300" max="12301" width="13.85546875" style="284" customWidth="1"/>
    <col min="12302" max="12302" width="15.42578125" style="284" customWidth="1"/>
    <col min="12303" max="12303" width="14.85546875" style="284" customWidth="1"/>
    <col min="12304" max="12304" width="15.42578125" style="284" customWidth="1"/>
    <col min="12305" max="12306" width="13.85546875" style="284" customWidth="1"/>
    <col min="12307" max="12307" width="1.5703125" style="284" customWidth="1"/>
    <col min="12308" max="12308" width="12" style="284" customWidth="1"/>
    <col min="12309" max="12309" width="15.28515625" style="284" bestFit="1" customWidth="1"/>
    <col min="12310" max="12310" width="14.42578125" style="284" bestFit="1" customWidth="1"/>
    <col min="12311" max="12311" width="12.140625" style="284" customWidth="1"/>
    <col min="12312" max="12312" width="10.5703125" style="284" bestFit="1" customWidth="1"/>
    <col min="12313" max="12313" width="14.7109375" style="284" customWidth="1"/>
    <col min="12314" max="12314" width="14.5703125" style="284" bestFit="1" customWidth="1"/>
    <col min="12315" max="12315" width="17.7109375" style="284" customWidth="1"/>
    <col min="12316" max="12316" width="15" style="284" customWidth="1"/>
    <col min="12317" max="12317" width="8.85546875" style="284" customWidth="1"/>
    <col min="12318" max="12318" width="16" style="284" customWidth="1"/>
    <col min="12319" max="12319" width="14.85546875" style="284" bestFit="1" customWidth="1"/>
    <col min="12320" max="12320" width="15.140625" style="284" customWidth="1"/>
    <col min="12321" max="12321" width="11.85546875" style="284" customWidth="1"/>
    <col min="12322" max="12322" width="10.7109375" style="284" bestFit="1" customWidth="1"/>
    <col min="12323" max="12323" width="13.85546875" style="284" customWidth="1"/>
    <col min="12324" max="12326" width="18.140625" style="284" bestFit="1" customWidth="1"/>
    <col min="12327" max="12331" width="8.85546875" style="284"/>
    <col min="12332" max="12332" width="10.42578125" style="284" bestFit="1" customWidth="1"/>
    <col min="12333" max="12334" width="14.28515625" style="284" bestFit="1" customWidth="1"/>
    <col min="12335" max="12339" width="10.42578125" style="284" bestFit="1" customWidth="1"/>
    <col min="12340" max="12545" width="8.85546875" style="284"/>
    <col min="12546" max="12546" width="15.7109375" style="284" customWidth="1"/>
    <col min="12547" max="12547" width="14.7109375" style="284" bestFit="1" customWidth="1"/>
    <col min="12548" max="12548" width="12.5703125" style="284" customWidth="1"/>
    <col min="12549" max="12549" width="21" style="284" bestFit="1" customWidth="1"/>
    <col min="12550" max="12550" width="19.85546875" style="284" customWidth="1"/>
    <col min="12551" max="12551" width="15.85546875" style="284" bestFit="1" customWidth="1"/>
    <col min="12552" max="12552" width="14.85546875" style="284" bestFit="1" customWidth="1"/>
    <col min="12553" max="12553" width="15.85546875" style="284" bestFit="1" customWidth="1"/>
    <col min="12554" max="12555" width="11.5703125" style="284" customWidth="1"/>
    <col min="12556" max="12557" width="13.85546875" style="284" customWidth="1"/>
    <col min="12558" max="12558" width="15.42578125" style="284" customWidth="1"/>
    <col min="12559" max="12559" width="14.85546875" style="284" customWidth="1"/>
    <col min="12560" max="12560" width="15.42578125" style="284" customWidth="1"/>
    <col min="12561" max="12562" width="13.85546875" style="284" customWidth="1"/>
    <col min="12563" max="12563" width="1.5703125" style="284" customWidth="1"/>
    <col min="12564" max="12564" width="12" style="284" customWidth="1"/>
    <col min="12565" max="12565" width="15.28515625" style="284" bestFit="1" customWidth="1"/>
    <col min="12566" max="12566" width="14.42578125" style="284" bestFit="1" customWidth="1"/>
    <col min="12567" max="12567" width="12.140625" style="284" customWidth="1"/>
    <col min="12568" max="12568" width="10.5703125" style="284" bestFit="1" customWidth="1"/>
    <col min="12569" max="12569" width="14.7109375" style="284" customWidth="1"/>
    <col min="12570" max="12570" width="14.5703125" style="284" bestFit="1" customWidth="1"/>
    <col min="12571" max="12571" width="17.7109375" style="284" customWidth="1"/>
    <col min="12572" max="12572" width="15" style="284" customWidth="1"/>
    <col min="12573" max="12573" width="8.85546875" style="284" customWidth="1"/>
    <col min="12574" max="12574" width="16" style="284" customWidth="1"/>
    <col min="12575" max="12575" width="14.85546875" style="284" bestFit="1" customWidth="1"/>
    <col min="12576" max="12576" width="15.140625" style="284" customWidth="1"/>
    <col min="12577" max="12577" width="11.85546875" style="284" customWidth="1"/>
    <col min="12578" max="12578" width="10.7109375" style="284" bestFit="1" customWidth="1"/>
    <col min="12579" max="12579" width="13.85546875" style="284" customWidth="1"/>
    <col min="12580" max="12582" width="18.140625" style="284" bestFit="1" customWidth="1"/>
    <col min="12583" max="12587" width="8.85546875" style="284"/>
    <col min="12588" max="12588" width="10.42578125" style="284" bestFit="1" customWidth="1"/>
    <col min="12589" max="12590" width="14.28515625" style="284" bestFit="1" customWidth="1"/>
    <col min="12591" max="12595" width="10.42578125" style="284" bestFit="1" customWidth="1"/>
    <col min="12596" max="12801" width="8.85546875" style="284"/>
    <col min="12802" max="12802" width="15.7109375" style="284" customWidth="1"/>
    <col min="12803" max="12803" width="14.7109375" style="284" bestFit="1" customWidth="1"/>
    <col min="12804" max="12804" width="12.5703125" style="284" customWidth="1"/>
    <col min="12805" max="12805" width="21" style="284" bestFit="1" customWidth="1"/>
    <col min="12806" max="12806" width="19.85546875" style="284" customWidth="1"/>
    <col min="12807" max="12807" width="15.85546875" style="284" bestFit="1" customWidth="1"/>
    <col min="12808" max="12808" width="14.85546875" style="284" bestFit="1" customWidth="1"/>
    <col min="12809" max="12809" width="15.85546875" style="284" bestFit="1" customWidth="1"/>
    <col min="12810" max="12811" width="11.5703125" style="284" customWidth="1"/>
    <col min="12812" max="12813" width="13.85546875" style="284" customWidth="1"/>
    <col min="12814" max="12814" width="15.42578125" style="284" customWidth="1"/>
    <col min="12815" max="12815" width="14.85546875" style="284" customWidth="1"/>
    <col min="12816" max="12816" width="15.42578125" style="284" customWidth="1"/>
    <col min="12817" max="12818" width="13.85546875" style="284" customWidth="1"/>
    <col min="12819" max="12819" width="1.5703125" style="284" customWidth="1"/>
    <col min="12820" max="12820" width="12" style="284" customWidth="1"/>
    <col min="12821" max="12821" width="15.28515625" style="284" bestFit="1" customWidth="1"/>
    <col min="12822" max="12822" width="14.42578125" style="284" bestFit="1" customWidth="1"/>
    <col min="12823" max="12823" width="12.140625" style="284" customWidth="1"/>
    <col min="12824" max="12824" width="10.5703125" style="284" bestFit="1" customWidth="1"/>
    <col min="12825" max="12825" width="14.7109375" style="284" customWidth="1"/>
    <col min="12826" max="12826" width="14.5703125" style="284" bestFit="1" customWidth="1"/>
    <col min="12827" max="12827" width="17.7109375" style="284" customWidth="1"/>
    <col min="12828" max="12828" width="15" style="284" customWidth="1"/>
    <col min="12829" max="12829" width="8.85546875" style="284" customWidth="1"/>
    <col min="12830" max="12830" width="16" style="284" customWidth="1"/>
    <col min="12831" max="12831" width="14.85546875" style="284" bestFit="1" customWidth="1"/>
    <col min="12832" max="12832" width="15.140625" style="284" customWidth="1"/>
    <col min="12833" max="12833" width="11.85546875" style="284" customWidth="1"/>
    <col min="12834" max="12834" width="10.7109375" style="284" bestFit="1" customWidth="1"/>
    <col min="12835" max="12835" width="13.85546875" style="284" customWidth="1"/>
    <col min="12836" max="12838" width="18.140625" style="284" bestFit="1" customWidth="1"/>
    <col min="12839" max="12843" width="8.85546875" style="284"/>
    <col min="12844" max="12844" width="10.42578125" style="284" bestFit="1" customWidth="1"/>
    <col min="12845" max="12846" width="14.28515625" style="284" bestFit="1" customWidth="1"/>
    <col min="12847" max="12851" width="10.42578125" style="284" bestFit="1" customWidth="1"/>
    <col min="12852" max="13057" width="8.85546875" style="284"/>
    <col min="13058" max="13058" width="15.7109375" style="284" customWidth="1"/>
    <col min="13059" max="13059" width="14.7109375" style="284" bestFit="1" customWidth="1"/>
    <col min="13060" max="13060" width="12.5703125" style="284" customWidth="1"/>
    <col min="13061" max="13061" width="21" style="284" bestFit="1" customWidth="1"/>
    <col min="13062" max="13062" width="19.85546875" style="284" customWidth="1"/>
    <col min="13063" max="13063" width="15.85546875" style="284" bestFit="1" customWidth="1"/>
    <col min="13064" max="13064" width="14.85546875" style="284" bestFit="1" customWidth="1"/>
    <col min="13065" max="13065" width="15.85546875" style="284" bestFit="1" customWidth="1"/>
    <col min="13066" max="13067" width="11.5703125" style="284" customWidth="1"/>
    <col min="13068" max="13069" width="13.85546875" style="284" customWidth="1"/>
    <col min="13070" max="13070" width="15.42578125" style="284" customWidth="1"/>
    <col min="13071" max="13071" width="14.85546875" style="284" customWidth="1"/>
    <col min="13072" max="13072" width="15.42578125" style="284" customWidth="1"/>
    <col min="13073" max="13074" width="13.85546875" style="284" customWidth="1"/>
    <col min="13075" max="13075" width="1.5703125" style="284" customWidth="1"/>
    <col min="13076" max="13076" width="12" style="284" customWidth="1"/>
    <col min="13077" max="13077" width="15.28515625" style="284" bestFit="1" customWidth="1"/>
    <col min="13078" max="13078" width="14.42578125" style="284" bestFit="1" customWidth="1"/>
    <col min="13079" max="13079" width="12.140625" style="284" customWidth="1"/>
    <col min="13080" max="13080" width="10.5703125" style="284" bestFit="1" customWidth="1"/>
    <col min="13081" max="13081" width="14.7109375" style="284" customWidth="1"/>
    <col min="13082" max="13082" width="14.5703125" style="284" bestFit="1" customWidth="1"/>
    <col min="13083" max="13083" width="17.7109375" style="284" customWidth="1"/>
    <col min="13084" max="13084" width="15" style="284" customWidth="1"/>
    <col min="13085" max="13085" width="8.85546875" style="284" customWidth="1"/>
    <col min="13086" max="13086" width="16" style="284" customWidth="1"/>
    <col min="13087" max="13087" width="14.85546875" style="284" bestFit="1" customWidth="1"/>
    <col min="13088" max="13088" width="15.140625" style="284" customWidth="1"/>
    <col min="13089" max="13089" width="11.85546875" style="284" customWidth="1"/>
    <col min="13090" max="13090" width="10.7109375" style="284" bestFit="1" customWidth="1"/>
    <col min="13091" max="13091" width="13.85546875" style="284" customWidth="1"/>
    <col min="13092" max="13094" width="18.140625" style="284" bestFit="1" customWidth="1"/>
    <col min="13095" max="13099" width="8.85546875" style="284"/>
    <col min="13100" max="13100" width="10.42578125" style="284" bestFit="1" customWidth="1"/>
    <col min="13101" max="13102" width="14.28515625" style="284" bestFit="1" customWidth="1"/>
    <col min="13103" max="13107" width="10.42578125" style="284" bestFit="1" customWidth="1"/>
    <col min="13108" max="13313" width="8.85546875" style="284"/>
    <col min="13314" max="13314" width="15.7109375" style="284" customWidth="1"/>
    <col min="13315" max="13315" width="14.7109375" style="284" bestFit="1" customWidth="1"/>
    <col min="13316" max="13316" width="12.5703125" style="284" customWidth="1"/>
    <col min="13317" max="13317" width="21" style="284" bestFit="1" customWidth="1"/>
    <col min="13318" max="13318" width="19.85546875" style="284" customWidth="1"/>
    <col min="13319" max="13319" width="15.85546875" style="284" bestFit="1" customWidth="1"/>
    <col min="13320" max="13320" width="14.85546875" style="284" bestFit="1" customWidth="1"/>
    <col min="13321" max="13321" width="15.85546875" style="284" bestFit="1" customWidth="1"/>
    <col min="13322" max="13323" width="11.5703125" style="284" customWidth="1"/>
    <col min="13324" max="13325" width="13.85546875" style="284" customWidth="1"/>
    <col min="13326" max="13326" width="15.42578125" style="284" customWidth="1"/>
    <col min="13327" max="13327" width="14.85546875" style="284" customWidth="1"/>
    <col min="13328" max="13328" width="15.42578125" style="284" customWidth="1"/>
    <col min="13329" max="13330" width="13.85546875" style="284" customWidth="1"/>
    <col min="13331" max="13331" width="1.5703125" style="284" customWidth="1"/>
    <col min="13332" max="13332" width="12" style="284" customWidth="1"/>
    <col min="13333" max="13333" width="15.28515625" style="284" bestFit="1" customWidth="1"/>
    <col min="13334" max="13334" width="14.42578125" style="284" bestFit="1" customWidth="1"/>
    <col min="13335" max="13335" width="12.140625" style="284" customWidth="1"/>
    <col min="13336" max="13336" width="10.5703125" style="284" bestFit="1" customWidth="1"/>
    <col min="13337" max="13337" width="14.7109375" style="284" customWidth="1"/>
    <col min="13338" max="13338" width="14.5703125" style="284" bestFit="1" customWidth="1"/>
    <col min="13339" max="13339" width="17.7109375" style="284" customWidth="1"/>
    <col min="13340" max="13340" width="15" style="284" customWidth="1"/>
    <col min="13341" max="13341" width="8.85546875" style="284" customWidth="1"/>
    <col min="13342" max="13342" width="16" style="284" customWidth="1"/>
    <col min="13343" max="13343" width="14.85546875" style="284" bestFit="1" customWidth="1"/>
    <col min="13344" max="13344" width="15.140625" style="284" customWidth="1"/>
    <col min="13345" max="13345" width="11.85546875" style="284" customWidth="1"/>
    <col min="13346" max="13346" width="10.7109375" style="284" bestFit="1" customWidth="1"/>
    <col min="13347" max="13347" width="13.85546875" style="284" customWidth="1"/>
    <col min="13348" max="13350" width="18.140625" style="284" bestFit="1" customWidth="1"/>
    <col min="13351" max="13355" width="8.85546875" style="284"/>
    <col min="13356" max="13356" width="10.42578125" style="284" bestFit="1" customWidth="1"/>
    <col min="13357" max="13358" width="14.28515625" style="284" bestFit="1" customWidth="1"/>
    <col min="13359" max="13363" width="10.42578125" style="284" bestFit="1" customWidth="1"/>
    <col min="13364" max="13569" width="8.85546875" style="284"/>
    <col min="13570" max="13570" width="15.7109375" style="284" customWidth="1"/>
    <col min="13571" max="13571" width="14.7109375" style="284" bestFit="1" customWidth="1"/>
    <col min="13572" max="13572" width="12.5703125" style="284" customWidth="1"/>
    <col min="13573" max="13573" width="21" style="284" bestFit="1" customWidth="1"/>
    <col min="13574" max="13574" width="19.85546875" style="284" customWidth="1"/>
    <col min="13575" max="13575" width="15.85546875" style="284" bestFit="1" customWidth="1"/>
    <col min="13576" max="13576" width="14.85546875" style="284" bestFit="1" customWidth="1"/>
    <col min="13577" max="13577" width="15.85546875" style="284" bestFit="1" customWidth="1"/>
    <col min="13578" max="13579" width="11.5703125" style="284" customWidth="1"/>
    <col min="13580" max="13581" width="13.85546875" style="284" customWidth="1"/>
    <col min="13582" max="13582" width="15.42578125" style="284" customWidth="1"/>
    <col min="13583" max="13583" width="14.85546875" style="284" customWidth="1"/>
    <col min="13584" max="13584" width="15.42578125" style="284" customWidth="1"/>
    <col min="13585" max="13586" width="13.85546875" style="284" customWidth="1"/>
    <col min="13587" max="13587" width="1.5703125" style="284" customWidth="1"/>
    <col min="13588" max="13588" width="12" style="284" customWidth="1"/>
    <col min="13589" max="13589" width="15.28515625" style="284" bestFit="1" customWidth="1"/>
    <col min="13590" max="13590" width="14.42578125" style="284" bestFit="1" customWidth="1"/>
    <col min="13591" max="13591" width="12.140625" style="284" customWidth="1"/>
    <col min="13592" max="13592" width="10.5703125" style="284" bestFit="1" customWidth="1"/>
    <col min="13593" max="13593" width="14.7109375" style="284" customWidth="1"/>
    <col min="13594" max="13594" width="14.5703125" style="284" bestFit="1" customWidth="1"/>
    <col min="13595" max="13595" width="17.7109375" style="284" customWidth="1"/>
    <col min="13596" max="13596" width="15" style="284" customWidth="1"/>
    <col min="13597" max="13597" width="8.85546875" style="284" customWidth="1"/>
    <col min="13598" max="13598" width="16" style="284" customWidth="1"/>
    <col min="13599" max="13599" width="14.85546875" style="284" bestFit="1" customWidth="1"/>
    <col min="13600" max="13600" width="15.140625" style="284" customWidth="1"/>
    <col min="13601" max="13601" width="11.85546875" style="284" customWidth="1"/>
    <col min="13602" max="13602" width="10.7109375" style="284" bestFit="1" customWidth="1"/>
    <col min="13603" max="13603" width="13.85546875" style="284" customWidth="1"/>
    <col min="13604" max="13606" width="18.140625" style="284" bestFit="1" customWidth="1"/>
    <col min="13607" max="13611" width="8.85546875" style="284"/>
    <col min="13612" max="13612" width="10.42578125" style="284" bestFit="1" customWidth="1"/>
    <col min="13613" max="13614" width="14.28515625" style="284" bestFit="1" customWidth="1"/>
    <col min="13615" max="13619" width="10.42578125" style="284" bestFit="1" customWidth="1"/>
    <col min="13620" max="13825" width="8.85546875" style="284"/>
    <col min="13826" max="13826" width="15.7109375" style="284" customWidth="1"/>
    <col min="13827" max="13827" width="14.7109375" style="284" bestFit="1" customWidth="1"/>
    <col min="13828" max="13828" width="12.5703125" style="284" customWidth="1"/>
    <col min="13829" max="13829" width="21" style="284" bestFit="1" customWidth="1"/>
    <col min="13830" max="13830" width="19.85546875" style="284" customWidth="1"/>
    <col min="13831" max="13831" width="15.85546875" style="284" bestFit="1" customWidth="1"/>
    <col min="13832" max="13832" width="14.85546875" style="284" bestFit="1" customWidth="1"/>
    <col min="13833" max="13833" width="15.85546875" style="284" bestFit="1" customWidth="1"/>
    <col min="13834" max="13835" width="11.5703125" style="284" customWidth="1"/>
    <col min="13836" max="13837" width="13.85546875" style="284" customWidth="1"/>
    <col min="13838" max="13838" width="15.42578125" style="284" customWidth="1"/>
    <col min="13839" max="13839" width="14.85546875" style="284" customWidth="1"/>
    <col min="13840" max="13840" width="15.42578125" style="284" customWidth="1"/>
    <col min="13841" max="13842" width="13.85546875" style="284" customWidth="1"/>
    <col min="13843" max="13843" width="1.5703125" style="284" customWidth="1"/>
    <col min="13844" max="13844" width="12" style="284" customWidth="1"/>
    <col min="13845" max="13845" width="15.28515625" style="284" bestFit="1" customWidth="1"/>
    <col min="13846" max="13846" width="14.42578125" style="284" bestFit="1" customWidth="1"/>
    <col min="13847" max="13847" width="12.140625" style="284" customWidth="1"/>
    <col min="13848" max="13848" width="10.5703125" style="284" bestFit="1" customWidth="1"/>
    <col min="13849" max="13849" width="14.7109375" style="284" customWidth="1"/>
    <col min="13850" max="13850" width="14.5703125" style="284" bestFit="1" customWidth="1"/>
    <col min="13851" max="13851" width="17.7109375" style="284" customWidth="1"/>
    <col min="13852" max="13852" width="15" style="284" customWidth="1"/>
    <col min="13853" max="13853" width="8.85546875" style="284" customWidth="1"/>
    <col min="13854" max="13854" width="16" style="284" customWidth="1"/>
    <col min="13855" max="13855" width="14.85546875" style="284" bestFit="1" customWidth="1"/>
    <col min="13856" max="13856" width="15.140625" style="284" customWidth="1"/>
    <col min="13857" max="13857" width="11.85546875" style="284" customWidth="1"/>
    <col min="13858" max="13858" width="10.7109375" style="284" bestFit="1" customWidth="1"/>
    <col min="13859" max="13859" width="13.85546875" style="284" customWidth="1"/>
    <col min="13860" max="13862" width="18.140625" style="284" bestFit="1" customWidth="1"/>
    <col min="13863" max="13867" width="8.85546875" style="284"/>
    <col min="13868" max="13868" width="10.42578125" style="284" bestFit="1" customWidth="1"/>
    <col min="13869" max="13870" width="14.28515625" style="284" bestFit="1" customWidth="1"/>
    <col min="13871" max="13875" width="10.42578125" style="284" bestFit="1" customWidth="1"/>
    <col min="13876" max="14081" width="8.85546875" style="284"/>
    <col min="14082" max="14082" width="15.7109375" style="284" customWidth="1"/>
    <col min="14083" max="14083" width="14.7109375" style="284" bestFit="1" customWidth="1"/>
    <col min="14084" max="14084" width="12.5703125" style="284" customWidth="1"/>
    <col min="14085" max="14085" width="21" style="284" bestFit="1" customWidth="1"/>
    <col min="14086" max="14086" width="19.85546875" style="284" customWidth="1"/>
    <col min="14087" max="14087" width="15.85546875" style="284" bestFit="1" customWidth="1"/>
    <col min="14088" max="14088" width="14.85546875" style="284" bestFit="1" customWidth="1"/>
    <col min="14089" max="14089" width="15.85546875" style="284" bestFit="1" customWidth="1"/>
    <col min="14090" max="14091" width="11.5703125" style="284" customWidth="1"/>
    <col min="14092" max="14093" width="13.85546875" style="284" customWidth="1"/>
    <col min="14094" max="14094" width="15.42578125" style="284" customWidth="1"/>
    <col min="14095" max="14095" width="14.85546875" style="284" customWidth="1"/>
    <col min="14096" max="14096" width="15.42578125" style="284" customWidth="1"/>
    <col min="14097" max="14098" width="13.85546875" style="284" customWidth="1"/>
    <col min="14099" max="14099" width="1.5703125" style="284" customWidth="1"/>
    <col min="14100" max="14100" width="12" style="284" customWidth="1"/>
    <col min="14101" max="14101" width="15.28515625" style="284" bestFit="1" customWidth="1"/>
    <col min="14102" max="14102" width="14.42578125" style="284" bestFit="1" customWidth="1"/>
    <col min="14103" max="14103" width="12.140625" style="284" customWidth="1"/>
    <col min="14104" max="14104" width="10.5703125" style="284" bestFit="1" customWidth="1"/>
    <col min="14105" max="14105" width="14.7109375" style="284" customWidth="1"/>
    <col min="14106" max="14106" width="14.5703125" style="284" bestFit="1" customWidth="1"/>
    <col min="14107" max="14107" width="17.7109375" style="284" customWidth="1"/>
    <col min="14108" max="14108" width="15" style="284" customWidth="1"/>
    <col min="14109" max="14109" width="8.85546875" style="284" customWidth="1"/>
    <col min="14110" max="14110" width="16" style="284" customWidth="1"/>
    <col min="14111" max="14111" width="14.85546875" style="284" bestFit="1" customWidth="1"/>
    <col min="14112" max="14112" width="15.140625" style="284" customWidth="1"/>
    <col min="14113" max="14113" width="11.85546875" style="284" customWidth="1"/>
    <col min="14114" max="14114" width="10.7109375" style="284" bestFit="1" customWidth="1"/>
    <col min="14115" max="14115" width="13.85546875" style="284" customWidth="1"/>
    <col min="14116" max="14118" width="18.140625" style="284" bestFit="1" customWidth="1"/>
    <col min="14119" max="14123" width="8.85546875" style="284"/>
    <col min="14124" max="14124" width="10.42578125" style="284" bestFit="1" customWidth="1"/>
    <col min="14125" max="14126" width="14.28515625" style="284" bestFit="1" customWidth="1"/>
    <col min="14127" max="14131" width="10.42578125" style="284" bestFit="1" customWidth="1"/>
    <col min="14132" max="14337" width="8.85546875" style="284"/>
    <col min="14338" max="14338" width="15.7109375" style="284" customWidth="1"/>
    <col min="14339" max="14339" width="14.7109375" style="284" bestFit="1" customWidth="1"/>
    <col min="14340" max="14340" width="12.5703125" style="284" customWidth="1"/>
    <col min="14341" max="14341" width="21" style="284" bestFit="1" customWidth="1"/>
    <col min="14342" max="14342" width="19.85546875" style="284" customWidth="1"/>
    <col min="14343" max="14343" width="15.85546875" style="284" bestFit="1" customWidth="1"/>
    <col min="14344" max="14344" width="14.85546875" style="284" bestFit="1" customWidth="1"/>
    <col min="14345" max="14345" width="15.85546875" style="284" bestFit="1" customWidth="1"/>
    <col min="14346" max="14347" width="11.5703125" style="284" customWidth="1"/>
    <col min="14348" max="14349" width="13.85546875" style="284" customWidth="1"/>
    <col min="14350" max="14350" width="15.42578125" style="284" customWidth="1"/>
    <col min="14351" max="14351" width="14.85546875" style="284" customWidth="1"/>
    <col min="14352" max="14352" width="15.42578125" style="284" customWidth="1"/>
    <col min="14353" max="14354" width="13.85546875" style="284" customWidth="1"/>
    <col min="14355" max="14355" width="1.5703125" style="284" customWidth="1"/>
    <col min="14356" max="14356" width="12" style="284" customWidth="1"/>
    <col min="14357" max="14357" width="15.28515625" style="284" bestFit="1" customWidth="1"/>
    <col min="14358" max="14358" width="14.42578125" style="284" bestFit="1" customWidth="1"/>
    <col min="14359" max="14359" width="12.140625" style="284" customWidth="1"/>
    <col min="14360" max="14360" width="10.5703125" style="284" bestFit="1" customWidth="1"/>
    <col min="14361" max="14361" width="14.7109375" style="284" customWidth="1"/>
    <col min="14362" max="14362" width="14.5703125" style="284" bestFit="1" customWidth="1"/>
    <col min="14363" max="14363" width="17.7109375" style="284" customWidth="1"/>
    <col min="14364" max="14364" width="15" style="284" customWidth="1"/>
    <col min="14365" max="14365" width="8.85546875" style="284" customWidth="1"/>
    <col min="14366" max="14366" width="16" style="284" customWidth="1"/>
    <col min="14367" max="14367" width="14.85546875" style="284" bestFit="1" customWidth="1"/>
    <col min="14368" max="14368" width="15.140625" style="284" customWidth="1"/>
    <col min="14369" max="14369" width="11.85546875" style="284" customWidth="1"/>
    <col min="14370" max="14370" width="10.7109375" style="284" bestFit="1" customWidth="1"/>
    <col min="14371" max="14371" width="13.85546875" style="284" customWidth="1"/>
    <col min="14372" max="14374" width="18.140625" style="284" bestFit="1" customWidth="1"/>
    <col min="14375" max="14379" width="8.85546875" style="284"/>
    <col min="14380" max="14380" width="10.42578125" style="284" bestFit="1" customWidth="1"/>
    <col min="14381" max="14382" width="14.28515625" style="284" bestFit="1" customWidth="1"/>
    <col min="14383" max="14387" width="10.42578125" style="284" bestFit="1" customWidth="1"/>
    <col min="14388" max="14593" width="8.85546875" style="284"/>
    <col min="14594" max="14594" width="15.7109375" style="284" customWidth="1"/>
    <col min="14595" max="14595" width="14.7109375" style="284" bestFit="1" customWidth="1"/>
    <col min="14596" max="14596" width="12.5703125" style="284" customWidth="1"/>
    <col min="14597" max="14597" width="21" style="284" bestFit="1" customWidth="1"/>
    <col min="14598" max="14598" width="19.85546875" style="284" customWidth="1"/>
    <col min="14599" max="14599" width="15.85546875" style="284" bestFit="1" customWidth="1"/>
    <col min="14600" max="14600" width="14.85546875" style="284" bestFit="1" customWidth="1"/>
    <col min="14601" max="14601" width="15.85546875" style="284" bestFit="1" customWidth="1"/>
    <col min="14602" max="14603" width="11.5703125" style="284" customWidth="1"/>
    <col min="14604" max="14605" width="13.85546875" style="284" customWidth="1"/>
    <col min="14606" max="14606" width="15.42578125" style="284" customWidth="1"/>
    <col min="14607" max="14607" width="14.85546875" style="284" customWidth="1"/>
    <col min="14608" max="14608" width="15.42578125" style="284" customWidth="1"/>
    <col min="14609" max="14610" width="13.85546875" style="284" customWidth="1"/>
    <col min="14611" max="14611" width="1.5703125" style="284" customWidth="1"/>
    <col min="14612" max="14612" width="12" style="284" customWidth="1"/>
    <col min="14613" max="14613" width="15.28515625" style="284" bestFit="1" customWidth="1"/>
    <col min="14614" max="14614" width="14.42578125" style="284" bestFit="1" customWidth="1"/>
    <col min="14615" max="14615" width="12.140625" style="284" customWidth="1"/>
    <col min="14616" max="14616" width="10.5703125" style="284" bestFit="1" customWidth="1"/>
    <col min="14617" max="14617" width="14.7109375" style="284" customWidth="1"/>
    <col min="14618" max="14618" width="14.5703125" style="284" bestFit="1" customWidth="1"/>
    <col min="14619" max="14619" width="17.7109375" style="284" customWidth="1"/>
    <col min="14620" max="14620" width="15" style="284" customWidth="1"/>
    <col min="14621" max="14621" width="8.85546875" style="284" customWidth="1"/>
    <col min="14622" max="14622" width="16" style="284" customWidth="1"/>
    <col min="14623" max="14623" width="14.85546875" style="284" bestFit="1" customWidth="1"/>
    <col min="14624" max="14624" width="15.140625" style="284" customWidth="1"/>
    <col min="14625" max="14625" width="11.85546875" style="284" customWidth="1"/>
    <col min="14626" max="14626" width="10.7109375" style="284" bestFit="1" customWidth="1"/>
    <col min="14627" max="14627" width="13.85546875" style="284" customWidth="1"/>
    <col min="14628" max="14630" width="18.140625" style="284" bestFit="1" customWidth="1"/>
    <col min="14631" max="14635" width="8.85546875" style="284"/>
    <col min="14636" max="14636" width="10.42578125" style="284" bestFit="1" customWidth="1"/>
    <col min="14637" max="14638" width="14.28515625" style="284" bestFit="1" customWidth="1"/>
    <col min="14639" max="14643" width="10.42578125" style="284" bestFit="1" customWidth="1"/>
    <col min="14644" max="14849" width="8.85546875" style="284"/>
    <col min="14850" max="14850" width="15.7109375" style="284" customWidth="1"/>
    <col min="14851" max="14851" width="14.7109375" style="284" bestFit="1" customWidth="1"/>
    <col min="14852" max="14852" width="12.5703125" style="284" customWidth="1"/>
    <col min="14853" max="14853" width="21" style="284" bestFit="1" customWidth="1"/>
    <col min="14854" max="14854" width="19.85546875" style="284" customWidth="1"/>
    <col min="14855" max="14855" width="15.85546875" style="284" bestFit="1" customWidth="1"/>
    <col min="14856" max="14856" width="14.85546875" style="284" bestFit="1" customWidth="1"/>
    <col min="14857" max="14857" width="15.85546875" style="284" bestFit="1" customWidth="1"/>
    <col min="14858" max="14859" width="11.5703125" style="284" customWidth="1"/>
    <col min="14860" max="14861" width="13.85546875" style="284" customWidth="1"/>
    <col min="14862" max="14862" width="15.42578125" style="284" customWidth="1"/>
    <col min="14863" max="14863" width="14.85546875" style="284" customWidth="1"/>
    <col min="14864" max="14864" width="15.42578125" style="284" customWidth="1"/>
    <col min="14865" max="14866" width="13.85546875" style="284" customWidth="1"/>
    <col min="14867" max="14867" width="1.5703125" style="284" customWidth="1"/>
    <col min="14868" max="14868" width="12" style="284" customWidth="1"/>
    <col min="14869" max="14869" width="15.28515625" style="284" bestFit="1" customWidth="1"/>
    <col min="14870" max="14870" width="14.42578125" style="284" bestFit="1" customWidth="1"/>
    <col min="14871" max="14871" width="12.140625" style="284" customWidth="1"/>
    <col min="14872" max="14872" width="10.5703125" style="284" bestFit="1" customWidth="1"/>
    <col min="14873" max="14873" width="14.7109375" style="284" customWidth="1"/>
    <col min="14874" max="14874" width="14.5703125" style="284" bestFit="1" customWidth="1"/>
    <col min="14875" max="14875" width="17.7109375" style="284" customWidth="1"/>
    <col min="14876" max="14876" width="15" style="284" customWidth="1"/>
    <col min="14877" max="14877" width="8.85546875" style="284" customWidth="1"/>
    <col min="14878" max="14878" width="16" style="284" customWidth="1"/>
    <col min="14879" max="14879" width="14.85546875" style="284" bestFit="1" customWidth="1"/>
    <col min="14880" max="14880" width="15.140625" style="284" customWidth="1"/>
    <col min="14881" max="14881" width="11.85546875" style="284" customWidth="1"/>
    <col min="14882" max="14882" width="10.7109375" style="284" bestFit="1" customWidth="1"/>
    <col min="14883" max="14883" width="13.85546875" style="284" customWidth="1"/>
    <col min="14884" max="14886" width="18.140625" style="284" bestFit="1" customWidth="1"/>
    <col min="14887" max="14891" width="8.85546875" style="284"/>
    <col min="14892" max="14892" width="10.42578125" style="284" bestFit="1" customWidth="1"/>
    <col min="14893" max="14894" width="14.28515625" style="284" bestFit="1" customWidth="1"/>
    <col min="14895" max="14899" width="10.42578125" style="284" bestFit="1" customWidth="1"/>
    <col min="14900" max="15105" width="8.85546875" style="284"/>
    <col min="15106" max="15106" width="15.7109375" style="284" customWidth="1"/>
    <col min="15107" max="15107" width="14.7109375" style="284" bestFit="1" customWidth="1"/>
    <col min="15108" max="15108" width="12.5703125" style="284" customWidth="1"/>
    <col min="15109" max="15109" width="21" style="284" bestFit="1" customWidth="1"/>
    <col min="15110" max="15110" width="19.85546875" style="284" customWidth="1"/>
    <col min="15111" max="15111" width="15.85546875" style="284" bestFit="1" customWidth="1"/>
    <col min="15112" max="15112" width="14.85546875" style="284" bestFit="1" customWidth="1"/>
    <col min="15113" max="15113" width="15.85546875" style="284" bestFit="1" customWidth="1"/>
    <col min="15114" max="15115" width="11.5703125" style="284" customWidth="1"/>
    <col min="15116" max="15117" width="13.85546875" style="284" customWidth="1"/>
    <col min="15118" max="15118" width="15.42578125" style="284" customWidth="1"/>
    <col min="15119" max="15119" width="14.85546875" style="284" customWidth="1"/>
    <col min="15120" max="15120" width="15.42578125" style="284" customWidth="1"/>
    <col min="15121" max="15122" width="13.85546875" style="284" customWidth="1"/>
    <col min="15123" max="15123" width="1.5703125" style="284" customWidth="1"/>
    <col min="15124" max="15124" width="12" style="284" customWidth="1"/>
    <col min="15125" max="15125" width="15.28515625" style="284" bestFit="1" customWidth="1"/>
    <col min="15126" max="15126" width="14.42578125" style="284" bestFit="1" customWidth="1"/>
    <col min="15127" max="15127" width="12.140625" style="284" customWidth="1"/>
    <col min="15128" max="15128" width="10.5703125" style="284" bestFit="1" customWidth="1"/>
    <col min="15129" max="15129" width="14.7109375" style="284" customWidth="1"/>
    <col min="15130" max="15130" width="14.5703125" style="284" bestFit="1" customWidth="1"/>
    <col min="15131" max="15131" width="17.7109375" style="284" customWidth="1"/>
    <col min="15132" max="15132" width="15" style="284" customWidth="1"/>
    <col min="15133" max="15133" width="8.85546875" style="284" customWidth="1"/>
    <col min="15134" max="15134" width="16" style="284" customWidth="1"/>
    <col min="15135" max="15135" width="14.85546875" style="284" bestFit="1" customWidth="1"/>
    <col min="15136" max="15136" width="15.140625" style="284" customWidth="1"/>
    <col min="15137" max="15137" width="11.85546875" style="284" customWidth="1"/>
    <col min="15138" max="15138" width="10.7109375" style="284" bestFit="1" customWidth="1"/>
    <col min="15139" max="15139" width="13.85546875" style="284" customWidth="1"/>
    <col min="15140" max="15142" width="18.140625" style="284" bestFit="1" customWidth="1"/>
    <col min="15143" max="15147" width="8.85546875" style="284"/>
    <col min="15148" max="15148" width="10.42578125" style="284" bestFit="1" customWidth="1"/>
    <col min="15149" max="15150" width="14.28515625" style="284" bestFit="1" customWidth="1"/>
    <col min="15151" max="15155" width="10.42578125" style="284" bestFit="1" customWidth="1"/>
    <col min="15156" max="15361" width="8.85546875" style="284"/>
    <col min="15362" max="15362" width="15.7109375" style="284" customWidth="1"/>
    <col min="15363" max="15363" width="14.7109375" style="284" bestFit="1" customWidth="1"/>
    <col min="15364" max="15364" width="12.5703125" style="284" customWidth="1"/>
    <col min="15365" max="15365" width="21" style="284" bestFit="1" customWidth="1"/>
    <col min="15366" max="15366" width="19.85546875" style="284" customWidth="1"/>
    <col min="15367" max="15367" width="15.85546875" style="284" bestFit="1" customWidth="1"/>
    <col min="15368" max="15368" width="14.85546875" style="284" bestFit="1" customWidth="1"/>
    <col min="15369" max="15369" width="15.85546875" style="284" bestFit="1" customWidth="1"/>
    <col min="15370" max="15371" width="11.5703125" style="284" customWidth="1"/>
    <col min="15372" max="15373" width="13.85546875" style="284" customWidth="1"/>
    <col min="15374" max="15374" width="15.42578125" style="284" customWidth="1"/>
    <col min="15375" max="15375" width="14.85546875" style="284" customWidth="1"/>
    <col min="15376" max="15376" width="15.42578125" style="284" customWidth="1"/>
    <col min="15377" max="15378" width="13.85546875" style="284" customWidth="1"/>
    <col min="15379" max="15379" width="1.5703125" style="284" customWidth="1"/>
    <col min="15380" max="15380" width="12" style="284" customWidth="1"/>
    <col min="15381" max="15381" width="15.28515625" style="284" bestFit="1" customWidth="1"/>
    <col min="15382" max="15382" width="14.42578125" style="284" bestFit="1" customWidth="1"/>
    <col min="15383" max="15383" width="12.140625" style="284" customWidth="1"/>
    <col min="15384" max="15384" width="10.5703125" style="284" bestFit="1" customWidth="1"/>
    <col min="15385" max="15385" width="14.7109375" style="284" customWidth="1"/>
    <col min="15386" max="15386" width="14.5703125" style="284" bestFit="1" customWidth="1"/>
    <col min="15387" max="15387" width="17.7109375" style="284" customWidth="1"/>
    <col min="15388" max="15388" width="15" style="284" customWidth="1"/>
    <col min="15389" max="15389" width="8.85546875" style="284" customWidth="1"/>
    <col min="15390" max="15390" width="16" style="284" customWidth="1"/>
    <col min="15391" max="15391" width="14.85546875" style="284" bestFit="1" customWidth="1"/>
    <col min="15392" max="15392" width="15.140625" style="284" customWidth="1"/>
    <col min="15393" max="15393" width="11.85546875" style="284" customWidth="1"/>
    <col min="15394" max="15394" width="10.7109375" style="284" bestFit="1" customWidth="1"/>
    <col min="15395" max="15395" width="13.85546875" style="284" customWidth="1"/>
    <col min="15396" max="15398" width="18.140625" style="284" bestFit="1" customWidth="1"/>
    <col min="15399" max="15403" width="8.85546875" style="284"/>
    <col min="15404" max="15404" width="10.42578125" style="284" bestFit="1" customWidth="1"/>
    <col min="15405" max="15406" width="14.28515625" style="284" bestFit="1" customWidth="1"/>
    <col min="15407" max="15411" width="10.42578125" style="284" bestFit="1" customWidth="1"/>
    <col min="15412" max="15617" width="8.85546875" style="284"/>
    <col min="15618" max="15618" width="15.7109375" style="284" customWidth="1"/>
    <col min="15619" max="15619" width="14.7109375" style="284" bestFit="1" customWidth="1"/>
    <col min="15620" max="15620" width="12.5703125" style="284" customWidth="1"/>
    <col min="15621" max="15621" width="21" style="284" bestFit="1" customWidth="1"/>
    <col min="15622" max="15622" width="19.85546875" style="284" customWidth="1"/>
    <col min="15623" max="15623" width="15.85546875" style="284" bestFit="1" customWidth="1"/>
    <col min="15624" max="15624" width="14.85546875" style="284" bestFit="1" customWidth="1"/>
    <col min="15625" max="15625" width="15.85546875" style="284" bestFit="1" customWidth="1"/>
    <col min="15626" max="15627" width="11.5703125" style="284" customWidth="1"/>
    <col min="15628" max="15629" width="13.85546875" style="284" customWidth="1"/>
    <col min="15630" max="15630" width="15.42578125" style="284" customWidth="1"/>
    <col min="15631" max="15631" width="14.85546875" style="284" customWidth="1"/>
    <col min="15632" max="15632" width="15.42578125" style="284" customWidth="1"/>
    <col min="15633" max="15634" width="13.85546875" style="284" customWidth="1"/>
    <col min="15635" max="15635" width="1.5703125" style="284" customWidth="1"/>
    <col min="15636" max="15636" width="12" style="284" customWidth="1"/>
    <col min="15637" max="15637" width="15.28515625" style="284" bestFit="1" customWidth="1"/>
    <col min="15638" max="15638" width="14.42578125" style="284" bestFit="1" customWidth="1"/>
    <col min="15639" max="15639" width="12.140625" style="284" customWidth="1"/>
    <col min="15640" max="15640" width="10.5703125" style="284" bestFit="1" customWidth="1"/>
    <col min="15641" max="15641" width="14.7109375" style="284" customWidth="1"/>
    <col min="15642" max="15642" width="14.5703125" style="284" bestFit="1" customWidth="1"/>
    <col min="15643" max="15643" width="17.7109375" style="284" customWidth="1"/>
    <col min="15644" max="15644" width="15" style="284" customWidth="1"/>
    <col min="15645" max="15645" width="8.85546875" style="284" customWidth="1"/>
    <col min="15646" max="15646" width="16" style="284" customWidth="1"/>
    <col min="15647" max="15647" width="14.85546875" style="284" bestFit="1" customWidth="1"/>
    <col min="15648" max="15648" width="15.140625" style="284" customWidth="1"/>
    <col min="15649" max="15649" width="11.85546875" style="284" customWidth="1"/>
    <col min="15650" max="15650" width="10.7109375" style="284" bestFit="1" customWidth="1"/>
    <col min="15651" max="15651" width="13.85546875" style="284" customWidth="1"/>
    <col min="15652" max="15654" width="18.140625" style="284" bestFit="1" customWidth="1"/>
    <col min="15655" max="15659" width="8.85546875" style="284"/>
    <col min="15660" max="15660" width="10.42578125" style="284" bestFit="1" customWidth="1"/>
    <col min="15661" max="15662" width="14.28515625" style="284" bestFit="1" customWidth="1"/>
    <col min="15663" max="15667" width="10.42578125" style="284" bestFit="1" customWidth="1"/>
    <col min="15668" max="15873" width="8.85546875" style="284"/>
    <col min="15874" max="15874" width="15.7109375" style="284" customWidth="1"/>
    <col min="15875" max="15875" width="14.7109375" style="284" bestFit="1" customWidth="1"/>
    <col min="15876" max="15876" width="12.5703125" style="284" customWidth="1"/>
    <col min="15877" max="15877" width="21" style="284" bestFit="1" customWidth="1"/>
    <col min="15878" max="15878" width="19.85546875" style="284" customWidth="1"/>
    <col min="15879" max="15879" width="15.85546875" style="284" bestFit="1" customWidth="1"/>
    <col min="15880" max="15880" width="14.85546875" style="284" bestFit="1" customWidth="1"/>
    <col min="15881" max="15881" width="15.85546875" style="284" bestFit="1" customWidth="1"/>
    <col min="15882" max="15883" width="11.5703125" style="284" customWidth="1"/>
    <col min="15884" max="15885" width="13.85546875" style="284" customWidth="1"/>
    <col min="15886" max="15886" width="15.42578125" style="284" customWidth="1"/>
    <col min="15887" max="15887" width="14.85546875" style="284" customWidth="1"/>
    <col min="15888" max="15888" width="15.42578125" style="284" customWidth="1"/>
    <col min="15889" max="15890" width="13.85546875" style="284" customWidth="1"/>
    <col min="15891" max="15891" width="1.5703125" style="284" customWidth="1"/>
    <col min="15892" max="15892" width="12" style="284" customWidth="1"/>
    <col min="15893" max="15893" width="15.28515625" style="284" bestFit="1" customWidth="1"/>
    <col min="15894" max="15894" width="14.42578125" style="284" bestFit="1" customWidth="1"/>
    <col min="15895" max="15895" width="12.140625" style="284" customWidth="1"/>
    <col min="15896" max="15896" width="10.5703125" style="284" bestFit="1" customWidth="1"/>
    <col min="15897" max="15897" width="14.7109375" style="284" customWidth="1"/>
    <col min="15898" max="15898" width="14.5703125" style="284" bestFit="1" customWidth="1"/>
    <col min="15899" max="15899" width="17.7109375" style="284" customWidth="1"/>
    <col min="15900" max="15900" width="15" style="284" customWidth="1"/>
    <col min="15901" max="15901" width="8.85546875" style="284" customWidth="1"/>
    <col min="15902" max="15902" width="16" style="284" customWidth="1"/>
    <col min="15903" max="15903" width="14.85546875" style="284" bestFit="1" customWidth="1"/>
    <col min="15904" max="15904" width="15.140625" style="284" customWidth="1"/>
    <col min="15905" max="15905" width="11.85546875" style="284" customWidth="1"/>
    <col min="15906" max="15906" width="10.7109375" style="284" bestFit="1" customWidth="1"/>
    <col min="15907" max="15907" width="13.85546875" style="284" customWidth="1"/>
    <col min="15908" max="15910" width="18.140625" style="284" bestFit="1" customWidth="1"/>
    <col min="15911" max="15915" width="8.85546875" style="284"/>
    <col min="15916" max="15916" width="10.42578125" style="284" bestFit="1" customWidth="1"/>
    <col min="15917" max="15918" width="14.28515625" style="284" bestFit="1" customWidth="1"/>
    <col min="15919" max="15923" width="10.42578125" style="284" bestFit="1" customWidth="1"/>
    <col min="15924" max="16129" width="8.85546875" style="284"/>
    <col min="16130" max="16130" width="15.7109375" style="284" customWidth="1"/>
    <col min="16131" max="16131" width="14.7109375" style="284" bestFit="1" customWidth="1"/>
    <col min="16132" max="16132" width="12.5703125" style="284" customWidth="1"/>
    <col min="16133" max="16133" width="21" style="284" bestFit="1" customWidth="1"/>
    <col min="16134" max="16134" width="19.85546875" style="284" customWidth="1"/>
    <col min="16135" max="16135" width="15.85546875" style="284" bestFit="1" customWidth="1"/>
    <col min="16136" max="16136" width="14.85546875" style="284" bestFit="1" customWidth="1"/>
    <col min="16137" max="16137" width="15.85546875" style="284" bestFit="1" customWidth="1"/>
    <col min="16138" max="16139" width="11.5703125" style="284" customWidth="1"/>
    <col min="16140" max="16141" width="13.85546875" style="284" customWidth="1"/>
    <col min="16142" max="16142" width="15.42578125" style="284" customWidth="1"/>
    <col min="16143" max="16143" width="14.85546875" style="284" customWidth="1"/>
    <col min="16144" max="16144" width="15.42578125" style="284" customWidth="1"/>
    <col min="16145" max="16146" width="13.85546875" style="284" customWidth="1"/>
    <col min="16147" max="16147" width="1.5703125" style="284" customWidth="1"/>
    <col min="16148" max="16148" width="12" style="284" customWidth="1"/>
    <col min="16149" max="16149" width="15.28515625" style="284" bestFit="1" customWidth="1"/>
    <col min="16150" max="16150" width="14.42578125" style="284" bestFit="1" customWidth="1"/>
    <col min="16151" max="16151" width="12.140625" style="284" customWidth="1"/>
    <col min="16152" max="16152" width="10.5703125" style="284" bestFit="1" customWidth="1"/>
    <col min="16153" max="16153" width="14.7109375" style="284" customWidth="1"/>
    <col min="16154" max="16154" width="14.5703125" style="284" bestFit="1" customWidth="1"/>
    <col min="16155" max="16155" width="17.7109375" style="284" customWidth="1"/>
    <col min="16156" max="16156" width="15" style="284" customWidth="1"/>
    <col min="16157" max="16157" width="8.85546875" style="284" customWidth="1"/>
    <col min="16158" max="16158" width="16" style="284" customWidth="1"/>
    <col min="16159" max="16159" width="14.85546875" style="284" bestFit="1" customWidth="1"/>
    <col min="16160" max="16160" width="15.140625" style="284" customWidth="1"/>
    <col min="16161" max="16161" width="11.85546875" style="284" customWidth="1"/>
    <col min="16162" max="16162" width="10.7109375" style="284" bestFit="1" customWidth="1"/>
    <col min="16163" max="16163" width="13.85546875" style="284" customWidth="1"/>
    <col min="16164" max="16166" width="18.140625" style="284" bestFit="1" customWidth="1"/>
    <col min="16167" max="16171" width="8.85546875" style="284"/>
    <col min="16172" max="16172" width="10.42578125" style="284" bestFit="1" customWidth="1"/>
    <col min="16173" max="16174" width="14.28515625" style="284" bestFit="1" customWidth="1"/>
    <col min="16175" max="16179" width="10.42578125" style="284" bestFit="1" customWidth="1"/>
    <col min="16180" max="16384" width="8.85546875" style="284"/>
  </cols>
  <sheetData>
    <row r="1" spans="1:37">
      <c r="A1" s="284" t="s">
        <v>430</v>
      </c>
      <c r="B1" s="285" t="s">
        <v>431</v>
      </c>
      <c r="C1" s="285" t="s">
        <v>678</v>
      </c>
      <c r="D1" s="285" t="s">
        <v>673</v>
      </c>
      <c r="F1" s="284" t="s">
        <v>432</v>
      </c>
      <c r="H1" s="285" t="s">
        <v>431</v>
      </c>
      <c r="S1" s="284" t="s">
        <v>432</v>
      </c>
      <c r="AD1" s="284" t="s">
        <v>432</v>
      </c>
    </row>
    <row r="2" spans="1:37">
      <c r="B2" s="285" t="s">
        <v>433</v>
      </c>
      <c r="C2" s="285" t="s">
        <v>486</v>
      </c>
      <c r="D2" s="285" t="s">
        <v>211</v>
      </c>
      <c r="F2" s="284" t="s">
        <v>435</v>
      </c>
      <c r="G2" s="285" t="s">
        <v>433</v>
      </c>
      <c r="H2" s="285" t="s">
        <v>433</v>
      </c>
      <c r="I2" s="285" t="s">
        <v>434</v>
      </c>
      <c r="S2" s="284" t="s">
        <v>436</v>
      </c>
      <c r="AD2" s="284" t="s">
        <v>437</v>
      </c>
      <c r="AH2" s="291"/>
      <c r="AI2" s="291"/>
    </row>
    <row r="3" spans="1:37" ht="15" thickBot="1">
      <c r="A3" s="285"/>
      <c r="B3" s="317" t="s">
        <v>438</v>
      </c>
      <c r="C3" s="318" t="s">
        <v>485</v>
      </c>
      <c r="D3" s="317" t="s">
        <v>212</v>
      </c>
      <c r="F3" s="446"/>
      <c r="G3" s="317" t="s">
        <v>439</v>
      </c>
      <c r="H3" s="317" t="s">
        <v>438</v>
      </c>
      <c r="I3" s="317" t="s">
        <v>96</v>
      </c>
      <c r="J3" s="317" t="s">
        <v>440</v>
      </c>
      <c r="K3" s="317" t="s">
        <v>440</v>
      </c>
      <c r="L3" s="285"/>
      <c r="M3" s="285" t="s">
        <v>440</v>
      </c>
      <c r="N3" s="287" t="s">
        <v>441</v>
      </c>
      <c r="P3" s="287" t="s">
        <v>442</v>
      </c>
      <c r="W3" s="291"/>
      <c r="X3" s="291"/>
      <c r="Y3" s="446"/>
      <c r="AH3" s="291"/>
      <c r="AI3" s="291"/>
      <c r="AJ3" s="446"/>
    </row>
    <row r="4" spans="1:37" ht="15" thickBot="1">
      <c r="A4" s="286" t="s">
        <v>487</v>
      </c>
      <c r="B4" s="311" t="s">
        <v>443</v>
      </c>
      <c r="C4" s="311" t="s">
        <v>444</v>
      </c>
      <c r="D4" s="311" t="s">
        <v>445</v>
      </c>
      <c r="F4" s="311" t="s">
        <v>446</v>
      </c>
      <c r="G4" s="311" t="s">
        <v>447</v>
      </c>
      <c r="H4" s="311" t="s">
        <v>448</v>
      </c>
      <c r="I4" s="311" t="s">
        <v>449</v>
      </c>
      <c r="J4" s="311" t="s">
        <v>448</v>
      </c>
      <c r="K4" s="311" t="s">
        <v>450</v>
      </c>
      <c r="L4" s="447" t="s">
        <v>449</v>
      </c>
      <c r="M4" s="447" t="s">
        <v>451</v>
      </c>
      <c r="N4" s="447" t="s">
        <v>452</v>
      </c>
      <c r="O4" s="447" t="s">
        <v>453</v>
      </c>
      <c r="P4" s="447" t="s">
        <v>452</v>
      </c>
      <c r="Q4" s="447" t="s">
        <v>453</v>
      </c>
      <c r="R4" s="307"/>
      <c r="S4" s="448" t="s">
        <v>446</v>
      </c>
      <c r="T4" s="448" t="s">
        <v>448</v>
      </c>
      <c r="U4" s="448" t="s">
        <v>449</v>
      </c>
      <c r="V4" s="448" t="s">
        <v>448</v>
      </c>
      <c r="W4" s="448" t="s">
        <v>450</v>
      </c>
      <c r="X4" s="448" t="s">
        <v>447</v>
      </c>
      <c r="Y4" s="447" t="s">
        <v>451</v>
      </c>
      <c r="AD4" s="448" t="s">
        <v>446</v>
      </c>
      <c r="AE4" s="448" t="s">
        <v>448</v>
      </c>
      <c r="AF4" s="448" t="s">
        <v>449</v>
      </c>
      <c r="AG4" s="448" t="s">
        <v>448</v>
      </c>
      <c r="AH4" s="448" t="s">
        <v>450</v>
      </c>
      <c r="AI4" s="448" t="s">
        <v>447</v>
      </c>
      <c r="AJ4" s="448" t="s">
        <v>451</v>
      </c>
    </row>
    <row r="5" spans="1:37">
      <c r="A5" s="289">
        <v>1988</v>
      </c>
      <c r="B5" s="290">
        <v>1381100</v>
      </c>
      <c r="C5" s="290"/>
      <c r="D5" s="290"/>
      <c r="F5" s="285">
        <v>1990</v>
      </c>
      <c r="G5" s="297">
        <v>5396018.2085689167</v>
      </c>
      <c r="H5" s="290">
        <f t="shared" ref="H5:H25" si="0">B5</f>
        <v>1381100</v>
      </c>
      <c r="I5" s="284" t="s">
        <v>454</v>
      </c>
      <c r="J5" s="290">
        <f t="shared" ref="J5:J25" si="1">H5</f>
        <v>1381100</v>
      </c>
      <c r="K5" s="284" t="s">
        <v>454</v>
      </c>
      <c r="L5" s="291" t="s">
        <v>454</v>
      </c>
      <c r="M5" s="292">
        <f t="shared" ref="M5:M24" si="2">LN(G5/H5)</f>
        <v>1.3627810296948744</v>
      </c>
      <c r="S5" s="285">
        <v>1991</v>
      </c>
      <c r="T5" s="290">
        <f t="shared" ref="T5:T14" ca="1" si="3">OFFSET($H$6,$S5-$F$6,,1)</f>
        <v>224000</v>
      </c>
      <c r="U5" s="297"/>
      <c r="V5" s="290">
        <f t="shared" ref="V5:V13" ca="1" si="4">T5</f>
        <v>224000</v>
      </c>
      <c r="W5" s="297">
        <f t="shared" ref="W5:W13" ca="1" si="5">OFFSET($K$6,$S5-$F$6,,1)</f>
        <v>906.45500000000004</v>
      </c>
      <c r="X5" s="297">
        <f t="shared" ref="X5:X14" ca="1" si="6">OFFSET($G$6,$S5-$F$6,,1)</f>
        <v>216257.23994812582</v>
      </c>
      <c r="Y5" s="293">
        <f t="shared" ref="Y5:Y14" ca="1" si="7">LN(X5/V5)</f>
        <v>-3.5177427074572568E-2</v>
      </c>
      <c r="AD5" s="285">
        <v>1992</v>
      </c>
      <c r="AE5" s="290">
        <f t="shared" ref="AE5:AE13" ca="1" si="8">OFFSET($H$7,$AD5-$F$7,,1)</f>
        <v>1800100</v>
      </c>
      <c r="AF5" s="297"/>
      <c r="AG5" s="290">
        <f t="shared" ref="AG5:AG13" ca="1" si="9">AE5</f>
        <v>1800100</v>
      </c>
      <c r="AH5" s="297">
        <f t="shared" ref="AH5:AH13" ca="1" si="10">OFFSET($K$7,$AD5-$F$7,,1)</f>
        <v>4593.701</v>
      </c>
      <c r="AI5" s="297">
        <f t="shared" ref="AI5:AI13" ca="1" si="11">OFFSET($G$7,$AD5-$F$7,,1)</f>
        <v>2182289.5498920702</v>
      </c>
      <c r="AJ5" s="293">
        <f t="shared" ref="AJ5:AJ13" ca="1" si="12">LN(AI5/AG5)</f>
        <v>0.19253235900150581</v>
      </c>
    </row>
    <row r="6" spans="1:37">
      <c r="A6" s="289">
        <v>1989</v>
      </c>
      <c r="B6" s="290">
        <v>224000</v>
      </c>
      <c r="C6" s="290"/>
      <c r="D6" s="290"/>
      <c r="F6" s="285">
        <v>1991</v>
      </c>
      <c r="G6" s="297">
        <v>216257.23994812582</v>
      </c>
      <c r="H6" s="290">
        <f t="shared" si="0"/>
        <v>224000</v>
      </c>
      <c r="I6" s="294"/>
      <c r="J6" s="290">
        <f t="shared" si="1"/>
        <v>224000</v>
      </c>
      <c r="K6" s="297">
        <f t="shared" ref="K6:K25" si="13">D7</f>
        <v>906.45500000000004</v>
      </c>
      <c r="L6" s="294"/>
      <c r="M6" s="292">
        <f t="shared" si="2"/>
        <v>-3.5177427074572568E-2</v>
      </c>
      <c r="P6" s="292">
        <f t="shared" ref="P6:P15" si="14">$G$70+$G$71*H6+$G$72*K6</f>
        <v>1.3254841055307012</v>
      </c>
      <c r="Q6" s="292">
        <f t="shared" ref="Q6:Q15" si="15">M6-P6</f>
        <v>-1.3606615326052738</v>
      </c>
      <c r="S6" s="285">
        <v>1993</v>
      </c>
      <c r="T6" s="290">
        <f t="shared" ca="1" si="3"/>
        <v>66785</v>
      </c>
      <c r="U6" s="297"/>
      <c r="V6" s="290">
        <f t="shared" ca="1" si="4"/>
        <v>66785</v>
      </c>
      <c r="W6" s="297">
        <f t="shared" ca="1" si="5"/>
        <v>3653.694</v>
      </c>
      <c r="X6" s="297">
        <f t="shared" ca="1" si="6"/>
        <v>868497.25192994904</v>
      </c>
      <c r="Y6" s="293">
        <f t="shared" ca="1" si="7"/>
        <v>2.5652859170904345</v>
      </c>
      <c r="AD6" s="285">
        <v>1994</v>
      </c>
      <c r="AE6" s="290">
        <f t="shared" ca="1" si="8"/>
        <v>1490174</v>
      </c>
      <c r="AF6" s="297"/>
      <c r="AG6" s="290">
        <f t="shared" ca="1" si="9"/>
        <v>1490174</v>
      </c>
      <c r="AH6" s="297">
        <f t="shared" ca="1" si="10"/>
        <v>3092.0349999999999</v>
      </c>
      <c r="AI6" s="297">
        <f t="shared" ca="1" si="11"/>
        <v>973975.11616975348</v>
      </c>
      <c r="AJ6" s="293">
        <f t="shared" ca="1" si="12"/>
        <v>-0.42526241540907167</v>
      </c>
    </row>
    <row r="7" spans="1:37">
      <c r="A7" s="285">
        <v>1990</v>
      </c>
      <c r="B7" s="290">
        <v>1800100</v>
      </c>
      <c r="C7" s="294"/>
      <c r="D7" s="290">
        <v>906.45500000000004</v>
      </c>
      <c r="F7" s="285">
        <v>1992</v>
      </c>
      <c r="G7" s="297">
        <v>2182289.5498920702</v>
      </c>
      <c r="H7" s="290">
        <f t="shared" si="0"/>
        <v>1800100</v>
      </c>
      <c r="I7" s="294"/>
      <c r="J7" s="290">
        <f t="shared" si="1"/>
        <v>1800100</v>
      </c>
      <c r="K7" s="297">
        <f t="shared" si="13"/>
        <v>4593.701</v>
      </c>
      <c r="L7" s="294"/>
      <c r="M7" s="292">
        <f t="shared" si="2"/>
        <v>0.19253235900150581</v>
      </c>
      <c r="P7" s="292">
        <f t="shared" si="14"/>
        <v>-0.52757153360742204</v>
      </c>
      <c r="Q7" s="292">
        <f t="shared" si="15"/>
        <v>0.72010389260892782</v>
      </c>
      <c r="S7" s="285">
        <v>1995</v>
      </c>
      <c r="T7" s="290">
        <f t="shared" ca="1" si="3"/>
        <v>348822</v>
      </c>
      <c r="U7" s="297"/>
      <c r="V7" s="290">
        <f t="shared" ca="1" si="4"/>
        <v>348822</v>
      </c>
      <c r="W7" s="297">
        <f t="shared" ca="1" si="5"/>
        <v>4724.3590000000004</v>
      </c>
      <c r="X7" s="297">
        <f t="shared" ca="1" si="6"/>
        <v>610008.32306219626</v>
      </c>
      <c r="Y7" s="293">
        <f t="shared" ca="1" si="7"/>
        <v>0.55891083799825259</v>
      </c>
      <c r="AD7" s="285">
        <v>1996</v>
      </c>
      <c r="AE7" s="290">
        <f t="shared" ca="1" si="8"/>
        <v>843390</v>
      </c>
      <c r="AF7" s="297"/>
      <c r="AG7" s="290">
        <f t="shared" ca="1" si="9"/>
        <v>843390</v>
      </c>
      <c r="AH7" s="297">
        <f t="shared" ca="1" si="10"/>
        <v>5882.3410000000003</v>
      </c>
      <c r="AI7" s="297">
        <f t="shared" ca="1" si="11"/>
        <v>1720510.1051864009</v>
      </c>
      <c r="AJ7" s="293">
        <f t="shared" ca="1" si="12"/>
        <v>0.71294661414932381</v>
      </c>
    </row>
    <row r="8" spans="1:37">
      <c r="A8" s="285">
        <v>1991</v>
      </c>
      <c r="B8" s="290">
        <v>66785</v>
      </c>
      <c r="C8" s="294"/>
      <c r="D8" s="290">
        <v>4593.701</v>
      </c>
      <c r="F8" s="285">
        <v>1993</v>
      </c>
      <c r="G8" s="297">
        <v>868497.25192994904</v>
      </c>
      <c r="H8" s="290">
        <f t="shared" si="0"/>
        <v>66785</v>
      </c>
      <c r="I8" s="295"/>
      <c r="J8" s="290">
        <f t="shared" si="1"/>
        <v>66785</v>
      </c>
      <c r="K8" s="297">
        <f t="shared" si="13"/>
        <v>3653.694</v>
      </c>
      <c r="L8" s="295"/>
      <c r="M8" s="292">
        <f t="shared" si="2"/>
        <v>2.5652859170904345</v>
      </c>
      <c r="P8" s="292">
        <f t="shared" si="14"/>
        <v>1.3941213677836175</v>
      </c>
      <c r="Q8" s="292">
        <f t="shared" si="15"/>
        <v>1.171164549306817</v>
      </c>
      <c r="S8" s="285">
        <v>1997</v>
      </c>
      <c r="T8" s="290">
        <f t="shared" ca="1" si="3"/>
        <v>240765</v>
      </c>
      <c r="U8" s="297"/>
      <c r="V8" s="290">
        <f t="shared" ca="1" si="4"/>
        <v>240765</v>
      </c>
      <c r="W8" s="297">
        <f t="shared" ca="1" si="5"/>
        <v>8347.32</v>
      </c>
      <c r="X8" s="297">
        <f t="shared" ca="1" si="6"/>
        <v>672566.95484663045</v>
      </c>
      <c r="Y8" s="293">
        <f t="shared" ca="1" si="7"/>
        <v>1.0272803135970561</v>
      </c>
      <c r="AD8" s="285">
        <v>1998</v>
      </c>
      <c r="AE8" s="290">
        <f t="shared" ca="1" si="8"/>
        <v>1686910</v>
      </c>
      <c r="AF8" s="297"/>
      <c r="AG8" s="290">
        <f t="shared" ca="1" si="9"/>
        <v>1686910</v>
      </c>
      <c r="AH8" s="297">
        <f t="shared" ca="1" si="10"/>
        <v>11018.370999999999</v>
      </c>
      <c r="AI8" s="297">
        <f t="shared" ca="1" si="11"/>
        <v>1710252.1781725008</v>
      </c>
      <c r="AJ8" s="293">
        <f t="shared" ca="1" si="12"/>
        <v>1.3742379256819611E-2</v>
      </c>
    </row>
    <row r="9" spans="1:37">
      <c r="A9" s="285">
        <v>1992</v>
      </c>
      <c r="B9" s="290">
        <v>1490174</v>
      </c>
      <c r="C9" s="295"/>
      <c r="D9" s="290">
        <v>3653.694</v>
      </c>
      <c r="F9" s="285">
        <v>1994</v>
      </c>
      <c r="G9" s="297">
        <v>973975.11616975348</v>
      </c>
      <c r="H9" s="290">
        <f t="shared" si="0"/>
        <v>1490174</v>
      </c>
      <c r="I9" s="294"/>
      <c r="J9" s="290">
        <f t="shared" si="1"/>
        <v>1490174</v>
      </c>
      <c r="K9" s="297">
        <f t="shared" si="13"/>
        <v>3092.0349999999999</v>
      </c>
      <c r="L9" s="294"/>
      <c r="M9" s="292">
        <f t="shared" si="2"/>
        <v>-0.42526241540907167</v>
      </c>
      <c r="P9" s="292">
        <f t="shared" si="14"/>
        <v>-0.1342142043935825</v>
      </c>
      <c r="Q9" s="292">
        <f t="shared" si="15"/>
        <v>-0.29104821101548917</v>
      </c>
      <c r="S9" s="285">
        <v>1999</v>
      </c>
      <c r="T9" s="290">
        <f t="shared" ca="1" si="3"/>
        <v>346431</v>
      </c>
      <c r="U9" s="297"/>
      <c r="V9" s="290">
        <f t="shared" ca="1" si="4"/>
        <v>346431</v>
      </c>
      <c r="W9" s="297">
        <f t="shared" ca="1" si="5"/>
        <v>14323.634</v>
      </c>
      <c r="X9" s="297">
        <f t="shared" ca="1" si="6"/>
        <v>603030.13744886289</v>
      </c>
      <c r="Y9" s="293">
        <f t="shared" ca="1" si="7"/>
        <v>0.55428351006280174</v>
      </c>
      <c r="AD9" s="285">
        <v>2000</v>
      </c>
      <c r="AE9" s="290">
        <f t="shared" ca="1" si="8"/>
        <v>1639830</v>
      </c>
      <c r="AF9" s="297"/>
      <c r="AG9" s="290">
        <f t="shared" ca="1" si="9"/>
        <v>1639830</v>
      </c>
      <c r="AH9" s="297">
        <f t="shared" ca="1" si="10"/>
        <v>16992.023000000001</v>
      </c>
      <c r="AI9" s="297">
        <f t="shared" ca="1" si="11"/>
        <v>4479313.40877055</v>
      </c>
      <c r="AJ9" s="293">
        <f t="shared" ca="1" si="12"/>
        <v>1.0048771997843804</v>
      </c>
      <c r="AK9" s="309"/>
    </row>
    <row r="10" spans="1:37">
      <c r="A10" s="285">
        <v>1993</v>
      </c>
      <c r="B10" s="290">
        <v>348822</v>
      </c>
      <c r="C10" s="294"/>
      <c r="D10" s="290">
        <v>3092.0349999999999</v>
      </c>
      <c r="F10" s="285">
        <v>1995</v>
      </c>
      <c r="G10" s="297">
        <v>610008.32306219626</v>
      </c>
      <c r="H10" s="290">
        <f t="shared" si="0"/>
        <v>348822</v>
      </c>
      <c r="I10" s="295"/>
      <c r="J10" s="290">
        <f t="shared" si="1"/>
        <v>348822</v>
      </c>
      <c r="K10" s="297">
        <f t="shared" si="13"/>
        <v>4724.3590000000004</v>
      </c>
      <c r="L10" s="295"/>
      <c r="M10" s="292">
        <f t="shared" si="2"/>
        <v>0.55891083799825259</v>
      </c>
      <c r="P10" s="292">
        <f t="shared" si="14"/>
        <v>1.0471979457319849</v>
      </c>
      <c r="Q10" s="292">
        <f t="shared" si="15"/>
        <v>-0.4882871077337323</v>
      </c>
      <c r="S10" s="285">
        <v>2001</v>
      </c>
      <c r="T10" s="290">
        <f t="shared" ca="1" si="3"/>
        <v>582434</v>
      </c>
      <c r="U10" s="290">
        <f t="shared" ref="U10:U14" ca="1" si="16">OFFSET($I$6,$S10-$F$6,,1)</f>
        <v>9553885.3887958284</v>
      </c>
      <c r="V10" s="290">
        <f t="shared" ca="1" si="4"/>
        <v>582434</v>
      </c>
      <c r="W10" s="297">
        <f t="shared" ca="1" si="5"/>
        <v>15575.808000000001</v>
      </c>
      <c r="X10" s="297">
        <f t="shared" ca="1" si="6"/>
        <v>1700351.7491424014</v>
      </c>
      <c r="Y10" s="293">
        <f t="shared" ca="1" si="7"/>
        <v>1.0713745456020003</v>
      </c>
      <c r="AD10" s="285">
        <v>2002</v>
      </c>
      <c r="AE10" s="290">
        <f t="shared" ca="1" si="8"/>
        <v>3417384</v>
      </c>
      <c r="AF10" s="290">
        <f ca="1">OFFSET($I$7,$AD10-$F$7,,1)</f>
        <v>7547883.6797598703</v>
      </c>
      <c r="AG10" s="290">
        <f t="shared" ca="1" si="9"/>
        <v>3417384</v>
      </c>
      <c r="AH10" s="297">
        <f t="shared" ca="1" si="10"/>
        <v>17312.827000000001</v>
      </c>
      <c r="AI10" s="297">
        <f t="shared" ca="1" si="11"/>
        <v>125377.02233912013</v>
      </c>
      <c r="AJ10" s="293">
        <f t="shared" ca="1" si="12"/>
        <v>-3.3053052486072811</v>
      </c>
      <c r="AK10" s="453"/>
    </row>
    <row r="11" spans="1:37">
      <c r="A11" s="285">
        <v>1994</v>
      </c>
      <c r="B11" s="290">
        <v>843390</v>
      </c>
      <c r="C11" s="295"/>
      <c r="D11" s="290">
        <v>4724.3590000000004</v>
      </c>
      <c r="F11" s="285">
        <v>1996</v>
      </c>
      <c r="G11" s="297">
        <v>1720510.1051864009</v>
      </c>
      <c r="H11" s="290">
        <f t="shared" si="0"/>
        <v>843390</v>
      </c>
      <c r="I11" s="294"/>
      <c r="J11" s="290">
        <f t="shared" si="1"/>
        <v>843390</v>
      </c>
      <c r="K11" s="297">
        <f t="shared" si="13"/>
        <v>5882.3410000000003</v>
      </c>
      <c r="L11" s="294"/>
      <c r="M11" s="292">
        <f t="shared" si="2"/>
        <v>0.71294661414932381</v>
      </c>
      <c r="P11" s="292">
        <f t="shared" si="14"/>
        <v>0.46568786680509877</v>
      </c>
      <c r="Q11" s="292">
        <f t="shared" si="15"/>
        <v>0.24725874734422504</v>
      </c>
      <c r="S11" s="285">
        <v>2003</v>
      </c>
      <c r="T11" s="290">
        <f t="shared" ca="1" si="3"/>
        <v>1490347</v>
      </c>
      <c r="U11" s="290">
        <f t="shared" ca="1" si="16"/>
        <v>14640897.840283608</v>
      </c>
      <c r="V11" s="290">
        <f t="shared" ca="1" si="4"/>
        <v>1490347</v>
      </c>
      <c r="W11" s="297">
        <f t="shared" ca="1" si="5"/>
        <v>20840.866999999998</v>
      </c>
      <c r="X11" s="297">
        <f t="shared" ca="1" si="6"/>
        <v>186761.25</v>
      </c>
      <c r="Y11" s="293">
        <f t="shared" ca="1" si="7"/>
        <v>-2.076933194569464</v>
      </c>
      <c r="AD11" s="285">
        <v>2004</v>
      </c>
      <c r="AE11" s="290">
        <f t="shared" ca="1" si="8"/>
        <v>110319</v>
      </c>
      <c r="AF11" s="290">
        <f ca="1">OFFSET($I$7,$AD11-$F$7,,1)</f>
        <v>4849224.7879999997</v>
      </c>
      <c r="AG11" s="290">
        <f t="shared" ca="1" si="9"/>
        <v>110319</v>
      </c>
      <c r="AH11" s="297">
        <f t="shared" ca="1" si="10"/>
        <v>16438.332999999999</v>
      </c>
      <c r="AI11" s="297">
        <f t="shared" ca="1" si="11"/>
        <v>1145669.1190617357</v>
      </c>
      <c r="AJ11" s="293">
        <f t="shared" ca="1" si="12"/>
        <v>2.3403679598584093</v>
      </c>
      <c r="AK11" s="453"/>
    </row>
    <row r="12" spans="1:37">
      <c r="A12" s="285">
        <v>1995</v>
      </c>
      <c r="B12" s="290">
        <v>240765</v>
      </c>
      <c r="C12" s="294"/>
      <c r="D12" s="290">
        <v>5882.3410000000003</v>
      </c>
      <c r="F12" s="285">
        <v>1997</v>
      </c>
      <c r="G12" s="297">
        <v>672566.95484663045</v>
      </c>
      <c r="H12" s="290">
        <f t="shared" si="0"/>
        <v>240765</v>
      </c>
      <c r="I12" s="295"/>
      <c r="J12" s="290">
        <f t="shared" si="1"/>
        <v>240765</v>
      </c>
      <c r="K12" s="297">
        <f t="shared" si="13"/>
        <v>8347.32</v>
      </c>
      <c r="L12" s="295"/>
      <c r="M12" s="292">
        <f t="shared" si="2"/>
        <v>1.0272803135970561</v>
      </c>
      <c r="P12" s="292">
        <f t="shared" si="14"/>
        <v>1.029661119881033</v>
      </c>
      <c r="Q12" s="292">
        <f t="shared" si="15"/>
        <v>-2.3808062839769661E-3</v>
      </c>
      <c r="S12" s="285">
        <v>2005</v>
      </c>
      <c r="T12" s="290">
        <f t="shared" ca="1" si="3"/>
        <v>186761.25</v>
      </c>
      <c r="U12" s="290">
        <f t="shared" ca="1" si="16"/>
        <v>5566962.5999999996</v>
      </c>
      <c r="V12" s="290">
        <f t="shared" ca="1" si="4"/>
        <v>186761.25</v>
      </c>
      <c r="W12" s="297">
        <f t="shared" ca="1" si="5"/>
        <v>20232.844000000001</v>
      </c>
      <c r="X12" s="297">
        <f t="shared" ca="1" si="6"/>
        <v>282263.75906701991</v>
      </c>
      <c r="Y12" s="293">
        <f t="shared" ca="1" si="7"/>
        <v>0.41301088648093265</v>
      </c>
      <c r="AD12" s="285">
        <v>2006</v>
      </c>
      <c r="AE12" s="290">
        <f t="shared" ca="1" si="8"/>
        <v>1074962</v>
      </c>
      <c r="AF12" s="290">
        <f ca="1">OFFSET($I$7,$AD12-$F$7,,1)</f>
        <v>4019714.8800000004</v>
      </c>
      <c r="AG12" s="290">
        <f t="shared" ca="1" si="9"/>
        <v>1074962</v>
      </c>
      <c r="AH12" s="297">
        <f t="shared" ca="1" si="10"/>
        <v>17167.415000000001</v>
      </c>
      <c r="AI12" s="297">
        <f t="shared" ca="1" si="11"/>
        <v>361153.40961790271</v>
      </c>
      <c r="AJ12" s="293">
        <f t="shared" ca="1" si="12"/>
        <v>-1.0907377656453949</v>
      </c>
      <c r="AK12" s="453"/>
    </row>
    <row r="13" spans="1:37">
      <c r="A13" s="285">
        <v>1996</v>
      </c>
      <c r="B13" s="290">
        <v>1686910</v>
      </c>
      <c r="C13" s="295"/>
      <c r="D13" s="290">
        <v>8347.32</v>
      </c>
      <c r="F13" s="285">
        <v>1998</v>
      </c>
      <c r="G13" s="297">
        <v>1710252.1781725008</v>
      </c>
      <c r="H13" s="290">
        <f t="shared" si="0"/>
        <v>1686910</v>
      </c>
      <c r="I13" s="294"/>
      <c r="J13" s="290">
        <f t="shared" si="1"/>
        <v>1686910</v>
      </c>
      <c r="K13" s="297">
        <f t="shared" si="13"/>
        <v>11018.370999999999</v>
      </c>
      <c r="L13" s="294"/>
      <c r="M13" s="292">
        <f t="shared" si="2"/>
        <v>1.3742379256819611E-2</v>
      </c>
      <c r="P13" s="292">
        <f t="shared" si="14"/>
        <v>-0.64403670965638504</v>
      </c>
      <c r="Q13" s="292">
        <f t="shared" si="15"/>
        <v>0.65777908891320469</v>
      </c>
      <c r="S13" s="285">
        <v>2007</v>
      </c>
      <c r="T13" s="290">
        <f t="shared" ca="1" si="3"/>
        <v>261513</v>
      </c>
      <c r="U13" s="290">
        <f t="shared" ca="1" si="16"/>
        <v>4490380.3600000013</v>
      </c>
      <c r="V13" s="290">
        <f t="shared" ca="1" si="4"/>
        <v>261513</v>
      </c>
      <c r="W13" s="297">
        <f t="shared" ca="1" si="5"/>
        <v>26244.225999999999</v>
      </c>
      <c r="X13" s="297">
        <f t="shared" ca="1" si="6"/>
        <v>320679.94195065869</v>
      </c>
      <c r="Y13" s="293">
        <f t="shared" ca="1" si="7"/>
        <v>0.20395956469277499</v>
      </c>
      <c r="AD13" s="285">
        <v>2008</v>
      </c>
      <c r="AE13" s="290">
        <f t="shared" ca="1" si="8"/>
        <v>336296</v>
      </c>
      <c r="AF13" s="290">
        <f ca="1">OFFSET($I$7,$AD13-$F$7,,1)</f>
        <v>2310171.0400000005</v>
      </c>
      <c r="AG13" s="290">
        <f t="shared" ca="1" si="9"/>
        <v>336296</v>
      </c>
      <c r="AH13" s="297">
        <f t="shared" ca="1" si="10"/>
        <v>14760</v>
      </c>
      <c r="AI13" s="297">
        <f t="shared" ca="1" si="11"/>
        <v>83505.817041584509</v>
      </c>
      <c r="AJ13" s="293">
        <f t="shared" ca="1" si="12"/>
        <v>-1.3930754299343717</v>
      </c>
      <c r="AK13" s="453"/>
    </row>
    <row r="14" spans="1:37">
      <c r="A14" s="285">
        <v>1997</v>
      </c>
      <c r="B14" s="290">
        <v>346431</v>
      </c>
      <c r="C14" s="294"/>
      <c r="D14" s="290">
        <v>11018.370999999999</v>
      </c>
      <c r="F14" s="285">
        <v>1999</v>
      </c>
      <c r="G14" s="297">
        <v>603030.13744886289</v>
      </c>
      <c r="H14" s="290">
        <f t="shared" si="0"/>
        <v>346431</v>
      </c>
      <c r="I14" s="295"/>
      <c r="J14" s="290">
        <f t="shared" si="1"/>
        <v>346431</v>
      </c>
      <c r="K14" s="297">
        <f t="shared" si="13"/>
        <v>14323.634</v>
      </c>
      <c r="L14" s="295"/>
      <c r="M14" s="292">
        <f t="shared" si="2"/>
        <v>0.55428351006280174</v>
      </c>
      <c r="P14" s="292">
        <f t="shared" si="14"/>
        <v>0.69170766488412416</v>
      </c>
      <c r="Q14" s="292">
        <f t="shared" si="15"/>
        <v>-0.13742415482132242</v>
      </c>
      <c r="S14" s="285">
        <v>2009</v>
      </c>
      <c r="T14" s="290">
        <f t="shared" ca="1" si="3"/>
        <v>317128</v>
      </c>
      <c r="U14" s="290">
        <f t="shared" ca="1" si="16"/>
        <v>1044197.7799999999</v>
      </c>
      <c r="V14" s="290">
        <v>317128</v>
      </c>
      <c r="W14" s="297">
        <v>21998</v>
      </c>
      <c r="X14" s="297">
        <f t="shared" ca="1" si="6"/>
        <v>953002.8632146091</v>
      </c>
      <c r="Y14" s="293">
        <f t="shared" ca="1" si="7"/>
        <v>1.1003124302053366</v>
      </c>
    </row>
    <row r="15" spans="1:37" ht="15">
      <c r="A15" s="285">
        <v>1998</v>
      </c>
      <c r="B15" s="290">
        <v>1639830</v>
      </c>
      <c r="C15" s="295"/>
      <c r="D15" s="290">
        <v>14323.634</v>
      </c>
      <c r="F15" s="285">
        <v>2000</v>
      </c>
      <c r="G15" s="297">
        <v>4479313.40877055</v>
      </c>
      <c r="H15" s="290">
        <f t="shared" si="0"/>
        <v>1639830</v>
      </c>
      <c r="I15" s="294"/>
      <c r="J15" s="290">
        <f t="shared" si="1"/>
        <v>1639830</v>
      </c>
      <c r="K15" s="297">
        <f t="shared" si="13"/>
        <v>16992.023000000001</v>
      </c>
      <c r="L15" s="294"/>
      <c r="M15" s="292">
        <f t="shared" si="2"/>
        <v>1.0048771997843804</v>
      </c>
      <c r="P15" s="292">
        <f t="shared" si="14"/>
        <v>-0.81563447463388383</v>
      </c>
      <c r="Q15" s="292">
        <f t="shared" si="15"/>
        <v>1.8205116744182641</v>
      </c>
      <c r="U15" s="290"/>
      <c r="AD15" s="296"/>
    </row>
    <row r="16" spans="1:37">
      <c r="A16" s="285">
        <v>1999</v>
      </c>
      <c r="B16" s="290">
        <v>582434</v>
      </c>
      <c r="D16" s="290">
        <v>16992.023000000001</v>
      </c>
      <c r="F16" s="285">
        <v>2001</v>
      </c>
      <c r="G16" s="297">
        <v>1700351.7491424014</v>
      </c>
      <c r="H16" s="290">
        <f t="shared" si="0"/>
        <v>582434</v>
      </c>
      <c r="I16" s="290">
        <f t="shared" ref="I16:I18" si="17">C17</f>
        <v>9553885.3887958284</v>
      </c>
      <c r="J16" s="290">
        <f t="shared" si="1"/>
        <v>582434</v>
      </c>
      <c r="K16" s="297">
        <f t="shared" si="13"/>
        <v>15575.808000000001</v>
      </c>
      <c r="L16" s="297">
        <f t="shared" ref="L16:L24" si="18">C17</f>
        <v>9553885.3887958284</v>
      </c>
      <c r="M16" s="292">
        <f t="shared" si="2"/>
        <v>1.0713745456020003</v>
      </c>
      <c r="N16" s="292">
        <f t="shared" ref="N16:N23" si="19">$G$46+$G$47*H16+$G$48*I16</f>
        <v>6.2017002949676409E-2</v>
      </c>
      <c r="O16" s="292">
        <f t="shared" ref="O16:O23" si="20">M16-N16</f>
        <v>1.0093575426523238</v>
      </c>
      <c r="P16" s="292">
        <f>$G$70+$G$71*H16+$G$72*K16</f>
        <v>0.38811891253859743</v>
      </c>
      <c r="Q16" s="292">
        <f>M16-P16</f>
        <v>0.68325563306340287</v>
      </c>
    </row>
    <row r="17" spans="1:39">
      <c r="A17" s="285">
        <v>2000</v>
      </c>
      <c r="B17" s="290">
        <v>3417384</v>
      </c>
      <c r="C17" s="297">
        <f>BroughtonPivot!AG49*(BroughtonPivot!AG16/BroughtonPivot!AG17)</f>
        <v>9553885.3887958284</v>
      </c>
      <c r="D17" s="290">
        <v>15575.808000000001</v>
      </c>
      <c r="F17" s="285">
        <v>2002</v>
      </c>
      <c r="G17" s="297">
        <v>125377.02233912013</v>
      </c>
      <c r="H17" s="290">
        <f t="shared" si="0"/>
        <v>3417384</v>
      </c>
      <c r="I17" s="290">
        <f t="shared" si="17"/>
        <v>7547883.6797598703</v>
      </c>
      <c r="J17" s="290">
        <f t="shared" si="1"/>
        <v>3417384</v>
      </c>
      <c r="K17" s="297">
        <f t="shared" si="13"/>
        <v>17312.827000000001</v>
      </c>
      <c r="L17" s="297">
        <f t="shared" si="18"/>
        <v>7547883.6797598703</v>
      </c>
      <c r="M17" s="292">
        <f t="shared" si="2"/>
        <v>-3.3053052486072811</v>
      </c>
      <c r="N17" s="292">
        <f t="shared" si="19"/>
        <v>-3.7815003363311268</v>
      </c>
      <c r="O17" s="292">
        <f t="shared" si="20"/>
        <v>0.47619508772384567</v>
      </c>
      <c r="P17" s="292">
        <f t="shared" ref="P17:P23" si="21">$G$70+$G$71*H17+$G$72*K17</f>
        <v>-2.762380476671435</v>
      </c>
      <c r="Q17" s="292">
        <f t="shared" ref="Q17:Q23" si="22">M17-P17</f>
        <v>-0.5429247719358461</v>
      </c>
    </row>
    <row r="18" spans="1:39">
      <c r="A18" s="285">
        <v>2001</v>
      </c>
      <c r="B18" s="290">
        <v>1490347</v>
      </c>
      <c r="C18" s="297">
        <v>7547883.6797598703</v>
      </c>
      <c r="D18" s="290">
        <v>17312.827000000001</v>
      </c>
      <c r="F18" s="285">
        <v>2003</v>
      </c>
      <c r="G18" s="297">
        <v>186761.25</v>
      </c>
      <c r="H18" s="290">
        <f t="shared" si="0"/>
        <v>1490347</v>
      </c>
      <c r="I18" s="290">
        <f t="shared" si="17"/>
        <v>14640897.840283608</v>
      </c>
      <c r="J18" s="290">
        <f t="shared" si="1"/>
        <v>1490347</v>
      </c>
      <c r="K18" s="297">
        <f t="shared" si="13"/>
        <v>20840.866999999998</v>
      </c>
      <c r="L18" s="297">
        <f t="shared" si="18"/>
        <v>14640897.840283608</v>
      </c>
      <c r="M18" s="292">
        <f t="shared" si="2"/>
        <v>-2.076933194569464</v>
      </c>
      <c r="N18" s="292">
        <f t="shared" si="19"/>
        <v>-1.1958655636254389</v>
      </c>
      <c r="O18" s="292">
        <f t="shared" si="20"/>
        <v>-0.88106763094402507</v>
      </c>
      <c r="P18" s="292">
        <f t="shared" si="21"/>
        <v>-0.79650754267462143</v>
      </c>
      <c r="Q18" s="292">
        <f t="shared" si="22"/>
        <v>-1.2804256518948427</v>
      </c>
    </row>
    <row r="19" spans="1:39">
      <c r="A19" s="285">
        <v>2002</v>
      </c>
      <c r="B19" s="290">
        <v>110319</v>
      </c>
      <c r="C19" s="297">
        <v>14640897.840283608</v>
      </c>
      <c r="D19" s="290">
        <v>20840.866999999998</v>
      </c>
      <c r="F19" s="285">
        <v>2004</v>
      </c>
      <c r="G19" s="297">
        <v>1145669.1190617357</v>
      </c>
      <c r="H19" s="290">
        <f t="shared" si="0"/>
        <v>110319</v>
      </c>
      <c r="I19" s="290">
        <f t="shared" ref="I19:I25" si="23">C20</f>
        <v>4849224.7879999997</v>
      </c>
      <c r="J19" s="290">
        <f t="shared" si="1"/>
        <v>110319</v>
      </c>
      <c r="K19" s="297">
        <f t="shared" si="13"/>
        <v>16438.332999999999</v>
      </c>
      <c r="L19" s="297">
        <f t="shared" si="18"/>
        <v>4849224.7879999997</v>
      </c>
      <c r="M19" s="292">
        <f t="shared" si="2"/>
        <v>2.3403679598584093</v>
      </c>
      <c r="N19" s="292">
        <f t="shared" si="19"/>
        <v>0.72580998063107394</v>
      </c>
      <c r="O19" s="292">
        <f t="shared" si="20"/>
        <v>1.6145579792273352</v>
      </c>
      <c r="P19" s="292">
        <f t="shared" si="21"/>
        <v>0.86981673325862929</v>
      </c>
      <c r="Q19" s="292">
        <f t="shared" si="22"/>
        <v>1.47055122659978</v>
      </c>
    </row>
    <row r="20" spans="1:39">
      <c r="A20" s="285">
        <v>2003</v>
      </c>
      <c r="B20" s="290">
        <v>186761.25</v>
      </c>
      <c r="C20" s="297">
        <v>4849224.7879999997</v>
      </c>
      <c r="D20" s="290">
        <v>16438.332999999999</v>
      </c>
      <c r="F20" s="285">
        <v>2005</v>
      </c>
      <c r="G20" s="297">
        <v>282263.75906701991</v>
      </c>
      <c r="H20" s="290">
        <f t="shared" si="0"/>
        <v>186761.25</v>
      </c>
      <c r="I20" s="290">
        <f t="shared" si="23"/>
        <v>5566962.5999999996</v>
      </c>
      <c r="J20" s="290">
        <f t="shared" si="1"/>
        <v>186761.25</v>
      </c>
      <c r="K20" s="297">
        <f t="shared" si="13"/>
        <v>20232.844000000001</v>
      </c>
      <c r="L20" s="297">
        <f t="shared" si="18"/>
        <v>5566962.5999999996</v>
      </c>
      <c r="M20" s="292">
        <f t="shared" si="2"/>
        <v>0.41301088648093265</v>
      </c>
      <c r="N20" s="292">
        <f t="shared" si="19"/>
        <v>0.61853947136981058</v>
      </c>
      <c r="O20" s="292">
        <f t="shared" si="20"/>
        <v>-0.20552858488887793</v>
      </c>
      <c r="P20" s="292">
        <f t="shared" si="21"/>
        <v>0.64506216910505443</v>
      </c>
      <c r="Q20" s="292">
        <f t="shared" si="22"/>
        <v>-0.23205128262412178</v>
      </c>
    </row>
    <row r="21" spans="1:39">
      <c r="A21" s="285">
        <v>2004</v>
      </c>
      <c r="B21" s="290">
        <v>1074962</v>
      </c>
      <c r="C21" s="297">
        <v>5566962.5999999996</v>
      </c>
      <c r="D21" s="290">
        <v>20232.844000000001</v>
      </c>
      <c r="F21" s="285">
        <v>2006</v>
      </c>
      <c r="G21" s="297">
        <v>361153.40961790271</v>
      </c>
      <c r="H21" s="290">
        <f t="shared" si="0"/>
        <v>1074962</v>
      </c>
      <c r="I21" s="290">
        <f t="shared" si="23"/>
        <v>4019714.8800000004</v>
      </c>
      <c r="J21" s="290">
        <f t="shared" si="1"/>
        <v>1074962</v>
      </c>
      <c r="K21" s="297">
        <f t="shared" si="13"/>
        <v>17167.415000000001</v>
      </c>
      <c r="L21" s="297">
        <f t="shared" si="18"/>
        <v>4019714.8800000004</v>
      </c>
      <c r="M21" s="292">
        <f t="shared" si="2"/>
        <v>-1.0907377656453949</v>
      </c>
      <c r="N21" s="292">
        <f t="shared" si="19"/>
        <v>-0.58132468308998708</v>
      </c>
      <c r="O21" s="292">
        <f t="shared" si="20"/>
        <v>-0.50941308255540785</v>
      </c>
      <c r="P21" s="292">
        <f t="shared" si="21"/>
        <v>-0.20734673905680678</v>
      </c>
      <c r="Q21" s="292">
        <f t="shared" si="22"/>
        <v>-0.88339102658858815</v>
      </c>
    </row>
    <row r="22" spans="1:39">
      <c r="A22" s="285">
        <v>2005</v>
      </c>
      <c r="B22" s="290">
        <v>261513</v>
      </c>
      <c r="C22" s="297">
        <v>4019714.8800000004</v>
      </c>
      <c r="D22" s="290">
        <v>17167.415000000001</v>
      </c>
      <c r="F22" s="285">
        <v>2007</v>
      </c>
      <c r="G22" s="297">
        <v>320679.94195065869</v>
      </c>
      <c r="H22" s="290">
        <f t="shared" si="0"/>
        <v>261513</v>
      </c>
      <c r="I22" s="290">
        <f t="shared" si="23"/>
        <v>4490380.3600000013</v>
      </c>
      <c r="J22" s="290">
        <f t="shared" si="1"/>
        <v>261513</v>
      </c>
      <c r="K22" s="297">
        <f t="shared" si="13"/>
        <v>26244.225999999999</v>
      </c>
      <c r="L22" s="297">
        <f t="shared" si="18"/>
        <v>4490380.3600000013</v>
      </c>
      <c r="M22" s="292">
        <f t="shared" si="2"/>
        <v>0.20395956469277499</v>
      </c>
      <c r="N22" s="292">
        <f t="shared" si="19"/>
        <v>0.52201242024107508</v>
      </c>
      <c r="O22" s="292">
        <f t="shared" si="20"/>
        <v>-0.3180528555483001</v>
      </c>
      <c r="P22" s="292">
        <f t="shared" si="21"/>
        <v>0.33944914823924033</v>
      </c>
      <c r="Q22" s="292">
        <f t="shared" si="22"/>
        <v>-0.13548958354646534</v>
      </c>
    </row>
    <row r="23" spans="1:39">
      <c r="A23" s="285">
        <v>2006</v>
      </c>
      <c r="B23" s="290">
        <v>336296</v>
      </c>
      <c r="C23" s="297">
        <v>4490380.3600000013</v>
      </c>
      <c r="D23" s="290">
        <v>26244.225999999999</v>
      </c>
      <c r="F23" s="285">
        <v>2008</v>
      </c>
      <c r="G23" s="297">
        <v>83505.817041584509</v>
      </c>
      <c r="H23" s="290">
        <f t="shared" si="0"/>
        <v>336296</v>
      </c>
      <c r="I23" s="290">
        <f t="shared" si="23"/>
        <v>2310171.0400000005</v>
      </c>
      <c r="J23" s="290">
        <f t="shared" si="1"/>
        <v>336296</v>
      </c>
      <c r="K23" s="297">
        <f t="shared" si="13"/>
        <v>14760</v>
      </c>
      <c r="L23" s="297">
        <f t="shared" si="18"/>
        <v>2310171.0400000005</v>
      </c>
      <c r="M23" s="292">
        <f t="shared" si="2"/>
        <v>-1.3930754299343717</v>
      </c>
      <c r="N23" s="292">
        <f t="shared" si="19"/>
        <v>0.43063769938716967</v>
      </c>
      <c r="O23" s="292">
        <f t="shared" si="20"/>
        <v>-1.8237131293215414</v>
      </c>
      <c r="P23" s="292">
        <f t="shared" si="21"/>
        <v>0.686460844440971</v>
      </c>
      <c r="Q23" s="292">
        <f t="shared" si="22"/>
        <v>-2.0795362743753429</v>
      </c>
    </row>
    <row r="24" spans="1:39">
      <c r="A24" s="285">
        <v>2007</v>
      </c>
      <c r="B24" s="290">
        <v>317128</v>
      </c>
      <c r="C24" s="297">
        <v>2310171.0400000005</v>
      </c>
      <c r="D24" s="290">
        <v>14760</v>
      </c>
      <c r="F24" s="285">
        <v>2009</v>
      </c>
      <c r="G24" s="297">
        <v>953002.8632146091</v>
      </c>
      <c r="H24" s="290">
        <f t="shared" si="0"/>
        <v>317128</v>
      </c>
      <c r="I24" s="290">
        <f t="shared" si="23"/>
        <v>1044197.7799999999</v>
      </c>
      <c r="J24" s="290">
        <f t="shared" si="1"/>
        <v>317128</v>
      </c>
      <c r="K24" s="297">
        <f t="shared" si="13"/>
        <v>21998</v>
      </c>
      <c r="L24" s="297">
        <f t="shared" si="18"/>
        <v>1044197.7799999999</v>
      </c>
      <c r="M24" s="292">
        <f t="shared" si="2"/>
        <v>1.1003124302053366</v>
      </c>
      <c r="N24" s="292">
        <f>$G$46+$G$47*H24+$G$48*I24</f>
        <v>0.46264775655068952</v>
      </c>
      <c r="O24" s="292">
        <f>M24-N24</f>
        <v>0.63766467365464718</v>
      </c>
      <c r="P24" s="292">
        <f>$G$70+$G$71*H24+$G$72*K24</f>
        <v>0.43731683903495777</v>
      </c>
      <c r="Q24" s="292">
        <f>M24-P24</f>
        <v>0.66299559117037887</v>
      </c>
    </row>
    <row r="25" spans="1:39">
      <c r="A25" s="285">
        <v>2008</v>
      </c>
      <c r="B25" s="290">
        <v>82120</v>
      </c>
      <c r="C25" s="297">
        <v>1044197.7799999999</v>
      </c>
      <c r="D25" s="290">
        <v>21998</v>
      </c>
      <c r="F25" s="285">
        <v>2010</v>
      </c>
      <c r="H25" s="290">
        <f t="shared" si="0"/>
        <v>82120</v>
      </c>
      <c r="I25" s="297">
        <f t="shared" si="23"/>
        <v>609381.82499999995</v>
      </c>
      <c r="J25" s="290">
        <f t="shared" si="1"/>
        <v>82120</v>
      </c>
      <c r="K25" s="297">
        <f t="shared" si="13"/>
        <v>18501</v>
      </c>
      <c r="L25" s="297">
        <f>C26</f>
        <v>609381.82499999995</v>
      </c>
    </row>
    <row r="26" spans="1:39">
      <c r="A26" s="285">
        <v>2009</v>
      </c>
      <c r="B26" s="290">
        <v>906284</v>
      </c>
      <c r="C26" s="297">
        <v>609381.82499999995</v>
      </c>
      <c r="D26" s="290">
        <v>18501</v>
      </c>
      <c r="T26" s="291"/>
      <c r="U26" s="291"/>
      <c r="V26" s="291"/>
      <c r="W26" s="291"/>
      <c r="X26" s="291"/>
      <c r="Y26" s="291"/>
      <c r="Z26" s="291"/>
      <c r="AA26" s="291"/>
      <c r="AB26" s="291"/>
      <c r="AC26" s="291"/>
      <c r="AD26" s="291"/>
      <c r="AE26" s="291"/>
      <c r="AF26" s="291"/>
      <c r="AG26" s="291"/>
      <c r="AH26" s="291"/>
      <c r="AI26" s="291"/>
      <c r="AJ26" s="291"/>
      <c r="AK26" s="291"/>
      <c r="AL26" s="291"/>
      <c r="AM26" s="291"/>
    </row>
    <row r="27" spans="1:39">
      <c r="C27" s="294"/>
      <c r="T27" s="291"/>
      <c r="U27" s="291"/>
      <c r="V27" s="291"/>
      <c r="W27" s="291"/>
      <c r="X27" s="291"/>
      <c r="Y27" s="291"/>
      <c r="Z27" s="291"/>
      <c r="AA27" s="291"/>
      <c r="AB27" s="291"/>
      <c r="AC27" s="291"/>
      <c r="AD27" s="291"/>
      <c r="AE27" s="291"/>
      <c r="AF27" s="291"/>
      <c r="AG27" s="291"/>
      <c r="AH27" s="291"/>
      <c r="AI27" s="291"/>
      <c r="AJ27" s="291"/>
      <c r="AK27" s="291"/>
      <c r="AL27" s="291"/>
      <c r="AM27" s="291"/>
    </row>
    <row r="28" spans="1:39" ht="15">
      <c r="F28" s="298" t="s">
        <v>455</v>
      </c>
      <c r="S28" s="299" t="s">
        <v>456</v>
      </c>
      <c r="T28" s="291"/>
      <c r="U28" s="291"/>
      <c r="V28" s="291"/>
      <c r="W28" s="291"/>
      <c r="X28" s="291"/>
      <c r="Y28" s="291"/>
      <c r="Z28" s="291"/>
      <c r="AA28" s="291"/>
      <c r="AB28" s="291"/>
      <c r="AC28" s="291"/>
      <c r="AD28" s="300" t="s">
        <v>457</v>
      </c>
      <c r="AE28" s="291"/>
      <c r="AF28" s="291"/>
      <c r="AG28" s="291"/>
      <c r="AH28" s="291"/>
      <c r="AI28" s="291"/>
      <c r="AJ28" s="291"/>
      <c r="AK28" s="291"/>
      <c r="AL28" s="291"/>
    </row>
    <row r="29" spans="1:39" ht="15">
      <c r="F29" s="296" t="s">
        <v>458</v>
      </c>
      <c r="S29" s="296" t="s">
        <v>458</v>
      </c>
      <c r="AC29" s="291"/>
      <c r="AD29" s="301" t="s">
        <v>458</v>
      </c>
      <c r="AE29" s="291"/>
      <c r="AF29" s="291"/>
      <c r="AG29" s="291"/>
      <c r="AH29" s="291"/>
      <c r="AI29" s="291"/>
      <c r="AJ29" s="291"/>
      <c r="AK29" s="291"/>
      <c r="AL29" s="291"/>
    </row>
    <row r="30" spans="1:39">
      <c r="A30" s="284" t="s">
        <v>493</v>
      </c>
      <c r="F30" s="452" t="s">
        <v>459</v>
      </c>
      <c r="G30" s="452"/>
      <c r="H30" s="452"/>
      <c r="I30" s="452"/>
      <c r="J30" s="452"/>
      <c r="K30" s="452"/>
      <c r="L30" s="452"/>
      <c r="M30" s="452"/>
      <c r="N30" s="452"/>
      <c r="S30" s="452" t="s">
        <v>459</v>
      </c>
      <c r="T30" s="452"/>
      <c r="U30" s="452"/>
      <c r="V30" s="452"/>
      <c r="W30" s="452"/>
      <c r="X30" s="452"/>
      <c r="Y30" s="452"/>
      <c r="Z30" s="452"/>
      <c r="AA30" s="452"/>
      <c r="AC30" s="291"/>
      <c r="AD30" s="452" t="s">
        <v>459</v>
      </c>
      <c r="AE30" s="452"/>
      <c r="AF30" s="452"/>
      <c r="AG30" s="452"/>
      <c r="AH30" s="452"/>
      <c r="AI30" s="452"/>
      <c r="AJ30" s="452"/>
      <c r="AK30" s="452"/>
      <c r="AL30" s="452"/>
    </row>
    <row r="31" spans="1:39" ht="15.75" thickBot="1">
      <c r="A31" s="284" t="s">
        <v>488</v>
      </c>
      <c r="F31" s="452"/>
      <c r="G31" s="452"/>
      <c r="H31" s="452"/>
      <c r="I31" s="452"/>
      <c r="J31" s="452"/>
      <c r="K31" s="452"/>
      <c r="L31" s="452"/>
      <c r="M31" s="452"/>
      <c r="N31" s="452"/>
      <c r="S31" s="452"/>
      <c r="T31" s="452"/>
      <c r="U31" s="452"/>
      <c r="V31" s="452"/>
      <c r="W31" s="452"/>
      <c r="X31" s="452"/>
      <c r="Y31" s="452"/>
      <c r="Z31" s="452"/>
      <c r="AA31" s="452"/>
      <c r="AC31" s="291"/>
      <c r="AD31" s="452"/>
      <c r="AE31" s="452"/>
      <c r="AF31" s="452"/>
      <c r="AG31" s="452"/>
      <c r="AH31" s="452"/>
      <c r="AI31" s="452"/>
      <c r="AJ31" s="452"/>
      <c r="AK31" s="452"/>
      <c r="AL31" s="452"/>
    </row>
    <row r="32" spans="1:39" ht="15">
      <c r="A32" s="284" t="s">
        <v>489</v>
      </c>
      <c r="F32" s="471" t="s">
        <v>460</v>
      </c>
      <c r="G32" s="471"/>
      <c r="H32" s="452"/>
      <c r="I32" s="452"/>
      <c r="J32" s="452"/>
      <c r="K32" s="452"/>
      <c r="L32" s="452"/>
      <c r="M32" s="452"/>
      <c r="N32" s="452"/>
      <c r="S32" s="471" t="s">
        <v>460</v>
      </c>
      <c r="T32" s="471"/>
      <c r="U32" s="452"/>
      <c r="V32" s="452"/>
      <c r="W32" s="452"/>
      <c r="X32" s="452"/>
      <c r="Y32" s="452"/>
      <c r="Z32" s="452"/>
      <c r="AA32" s="452"/>
      <c r="AC32" s="291"/>
      <c r="AD32" s="471" t="s">
        <v>460</v>
      </c>
      <c r="AE32" s="471"/>
      <c r="AF32" s="452"/>
      <c r="AG32" s="452"/>
      <c r="AH32" s="452"/>
      <c r="AI32" s="452"/>
      <c r="AJ32" s="452"/>
      <c r="AK32" s="452"/>
      <c r="AL32" s="452"/>
    </row>
    <row r="33" spans="1:38" ht="15">
      <c r="A33" s="284" t="s">
        <v>695</v>
      </c>
      <c r="F33" s="472" t="s">
        <v>461</v>
      </c>
      <c r="G33" s="472">
        <v>0.81083190007912553</v>
      </c>
      <c r="H33" s="452"/>
      <c r="I33" s="452"/>
      <c r="J33" s="452"/>
      <c r="K33" s="452"/>
      <c r="L33" s="452"/>
      <c r="M33" s="452"/>
      <c r="N33" s="452"/>
      <c r="S33" s="472" t="s">
        <v>461</v>
      </c>
      <c r="T33" s="472">
        <v>0.85695682888586511</v>
      </c>
      <c r="U33" s="452"/>
      <c r="V33" s="452"/>
      <c r="W33" s="452"/>
      <c r="X33" s="452"/>
      <c r="Y33" s="452"/>
      <c r="Z33" s="452"/>
      <c r="AA33" s="452"/>
      <c r="AC33" s="291"/>
      <c r="AD33" s="472" t="s">
        <v>461</v>
      </c>
      <c r="AE33" s="472">
        <v>0.99913598989583752</v>
      </c>
      <c r="AF33" s="452"/>
      <c r="AG33" s="452"/>
      <c r="AH33" s="452"/>
      <c r="AI33" s="452"/>
      <c r="AJ33" s="452"/>
      <c r="AK33" s="452"/>
      <c r="AL33" s="452"/>
    </row>
    <row r="34" spans="1:38">
      <c r="A34" s="284" t="s">
        <v>494</v>
      </c>
      <c r="F34" s="472" t="s">
        <v>462</v>
      </c>
      <c r="G34" s="472">
        <v>0.65744837018592506</v>
      </c>
      <c r="H34" s="452"/>
      <c r="I34" s="452"/>
      <c r="J34" s="452"/>
      <c r="K34" s="452"/>
      <c r="L34" s="452"/>
      <c r="M34" s="452"/>
      <c r="N34" s="452"/>
      <c r="S34" s="472" t="s">
        <v>462</v>
      </c>
      <c r="T34" s="472">
        <v>0.73437500657411781</v>
      </c>
      <c r="U34" s="452"/>
      <c r="V34" s="452"/>
      <c r="W34" s="452"/>
      <c r="X34" s="452"/>
      <c r="Y34" s="452"/>
      <c r="Z34" s="452"/>
      <c r="AA34" s="452"/>
      <c r="AC34" s="291"/>
      <c r="AD34" s="472" t="s">
        <v>462</v>
      </c>
      <c r="AE34" s="472">
        <v>0.99827272630513508</v>
      </c>
      <c r="AF34" s="452"/>
      <c r="AG34" s="452"/>
      <c r="AH34" s="452"/>
      <c r="AI34" s="452"/>
      <c r="AJ34" s="452"/>
      <c r="AK34" s="452"/>
      <c r="AL34" s="452"/>
    </row>
    <row r="35" spans="1:38">
      <c r="A35" s="284" t="s">
        <v>495</v>
      </c>
      <c r="F35" s="472" t="s">
        <v>463</v>
      </c>
      <c r="G35" s="472">
        <v>0.54326449358123341</v>
      </c>
      <c r="H35" s="452"/>
      <c r="I35" s="452"/>
      <c r="J35" s="452"/>
      <c r="K35" s="452"/>
      <c r="L35" s="452"/>
      <c r="M35" s="452"/>
      <c r="N35" s="452"/>
      <c r="S35" s="472" t="s">
        <v>463</v>
      </c>
      <c r="T35" s="472">
        <v>0.46875001314823561</v>
      </c>
      <c r="U35" s="452"/>
      <c r="V35" s="452"/>
      <c r="W35" s="452"/>
      <c r="X35" s="452"/>
      <c r="Y35" s="452"/>
      <c r="Z35" s="452"/>
      <c r="AA35" s="452"/>
      <c r="AC35" s="291"/>
      <c r="AD35" s="472" t="s">
        <v>463</v>
      </c>
      <c r="AE35" s="472">
        <v>0.99481817891540514</v>
      </c>
      <c r="AF35" s="452"/>
      <c r="AG35" s="452"/>
      <c r="AH35" s="452"/>
      <c r="AI35" s="452"/>
      <c r="AJ35" s="452"/>
      <c r="AK35" s="452"/>
      <c r="AL35" s="452"/>
    </row>
    <row r="36" spans="1:38">
      <c r="F36" s="472" t="s">
        <v>197</v>
      </c>
      <c r="G36" s="472">
        <v>1.2085865828837519</v>
      </c>
      <c r="H36" s="452"/>
      <c r="I36" s="452"/>
      <c r="J36" s="452"/>
      <c r="K36" s="452"/>
      <c r="L36" s="452"/>
      <c r="M36" s="452"/>
      <c r="N36" s="452"/>
      <c r="S36" s="472" t="s">
        <v>197</v>
      </c>
      <c r="T36" s="472">
        <v>0.9491436927313216</v>
      </c>
      <c r="U36" s="452"/>
      <c r="V36" s="452"/>
      <c r="W36" s="452"/>
      <c r="X36" s="452"/>
      <c r="Y36" s="452"/>
      <c r="Z36" s="452"/>
      <c r="AA36" s="452"/>
      <c r="AC36" s="291"/>
      <c r="AD36" s="472" t="s">
        <v>197</v>
      </c>
      <c r="AE36" s="472">
        <v>0.16912238003769836</v>
      </c>
      <c r="AF36" s="452"/>
      <c r="AG36" s="452"/>
      <c r="AH36" s="452"/>
      <c r="AI36" s="452"/>
      <c r="AJ36" s="452"/>
      <c r="AK36" s="452"/>
      <c r="AL36" s="452"/>
    </row>
    <row r="37" spans="1:38" ht="15" thickBot="1">
      <c r="F37" s="473" t="s">
        <v>464</v>
      </c>
      <c r="G37" s="473">
        <v>9</v>
      </c>
      <c r="H37" s="452"/>
      <c r="I37" s="452"/>
      <c r="J37" s="452"/>
      <c r="K37" s="452"/>
      <c r="L37" s="452"/>
      <c r="M37" s="452"/>
      <c r="N37" s="452"/>
      <c r="S37" s="473" t="s">
        <v>464</v>
      </c>
      <c r="T37" s="473">
        <v>5</v>
      </c>
      <c r="U37" s="452"/>
      <c r="V37" s="452"/>
      <c r="W37" s="452"/>
      <c r="X37" s="452"/>
      <c r="Y37" s="452"/>
      <c r="Z37" s="452"/>
      <c r="AA37" s="452"/>
      <c r="AC37" s="291"/>
      <c r="AD37" s="473" t="s">
        <v>464</v>
      </c>
      <c r="AE37" s="473">
        <v>4</v>
      </c>
      <c r="AF37" s="452"/>
      <c r="AG37" s="452"/>
      <c r="AH37" s="452"/>
      <c r="AI37" s="452"/>
      <c r="AJ37" s="452"/>
      <c r="AK37" s="452"/>
      <c r="AL37" s="452"/>
    </row>
    <row r="38" spans="1:38">
      <c r="F38" s="452"/>
      <c r="G38" s="452"/>
      <c r="H38" s="452"/>
      <c r="I38" s="452"/>
      <c r="J38" s="452"/>
      <c r="K38" s="452"/>
      <c r="L38" s="452"/>
      <c r="M38" s="452"/>
      <c r="N38" s="452"/>
      <c r="S38" s="452"/>
      <c r="T38" s="452"/>
      <c r="U38" s="452"/>
      <c r="V38" s="452"/>
      <c r="W38" s="452"/>
      <c r="X38" s="452"/>
      <c r="Y38" s="452"/>
      <c r="Z38" s="452"/>
      <c r="AA38" s="452"/>
      <c r="AC38" s="291"/>
      <c r="AD38" s="452"/>
      <c r="AE38" s="452"/>
      <c r="AF38" s="452"/>
      <c r="AG38" s="452"/>
      <c r="AH38" s="452"/>
      <c r="AI38" s="452"/>
      <c r="AJ38" s="452"/>
      <c r="AK38" s="452"/>
      <c r="AL38" s="452"/>
    </row>
    <row r="39" spans="1:38" ht="15" thickBot="1">
      <c r="F39" s="452" t="s">
        <v>465</v>
      </c>
      <c r="G39" s="452"/>
      <c r="H39" s="452"/>
      <c r="I39" s="452"/>
      <c r="J39" s="452"/>
      <c r="K39" s="452"/>
      <c r="L39" s="452"/>
      <c r="M39" s="452"/>
      <c r="N39" s="452"/>
      <c r="R39" s="288"/>
      <c r="S39" s="452" t="s">
        <v>465</v>
      </c>
      <c r="T39" s="452"/>
      <c r="U39" s="452"/>
      <c r="V39" s="452"/>
      <c r="W39" s="452"/>
      <c r="X39" s="452"/>
      <c r="Y39" s="452"/>
      <c r="Z39" s="452"/>
      <c r="AA39" s="452"/>
      <c r="AC39" s="291"/>
      <c r="AD39" s="452" t="s">
        <v>465</v>
      </c>
      <c r="AE39" s="452"/>
      <c r="AF39" s="452"/>
      <c r="AG39" s="452"/>
      <c r="AH39" s="452"/>
      <c r="AI39" s="452"/>
      <c r="AJ39" s="452"/>
      <c r="AK39" s="452"/>
      <c r="AL39" s="452"/>
    </row>
    <row r="40" spans="1:38">
      <c r="F40" s="474"/>
      <c r="G40" s="474" t="s">
        <v>198</v>
      </c>
      <c r="H40" s="474" t="s">
        <v>199</v>
      </c>
      <c r="I40" s="474" t="s">
        <v>200</v>
      </c>
      <c r="J40" s="474" t="s">
        <v>201</v>
      </c>
      <c r="K40" s="474" t="s">
        <v>202</v>
      </c>
      <c r="L40" s="452"/>
      <c r="M40" s="452"/>
      <c r="N40" s="452"/>
      <c r="R40" s="303"/>
      <c r="S40" s="474"/>
      <c r="T40" s="474" t="s">
        <v>198</v>
      </c>
      <c r="U40" s="474" t="s">
        <v>199</v>
      </c>
      <c r="V40" s="474" t="s">
        <v>200</v>
      </c>
      <c r="W40" s="474" t="s">
        <v>201</v>
      </c>
      <c r="X40" s="474" t="s">
        <v>202</v>
      </c>
      <c r="Y40" s="452"/>
      <c r="Z40" s="452"/>
      <c r="AA40" s="452"/>
      <c r="AC40" s="291"/>
      <c r="AD40" s="474"/>
      <c r="AE40" s="474" t="s">
        <v>198</v>
      </c>
      <c r="AF40" s="474" t="s">
        <v>199</v>
      </c>
      <c r="AG40" s="474" t="s">
        <v>200</v>
      </c>
      <c r="AH40" s="474" t="s">
        <v>201</v>
      </c>
      <c r="AI40" s="474" t="s">
        <v>202</v>
      </c>
      <c r="AJ40" s="452"/>
      <c r="AK40" s="452"/>
      <c r="AL40" s="452"/>
    </row>
    <row r="41" spans="1:38" ht="15">
      <c r="F41" s="472" t="s">
        <v>466</v>
      </c>
      <c r="G41" s="472">
        <v>2</v>
      </c>
      <c r="H41" s="472">
        <v>16.820635604862048</v>
      </c>
      <c r="I41" s="472">
        <v>8.4103178024310239</v>
      </c>
      <c r="J41" s="472">
        <v>5.7578039013514424</v>
      </c>
      <c r="K41" s="475">
        <v>4.019556286435072E-2</v>
      </c>
      <c r="L41" s="452"/>
      <c r="M41" s="452"/>
      <c r="N41" s="452"/>
      <c r="R41" s="303"/>
      <c r="S41" s="472" t="s">
        <v>466</v>
      </c>
      <c r="T41" s="472">
        <v>2</v>
      </c>
      <c r="U41" s="472">
        <v>4.9813020766105485</v>
      </c>
      <c r="V41" s="472">
        <v>2.4906510383052742</v>
      </c>
      <c r="W41" s="472">
        <v>2.764705975527983</v>
      </c>
      <c r="X41" s="472">
        <v>0.26562499342526169</v>
      </c>
      <c r="Y41" s="452"/>
      <c r="Z41" s="452"/>
      <c r="AA41" s="452"/>
      <c r="AC41" s="291"/>
      <c r="AD41" s="472" t="s">
        <v>466</v>
      </c>
      <c r="AE41" s="472">
        <v>2</v>
      </c>
      <c r="AF41" s="472">
        <v>16.530660645675727</v>
      </c>
      <c r="AG41" s="472">
        <v>8.2653303228378636</v>
      </c>
      <c r="AH41" s="472">
        <v>288.97352205179538</v>
      </c>
      <c r="AI41" s="475">
        <v>4.1560482366797741E-2</v>
      </c>
      <c r="AJ41" s="452"/>
      <c r="AK41" s="452"/>
      <c r="AL41" s="452"/>
    </row>
    <row r="42" spans="1:38">
      <c r="F42" s="472" t="s">
        <v>453</v>
      </c>
      <c r="G42" s="472">
        <v>6</v>
      </c>
      <c r="H42" s="472">
        <v>8.7640891699597443</v>
      </c>
      <c r="I42" s="472">
        <v>1.4606815283266241</v>
      </c>
      <c r="J42" s="472"/>
      <c r="K42" s="472"/>
      <c r="L42" s="452"/>
      <c r="M42" s="452"/>
      <c r="N42" s="452"/>
      <c r="O42" s="307"/>
      <c r="R42" s="303"/>
      <c r="S42" s="472" t="s">
        <v>453</v>
      </c>
      <c r="T42" s="472">
        <v>2</v>
      </c>
      <c r="U42" s="472">
        <v>1.8017474989032989</v>
      </c>
      <c r="V42" s="472">
        <v>0.90087374945164944</v>
      </c>
      <c r="W42" s="472"/>
      <c r="X42" s="472"/>
      <c r="Y42" s="452"/>
      <c r="Z42" s="452"/>
      <c r="AA42" s="452"/>
      <c r="AC42" s="291"/>
      <c r="AD42" s="472" t="s">
        <v>453</v>
      </c>
      <c r="AE42" s="472">
        <v>1</v>
      </c>
      <c r="AF42" s="472">
        <v>2.8602379429615674E-2</v>
      </c>
      <c r="AG42" s="472">
        <v>2.8602379429615674E-2</v>
      </c>
      <c r="AH42" s="472"/>
      <c r="AI42" s="472"/>
      <c r="AJ42" s="452"/>
      <c r="AK42" s="452"/>
      <c r="AL42" s="452"/>
    </row>
    <row r="43" spans="1:38" ht="15" thickBot="1">
      <c r="F43" s="473" t="s">
        <v>111</v>
      </c>
      <c r="G43" s="473">
        <v>8</v>
      </c>
      <c r="H43" s="473">
        <v>25.584724774821794</v>
      </c>
      <c r="I43" s="473"/>
      <c r="J43" s="473"/>
      <c r="K43" s="473"/>
      <c r="L43" s="452"/>
      <c r="M43" s="452"/>
      <c r="N43" s="452"/>
      <c r="O43" s="307"/>
      <c r="S43" s="473" t="s">
        <v>111</v>
      </c>
      <c r="T43" s="473">
        <v>4</v>
      </c>
      <c r="U43" s="473">
        <v>6.7830495755138474</v>
      </c>
      <c r="V43" s="473"/>
      <c r="W43" s="473"/>
      <c r="X43" s="473"/>
      <c r="Y43" s="452"/>
      <c r="Z43" s="452"/>
      <c r="AA43" s="452"/>
      <c r="AC43" s="291"/>
      <c r="AD43" s="473" t="s">
        <v>111</v>
      </c>
      <c r="AE43" s="473">
        <v>3</v>
      </c>
      <c r="AF43" s="473">
        <v>16.559263025105341</v>
      </c>
      <c r="AG43" s="473"/>
      <c r="AH43" s="473"/>
      <c r="AI43" s="473"/>
      <c r="AJ43" s="452"/>
      <c r="AK43" s="452"/>
      <c r="AL43" s="452"/>
    </row>
    <row r="44" spans="1:38" ht="15" thickBot="1">
      <c r="F44" s="452"/>
      <c r="G44" s="452"/>
      <c r="H44" s="452"/>
      <c r="I44" s="452"/>
      <c r="J44" s="452"/>
      <c r="K44" s="452"/>
      <c r="L44" s="452"/>
      <c r="M44" s="452"/>
      <c r="N44" s="452"/>
      <c r="O44" s="307"/>
      <c r="R44" s="288"/>
      <c r="S44" s="452"/>
      <c r="T44" s="452"/>
      <c r="U44" s="452"/>
      <c r="V44" s="452"/>
      <c r="W44" s="452"/>
      <c r="X44" s="452"/>
      <c r="Y44" s="452"/>
      <c r="Z44" s="452"/>
      <c r="AA44" s="452"/>
      <c r="AC44" s="291"/>
      <c r="AD44" s="452"/>
      <c r="AE44" s="452"/>
      <c r="AF44" s="452"/>
      <c r="AG44" s="452"/>
      <c r="AH44" s="452"/>
      <c r="AI44" s="452"/>
      <c r="AJ44" s="452"/>
      <c r="AK44" s="452"/>
      <c r="AL44" s="452"/>
    </row>
    <row r="45" spans="1:38">
      <c r="F45" s="474"/>
      <c r="G45" s="474" t="s">
        <v>203</v>
      </c>
      <c r="H45" s="474" t="s">
        <v>197</v>
      </c>
      <c r="I45" s="474" t="s">
        <v>204</v>
      </c>
      <c r="J45" s="474" t="s">
        <v>205</v>
      </c>
      <c r="K45" s="474" t="s">
        <v>206</v>
      </c>
      <c r="L45" s="474" t="s">
        <v>207</v>
      </c>
      <c r="M45" s="474" t="s">
        <v>208</v>
      </c>
      <c r="N45" s="474" t="s">
        <v>209</v>
      </c>
      <c r="O45" s="288"/>
      <c r="R45" s="303"/>
      <c r="S45" s="474"/>
      <c r="T45" s="474" t="s">
        <v>203</v>
      </c>
      <c r="U45" s="474" t="s">
        <v>197</v>
      </c>
      <c r="V45" s="474" t="s">
        <v>204</v>
      </c>
      <c r="W45" s="474" t="s">
        <v>205</v>
      </c>
      <c r="X45" s="474" t="s">
        <v>206</v>
      </c>
      <c r="Y45" s="474" t="s">
        <v>207</v>
      </c>
      <c r="Z45" s="474" t="s">
        <v>208</v>
      </c>
      <c r="AA45" s="474" t="s">
        <v>209</v>
      </c>
      <c r="AB45" s="288"/>
      <c r="AC45" s="291"/>
      <c r="AD45" s="474"/>
      <c r="AE45" s="474" t="s">
        <v>203</v>
      </c>
      <c r="AF45" s="474" t="s">
        <v>197</v>
      </c>
      <c r="AG45" s="474" t="s">
        <v>204</v>
      </c>
      <c r="AH45" s="474" t="s">
        <v>205</v>
      </c>
      <c r="AI45" s="474" t="s">
        <v>206</v>
      </c>
      <c r="AJ45" s="474" t="s">
        <v>207</v>
      </c>
      <c r="AK45" s="474" t="s">
        <v>208</v>
      </c>
      <c r="AL45" s="474" t="s">
        <v>209</v>
      </c>
    </row>
    <row r="46" spans="1:38">
      <c r="F46" s="472" t="s">
        <v>467</v>
      </c>
      <c r="G46" s="472">
        <v>0.89856914974851465</v>
      </c>
      <c r="H46" s="472">
        <v>0.74802937036834027</v>
      </c>
      <c r="I46" s="472">
        <v>1.2012484874839158</v>
      </c>
      <c r="J46" s="472">
        <v>0.27491735416359186</v>
      </c>
      <c r="K46" s="472">
        <v>-0.93179277808535765</v>
      </c>
      <c r="L46" s="472">
        <v>2.728931077582387</v>
      </c>
      <c r="M46" s="472">
        <v>-0.93179277808535765</v>
      </c>
      <c r="N46" s="472">
        <v>2.728931077582387</v>
      </c>
      <c r="O46" s="303"/>
      <c r="R46" s="303"/>
      <c r="S46" s="472" t="s">
        <v>467</v>
      </c>
      <c r="T46" s="472">
        <v>1.3470284838916029</v>
      </c>
      <c r="U46" s="472">
        <v>0.78301407041358884</v>
      </c>
      <c r="V46" s="472">
        <v>1.7203119775103162</v>
      </c>
      <c r="W46" s="472">
        <v>0.22751610297851971</v>
      </c>
      <c r="X46" s="472">
        <v>-2.0220091434452074</v>
      </c>
      <c r="Y46" s="472">
        <v>4.7160661112284137</v>
      </c>
      <c r="Z46" s="472">
        <v>-2.0220091434452074</v>
      </c>
      <c r="AA46" s="472">
        <v>4.7160661112284137</v>
      </c>
      <c r="AB46" s="303"/>
      <c r="AC46" s="291"/>
      <c r="AD46" s="472" t="s">
        <v>467</v>
      </c>
      <c r="AE46" s="472">
        <v>-3.1934992016097619</v>
      </c>
      <c r="AF46" s="472">
        <v>0.28599825136096946</v>
      </c>
      <c r="AG46" s="472">
        <v>-11.166149395714742</v>
      </c>
      <c r="AH46" s="472">
        <v>5.686167388364706E-2</v>
      </c>
      <c r="AI46" s="472">
        <v>-6.8274515369645137</v>
      </c>
      <c r="AJ46" s="472">
        <v>0.44045313374498951</v>
      </c>
      <c r="AK46" s="472">
        <v>-6.8274515369645137</v>
      </c>
      <c r="AL46" s="472">
        <v>0.44045313374498951</v>
      </c>
    </row>
    <row r="47" spans="1:38" ht="15">
      <c r="E47" s="309" t="s">
        <v>468</v>
      </c>
      <c r="F47" s="472" t="s">
        <v>680</v>
      </c>
      <c r="G47" s="472">
        <v>-1.3590926268535079E-6</v>
      </c>
      <c r="H47" s="472">
        <v>4.4383652897477959E-7</v>
      </c>
      <c r="I47" s="472">
        <v>-3.0621468449045492</v>
      </c>
      <c r="J47" s="475">
        <v>2.2163926138700774E-2</v>
      </c>
      <c r="K47" s="472">
        <v>-2.4451214874814584E-6</v>
      </c>
      <c r="L47" s="472">
        <v>-2.7306376622555729E-7</v>
      </c>
      <c r="M47" s="472">
        <v>-2.4451214874814584E-6</v>
      </c>
      <c r="N47" s="472">
        <v>-2.7306376622555729E-7</v>
      </c>
      <c r="O47" s="303"/>
      <c r="Q47" s="309" t="s">
        <v>468</v>
      </c>
      <c r="S47" s="472" t="s">
        <v>680</v>
      </c>
      <c r="T47" s="472">
        <v>-1.9786286723347595E-6</v>
      </c>
      <c r="U47" s="472">
        <v>1.888318783809851E-6</v>
      </c>
      <c r="V47" s="472">
        <v>-1.0478255521785893</v>
      </c>
      <c r="W47" s="472">
        <v>0.40467708890171206</v>
      </c>
      <c r="X47" s="472">
        <v>-1.0103408641744445E-5</v>
      </c>
      <c r="Y47" s="472">
        <v>6.1461512970749255E-6</v>
      </c>
      <c r="Z47" s="472">
        <v>-1.0103408641744445E-5</v>
      </c>
      <c r="AA47" s="472">
        <v>6.1461512970749255E-6</v>
      </c>
      <c r="AC47" s="309" t="s">
        <v>468</v>
      </c>
      <c r="AD47" s="288" t="s">
        <v>448</v>
      </c>
      <c r="AE47" s="472">
        <v>-2.6878909770256591E-6</v>
      </c>
      <c r="AF47" s="472">
        <v>1.1838732965266654E-7</v>
      </c>
      <c r="AG47" s="472">
        <v>-22.704211547904592</v>
      </c>
      <c r="AH47" s="475">
        <v>2.8021610988395087E-2</v>
      </c>
      <c r="AI47" s="472">
        <v>-4.1921446255024494E-6</v>
      </c>
      <c r="AJ47" s="472">
        <v>-1.1836373285488692E-6</v>
      </c>
      <c r="AK47" s="472">
        <v>-4.1921446255024494E-6</v>
      </c>
      <c r="AL47" s="472">
        <v>-1.1836373285488692E-6</v>
      </c>
    </row>
    <row r="48" spans="1:38" ht="15.75" thickBot="1">
      <c r="E48" s="319" t="s">
        <v>679</v>
      </c>
      <c r="F48" s="473" t="s">
        <v>704</v>
      </c>
      <c r="G48" s="473">
        <v>-4.7070265070146808E-9</v>
      </c>
      <c r="H48" s="473">
        <v>1.1437306029529773E-7</v>
      </c>
      <c r="I48" s="473">
        <v>-4.1155028070960893E-2</v>
      </c>
      <c r="J48" s="473">
        <v>0.96850761511662664</v>
      </c>
      <c r="K48" s="473">
        <v>-2.8456782265633814E-7</v>
      </c>
      <c r="L48" s="473">
        <v>2.7515376964230883E-7</v>
      </c>
      <c r="M48" s="473">
        <v>-2.8456782265633814E-7</v>
      </c>
      <c r="N48" s="473">
        <v>2.7515376964230883E-7</v>
      </c>
      <c r="O48" s="303"/>
      <c r="Q48" s="319" t="s">
        <v>679</v>
      </c>
      <c r="S48" s="473" t="s">
        <v>704</v>
      </c>
      <c r="T48" s="473">
        <v>-1.1550988471585448E-8</v>
      </c>
      <c r="U48" s="473">
        <v>1.9448215061463143E-7</v>
      </c>
      <c r="V48" s="473">
        <v>-5.9393566119462865E-2</v>
      </c>
      <c r="W48" s="473">
        <v>0.9580393953509031</v>
      </c>
      <c r="X48" s="473">
        <v>-8.4834014466132217E-7</v>
      </c>
      <c r="Y48" s="473">
        <v>8.2523816771815118E-7</v>
      </c>
      <c r="Z48" s="473">
        <v>-8.4834014466132217E-7</v>
      </c>
      <c r="AA48" s="473">
        <v>8.2523816771815118E-7</v>
      </c>
      <c r="AC48" s="319" t="s">
        <v>679</v>
      </c>
      <c r="AD48" s="311" t="s">
        <v>449</v>
      </c>
      <c r="AE48" s="473">
        <v>1.2068479629952798E-6</v>
      </c>
      <c r="AF48" s="473">
        <v>8.1987535993858009E-8</v>
      </c>
      <c r="AG48" s="473">
        <v>14.719895510528444</v>
      </c>
      <c r="AH48" s="476">
        <v>4.3182582308605305E-2</v>
      </c>
      <c r="AI48" s="473">
        <v>1.6509754502219248E-7</v>
      </c>
      <c r="AJ48" s="473">
        <v>2.248598380968367E-6</v>
      </c>
      <c r="AK48" s="473">
        <v>1.6509754502219248E-7</v>
      </c>
      <c r="AL48" s="473">
        <v>2.248598380968367E-6</v>
      </c>
    </row>
    <row r="49" spans="6:43" ht="15">
      <c r="F49" s="469" t="s">
        <v>469</v>
      </c>
      <c r="G49" s="452"/>
      <c r="H49" s="452"/>
      <c r="I49" s="452"/>
      <c r="J49" s="452"/>
      <c r="K49" s="452"/>
      <c r="L49" s="452"/>
      <c r="M49" s="452"/>
      <c r="N49" s="452"/>
      <c r="O49" s="307"/>
      <c r="S49" s="470" t="s">
        <v>470</v>
      </c>
      <c r="T49" s="452"/>
      <c r="U49" s="452"/>
      <c r="V49" s="452"/>
      <c r="W49" s="452"/>
      <c r="X49" s="452"/>
      <c r="Y49" s="452"/>
      <c r="Z49" s="452"/>
      <c r="AA49" s="452"/>
      <c r="AD49" s="469" t="s">
        <v>696</v>
      </c>
      <c r="AE49" s="452"/>
      <c r="AF49" s="452"/>
      <c r="AG49" s="452"/>
      <c r="AH49" s="452"/>
      <c r="AI49" s="452"/>
      <c r="AJ49" s="452"/>
      <c r="AK49" s="452"/>
      <c r="AL49" s="452"/>
    </row>
    <row r="50" spans="6:43" ht="15">
      <c r="F50" s="452"/>
      <c r="G50" s="452"/>
      <c r="H50" s="452"/>
      <c r="I50" s="452"/>
      <c r="J50" s="452"/>
      <c r="K50" s="452"/>
      <c r="L50" s="452"/>
      <c r="M50" s="452"/>
      <c r="N50" s="452"/>
      <c r="O50" s="307"/>
      <c r="S50" s="452"/>
      <c r="T50" s="452"/>
      <c r="U50" s="452"/>
      <c r="V50" s="452"/>
      <c r="W50" s="452"/>
      <c r="X50" s="452"/>
      <c r="Y50" s="452"/>
      <c r="Z50" s="452"/>
      <c r="AA50" s="452"/>
      <c r="AC50" s="313"/>
      <c r="AD50" s="469"/>
      <c r="AE50" s="452"/>
      <c r="AF50" s="452"/>
      <c r="AG50" s="452"/>
      <c r="AH50" s="452"/>
      <c r="AI50" s="452"/>
      <c r="AJ50" s="452"/>
      <c r="AK50" s="452"/>
      <c r="AL50" s="452"/>
    </row>
    <row r="51" spans="6:43">
      <c r="F51" s="452"/>
      <c r="G51" s="452"/>
      <c r="H51" s="452"/>
      <c r="I51" s="452"/>
      <c r="J51" s="452"/>
      <c r="K51" s="452"/>
      <c r="L51" s="452"/>
      <c r="M51" s="452"/>
      <c r="N51" s="452"/>
      <c r="O51" s="307"/>
      <c r="S51" s="452"/>
      <c r="T51" s="452"/>
      <c r="U51" s="452"/>
      <c r="V51" s="452"/>
      <c r="W51" s="452"/>
      <c r="X51" s="452"/>
      <c r="Y51" s="452"/>
      <c r="Z51" s="452"/>
      <c r="AA51" s="452"/>
      <c r="AD51" s="477"/>
      <c r="AE51" s="477"/>
      <c r="AF51" s="452"/>
      <c r="AG51" s="452"/>
      <c r="AH51" s="452"/>
      <c r="AI51" s="452"/>
      <c r="AJ51" s="452"/>
      <c r="AK51" s="452"/>
      <c r="AL51" s="452"/>
      <c r="AM51" s="291"/>
    </row>
    <row r="52" spans="6:43" ht="15">
      <c r="F52" s="298" t="s">
        <v>471</v>
      </c>
      <c r="G52" s="452"/>
      <c r="H52" s="452"/>
      <c r="I52" s="452"/>
      <c r="J52" s="452"/>
      <c r="K52" s="452"/>
      <c r="L52" s="452"/>
      <c r="M52" s="452"/>
      <c r="N52" s="452"/>
      <c r="S52" s="298" t="s">
        <v>472</v>
      </c>
      <c r="T52" s="452"/>
      <c r="U52" s="452"/>
      <c r="V52" s="452"/>
      <c r="W52" s="452"/>
      <c r="X52" s="452"/>
      <c r="Y52" s="452"/>
      <c r="Z52" s="452"/>
      <c r="AA52" s="452"/>
      <c r="AD52" s="300" t="s">
        <v>473</v>
      </c>
      <c r="AE52" s="452"/>
      <c r="AF52" s="452"/>
      <c r="AG52" s="452"/>
      <c r="AH52" s="452"/>
      <c r="AI52" s="452"/>
      <c r="AJ52" s="452"/>
      <c r="AK52" s="452"/>
      <c r="AL52" s="452"/>
      <c r="AM52" s="291"/>
    </row>
    <row r="53" spans="6:43" ht="15">
      <c r="F53" s="301" t="s">
        <v>474</v>
      </c>
      <c r="G53" s="291"/>
      <c r="H53" s="291"/>
      <c r="I53" s="291"/>
      <c r="J53" s="291"/>
      <c r="K53" s="291"/>
      <c r="L53" s="291"/>
      <c r="M53" s="291"/>
      <c r="N53" s="291"/>
      <c r="O53" s="291"/>
      <c r="R53" s="301"/>
      <c r="S53" s="301" t="s">
        <v>474</v>
      </c>
      <c r="T53" s="291"/>
      <c r="U53" s="291"/>
      <c r="V53" s="291"/>
      <c r="W53" s="291"/>
      <c r="X53" s="291"/>
      <c r="Y53" s="291"/>
      <c r="Z53" s="291"/>
      <c r="AA53" s="291"/>
      <c r="AB53" s="291"/>
      <c r="AD53" s="301" t="s">
        <v>474</v>
      </c>
      <c r="AE53" s="291"/>
      <c r="AF53" s="291"/>
      <c r="AG53" s="291"/>
      <c r="AH53" s="291"/>
      <c r="AI53" s="291"/>
      <c r="AJ53" s="291"/>
      <c r="AK53" s="291"/>
      <c r="AL53" s="291"/>
      <c r="AM53" s="291"/>
      <c r="AQ53" s="312"/>
    </row>
    <row r="54" spans="6:43">
      <c r="F54" s="452" t="s">
        <v>459</v>
      </c>
      <c r="G54" s="452"/>
      <c r="H54" s="452"/>
      <c r="I54" s="452"/>
      <c r="J54" s="452"/>
      <c r="K54" s="452"/>
      <c r="L54" s="452"/>
      <c r="M54" s="452"/>
      <c r="N54" s="452"/>
      <c r="S54" s="284" t="s">
        <v>459</v>
      </c>
      <c r="AC54" s="291"/>
      <c r="AD54" s="284" t="s">
        <v>459</v>
      </c>
      <c r="AM54" s="291"/>
    </row>
    <row r="55" spans="6:43" ht="15" thickBot="1">
      <c r="F55" s="452"/>
      <c r="G55" s="452"/>
      <c r="H55" s="452"/>
      <c r="I55" s="452"/>
      <c r="J55" s="452"/>
      <c r="K55" s="452"/>
      <c r="L55" s="452"/>
      <c r="M55" s="452"/>
      <c r="N55" s="452"/>
      <c r="AC55" s="291"/>
    </row>
    <row r="56" spans="6:43">
      <c r="F56" s="471" t="s">
        <v>460</v>
      </c>
      <c r="G56" s="471"/>
      <c r="H56" s="452"/>
      <c r="I56" s="452"/>
      <c r="J56" s="452"/>
      <c r="K56" s="452"/>
      <c r="L56" s="452"/>
      <c r="M56" s="452"/>
      <c r="N56" s="452"/>
      <c r="S56" s="302" t="s">
        <v>460</v>
      </c>
      <c r="T56" s="302"/>
      <c r="AC56" s="291"/>
      <c r="AD56" s="302" t="s">
        <v>460</v>
      </c>
      <c r="AE56" s="302"/>
    </row>
    <row r="57" spans="6:43">
      <c r="F57" s="472" t="s">
        <v>461</v>
      </c>
      <c r="G57" s="472">
        <v>0.70360335310980526</v>
      </c>
      <c r="H57" s="452"/>
      <c r="I57" s="452"/>
      <c r="J57" s="452"/>
      <c r="K57" s="452"/>
      <c r="L57" s="452"/>
      <c r="M57" s="452"/>
      <c r="N57" s="452"/>
      <c r="S57" s="303" t="s">
        <v>461</v>
      </c>
      <c r="T57" s="303">
        <v>0.80361931689737109</v>
      </c>
      <c r="AC57" s="291"/>
      <c r="AD57" s="303" t="s">
        <v>461</v>
      </c>
      <c r="AE57" s="303">
        <v>0.65864665133947808</v>
      </c>
    </row>
    <row r="58" spans="6:43">
      <c r="F58" s="472" t="s">
        <v>462</v>
      </c>
      <c r="G58" s="472">
        <v>0.49505767850736127</v>
      </c>
      <c r="H58" s="452"/>
      <c r="I58" s="452"/>
      <c r="J58" s="452"/>
      <c r="K58" s="452"/>
      <c r="L58" s="452"/>
      <c r="M58" s="452"/>
      <c r="N58" s="452"/>
      <c r="S58" s="303" t="s">
        <v>462</v>
      </c>
      <c r="T58" s="303">
        <v>0.64580400649059733</v>
      </c>
      <c r="AC58" s="291"/>
      <c r="AD58" s="303" t="s">
        <v>462</v>
      </c>
      <c r="AE58" s="303">
        <v>0.43381541132070806</v>
      </c>
    </row>
    <row r="59" spans="6:43">
      <c r="F59" s="472" t="s">
        <v>463</v>
      </c>
      <c r="G59" s="472">
        <v>0.43193988832078145</v>
      </c>
      <c r="H59" s="452"/>
      <c r="I59" s="452"/>
      <c r="J59" s="452"/>
      <c r="K59" s="452"/>
      <c r="L59" s="452"/>
      <c r="M59" s="452"/>
      <c r="N59" s="452"/>
      <c r="S59" s="303" t="s">
        <v>463</v>
      </c>
      <c r="T59" s="303">
        <v>0.54460515120219655</v>
      </c>
      <c r="AC59" s="291"/>
      <c r="AD59" s="303" t="s">
        <v>463</v>
      </c>
      <c r="AE59" s="303">
        <v>0.24508721509427742</v>
      </c>
    </row>
    <row r="60" spans="6:43">
      <c r="F60" s="472" t="s">
        <v>197</v>
      </c>
      <c r="G60" s="472">
        <v>1.0627766920709079</v>
      </c>
      <c r="H60" s="452"/>
      <c r="I60" s="452"/>
      <c r="J60" s="452"/>
      <c r="K60" s="452"/>
      <c r="L60" s="452"/>
      <c r="M60" s="452"/>
      <c r="N60" s="452"/>
      <c r="S60" s="303" t="s">
        <v>197</v>
      </c>
      <c r="T60" s="303">
        <v>0.78711731858885492</v>
      </c>
      <c r="AC60" s="291"/>
      <c r="AD60" s="303" t="s">
        <v>197</v>
      </c>
      <c r="AE60" s="303">
        <v>1.4025534417491687</v>
      </c>
    </row>
    <row r="61" spans="6:43" ht="15" thickBot="1">
      <c r="F61" s="473" t="s">
        <v>464</v>
      </c>
      <c r="G61" s="473">
        <v>19</v>
      </c>
      <c r="H61" s="452"/>
      <c r="I61" s="452"/>
      <c r="J61" s="452"/>
      <c r="K61" s="452"/>
      <c r="L61" s="452"/>
      <c r="M61" s="452"/>
      <c r="N61" s="452"/>
      <c r="S61" s="304" t="s">
        <v>464</v>
      </c>
      <c r="T61" s="304">
        <v>10</v>
      </c>
      <c r="AC61" s="291"/>
      <c r="AD61" s="304" t="s">
        <v>464</v>
      </c>
      <c r="AE61" s="304">
        <v>9</v>
      </c>
    </row>
    <row r="62" spans="6:43">
      <c r="F62" s="452"/>
      <c r="G62" s="452"/>
      <c r="H62" s="452"/>
      <c r="I62" s="452"/>
      <c r="J62" s="452"/>
      <c r="K62" s="452"/>
      <c r="L62" s="452"/>
      <c r="M62" s="452"/>
      <c r="N62" s="452"/>
      <c r="AC62" s="291"/>
    </row>
    <row r="63" spans="6:43" ht="15" thickBot="1">
      <c r="F63" s="452" t="s">
        <v>465</v>
      </c>
      <c r="G63" s="452"/>
      <c r="H63" s="452"/>
      <c r="I63" s="452"/>
      <c r="J63" s="452"/>
      <c r="K63" s="452"/>
      <c r="L63" s="452"/>
      <c r="M63" s="452"/>
      <c r="N63" s="452"/>
      <c r="S63" s="284" t="s">
        <v>465</v>
      </c>
      <c r="AC63" s="291"/>
      <c r="AD63" s="284" t="s">
        <v>465</v>
      </c>
    </row>
    <row r="64" spans="6:43">
      <c r="F64" s="474"/>
      <c r="G64" s="474" t="s">
        <v>198</v>
      </c>
      <c r="H64" s="474" t="s">
        <v>199</v>
      </c>
      <c r="I64" s="474" t="s">
        <v>200</v>
      </c>
      <c r="J64" s="474" t="s">
        <v>201</v>
      </c>
      <c r="K64" s="474" t="s">
        <v>202</v>
      </c>
      <c r="L64" s="452"/>
      <c r="M64" s="452"/>
      <c r="N64" s="452"/>
      <c r="S64" s="305"/>
      <c r="T64" s="305" t="s">
        <v>198</v>
      </c>
      <c r="U64" s="305" t="s">
        <v>199</v>
      </c>
      <c r="V64" s="305" t="s">
        <v>200</v>
      </c>
      <c r="W64" s="305" t="s">
        <v>201</v>
      </c>
      <c r="X64" s="305" t="s">
        <v>202</v>
      </c>
      <c r="AC64" s="291"/>
      <c r="AD64" s="305"/>
      <c r="AE64" s="305" t="s">
        <v>198</v>
      </c>
      <c r="AF64" s="305" t="s">
        <v>199</v>
      </c>
      <c r="AG64" s="305" t="s">
        <v>200</v>
      </c>
      <c r="AH64" s="305" t="s">
        <v>201</v>
      </c>
      <c r="AI64" s="305" t="s">
        <v>202</v>
      </c>
    </row>
    <row r="65" spans="3:38" ht="15">
      <c r="F65" s="472" t="s">
        <v>466</v>
      </c>
      <c r="G65" s="472">
        <v>2</v>
      </c>
      <c r="H65" s="472">
        <v>17.718136931307555</v>
      </c>
      <c r="I65" s="472">
        <v>8.8590684656537775</v>
      </c>
      <c r="J65" s="472">
        <v>7.8433937095063389</v>
      </c>
      <c r="K65" s="475">
        <v>4.2260456032533903E-3</v>
      </c>
      <c r="L65" s="452"/>
      <c r="M65" s="452"/>
      <c r="N65" s="452"/>
      <c r="S65" s="303" t="s">
        <v>466</v>
      </c>
      <c r="T65" s="303">
        <v>2</v>
      </c>
      <c r="U65" s="303">
        <v>7.9074065267400808</v>
      </c>
      <c r="V65" s="303">
        <v>3.9537032633700404</v>
      </c>
      <c r="W65" s="303">
        <v>6.3815346986896042</v>
      </c>
      <c r="X65" s="306">
        <v>2.6445559230784153E-2</v>
      </c>
      <c r="AC65" s="291"/>
      <c r="AD65" s="303" t="s">
        <v>466</v>
      </c>
      <c r="AE65" s="303">
        <v>2</v>
      </c>
      <c r="AF65" s="303">
        <v>9.0435099198517186</v>
      </c>
      <c r="AG65" s="303">
        <v>4.5217549599258593</v>
      </c>
      <c r="AH65" s="303">
        <v>2.2986253246453372</v>
      </c>
      <c r="AI65" s="303">
        <v>0.18149895613792266</v>
      </c>
    </row>
    <row r="66" spans="3:38">
      <c r="F66" s="472" t="s">
        <v>453</v>
      </c>
      <c r="G66" s="472">
        <v>16</v>
      </c>
      <c r="H66" s="472">
        <v>18.071908755346904</v>
      </c>
      <c r="I66" s="472">
        <v>1.1294942972091815</v>
      </c>
      <c r="J66" s="472"/>
      <c r="K66" s="472"/>
      <c r="L66" s="452"/>
      <c r="M66" s="452"/>
      <c r="N66" s="452"/>
      <c r="S66" s="303" t="s">
        <v>453</v>
      </c>
      <c r="T66" s="303">
        <v>7</v>
      </c>
      <c r="U66" s="303">
        <v>4.3368757125575623</v>
      </c>
      <c r="V66" s="303">
        <v>0.61955367322250887</v>
      </c>
      <c r="W66" s="303"/>
      <c r="X66" s="303"/>
      <c r="AC66" s="291"/>
      <c r="AD66" s="303" t="s">
        <v>453</v>
      </c>
      <c r="AE66" s="303">
        <v>6</v>
      </c>
      <c r="AF66" s="303">
        <v>11.802936941774632</v>
      </c>
      <c r="AG66" s="303">
        <v>1.9671561569624387</v>
      </c>
      <c r="AH66" s="303"/>
      <c r="AI66" s="303"/>
    </row>
    <row r="67" spans="3:38" ht="15" thickBot="1">
      <c r="F67" s="473" t="s">
        <v>111</v>
      </c>
      <c r="G67" s="473">
        <v>18</v>
      </c>
      <c r="H67" s="473">
        <v>35.790045686654459</v>
      </c>
      <c r="I67" s="473"/>
      <c r="J67" s="473"/>
      <c r="K67" s="473"/>
      <c r="L67" s="452"/>
      <c r="M67" s="452"/>
      <c r="N67" s="452"/>
      <c r="S67" s="304" t="s">
        <v>111</v>
      </c>
      <c r="T67" s="304">
        <v>9</v>
      </c>
      <c r="U67" s="304">
        <v>12.244282239297643</v>
      </c>
      <c r="V67" s="304"/>
      <c r="W67" s="304"/>
      <c r="X67" s="304"/>
      <c r="AC67" s="291"/>
      <c r="AD67" s="304" t="s">
        <v>111</v>
      </c>
      <c r="AE67" s="304">
        <v>8</v>
      </c>
      <c r="AF67" s="304">
        <v>20.846446861626351</v>
      </c>
      <c r="AG67" s="304"/>
      <c r="AH67" s="304"/>
      <c r="AI67" s="304"/>
    </row>
    <row r="68" spans="3:38" ht="15" thickBot="1">
      <c r="F68" s="452"/>
      <c r="G68" s="452"/>
      <c r="H68" s="452"/>
      <c r="I68" s="452"/>
      <c r="J68" s="452"/>
      <c r="K68" s="452"/>
      <c r="L68" s="452"/>
      <c r="M68" s="452"/>
      <c r="N68" s="452"/>
      <c r="O68" s="307"/>
      <c r="AC68" s="314"/>
    </row>
    <row r="69" spans="3:38">
      <c r="F69" s="474"/>
      <c r="G69" s="474" t="s">
        <v>203</v>
      </c>
      <c r="H69" s="474" t="s">
        <v>197</v>
      </c>
      <c r="I69" s="474" t="s">
        <v>204</v>
      </c>
      <c r="J69" s="474" t="s">
        <v>205</v>
      </c>
      <c r="K69" s="474" t="s">
        <v>206</v>
      </c>
      <c r="L69" s="474" t="s">
        <v>207</v>
      </c>
      <c r="M69" s="474" t="s">
        <v>208</v>
      </c>
      <c r="N69" s="474" t="s">
        <v>209</v>
      </c>
      <c r="O69" s="288"/>
      <c r="S69" s="305"/>
      <c r="T69" s="305" t="s">
        <v>203</v>
      </c>
      <c r="U69" s="305" t="s">
        <v>197</v>
      </c>
      <c r="V69" s="305" t="s">
        <v>204</v>
      </c>
      <c r="W69" s="305" t="s">
        <v>205</v>
      </c>
      <c r="X69" s="305" t="s">
        <v>206</v>
      </c>
      <c r="Y69" s="305" t="s">
        <v>207</v>
      </c>
      <c r="Z69" s="305" t="s">
        <v>208</v>
      </c>
      <c r="AA69" s="305" t="s">
        <v>209</v>
      </c>
      <c r="AB69" s="288"/>
      <c r="AC69" s="288"/>
      <c r="AD69" s="305"/>
      <c r="AE69" s="305" t="s">
        <v>203</v>
      </c>
      <c r="AF69" s="305" t="s">
        <v>197</v>
      </c>
      <c r="AG69" s="305" t="s">
        <v>204</v>
      </c>
      <c r="AH69" s="305" t="s">
        <v>205</v>
      </c>
      <c r="AI69" s="305" t="s">
        <v>206</v>
      </c>
      <c r="AJ69" s="305" t="s">
        <v>207</v>
      </c>
      <c r="AK69" s="305" t="s">
        <v>208</v>
      </c>
      <c r="AL69" s="305" t="s">
        <v>209</v>
      </c>
    </row>
    <row r="70" spans="3:38">
      <c r="F70" s="472" t="s">
        <v>467</v>
      </c>
      <c r="G70" s="472">
        <v>1.6031114399496533</v>
      </c>
      <c r="H70" s="472">
        <v>0.55040223237407448</v>
      </c>
      <c r="I70" s="472">
        <v>2.9126179830973453</v>
      </c>
      <c r="J70" s="472">
        <v>1.0171032982108518E-2</v>
      </c>
      <c r="K70" s="472">
        <v>0.43631083857457087</v>
      </c>
      <c r="L70" s="472">
        <v>2.7699120413247358</v>
      </c>
      <c r="M70" s="472">
        <v>0.43631083857457087</v>
      </c>
      <c r="N70" s="472">
        <v>2.7699120413247358</v>
      </c>
      <c r="O70" s="303"/>
      <c r="S70" s="303" t="s">
        <v>467</v>
      </c>
      <c r="T70" s="303">
        <v>1.6148114659109449</v>
      </c>
      <c r="U70" s="303">
        <v>0.49509046838956244</v>
      </c>
      <c r="V70" s="303">
        <v>3.2616492722302399</v>
      </c>
      <c r="W70" s="303">
        <v>1.3832851008267187E-2</v>
      </c>
      <c r="X70" s="303">
        <v>0.44410853794312821</v>
      </c>
      <c r="Y70" s="303">
        <v>2.7855143938787617</v>
      </c>
      <c r="Z70" s="303">
        <v>0.44410853794312821</v>
      </c>
      <c r="AA70" s="303">
        <v>2.7855143938787617</v>
      </c>
      <c r="AB70" s="303"/>
      <c r="AC70" s="303"/>
      <c r="AD70" s="303" t="s">
        <v>467</v>
      </c>
      <c r="AE70" s="303">
        <v>1.7777628811315078</v>
      </c>
      <c r="AF70" s="303">
        <v>1.2971077982167929</v>
      </c>
      <c r="AG70" s="303">
        <v>1.370559088130916</v>
      </c>
      <c r="AH70" s="303">
        <v>0.21957391270552129</v>
      </c>
      <c r="AI70" s="303">
        <v>-1.3961455564253757</v>
      </c>
      <c r="AJ70" s="303">
        <v>4.9516713186883914</v>
      </c>
      <c r="AK70" s="303">
        <v>-1.3961455564253757</v>
      </c>
      <c r="AL70" s="303">
        <v>4.9516713186883914</v>
      </c>
    </row>
    <row r="71" spans="3:38" ht="15">
      <c r="E71" s="309" t="s">
        <v>468</v>
      </c>
      <c r="F71" s="303" t="s">
        <v>448</v>
      </c>
      <c r="G71" s="472">
        <v>-1.0884500175476471E-6</v>
      </c>
      <c r="H71" s="472">
        <v>2.8923200126987667E-7</v>
      </c>
      <c r="I71" s="472">
        <v>-3.7632420090750465</v>
      </c>
      <c r="J71" s="475">
        <v>1.699584319486468E-3</v>
      </c>
      <c r="K71" s="472">
        <v>-1.7015944656778086E-6</v>
      </c>
      <c r="L71" s="472">
        <v>-4.7530556941748582E-7</v>
      </c>
      <c r="M71" s="472">
        <v>-1.7015944656778086E-6</v>
      </c>
      <c r="N71" s="472">
        <v>-4.7530556941748582E-7</v>
      </c>
      <c r="O71" s="303"/>
      <c r="Q71" s="309" t="s">
        <v>468</v>
      </c>
      <c r="S71" s="303" t="s">
        <v>448</v>
      </c>
      <c r="T71" s="303">
        <v>-2.2067468470198212E-6</v>
      </c>
      <c r="U71" s="303">
        <v>6.9392501283173842E-7</v>
      </c>
      <c r="V71" s="303">
        <v>-3.1800941113429917</v>
      </c>
      <c r="W71" s="306">
        <v>1.5488618810550496E-2</v>
      </c>
      <c r="X71" s="303">
        <v>-3.8476187607020672E-6</v>
      </c>
      <c r="Y71" s="303">
        <v>-5.65874933337575E-7</v>
      </c>
      <c r="Z71" s="303">
        <v>-3.8476187607020672E-6</v>
      </c>
      <c r="AA71" s="303">
        <v>-5.65874933337575E-7</v>
      </c>
      <c r="AB71" s="303"/>
      <c r="AC71" s="309" t="s">
        <v>468</v>
      </c>
      <c r="AD71" s="303" t="s">
        <v>448</v>
      </c>
      <c r="AE71" s="303">
        <v>-1.0502412483852596E-6</v>
      </c>
      <c r="AF71" s="303">
        <v>5.0940954830115225E-7</v>
      </c>
      <c r="AG71" s="303">
        <v>-2.0616834762672704</v>
      </c>
      <c r="AH71" s="303">
        <v>8.4858495921152369E-2</v>
      </c>
      <c r="AI71" s="303">
        <v>-2.2967215068092708E-6</v>
      </c>
      <c r="AJ71" s="303">
        <v>1.9623901003875152E-7</v>
      </c>
      <c r="AK71" s="303">
        <v>-2.2967215068092708E-6</v>
      </c>
      <c r="AL71" s="303">
        <v>1.9623901003875152E-7</v>
      </c>
    </row>
    <row r="72" spans="3:38" ht="15" thickBot="1">
      <c r="E72" s="319" t="s">
        <v>491</v>
      </c>
      <c r="F72" s="304" t="s">
        <v>450</v>
      </c>
      <c r="G72" s="473">
        <v>-3.7304146911075794E-5</v>
      </c>
      <c r="H72" s="473">
        <v>3.3761410605708001E-5</v>
      </c>
      <c r="I72" s="473">
        <v>-1.1049344870906794</v>
      </c>
      <c r="J72" s="473">
        <v>0.28552731561298517</v>
      </c>
      <c r="K72" s="473">
        <v>-1.0887513968866014E-4</v>
      </c>
      <c r="L72" s="473">
        <v>3.4266845866508544E-5</v>
      </c>
      <c r="M72" s="473">
        <v>-1.0887513968866014E-4</v>
      </c>
      <c r="N72" s="473">
        <v>3.4266845866508544E-5</v>
      </c>
      <c r="O72" s="303"/>
      <c r="Q72" s="319" t="s">
        <v>491</v>
      </c>
      <c r="S72" s="304" t="s">
        <v>450</v>
      </c>
      <c r="T72" s="304">
        <v>-1.3119827024730355E-5</v>
      </c>
      <c r="U72" s="304">
        <v>3.1811724425648196E-5</v>
      </c>
      <c r="V72" s="304">
        <v>-0.41242112025063621</v>
      </c>
      <c r="W72" s="304">
        <v>0.69236871908511222</v>
      </c>
      <c r="X72" s="304">
        <v>-8.8342602066134878E-5</v>
      </c>
      <c r="Y72" s="304">
        <v>6.2102948016674178E-5</v>
      </c>
      <c r="Z72" s="304">
        <v>-8.8342602066134878E-5</v>
      </c>
      <c r="AA72" s="304">
        <v>6.2102948016674178E-5</v>
      </c>
      <c r="AB72" s="303"/>
      <c r="AC72" s="319" t="s">
        <v>491</v>
      </c>
      <c r="AD72" s="304" t="s">
        <v>450</v>
      </c>
      <c r="AE72" s="304">
        <v>-4.5940624739420438E-5</v>
      </c>
      <c r="AF72" s="304">
        <v>8.3880419784890852E-5</v>
      </c>
      <c r="AG72" s="304">
        <v>-0.5476918791922355</v>
      </c>
      <c r="AH72" s="304">
        <v>0.6036648535068927</v>
      </c>
      <c r="AI72" s="304">
        <v>-2.5118861759481617E-4</v>
      </c>
      <c r="AJ72" s="304">
        <v>1.5930736811597531E-4</v>
      </c>
      <c r="AK72" s="304">
        <v>-2.5118861759481617E-4</v>
      </c>
      <c r="AL72" s="304">
        <v>1.5930736811597531E-4</v>
      </c>
    </row>
    <row r="73" spans="3:38" ht="15">
      <c r="F73" s="469" t="s">
        <v>475</v>
      </c>
      <c r="G73" s="452"/>
      <c r="H73" s="452"/>
      <c r="I73" s="452"/>
      <c r="J73" s="452"/>
      <c r="K73" s="452"/>
      <c r="L73" s="452"/>
      <c r="M73" s="452"/>
      <c r="N73" s="452"/>
      <c r="S73" s="469" t="s">
        <v>476</v>
      </c>
      <c r="AD73" s="469" t="s">
        <v>477</v>
      </c>
    </row>
    <row r="74" spans="3:38" ht="15">
      <c r="F74" s="469"/>
      <c r="G74" s="452"/>
      <c r="H74" s="452"/>
      <c r="I74" s="452"/>
      <c r="J74" s="452"/>
      <c r="K74" s="452"/>
      <c r="L74" s="452"/>
      <c r="M74" s="452"/>
      <c r="N74" s="452"/>
      <c r="S74" s="469"/>
      <c r="AD74" s="469"/>
    </row>
    <row r="75" spans="3:38">
      <c r="F75" s="452"/>
      <c r="G75" s="452"/>
      <c r="H75" s="452"/>
      <c r="I75" s="452"/>
      <c r="J75" s="452"/>
      <c r="K75" s="452"/>
      <c r="L75" s="452"/>
      <c r="M75" s="452"/>
      <c r="N75" s="452"/>
    </row>
    <row r="76" spans="3:38" ht="15">
      <c r="C76" s="312"/>
      <c r="F76" s="298" t="s">
        <v>478</v>
      </c>
      <c r="G76" s="452"/>
      <c r="H76" s="452"/>
      <c r="I76" s="452"/>
      <c r="J76" s="452"/>
      <c r="K76" s="452"/>
      <c r="L76" s="452"/>
      <c r="M76" s="452"/>
      <c r="N76" s="452"/>
      <c r="R76" s="298" t="s">
        <v>479</v>
      </c>
      <c r="AD76" s="298" t="s">
        <v>480</v>
      </c>
    </row>
    <row r="77" spans="3:38" ht="15">
      <c r="E77" s="296"/>
      <c r="F77" s="296" t="s">
        <v>474</v>
      </c>
      <c r="S77" s="296" t="s">
        <v>474</v>
      </c>
      <c r="AD77" s="296" t="s">
        <v>474</v>
      </c>
    </row>
    <row r="78" spans="3:38">
      <c r="F78" s="284" t="s">
        <v>459</v>
      </c>
      <c r="S78" s="284" t="s">
        <v>459</v>
      </c>
      <c r="AD78" s="284" t="s">
        <v>459</v>
      </c>
    </row>
    <row r="79" spans="3:38" ht="15" thickBot="1"/>
    <row r="80" spans="3:38">
      <c r="F80" s="302" t="s">
        <v>460</v>
      </c>
      <c r="G80" s="302"/>
      <c r="S80" s="302" t="s">
        <v>460</v>
      </c>
      <c r="T80" s="302"/>
      <c r="AD80" s="302" t="s">
        <v>460</v>
      </c>
      <c r="AE80" s="302"/>
    </row>
    <row r="81" spans="5:38">
      <c r="F81" s="303" t="s">
        <v>461</v>
      </c>
      <c r="G81" s="303">
        <v>0.81170480852783711</v>
      </c>
      <c r="S81" s="303" t="s">
        <v>461</v>
      </c>
      <c r="T81" s="303">
        <v>0.93602925864002695</v>
      </c>
      <c r="AD81" s="303" t="s">
        <v>461</v>
      </c>
      <c r="AE81" s="303">
        <v>0.88908672745951278</v>
      </c>
    </row>
    <row r="82" spans="5:38">
      <c r="F82" s="303" t="s">
        <v>462</v>
      </c>
      <c r="G82" s="303">
        <v>0.65886469618721266</v>
      </c>
      <c r="S82" s="303" t="s">
        <v>462</v>
      </c>
      <c r="T82" s="303">
        <v>0.8761507730301985</v>
      </c>
      <c r="AD82" s="303" t="s">
        <v>462</v>
      </c>
      <c r="AE82" s="303">
        <v>0.79047520894466594</v>
      </c>
    </row>
    <row r="83" spans="5:38">
      <c r="F83" s="303" t="s">
        <v>463</v>
      </c>
      <c r="G83" s="303">
        <v>0.54515292824961692</v>
      </c>
      <c r="S83" s="303" t="s">
        <v>463</v>
      </c>
      <c r="T83" s="303">
        <v>0.75230154606039701</v>
      </c>
      <c r="AD83" s="303" t="s">
        <v>463</v>
      </c>
      <c r="AE83" s="303">
        <v>0.37142562683399793</v>
      </c>
    </row>
    <row r="84" spans="5:38">
      <c r="F84" s="303" t="s">
        <v>197</v>
      </c>
      <c r="G84" s="303">
        <v>1.2060854626314408</v>
      </c>
      <c r="S84" s="303" t="s">
        <v>197</v>
      </c>
      <c r="T84" s="303">
        <v>0.64810317327769251</v>
      </c>
      <c r="AD84" s="303" t="s">
        <v>197</v>
      </c>
      <c r="AE84" s="303">
        <v>1.8626798236319402</v>
      </c>
    </row>
    <row r="85" spans="5:38" ht="15" thickBot="1">
      <c r="F85" s="304" t="s">
        <v>464</v>
      </c>
      <c r="G85" s="304">
        <v>9</v>
      </c>
      <c r="S85" s="304" t="s">
        <v>464</v>
      </c>
      <c r="T85" s="304">
        <v>5</v>
      </c>
      <c r="AD85" s="304" t="s">
        <v>464</v>
      </c>
      <c r="AE85" s="304">
        <v>4</v>
      </c>
    </row>
    <row r="87" spans="5:38" ht="15" thickBot="1">
      <c r="F87" s="284" t="s">
        <v>465</v>
      </c>
      <c r="S87" s="284" t="s">
        <v>465</v>
      </c>
      <c r="AD87" s="284" t="s">
        <v>465</v>
      </c>
    </row>
    <row r="88" spans="5:38">
      <c r="F88" s="305"/>
      <c r="G88" s="305" t="s">
        <v>198</v>
      </c>
      <c r="H88" s="305" t="s">
        <v>199</v>
      </c>
      <c r="I88" s="305" t="s">
        <v>200</v>
      </c>
      <c r="J88" s="305" t="s">
        <v>201</v>
      </c>
      <c r="K88" s="305" t="s">
        <v>202</v>
      </c>
      <c r="S88" s="305"/>
      <c r="T88" s="305" t="s">
        <v>198</v>
      </c>
      <c r="U88" s="305" t="s">
        <v>199</v>
      </c>
      <c r="V88" s="305" t="s">
        <v>200</v>
      </c>
      <c r="W88" s="305" t="s">
        <v>201</v>
      </c>
      <c r="X88" s="305" t="s">
        <v>202</v>
      </c>
      <c r="AD88" s="305"/>
      <c r="AE88" s="305" t="s">
        <v>198</v>
      </c>
      <c r="AF88" s="305" t="s">
        <v>199</v>
      </c>
      <c r="AG88" s="305" t="s">
        <v>200</v>
      </c>
      <c r="AH88" s="305" t="s">
        <v>201</v>
      </c>
      <c r="AI88" s="305" t="s">
        <v>202</v>
      </c>
    </row>
    <row r="89" spans="5:38" ht="15">
      <c r="F89" s="303" t="s">
        <v>466</v>
      </c>
      <c r="G89" s="303">
        <v>2</v>
      </c>
      <c r="H89" s="303">
        <v>16.856871915796415</v>
      </c>
      <c r="I89" s="303">
        <v>8.4284359578982073</v>
      </c>
      <c r="J89" s="303">
        <v>5.7941645630625764</v>
      </c>
      <c r="K89" s="306">
        <v>3.9699039519257247E-2</v>
      </c>
      <c r="S89" s="303" t="s">
        <v>466</v>
      </c>
      <c r="T89" s="303">
        <v>2</v>
      </c>
      <c r="U89" s="303">
        <v>5.9429741290886176</v>
      </c>
      <c r="V89" s="303">
        <v>2.9714870645443088</v>
      </c>
      <c r="W89" s="303">
        <v>7.074333804633544</v>
      </c>
      <c r="X89" s="303">
        <v>0.12384922696951207</v>
      </c>
      <c r="AD89" s="303" t="s">
        <v>466</v>
      </c>
      <c r="AE89" s="303">
        <v>2</v>
      </c>
      <c r="AF89" s="303">
        <v>13.089686899739826</v>
      </c>
      <c r="AG89" s="303">
        <v>6.5448434498699131</v>
      </c>
      <c r="AH89" s="303">
        <v>1.8863524572992101</v>
      </c>
      <c r="AI89" s="303">
        <v>0.4577387803304872</v>
      </c>
    </row>
    <row r="90" spans="5:38">
      <c r="F90" s="303" t="s">
        <v>453</v>
      </c>
      <c r="G90" s="303">
        <v>6</v>
      </c>
      <c r="H90" s="303">
        <v>8.7278528590253792</v>
      </c>
      <c r="I90" s="303">
        <v>1.4546421431708965</v>
      </c>
      <c r="J90" s="303"/>
      <c r="K90" s="303"/>
      <c r="S90" s="303" t="s">
        <v>453</v>
      </c>
      <c r="T90" s="303">
        <v>2</v>
      </c>
      <c r="U90" s="303">
        <v>0.84007544642522958</v>
      </c>
      <c r="V90" s="303">
        <v>0.42003772321261479</v>
      </c>
      <c r="W90" s="303"/>
      <c r="X90" s="303"/>
      <c r="AD90" s="303" t="s">
        <v>453</v>
      </c>
      <c r="AE90" s="303">
        <v>1</v>
      </c>
      <c r="AF90" s="303">
        <v>3.4695761253655157</v>
      </c>
      <c r="AG90" s="303">
        <v>3.4695761253655157</v>
      </c>
      <c r="AH90" s="303"/>
      <c r="AI90" s="303"/>
    </row>
    <row r="91" spans="5:38" ht="15" thickBot="1">
      <c r="F91" s="304" t="s">
        <v>111</v>
      </c>
      <c r="G91" s="304">
        <v>8</v>
      </c>
      <c r="H91" s="304">
        <v>25.584724774821794</v>
      </c>
      <c r="I91" s="304"/>
      <c r="J91" s="304"/>
      <c r="K91" s="304"/>
      <c r="S91" s="304" t="s">
        <v>111</v>
      </c>
      <c r="T91" s="304">
        <v>4</v>
      </c>
      <c r="U91" s="304">
        <v>6.7830495755138474</v>
      </c>
      <c r="V91" s="304"/>
      <c r="W91" s="304"/>
      <c r="X91" s="304"/>
      <c r="AD91" s="304" t="s">
        <v>111</v>
      </c>
      <c r="AE91" s="304">
        <v>3</v>
      </c>
      <c r="AF91" s="304">
        <v>16.559263025105341</v>
      </c>
      <c r="AG91" s="304"/>
      <c r="AH91" s="304"/>
      <c r="AI91" s="304"/>
    </row>
    <row r="92" spans="5:38" ht="15" thickBot="1">
      <c r="O92" s="307"/>
    </row>
    <row r="93" spans="5:38">
      <c r="F93" s="305"/>
      <c r="G93" s="305" t="s">
        <v>203</v>
      </c>
      <c r="H93" s="305" t="s">
        <v>197</v>
      </c>
      <c r="I93" s="305" t="s">
        <v>204</v>
      </c>
      <c r="J93" s="305" t="s">
        <v>205</v>
      </c>
      <c r="K93" s="305" t="s">
        <v>206</v>
      </c>
      <c r="L93" s="305" t="s">
        <v>207</v>
      </c>
      <c r="M93" s="305" t="s">
        <v>208</v>
      </c>
      <c r="N93" s="305" t="s">
        <v>209</v>
      </c>
      <c r="O93" s="288"/>
      <c r="S93" s="305"/>
      <c r="T93" s="305" t="s">
        <v>203</v>
      </c>
      <c r="U93" s="305" t="s">
        <v>197</v>
      </c>
      <c r="V93" s="305" t="s">
        <v>204</v>
      </c>
      <c r="W93" s="305" t="s">
        <v>205</v>
      </c>
      <c r="X93" s="305" t="s">
        <v>206</v>
      </c>
      <c r="Y93" s="305" t="s">
        <v>207</v>
      </c>
      <c r="Z93" s="305" t="s">
        <v>208</v>
      </c>
      <c r="AA93" s="305" t="s">
        <v>209</v>
      </c>
      <c r="AB93" s="288"/>
      <c r="AD93" s="305"/>
      <c r="AE93" s="305" t="s">
        <v>203</v>
      </c>
      <c r="AF93" s="305" t="s">
        <v>197</v>
      </c>
      <c r="AG93" s="305" t="s">
        <v>204</v>
      </c>
      <c r="AH93" s="305" t="s">
        <v>205</v>
      </c>
      <c r="AI93" s="305" t="s">
        <v>206</v>
      </c>
      <c r="AJ93" s="305" t="s">
        <v>207</v>
      </c>
      <c r="AK93" s="305" t="s">
        <v>208</v>
      </c>
      <c r="AL93" s="305" t="s">
        <v>209</v>
      </c>
    </row>
    <row r="94" spans="5:38">
      <c r="F94" s="303" t="s">
        <v>467</v>
      </c>
      <c r="G94" s="303">
        <v>1.2491601521887172</v>
      </c>
      <c r="H94" s="303">
        <v>2.3427461876355551</v>
      </c>
      <c r="I94" s="303">
        <v>0.53320336568318027</v>
      </c>
      <c r="J94" s="303">
        <v>0.61305550428192435</v>
      </c>
      <c r="K94" s="303">
        <v>-4.4833332475217258</v>
      </c>
      <c r="L94" s="303">
        <v>6.9816535518991607</v>
      </c>
      <c r="M94" s="303">
        <v>-4.4833332475217258</v>
      </c>
      <c r="N94" s="303">
        <v>6.9816535518991607</v>
      </c>
      <c r="O94" s="303"/>
      <c r="S94" s="303" t="s">
        <v>467</v>
      </c>
      <c r="T94" s="303">
        <v>4.1974423835567078</v>
      </c>
      <c r="U94" s="303">
        <v>1.949737594071886</v>
      </c>
      <c r="V94" s="303">
        <v>2.1528242550786811</v>
      </c>
      <c r="W94" s="303">
        <v>0.16420552722071932</v>
      </c>
      <c r="X94" s="303">
        <v>-4.1916013974723016</v>
      </c>
      <c r="Y94" s="303">
        <v>12.586486164585718</v>
      </c>
      <c r="Z94" s="303">
        <v>-4.1916013974723016</v>
      </c>
      <c r="AA94" s="303">
        <v>12.586486164585718</v>
      </c>
      <c r="AB94" s="303"/>
      <c r="AD94" s="303" t="s">
        <v>467</v>
      </c>
      <c r="AE94" s="303">
        <v>-15.884128704221141</v>
      </c>
      <c r="AF94" s="303">
        <v>18.597601809723137</v>
      </c>
      <c r="AG94" s="303">
        <v>-0.85409553698029239</v>
      </c>
      <c r="AH94" s="303">
        <v>0.54999453478751548</v>
      </c>
      <c r="AI94" s="303">
        <v>-252.18906485973031</v>
      </c>
      <c r="AJ94" s="303">
        <v>220.420807451288</v>
      </c>
      <c r="AK94" s="303">
        <v>-252.18906485973031</v>
      </c>
      <c r="AL94" s="303">
        <v>220.420807451288</v>
      </c>
    </row>
    <row r="95" spans="5:38" ht="15">
      <c r="E95" s="309" t="s">
        <v>468</v>
      </c>
      <c r="F95" s="303" t="s">
        <v>448</v>
      </c>
      <c r="G95" s="303">
        <v>-1.3779166352302048E-6</v>
      </c>
      <c r="H95" s="303">
        <v>4.077318307147996E-7</v>
      </c>
      <c r="I95" s="303">
        <v>-3.3794679037311424</v>
      </c>
      <c r="J95" s="306">
        <v>1.4867559963024586E-2</v>
      </c>
      <c r="K95" s="303">
        <v>-2.375600481973933E-6</v>
      </c>
      <c r="L95" s="303">
        <v>-3.8023278848647676E-7</v>
      </c>
      <c r="M95" s="303">
        <v>-2.375600481973933E-6</v>
      </c>
      <c r="N95" s="303">
        <v>-3.8023278848647676E-7</v>
      </c>
      <c r="O95" s="303"/>
      <c r="Q95" s="309" t="s">
        <v>468</v>
      </c>
      <c r="S95" s="303" t="s">
        <v>448</v>
      </c>
      <c r="T95" s="303">
        <v>-2.2819780827901812E-6</v>
      </c>
      <c r="U95" s="303">
        <v>6.1839599283231125E-7</v>
      </c>
      <c r="V95" s="303">
        <v>-3.6901566459680777</v>
      </c>
      <c r="W95" s="303">
        <v>6.6224582517371983E-2</v>
      </c>
      <c r="X95" s="303">
        <v>-4.9427212892895325E-6</v>
      </c>
      <c r="Y95" s="303">
        <v>3.7876512370917017E-7</v>
      </c>
      <c r="Z95" s="303">
        <v>-4.9427212892895325E-6</v>
      </c>
      <c r="AA95" s="303">
        <v>3.7876512370917017E-7</v>
      </c>
      <c r="AB95" s="303"/>
      <c r="AC95" s="309" t="s">
        <v>468</v>
      </c>
      <c r="AD95" s="303" t="s">
        <v>448</v>
      </c>
      <c r="AE95" s="303">
        <v>-1.7298473196515119E-6</v>
      </c>
      <c r="AF95" s="303">
        <v>9.075687274534853E-7</v>
      </c>
      <c r="AG95" s="303">
        <v>-1.9060234969810261</v>
      </c>
      <c r="AH95" s="303">
        <v>0.30759847196229811</v>
      </c>
      <c r="AI95" s="303">
        <v>-1.3261601380839535E-5</v>
      </c>
      <c r="AJ95" s="303">
        <v>9.8019067415365114E-6</v>
      </c>
      <c r="AK95" s="303">
        <v>-1.3261601380839535E-5</v>
      </c>
      <c r="AL95" s="303">
        <v>9.8019067415365114E-6</v>
      </c>
    </row>
    <row r="96" spans="5:38" ht="15" thickBot="1">
      <c r="E96" s="319" t="s">
        <v>491</v>
      </c>
      <c r="F96" s="304" t="s">
        <v>450</v>
      </c>
      <c r="G96" s="304">
        <v>-1.9131178184783728E-5</v>
      </c>
      <c r="H96" s="304">
        <v>1.1727526338455661E-4</v>
      </c>
      <c r="I96" s="304">
        <v>-0.16313054972258553</v>
      </c>
      <c r="J96" s="304">
        <v>0.87577147911371434</v>
      </c>
      <c r="K96" s="304">
        <v>-3.060934094539683E-4</v>
      </c>
      <c r="L96" s="304">
        <v>2.6783105308440081E-4</v>
      </c>
      <c r="M96" s="304">
        <v>-3.060934094539683E-4</v>
      </c>
      <c r="N96" s="304">
        <v>2.6783105308440081E-4</v>
      </c>
      <c r="O96" s="303"/>
      <c r="Q96" s="319" t="s">
        <v>491</v>
      </c>
      <c r="S96" s="304" t="s">
        <v>450</v>
      </c>
      <c r="T96" s="304">
        <v>-1.3155292357782544E-4</v>
      </c>
      <c r="U96" s="304">
        <v>8.6799007235232657E-5</v>
      </c>
      <c r="V96" s="304">
        <v>-1.5156040117061003</v>
      </c>
      <c r="W96" s="304">
        <v>0.26886047260253282</v>
      </c>
      <c r="X96" s="304">
        <v>-5.0501890898025574E-4</v>
      </c>
      <c r="Y96" s="304">
        <v>2.419130618246048E-4</v>
      </c>
      <c r="Z96" s="304">
        <v>-5.0501890898025574E-4</v>
      </c>
      <c r="AA96" s="304">
        <v>2.419130618246048E-4</v>
      </c>
      <c r="AB96" s="303"/>
      <c r="AC96" s="319" t="s">
        <v>491</v>
      </c>
      <c r="AD96" s="304" t="s">
        <v>450</v>
      </c>
      <c r="AE96" s="304">
        <v>1.0449589197126957E-3</v>
      </c>
      <c r="AF96" s="304">
        <v>1.1723624216171086E-3</v>
      </c>
      <c r="AG96" s="304">
        <v>0.89132754551388838</v>
      </c>
      <c r="AH96" s="304">
        <v>0.53653891111104368</v>
      </c>
      <c r="AI96" s="304">
        <v>-1.385131803178706E-2</v>
      </c>
      <c r="AJ96" s="304">
        <v>1.5941235871212451E-2</v>
      </c>
      <c r="AK96" s="304">
        <v>-1.385131803178706E-2</v>
      </c>
      <c r="AL96" s="304">
        <v>1.5941235871212451E-2</v>
      </c>
    </row>
    <row r="97" spans="5:30" ht="15">
      <c r="E97" s="312"/>
      <c r="F97" s="469" t="s">
        <v>476</v>
      </c>
      <c r="S97" s="469" t="s">
        <v>477</v>
      </c>
      <c r="AD97" s="470" t="s">
        <v>470</v>
      </c>
    </row>
    <row r="100" spans="5:30">
      <c r="F100" s="303"/>
      <c r="G100" s="303"/>
    </row>
    <row r="101" spans="5:30">
      <c r="F101" s="303"/>
      <c r="G101" s="303"/>
    </row>
    <row r="102" spans="5:30">
      <c r="F102" s="303"/>
      <c r="G102" s="303"/>
    </row>
    <row r="103" spans="5:30">
      <c r="F103" s="303"/>
      <c r="G103" s="303"/>
      <c r="H103" s="307"/>
      <c r="I103" s="307"/>
      <c r="J103" s="307"/>
      <c r="K103" s="307"/>
    </row>
    <row r="104" spans="5:30">
      <c r="F104" s="303"/>
      <c r="G104" s="303"/>
      <c r="H104" s="307"/>
      <c r="I104" s="307"/>
      <c r="J104" s="307"/>
      <c r="K104" s="307"/>
    </row>
    <row r="105" spans="5:30">
      <c r="F105" s="307"/>
      <c r="G105" s="307"/>
      <c r="H105" s="307"/>
      <c r="I105" s="307"/>
      <c r="J105" s="307"/>
      <c r="K105" s="307"/>
    </row>
    <row r="106" spans="5:30">
      <c r="F106" s="307"/>
      <c r="G106" s="307"/>
      <c r="H106" s="307"/>
      <c r="I106" s="307"/>
      <c r="J106" s="307"/>
      <c r="K106" s="307"/>
    </row>
    <row r="107" spans="5:30">
      <c r="F107" s="288"/>
      <c r="G107" s="288"/>
      <c r="H107" s="288"/>
      <c r="I107" s="288"/>
      <c r="J107" s="288"/>
      <c r="K107" s="288"/>
      <c r="L107" s="288"/>
    </row>
    <row r="108" spans="5:30">
      <c r="F108" s="303"/>
      <c r="G108" s="303"/>
      <c r="H108" s="303"/>
      <c r="I108" s="303"/>
      <c r="J108" s="303"/>
      <c r="K108" s="303"/>
      <c r="L108" s="303"/>
    </row>
    <row r="109" spans="5:30">
      <c r="F109" s="303"/>
      <c r="G109" s="303"/>
      <c r="H109" s="303"/>
      <c r="I109" s="303"/>
      <c r="J109" s="303"/>
      <c r="K109" s="303"/>
      <c r="L109" s="303"/>
    </row>
    <row r="110" spans="5:30">
      <c r="F110" s="303"/>
      <c r="G110" s="303"/>
      <c r="H110" s="303"/>
      <c r="I110" s="303"/>
      <c r="J110" s="303"/>
      <c r="K110" s="303"/>
      <c r="L110" s="303"/>
    </row>
    <row r="141" spans="6:6" ht="15">
      <c r="F141" s="298" t="s">
        <v>455</v>
      </c>
    </row>
    <row r="142" spans="6:6" ht="15">
      <c r="F142" s="296" t="s">
        <v>481</v>
      </c>
    </row>
    <row r="143" spans="6:6">
      <c r="F143" s="284" t="s">
        <v>459</v>
      </c>
    </row>
    <row r="144" spans="6:6" ht="15" thickBot="1"/>
    <row r="145" spans="6:14">
      <c r="F145" s="302" t="s">
        <v>460</v>
      </c>
      <c r="G145" s="302"/>
    </row>
    <row r="146" spans="6:14">
      <c r="F146" s="303" t="s">
        <v>461</v>
      </c>
      <c r="G146" s="303">
        <v>0.81880299020598168</v>
      </c>
    </row>
    <row r="147" spans="6:14">
      <c r="F147" s="303" t="s">
        <v>462</v>
      </c>
      <c r="G147" s="303">
        <v>0.67043833677025699</v>
      </c>
    </row>
    <row r="148" spans="6:14">
      <c r="F148" s="303" t="s">
        <v>463</v>
      </c>
      <c r="G148" s="303">
        <v>0.47270133883241117</v>
      </c>
    </row>
    <row r="149" spans="6:14">
      <c r="F149" s="303" t="s">
        <v>197</v>
      </c>
      <c r="G149" s="303">
        <v>1.2824553225220934</v>
      </c>
    </row>
    <row r="150" spans="6:14" ht="15" thickBot="1">
      <c r="F150" s="304" t="s">
        <v>464</v>
      </c>
      <c r="G150" s="304">
        <v>9</v>
      </c>
    </row>
    <row r="152" spans="6:14" ht="15" thickBot="1">
      <c r="F152" s="284" t="s">
        <v>465</v>
      </c>
    </row>
    <row r="153" spans="6:14">
      <c r="F153" s="305"/>
      <c r="G153" s="305" t="s">
        <v>198</v>
      </c>
      <c r="H153" s="305" t="s">
        <v>199</v>
      </c>
      <c r="I153" s="305" t="s">
        <v>200</v>
      </c>
      <c r="J153" s="305" t="s">
        <v>201</v>
      </c>
      <c r="K153" s="305" t="s">
        <v>202</v>
      </c>
    </row>
    <row r="154" spans="6:14">
      <c r="F154" s="303" t="s">
        <v>466</v>
      </c>
      <c r="G154" s="303">
        <v>3</v>
      </c>
      <c r="H154" s="303">
        <v>16.729256770633974</v>
      </c>
      <c r="I154" s="303">
        <v>5.576418923544658</v>
      </c>
      <c r="J154" s="303">
        <v>3.3905558583477347</v>
      </c>
      <c r="K154" s="303">
        <v>0.11095409894223345</v>
      </c>
    </row>
    <row r="155" spans="6:14">
      <c r="F155" s="303" t="s">
        <v>453</v>
      </c>
      <c r="G155" s="303">
        <v>5</v>
      </c>
      <c r="H155" s="303">
        <v>8.2234582713262316</v>
      </c>
      <c r="I155" s="303">
        <v>1.6446916542652463</v>
      </c>
      <c r="J155" s="303"/>
      <c r="K155" s="303"/>
    </row>
    <row r="156" spans="6:14" ht="15" thickBot="1">
      <c r="F156" s="304" t="s">
        <v>111</v>
      </c>
      <c r="G156" s="304">
        <v>8</v>
      </c>
      <c r="H156" s="304">
        <v>24.952715041960204</v>
      </c>
      <c r="I156" s="304"/>
      <c r="J156" s="304"/>
      <c r="K156" s="304"/>
    </row>
    <row r="157" spans="6:14" ht="15" thickBot="1"/>
    <row r="158" spans="6:14">
      <c r="F158" s="305"/>
      <c r="G158" s="305" t="s">
        <v>203</v>
      </c>
      <c r="H158" s="305" t="s">
        <v>197</v>
      </c>
      <c r="I158" s="305" t="s">
        <v>204</v>
      </c>
      <c r="J158" s="305" t="s">
        <v>205</v>
      </c>
      <c r="K158" s="305" t="s">
        <v>206</v>
      </c>
      <c r="L158" s="305" t="s">
        <v>207</v>
      </c>
      <c r="M158" s="305" t="s">
        <v>208</v>
      </c>
      <c r="N158" s="305" t="s">
        <v>209</v>
      </c>
    </row>
    <row r="159" spans="6:14">
      <c r="F159" s="303" t="s">
        <v>467</v>
      </c>
      <c r="G159" s="303">
        <v>1.3692542549338211</v>
      </c>
      <c r="H159" s="303">
        <v>2.4975825283586501</v>
      </c>
      <c r="I159" s="303">
        <v>0.54823183594003655</v>
      </c>
      <c r="J159" s="303">
        <v>0.60711090573767956</v>
      </c>
      <c r="K159" s="303">
        <v>-5.0509860231228787</v>
      </c>
      <c r="L159" s="303">
        <v>7.7894945329905214</v>
      </c>
      <c r="M159" s="303">
        <v>-5.0509860231228787</v>
      </c>
      <c r="N159" s="303">
        <v>7.7894945329905214</v>
      </c>
    </row>
    <row r="160" spans="6:14">
      <c r="F160" s="303" t="s">
        <v>448</v>
      </c>
      <c r="G160" s="303">
        <v>-1.2907047469034778E-6</v>
      </c>
      <c r="H160" s="303">
        <v>4.9632571241018831E-7</v>
      </c>
      <c r="I160" s="303">
        <v>-2.6005196076498551</v>
      </c>
      <c r="J160" s="315">
        <v>4.8219143592849442E-2</v>
      </c>
      <c r="K160" s="303">
        <v>-2.5665506073184236E-6</v>
      </c>
      <c r="L160" s="303">
        <v>-1.4858886488532179E-8</v>
      </c>
      <c r="M160" s="303">
        <v>-2.5665506073184236E-6</v>
      </c>
      <c r="N160" s="303">
        <v>-1.4858886488532179E-8</v>
      </c>
    </row>
    <row r="161" spans="6:14">
      <c r="F161" s="303" t="s">
        <v>450</v>
      </c>
      <c r="G161" s="303">
        <v>-2.3181980355828964E-5</v>
      </c>
      <c r="H161" s="303">
        <v>1.2514877654570068E-4</v>
      </c>
      <c r="I161" s="303">
        <v>-0.18523537341464605</v>
      </c>
      <c r="J161" s="303">
        <v>0.86032402827920851</v>
      </c>
      <c r="K161" s="303">
        <v>-3.4488715197882871E-4</v>
      </c>
      <c r="L161" s="303">
        <v>2.985231912671708E-4</v>
      </c>
      <c r="M161" s="303">
        <v>-3.4488715197882871E-4</v>
      </c>
      <c r="N161" s="303">
        <v>2.985231912671708E-4</v>
      </c>
    </row>
    <row r="162" spans="6:14" ht="15" thickBot="1">
      <c r="F162" s="316" t="s">
        <v>449</v>
      </c>
      <c r="G162" s="304">
        <v>-2.8472973352942321E-8</v>
      </c>
      <c r="H162" s="304">
        <v>8.8652237377928398E-8</v>
      </c>
      <c r="I162" s="304">
        <v>-0.32117602663044792</v>
      </c>
      <c r="J162" s="304">
        <v>0.76106794658545451</v>
      </c>
      <c r="K162" s="304">
        <v>-2.5636080436193935E-7</v>
      </c>
      <c r="L162" s="304">
        <v>1.9941485765605471E-7</v>
      </c>
      <c r="M162" s="304">
        <v>-2.5636080436193935E-7</v>
      </c>
      <c r="N162" s="304">
        <v>1.9941485765605471E-7</v>
      </c>
    </row>
    <row r="163" spans="6:14">
      <c r="F163" s="312" t="s">
        <v>482</v>
      </c>
    </row>
    <row r="166" spans="6:14" ht="15">
      <c r="F166" s="298" t="s">
        <v>483</v>
      </c>
    </row>
    <row r="167" spans="6:14" ht="15">
      <c r="F167" s="296" t="s">
        <v>481</v>
      </c>
    </row>
    <row r="168" spans="6:14">
      <c r="F168" s="284" t="s">
        <v>459</v>
      </c>
    </row>
    <row r="169" spans="6:14" ht="15" thickBot="1"/>
    <row r="170" spans="6:14">
      <c r="F170" s="302" t="s">
        <v>460</v>
      </c>
      <c r="G170" s="302"/>
    </row>
    <row r="171" spans="6:14">
      <c r="F171" s="303" t="s">
        <v>461</v>
      </c>
      <c r="G171" s="303">
        <v>0.72946513108065203</v>
      </c>
    </row>
    <row r="172" spans="6:14">
      <c r="F172" s="303" t="s">
        <v>462</v>
      </c>
      <c r="G172" s="303">
        <v>0.53211937746251292</v>
      </c>
    </row>
    <row r="173" spans="6:14">
      <c r="F173" s="303" t="s">
        <v>463</v>
      </c>
      <c r="G173" s="303">
        <v>0.29817906619376933</v>
      </c>
    </row>
    <row r="174" spans="6:14">
      <c r="F174" s="303" t="s">
        <v>197</v>
      </c>
      <c r="G174" s="303">
        <v>1.4390665721892322</v>
      </c>
    </row>
    <row r="175" spans="6:14" ht="15" thickBot="1">
      <c r="F175" s="304" t="s">
        <v>464</v>
      </c>
      <c r="G175" s="304">
        <v>10</v>
      </c>
    </row>
    <row r="177" spans="6:14" ht="15" thickBot="1">
      <c r="F177" s="284" t="s">
        <v>465</v>
      </c>
    </row>
    <row r="178" spans="6:14">
      <c r="F178" s="305"/>
      <c r="G178" s="305" t="s">
        <v>198</v>
      </c>
      <c r="H178" s="305" t="s">
        <v>199</v>
      </c>
      <c r="I178" s="305" t="s">
        <v>200</v>
      </c>
      <c r="J178" s="305" t="s">
        <v>201</v>
      </c>
      <c r="K178" s="305" t="s">
        <v>202</v>
      </c>
    </row>
    <row r="179" spans="6:14">
      <c r="F179" s="303" t="s">
        <v>466</v>
      </c>
      <c r="G179" s="303">
        <v>3</v>
      </c>
      <c r="H179" s="303">
        <v>14.131460077382606</v>
      </c>
      <c r="I179" s="303">
        <v>4.7104866924608686</v>
      </c>
      <c r="J179" s="303">
        <v>2.2745946373099857</v>
      </c>
      <c r="K179" s="303">
        <v>0.18009148424859658</v>
      </c>
    </row>
    <row r="180" spans="6:14">
      <c r="F180" s="303" t="s">
        <v>453</v>
      </c>
      <c r="G180" s="303">
        <v>6</v>
      </c>
      <c r="H180" s="303">
        <v>12.425475595154801</v>
      </c>
      <c r="I180" s="303">
        <v>2.0709125991924666</v>
      </c>
      <c r="J180" s="303"/>
      <c r="K180" s="303"/>
    </row>
    <row r="181" spans="6:14" ht="15" thickBot="1">
      <c r="F181" s="304" t="s">
        <v>111</v>
      </c>
      <c r="G181" s="304">
        <v>9</v>
      </c>
      <c r="H181" s="304">
        <v>26.556935672537406</v>
      </c>
      <c r="I181" s="304"/>
      <c r="J181" s="304"/>
      <c r="K181" s="304"/>
    </row>
    <row r="182" spans="6:14" ht="15" thickBot="1"/>
    <row r="183" spans="6:14">
      <c r="F183" s="305"/>
      <c r="G183" s="305" t="s">
        <v>203</v>
      </c>
      <c r="H183" s="305" t="s">
        <v>197</v>
      </c>
      <c r="I183" s="305" t="s">
        <v>204</v>
      </c>
      <c r="J183" s="305" t="s">
        <v>205</v>
      </c>
      <c r="K183" s="305" t="s">
        <v>206</v>
      </c>
      <c r="L183" s="305" t="s">
        <v>207</v>
      </c>
      <c r="M183" s="305" t="s">
        <v>208</v>
      </c>
      <c r="N183" s="305" t="s">
        <v>209</v>
      </c>
    </row>
    <row r="184" spans="6:14">
      <c r="F184" s="303" t="s">
        <v>467</v>
      </c>
      <c r="G184" s="303">
        <v>1.9872721508585611</v>
      </c>
      <c r="H184" s="303">
        <v>2.7687965268549077</v>
      </c>
      <c r="I184" s="303">
        <v>0.71773860288531754</v>
      </c>
      <c r="J184" s="303">
        <v>0.49989648534769726</v>
      </c>
      <c r="K184" s="303">
        <v>-4.7877288710643784</v>
      </c>
      <c r="L184" s="303">
        <v>8.7622731727815015</v>
      </c>
      <c r="M184" s="303">
        <v>-4.7877288710643784</v>
      </c>
      <c r="N184" s="303">
        <v>8.7622731727815015</v>
      </c>
    </row>
    <row r="185" spans="6:14">
      <c r="F185" s="303" t="s">
        <v>448</v>
      </c>
      <c r="G185" s="303">
        <v>-1.0856304126745491E-6</v>
      </c>
      <c r="H185" s="303">
        <v>5.3800683791849955E-7</v>
      </c>
      <c r="I185" s="303">
        <v>-2.0178747483484716</v>
      </c>
      <c r="J185" s="303">
        <v>9.0165474993656292E-2</v>
      </c>
      <c r="K185" s="303">
        <v>-2.4020857178391136E-6</v>
      </c>
      <c r="L185" s="303">
        <v>2.308248924900154E-7</v>
      </c>
      <c r="M185" s="303">
        <v>-2.4020857178391136E-6</v>
      </c>
      <c r="N185" s="303">
        <v>2.308248924900154E-7</v>
      </c>
    </row>
    <row r="186" spans="6:14">
      <c r="F186" s="303" t="s">
        <v>450</v>
      </c>
      <c r="G186" s="303">
        <v>-4.7412283097780813E-5</v>
      </c>
      <c r="H186" s="303">
        <v>1.393977127555566E-4</v>
      </c>
      <c r="I186" s="303">
        <v>-0.34012238910204706</v>
      </c>
      <c r="J186" s="303">
        <v>0.7453557016322564</v>
      </c>
      <c r="K186" s="303">
        <v>-3.8850619780497249E-4</v>
      </c>
      <c r="L186" s="303">
        <v>2.9368163160941083E-4</v>
      </c>
      <c r="M186" s="303">
        <v>-3.8850619780497249E-4</v>
      </c>
      <c r="N186" s="303">
        <v>2.9368163160941083E-4</v>
      </c>
    </row>
    <row r="187" spans="6:14" ht="15" thickBot="1">
      <c r="F187" s="316" t="s">
        <v>449</v>
      </c>
      <c r="G187" s="304">
        <v>-5.0892926233561329E-8</v>
      </c>
      <c r="H187" s="304">
        <v>9.8225274597748844E-8</v>
      </c>
      <c r="I187" s="304">
        <v>-0.51812455034590155</v>
      </c>
      <c r="J187" s="304">
        <v>0.62291491759699458</v>
      </c>
      <c r="K187" s="304">
        <v>-2.9124151426589618E-7</v>
      </c>
      <c r="L187" s="304">
        <v>1.8945566179877355E-7</v>
      </c>
      <c r="M187" s="304">
        <v>-2.9124151426589618E-7</v>
      </c>
      <c r="N187" s="304">
        <v>1.8945566179877355E-7</v>
      </c>
    </row>
    <row r="188" spans="6:14">
      <c r="F188" s="315" t="s">
        <v>484</v>
      </c>
    </row>
    <row r="190" spans="6:14" ht="15">
      <c r="F190" s="298" t="s">
        <v>483</v>
      </c>
    </row>
    <row r="191" spans="6:14" ht="15">
      <c r="F191" s="296" t="s">
        <v>458</v>
      </c>
    </row>
    <row r="192" spans="6:14">
      <c r="F192" s="284" t="s">
        <v>459</v>
      </c>
    </row>
    <row r="193" spans="6:14" ht="15" thickBot="1"/>
    <row r="194" spans="6:14">
      <c r="F194" s="302" t="s">
        <v>460</v>
      </c>
      <c r="G194" s="302"/>
    </row>
    <row r="195" spans="6:14">
      <c r="F195" s="303" t="s">
        <v>461</v>
      </c>
      <c r="G195" s="303">
        <v>0.72325540885506245</v>
      </c>
    </row>
    <row r="196" spans="6:14">
      <c r="F196" s="303" t="s">
        <v>462</v>
      </c>
      <c r="G196" s="303">
        <v>0.52309838643810358</v>
      </c>
    </row>
    <row r="197" spans="6:14">
      <c r="F197" s="303" t="s">
        <v>463</v>
      </c>
      <c r="G197" s="303">
        <v>0.38684078256327609</v>
      </c>
    </row>
    <row r="198" spans="6:14">
      <c r="F198" s="303" t="s">
        <v>197</v>
      </c>
      <c r="G198" s="303">
        <v>1.3450993310900647</v>
      </c>
    </row>
    <row r="199" spans="6:14" ht="15" thickBot="1">
      <c r="F199" s="304" t="s">
        <v>464</v>
      </c>
      <c r="G199" s="304">
        <v>10</v>
      </c>
    </row>
    <row r="201" spans="6:14" ht="15" thickBot="1">
      <c r="F201" s="284" t="s">
        <v>465</v>
      </c>
    </row>
    <row r="202" spans="6:14">
      <c r="F202" s="305"/>
      <c r="G202" s="305" t="s">
        <v>198</v>
      </c>
      <c r="H202" s="305" t="s">
        <v>199</v>
      </c>
      <c r="I202" s="305" t="s">
        <v>200</v>
      </c>
      <c r="J202" s="305" t="s">
        <v>201</v>
      </c>
      <c r="K202" s="305" t="s">
        <v>202</v>
      </c>
    </row>
    <row r="203" spans="6:14">
      <c r="F203" s="303" t="s">
        <v>466</v>
      </c>
      <c r="G203" s="303">
        <v>2</v>
      </c>
      <c r="H203" s="303">
        <v>13.89189019904483</v>
      </c>
      <c r="I203" s="303">
        <v>6.9459450995224152</v>
      </c>
      <c r="J203" s="303">
        <v>3.8390399622662206</v>
      </c>
      <c r="K203" s="303">
        <v>7.4903268903628015E-2</v>
      </c>
    </row>
    <row r="204" spans="6:14">
      <c r="F204" s="303" t="s">
        <v>453</v>
      </c>
      <c r="G204" s="303">
        <v>7</v>
      </c>
      <c r="H204" s="303">
        <v>12.665045473492576</v>
      </c>
      <c r="I204" s="303">
        <v>1.8092922104989395</v>
      </c>
      <c r="J204" s="303"/>
      <c r="K204" s="303"/>
    </row>
    <row r="205" spans="6:14" ht="15" thickBot="1">
      <c r="F205" s="304" t="s">
        <v>111</v>
      </c>
      <c r="G205" s="304">
        <v>9</v>
      </c>
      <c r="H205" s="304">
        <v>26.556935672537406</v>
      </c>
      <c r="I205" s="304"/>
      <c r="J205" s="304"/>
      <c r="K205" s="304"/>
    </row>
    <row r="206" spans="6:14" ht="15" thickBot="1"/>
    <row r="207" spans="6:14">
      <c r="F207" s="305"/>
      <c r="G207" s="305" t="s">
        <v>203</v>
      </c>
      <c r="H207" s="305" t="s">
        <v>197</v>
      </c>
      <c r="I207" s="305" t="s">
        <v>204</v>
      </c>
      <c r="J207" s="305" t="s">
        <v>205</v>
      </c>
      <c r="K207" s="305" t="s">
        <v>206</v>
      </c>
      <c r="L207" s="305" t="s">
        <v>207</v>
      </c>
      <c r="M207" s="305" t="s">
        <v>208</v>
      </c>
      <c r="N207" s="305" t="s">
        <v>209</v>
      </c>
    </row>
    <row r="208" spans="6:14">
      <c r="F208" s="303" t="s">
        <v>467</v>
      </c>
      <c r="G208" s="303">
        <v>1.0775921943632607</v>
      </c>
      <c r="H208" s="303">
        <v>0.66942468146631984</v>
      </c>
      <c r="I208" s="303">
        <v>1.609728807732161</v>
      </c>
      <c r="J208" s="303">
        <v>0.15149239612068285</v>
      </c>
      <c r="K208" s="303">
        <v>-0.50534564161602247</v>
      </c>
      <c r="L208" s="303">
        <v>2.6605300303425441</v>
      </c>
      <c r="M208" s="303">
        <v>-0.50534564161602247</v>
      </c>
      <c r="N208" s="303">
        <v>2.6605300303425441</v>
      </c>
    </row>
    <row r="209" spans="6:14">
      <c r="F209" s="308" t="s">
        <v>448</v>
      </c>
      <c r="G209" s="303">
        <v>-1.0456172543255138E-6</v>
      </c>
      <c r="H209" s="303">
        <v>4.9070676863360977E-7</v>
      </c>
      <c r="I209" s="303">
        <v>-2.130839273395539</v>
      </c>
      <c r="J209" s="303">
        <v>7.0582669284991448E-2</v>
      </c>
      <c r="K209" s="303">
        <v>-2.2059543795415242E-6</v>
      </c>
      <c r="L209" s="303">
        <v>1.1471987089049655E-7</v>
      </c>
      <c r="M209" s="303">
        <v>-2.2059543795415242E-6</v>
      </c>
      <c r="N209" s="303">
        <v>1.1471987089049655E-7</v>
      </c>
    </row>
    <row r="210" spans="6:14" ht="15" thickBot="1">
      <c r="F210" s="310" t="s">
        <v>449</v>
      </c>
      <c r="G210" s="304">
        <v>-5.3843682232183351E-8</v>
      </c>
      <c r="H210" s="304">
        <v>9.1452612870651839E-8</v>
      </c>
      <c r="I210" s="304">
        <v>-0.58876045792522558</v>
      </c>
      <c r="J210" s="304">
        <v>0.57452062748060273</v>
      </c>
      <c r="K210" s="304">
        <v>-2.7009474843880655E-7</v>
      </c>
      <c r="L210" s="304">
        <v>1.6240738397443982E-7</v>
      </c>
      <c r="M210" s="304">
        <v>-2.7009474843880655E-7</v>
      </c>
      <c r="N210" s="304">
        <v>1.6240738397443982E-7</v>
      </c>
    </row>
    <row r="211" spans="6:14">
      <c r="F211" s="315" t="s">
        <v>484</v>
      </c>
    </row>
  </sheetData>
  <pageMargins left="0.75" right="0.75" top="1" bottom="1" header="0.5" footer="0.5"/>
  <pageSetup orientation="portrait" r:id="rId1"/>
  <headerFooter alignWithMargins="0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Q211"/>
  <sheetViews>
    <sheetView workbookViewId="0">
      <selection activeCell="C4" sqref="C4"/>
    </sheetView>
  </sheetViews>
  <sheetFormatPr defaultRowHeight="14.25"/>
  <cols>
    <col min="1" max="1" width="15.7109375" style="284" customWidth="1"/>
    <col min="2" max="2" width="14.7109375" style="284" bestFit="1" customWidth="1"/>
    <col min="3" max="3" width="12.5703125" style="284" customWidth="1"/>
    <col min="4" max="4" width="21" style="284" bestFit="1" customWidth="1"/>
    <col min="5" max="5" width="23.85546875" style="284" customWidth="1"/>
    <col min="6" max="6" width="15.85546875" style="284" bestFit="1" customWidth="1"/>
    <col min="7" max="7" width="14.85546875" style="284" bestFit="1" customWidth="1"/>
    <col min="8" max="8" width="15.85546875" style="284" bestFit="1" customWidth="1"/>
    <col min="9" max="10" width="11.5703125" style="284" customWidth="1"/>
    <col min="11" max="12" width="13.85546875" style="284" customWidth="1"/>
    <col min="13" max="13" width="15.42578125" style="284" customWidth="1"/>
    <col min="14" max="14" width="14.85546875" style="284" customWidth="1"/>
    <col min="15" max="15" width="15.42578125" style="284" customWidth="1"/>
    <col min="16" max="17" width="13.85546875" style="284" customWidth="1"/>
    <col min="18" max="18" width="1.5703125" style="284" customWidth="1"/>
    <col min="19" max="19" width="12" style="284" customWidth="1"/>
    <col min="20" max="20" width="15.28515625" style="284" bestFit="1" customWidth="1"/>
    <col min="21" max="21" width="14.42578125" style="284" bestFit="1" customWidth="1"/>
    <col min="22" max="22" width="12.140625" style="284" customWidth="1"/>
    <col min="23" max="23" width="10.5703125" style="284" bestFit="1" customWidth="1"/>
    <col min="24" max="24" width="14.7109375" style="284" customWidth="1"/>
    <col min="25" max="25" width="14.5703125" style="284" bestFit="1" customWidth="1"/>
    <col min="26" max="26" width="17.7109375" style="284" customWidth="1"/>
    <col min="27" max="27" width="15" style="284" customWidth="1"/>
    <col min="28" max="28" width="2.28515625" style="284" customWidth="1"/>
    <col min="29" max="29" width="20.42578125" style="284" customWidth="1"/>
    <col min="30" max="30" width="16" style="284" customWidth="1"/>
    <col min="31" max="31" width="14.85546875" style="284" bestFit="1" customWidth="1"/>
    <col min="32" max="32" width="15.140625" style="284" customWidth="1"/>
    <col min="33" max="33" width="11.85546875" style="284" customWidth="1"/>
    <col min="34" max="34" width="10.7109375" style="284" bestFit="1" customWidth="1"/>
    <col min="35" max="35" width="13.85546875" style="284" customWidth="1"/>
    <col min="36" max="38" width="18.140625" style="284" bestFit="1" customWidth="1"/>
    <col min="39" max="43" width="9.140625" style="284"/>
    <col min="44" max="44" width="10.42578125" style="284" bestFit="1" customWidth="1"/>
    <col min="45" max="46" width="14.28515625" style="284" bestFit="1" customWidth="1"/>
    <col min="47" max="51" width="10.42578125" style="284" bestFit="1" customWidth="1"/>
    <col min="52" max="257" width="9.140625" style="284"/>
    <col min="258" max="258" width="15.7109375" style="284" customWidth="1"/>
    <col min="259" max="259" width="14.7109375" style="284" bestFit="1" customWidth="1"/>
    <col min="260" max="260" width="12.5703125" style="284" customWidth="1"/>
    <col min="261" max="261" width="21" style="284" bestFit="1" customWidth="1"/>
    <col min="262" max="262" width="19.85546875" style="284" customWidth="1"/>
    <col min="263" max="263" width="15.85546875" style="284" bestFit="1" customWidth="1"/>
    <col min="264" max="264" width="14.85546875" style="284" bestFit="1" customWidth="1"/>
    <col min="265" max="265" width="15.85546875" style="284" bestFit="1" customWidth="1"/>
    <col min="266" max="267" width="11.5703125" style="284" customWidth="1"/>
    <col min="268" max="269" width="13.85546875" style="284" customWidth="1"/>
    <col min="270" max="270" width="15.42578125" style="284" customWidth="1"/>
    <col min="271" max="271" width="14.85546875" style="284" customWidth="1"/>
    <col min="272" max="272" width="15.42578125" style="284" customWidth="1"/>
    <col min="273" max="274" width="13.85546875" style="284" customWidth="1"/>
    <col min="275" max="275" width="1.5703125" style="284" customWidth="1"/>
    <col min="276" max="276" width="12" style="284" customWidth="1"/>
    <col min="277" max="277" width="15.28515625" style="284" bestFit="1" customWidth="1"/>
    <col min="278" max="278" width="14.42578125" style="284" bestFit="1" customWidth="1"/>
    <col min="279" max="279" width="12.140625" style="284" customWidth="1"/>
    <col min="280" max="280" width="10.5703125" style="284" bestFit="1" customWidth="1"/>
    <col min="281" max="281" width="14.7109375" style="284" customWidth="1"/>
    <col min="282" max="282" width="14.5703125" style="284" bestFit="1" customWidth="1"/>
    <col min="283" max="283" width="17.7109375" style="284" customWidth="1"/>
    <col min="284" max="284" width="15" style="284" customWidth="1"/>
    <col min="285" max="285" width="8.85546875" style="284" customWidth="1"/>
    <col min="286" max="286" width="16" style="284" customWidth="1"/>
    <col min="287" max="287" width="14.85546875" style="284" bestFit="1" customWidth="1"/>
    <col min="288" max="288" width="15.140625" style="284" customWidth="1"/>
    <col min="289" max="289" width="11.85546875" style="284" customWidth="1"/>
    <col min="290" max="290" width="10.7109375" style="284" bestFit="1" customWidth="1"/>
    <col min="291" max="291" width="13.85546875" style="284" customWidth="1"/>
    <col min="292" max="294" width="18.140625" style="284" bestFit="1" customWidth="1"/>
    <col min="295" max="299" width="9.140625" style="284"/>
    <col min="300" max="300" width="10.42578125" style="284" bestFit="1" customWidth="1"/>
    <col min="301" max="302" width="14.28515625" style="284" bestFit="1" customWidth="1"/>
    <col min="303" max="307" width="10.42578125" style="284" bestFit="1" customWidth="1"/>
    <col min="308" max="513" width="9.140625" style="284"/>
    <col min="514" max="514" width="15.7109375" style="284" customWidth="1"/>
    <col min="515" max="515" width="14.7109375" style="284" bestFit="1" customWidth="1"/>
    <col min="516" max="516" width="12.5703125" style="284" customWidth="1"/>
    <col min="517" max="517" width="21" style="284" bestFit="1" customWidth="1"/>
    <col min="518" max="518" width="19.85546875" style="284" customWidth="1"/>
    <col min="519" max="519" width="15.85546875" style="284" bestFit="1" customWidth="1"/>
    <col min="520" max="520" width="14.85546875" style="284" bestFit="1" customWidth="1"/>
    <col min="521" max="521" width="15.85546875" style="284" bestFit="1" customWidth="1"/>
    <col min="522" max="523" width="11.5703125" style="284" customWidth="1"/>
    <col min="524" max="525" width="13.85546875" style="284" customWidth="1"/>
    <col min="526" max="526" width="15.42578125" style="284" customWidth="1"/>
    <col min="527" max="527" width="14.85546875" style="284" customWidth="1"/>
    <col min="528" max="528" width="15.42578125" style="284" customWidth="1"/>
    <col min="529" max="530" width="13.85546875" style="284" customWidth="1"/>
    <col min="531" max="531" width="1.5703125" style="284" customWidth="1"/>
    <col min="532" max="532" width="12" style="284" customWidth="1"/>
    <col min="533" max="533" width="15.28515625" style="284" bestFit="1" customWidth="1"/>
    <col min="534" max="534" width="14.42578125" style="284" bestFit="1" customWidth="1"/>
    <col min="535" max="535" width="12.140625" style="284" customWidth="1"/>
    <col min="536" max="536" width="10.5703125" style="284" bestFit="1" customWidth="1"/>
    <col min="537" max="537" width="14.7109375" style="284" customWidth="1"/>
    <col min="538" max="538" width="14.5703125" style="284" bestFit="1" customWidth="1"/>
    <col min="539" max="539" width="17.7109375" style="284" customWidth="1"/>
    <col min="540" max="540" width="15" style="284" customWidth="1"/>
    <col min="541" max="541" width="8.85546875" style="284" customWidth="1"/>
    <col min="542" max="542" width="16" style="284" customWidth="1"/>
    <col min="543" max="543" width="14.85546875" style="284" bestFit="1" customWidth="1"/>
    <col min="544" max="544" width="15.140625" style="284" customWidth="1"/>
    <col min="545" max="545" width="11.85546875" style="284" customWidth="1"/>
    <col min="546" max="546" width="10.7109375" style="284" bestFit="1" customWidth="1"/>
    <col min="547" max="547" width="13.85546875" style="284" customWidth="1"/>
    <col min="548" max="550" width="18.140625" style="284" bestFit="1" customWidth="1"/>
    <col min="551" max="555" width="9.140625" style="284"/>
    <col min="556" max="556" width="10.42578125" style="284" bestFit="1" customWidth="1"/>
    <col min="557" max="558" width="14.28515625" style="284" bestFit="1" customWidth="1"/>
    <col min="559" max="563" width="10.42578125" style="284" bestFit="1" customWidth="1"/>
    <col min="564" max="769" width="9.140625" style="284"/>
    <col min="770" max="770" width="15.7109375" style="284" customWidth="1"/>
    <col min="771" max="771" width="14.7109375" style="284" bestFit="1" customWidth="1"/>
    <col min="772" max="772" width="12.5703125" style="284" customWidth="1"/>
    <col min="773" max="773" width="21" style="284" bestFit="1" customWidth="1"/>
    <col min="774" max="774" width="19.85546875" style="284" customWidth="1"/>
    <col min="775" max="775" width="15.85546875" style="284" bestFit="1" customWidth="1"/>
    <col min="776" max="776" width="14.85546875" style="284" bestFit="1" customWidth="1"/>
    <col min="777" max="777" width="15.85546875" style="284" bestFit="1" customWidth="1"/>
    <col min="778" max="779" width="11.5703125" style="284" customWidth="1"/>
    <col min="780" max="781" width="13.85546875" style="284" customWidth="1"/>
    <col min="782" max="782" width="15.42578125" style="284" customWidth="1"/>
    <col min="783" max="783" width="14.85546875" style="284" customWidth="1"/>
    <col min="784" max="784" width="15.42578125" style="284" customWidth="1"/>
    <col min="785" max="786" width="13.85546875" style="284" customWidth="1"/>
    <col min="787" max="787" width="1.5703125" style="284" customWidth="1"/>
    <col min="788" max="788" width="12" style="284" customWidth="1"/>
    <col min="789" max="789" width="15.28515625" style="284" bestFit="1" customWidth="1"/>
    <col min="790" max="790" width="14.42578125" style="284" bestFit="1" customWidth="1"/>
    <col min="791" max="791" width="12.140625" style="284" customWidth="1"/>
    <col min="792" max="792" width="10.5703125" style="284" bestFit="1" customWidth="1"/>
    <col min="793" max="793" width="14.7109375" style="284" customWidth="1"/>
    <col min="794" max="794" width="14.5703125" style="284" bestFit="1" customWidth="1"/>
    <col min="795" max="795" width="17.7109375" style="284" customWidth="1"/>
    <col min="796" max="796" width="15" style="284" customWidth="1"/>
    <col min="797" max="797" width="8.85546875" style="284" customWidth="1"/>
    <col min="798" max="798" width="16" style="284" customWidth="1"/>
    <col min="799" max="799" width="14.85546875" style="284" bestFit="1" customWidth="1"/>
    <col min="800" max="800" width="15.140625" style="284" customWidth="1"/>
    <col min="801" max="801" width="11.85546875" style="284" customWidth="1"/>
    <col min="802" max="802" width="10.7109375" style="284" bestFit="1" customWidth="1"/>
    <col min="803" max="803" width="13.85546875" style="284" customWidth="1"/>
    <col min="804" max="806" width="18.140625" style="284" bestFit="1" customWidth="1"/>
    <col min="807" max="811" width="9.140625" style="284"/>
    <col min="812" max="812" width="10.42578125" style="284" bestFit="1" customWidth="1"/>
    <col min="813" max="814" width="14.28515625" style="284" bestFit="1" customWidth="1"/>
    <col min="815" max="819" width="10.42578125" style="284" bestFit="1" customWidth="1"/>
    <col min="820" max="1025" width="9.140625" style="284"/>
    <col min="1026" max="1026" width="15.7109375" style="284" customWidth="1"/>
    <col min="1027" max="1027" width="14.7109375" style="284" bestFit="1" customWidth="1"/>
    <col min="1028" max="1028" width="12.5703125" style="284" customWidth="1"/>
    <col min="1029" max="1029" width="21" style="284" bestFit="1" customWidth="1"/>
    <col min="1030" max="1030" width="19.85546875" style="284" customWidth="1"/>
    <col min="1031" max="1031" width="15.85546875" style="284" bestFit="1" customWidth="1"/>
    <col min="1032" max="1032" width="14.85546875" style="284" bestFit="1" customWidth="1"/>
    <col min="1033" max="1033" width="15.85546875" style="284" bestFit="1" customWidth="1"/>
    <col min="1034" max="1035" width="11.5703125" style="284" customWidth="1"/>
    <col min="1036" max="1037" width="13.85546875" style="284" customWidth="1"/>
    <col min="1038" max="1038" width="15.42578125" style="284" customWidth="1"/>
    <col min="1039" max="1039" width="14.85546875" style="284" customWidth="1"/>
    <col min="1040" max="1040" width="15.42578125" style="284" customWidth="1"/>
    <col min="1041" max="1042" width="13.85546875" style="284" customWidth="1"/>
    <col min="1043" max="1043" width="1.5703125" style="284" customWidth="1"/>
    <col min="1044" max="1044" width="12" style="284" customWidth="1"/>
    <col min="1045" max="1045" width="15.28515625" style="284" bestFit="1" customWidth="1"/>
    <col min="1046" max="1046" width="14.42578125" style="284" bestFit="1" customWidth="1"/>
    <col min="1047" max="1047" width="12.140625" style="284" customWidth="1"/>
    <col min="1048" max="1048" width="10.5703125" style="284" bestFit="1" customWidth="1"/>
    <col min="1049" max="1049" width="14.7109375" style="284" customWidth="1"/>
    <col min="1050" max="1050" width="14.5703125" style="284" bestFit="1" customWidth="1"/>
    <col min="1051" max="1051" width="17.7109375" style="284" customWidth="1"/>
    <col min="1052" max="1052" width="15" style="284" customWidth="1"/>
    <col min="1053" max="1053" width="8.85546875" style="284" customWidth="1"/>
    <col min="1054" max="1054" width="16" style="284" customWidth="1"/>
    <col min="1055" max="1055" width="14.85546875" style="284" bestFit="1" customWidth="1"/>
    <col min="1056" max="1056" width="15.140625" style="284" customWidth="1"/>
    <col min="1057" max="1057" width="11.85546875" style="284" customWidth="1"/>
    <col min="1058" max="1058" width="10.7109375" style="284" bestFit="1" customWidth="1"/>
    <col min="1059" max="1059" width="13.85546875" style="284" customWidth="1"/>
    <col min="1060" max="1062" width="18.140625" style="284" bestFit="1" customWidth="1"/>
    <col min="1063" max="1067" width="9.140625" style="284"/>
    <col min="1068" max="1068" width="10.42578125" style="284" bestFit="1" customWidth="1"/>
    <col min="1069" max="1070" width="14.28515625" style="284" bestFit="1" customWidth="1"/>
    <col min="1071" max="1075" width="10.42578125" style="284" bestFit="1" customWidth="1"/>
    <col min="1076" max="1281" width="9.140625" style="284"/>
    <col min="1282" max="1282" width="15.7109375" style="284" customWidth="1"/>
    <col min="1283" max="1283" width="14.7109375" style="284" bestFit="1" customWidth="1"/>
    <col min="1284" max="1284" width="12.5703125" style="284" customWidth="1"/>
    <col min="1285" max="1285" width="21" style="284" bestFit="1" customWidth="1"/>
    <col min="1286" max="1286" width="19.85546875" style="284" customWidth="1"/>
    <col min="1287" max="1287" width="15.85546875" style="284" bestFit="1" customWidth="1"/>
    <col min="1288" max="1288" width="14.85546875" style="284" bestFit="1" customWidth="1"/>
    <col min="1289" max="1289" width="15.85546875" style="284" bestFit="1" customWidth="1"/>
    <col min="1290" max="1291" width="11.5703125" style="284" customWidth="1"/>
    <col min="1292" max="1293" width="13.85546875" style="284" customWidth="1"/>
    <col min="1294" max="1294" width="15.42578125" style="284" customWidth="1"/>
    <col min="1295" max="1295" width="14.85546875" style="284" customWidth="1"/>
    <col min="1296" max="1296" width="15.42578125" style="284" customWidth="1"/>
    <col min="1297" max="1298" width="13.85546875" style="284" customWidth="1"/>
    <col min="1299" max="1299" width="1.5703125" style="284" customWidth="1"/>
    <col min="1300" max="1300" width="12" style="284" customWidth="1"/>
    <col min="1301" max="1301" width="15.28515625" style="284" bestFit="1" customWidth="1"/>
    <col min="1302" max="1302" width="14.42578125" style="284" bestFit="1" customWidth="1"/>
    <col min="1303" max="1303" width="12.140625" style="284" customWidth="1"/>
    <col min="1304" max="1304" width="10.5703125" style="284" bestFit="1" customWidth="1"/>
    <col min="1305" max="1305" width="14.7109375" style="284" customWidth="1"/>
    <col min="1306" max="1306" width="14.5703125" style="284" bestFit="1" customWidth="1"/>
    <col min="1307" max="1307" width="17.7109375" style="284" customWidth="1"/>
    <col min="1308" max="1308" width="15" style="284" customWidth="1"/>
    <col min="1309" max="1309" width="8.85546875" style="284" customWidth="1"/>
    <col min="1310" max="1310" width="16" style="284" customWidth="1"/>
    <col min="1311" max="1311" width="14.85546875" style="284" bestFit="1" customWidth="1"/>
    <col min="1312" max="1312" width="15.140625" style="284" customWidth="1"/>
    <col min="1313" max="1313" width="11.85546875" style="284" customWidth="1"/>
    <col min="1314" max="1314" width="10.7109375" style="284" bestFit="1" customWidth="1"/>
    <col min="1315" max="1315" width="13.85546875" style="284" customWidth="1"/>
    <col min="1316" max="1318" width="18.140625" style="284" bestFit="1" customWidth="1"/>
    <col min="1319" max="1323" width="9.140625" style="284"/>
    <col min="1324" max="1324" width="10.42578125" style="284" bestFit="1" customWidth="1"/>
    <col min="1325" max="1326" width="14.28515625" style="284" bestFit="1" customWidth="1"/>
    <col min="1327" max="1331" width="10.42578125" style="284" bestFit="1" customWidth="1"/>
    <col min="1332" max="1537" width="9.140625" style="284"/>
    <col min="1538" max="1538" width="15.7109375" style="284" customWidth="1"/>
    <col min="1539" max="1539" width="14.7109375" style="284" bestFit="1" customWidth="1"/>
    <col min="1540" max="1540" width="12.5703125" style="284" customWidth="1"/>
    <col min="1541" max="1541" width="21" style="284" bestFit="1" customWidth="1"/>
    <col min="1542" max="1542" width="19.85546875" style="284" customWidth="1"/>
    <col min="1543" max="1543" width="15.85546875" style="284" bestFit="1" customWidth="1"/>
    <col min="1544" max="1544" width="14.85546875" style="284" bestFit="1" customWidth="1"/>
    <col min="1545" max="1545" width="15.85546875" style="284" bestFit="1" customWidth="1"/>
    <col min="1546" max="1547" width="11.5703125" style="284" customWidth="1"/>
    <col min="1548" max="1549" width="13.85546875" style="284" customWidth="1"/>
    <col min="1550" max="1550" width="15.42578125" style="284" customWidth="1"/>
    <col min="1551" max="1551" width="14.85546875" style="284" customWidth="1"/>
    <col min="1552" max="1552" width="15.42578125" style="284" customWidth="1"/>
    <col min="1553" max="1554" width="13.85546875" style="284" customWidth="1"/>
    <col min="1555" max="1555" width="1.5703125" style="284" customWidth="1"/>
    <col min="1556" max="1556" width="12" style="284" customWidth="1"/>
    <col min="1557" max="1557" width="15.28515625" style="284" bestFit="1" customWidth="1"/>
    <col min="1558" max="1558" width="14.42578125" style="284" bestFit="1" customWidth="1"/>
    <col min="1559" max="1559" width="12.140625" style="284" customWidth="1"/>
    <col min="1560" max="1560" width="10.5703125" style="284" bestFit="1" customWidth="1"/>
    <col min="1561" max="1561" width="14.7109375" style="284" customWidth="1"/>
    <col min="1562" max="1562" width="14.5703125" style="284" bestFit="1" customWidth="1"/>
    <col min="1563" max="1563" width="17.7109375" style="284" customWidth="1"/>
    <col min="1564" max="1564" width="15" style="284" customWidth="1"/>
    <col min="1565" max="1565" width="8.85546875" style="284" customWidth="1"/>
    <col min="1566" max="1566" width="16" style="284" customWidth="1"/>
    <col min="1567" max="1567" width="14.85546875" style="284" bestFit="1" customWidth="1"/>
    <col min="1568" max="1568" width="15.140625" style="284" customWidth="1"/>
    <col min="1569" max="1569" width="11.85546875" style="284" customWidth="1"/>
    <col min="1570" max="1570" width="10.7109375" style="284" bestFit="1" customWidth="1"/>
    <col min="1571" max="1571" width="13.85546875" style="284" customWidth="1"/>
    <col min="1572" max="1574" width="18.140625" style="284" bestFit="1" customWidth="1"/>
    <col min="1575" max="1579" width="9.140625" style="284"/>
    <col min="1580" max="1580" width="10.42578125" style="284" bestFit="1" customWidth="1"/>
    <col min="1581" max="1582" width="14.28515625" style="284" bestFit="1" customWidth="1"/>
    <col min="1583" max="1587" width="10.42578125" style="284" bestFit="1" customWidth="1"/>
    <col min="1588" max="1793" width="9.140625" style="284"/>
    <col min="1794" max="1794" width="15.7109375" style="284" customWidth="1"/>
    <col min="1795" max="1795" width="14.7109375" style="284" bestFit="1" customWidth="1"/>
    <col min="1796" max="1796" width="12.5703125" style="284" customWidth="1"/>
    <col min="1797" max="1797" width="21" style="284" bestFit="1" customWidth="1"/>
    <col min="1798" max="1798" width="19.85546875" style="284" customWidth="1"/>
    <col min="1799" max="1799" width="15.85546875" style="284" bestFit="1" customWidth="1"/>
    <col min="1800" max="1800" width="14.85546875" style="284" bestFit="1" customWidth="1"/>
    <col min="1801" max="1801" width="15.85546875" style="284" bestFit="1" customWidth="1"/>
    <col min="1802" max="1803" width="11.5703125" style="284" customWidth="1"/>
    <col min="1804" max="1805" width="13.85546875" style="284" customWidth="1"/>
    <col min="1806" max="1806" width="15.42578125" style="284" customWidth="1"/>
    <col min="1807" max="1807" width="14.85546875" style="284" customWidth="1"/>
    <col min="1808" max="1808" width="15.42578125" style="284" customWidth="1"/>
    <col min="1809" max="1810" width="13.85546875" style="284" customWidth="1"/>
    <col min="1811" max="1811" width="1.5703125" style="284" customWidth="1"/>
    <col min="1812" max="1812" width="12" style="284" customWidth="1"/>
    <col min="1813" max="1813" width="15.28515625" style="284" bestFit="1" customWidth="1"/>
    <col min="1814" max="1814" width="14.42578125" style="284" bestFit="1" customWidth="1"/>
    <col min="1815" max="1815" width="12.140625" style="284" customWidth="1"/>
    <col min="1816" max="1816" width="10.5703125" style="284" bestFit="1" customWidth="1"/>
    <col min="1817" max="1817" width="14.7109375" style="284" customWidth="1"/>
    <col min="1818" max="1818" width="14.5703125" style="284" bestFit="1" customWidth="1"/>
    <col min="1819" max="1819" width="17.7109375" style="284" customWidth="1"/>
    <col min="1820" max="1820" width="15" style="284" customWidth="1"/>
    <col min="1821" max="1821" width="8.85546875" style="284" customWidth="1"/>
    <col min="1822" max="1822" width="16" style="284" customWidth="1"/>
    <col min="1823" max="1823" width="14.85546875" style="284" bestFit="1" customWidth="1"/>
    <col min="1824" max="1824" width="15.140625" style="284" customWidth="1"/>
    <col min="1825" max="1825" width="11.85546875" style="284" customWidth="1"/>
    <col min="1826" max="1826" width="10.7109375" style="284" bestFit="1" customWidth="1"/>
    <col min="1827" max="1827" width="13.85546875" style="284" customWidth="1"/>
    <col min="1828" max="1830" width="18.140625" style="284" bestFit="1" customWidth="1"/>
    <col min="1831" max="1835" width="9.140625" style="284"/>
    <col min="1836" max="1836" width="10.42578125" style="284" bestFit="1" customWidth="1"/>
    <col min="1837" max="1838" width="14.28515625" style="284" bestFit="1" customWidth="1"/>
    <col min="1839" max="1843" width="10.42578125" style="284" bestFit="1" customWidth="1"/>
    <col min="1844" max="2049" width="9.140625" style="284"/>
    <col min="2050" max="2050" width="15.7109375" style="284" customWidth="1"/>
    <col min="2051" max="2051" width="14.7109375" style="284" bestFit="1" customWidth="1"/>
    <col min="2052" max="2052" width="12.5703125" style="284" customWidth="1"/>
    <col min="2053" max="2053" width="21" style="284" bestFit="1" customWidth="1"/>
    <col min="2054" max="2054" width="19.85546875" style="284" customWidth="1"/>
    <col min="2055" max="2055" width="15.85546875" style="284" bestFit="1" customWidth="1"/>
    <col min="2056" max="2056" width="14.85546875" style="284" bestFit="1" customWidth="1"/>
    <col min="2057" max="2057" width="15.85546875" style="284" bestFit="1" customWidth="1"/>
    <col min="2058" max="2059" width="11.5703125" style="284" customWidth="1"/>
    <col min="2060" max="2061" width="13.85546875" style="284" customWidth="1"/>
    <col min="2062" max="2062" width="15.42578125" style="284" customWidth="1"/>
    <col min="2063" max="2063" width="14.85546875" style="284" customWidth="1"/>
    <col min="2064" max="2064" width="15.42578125" style="284" customWidth="1"/>
    <col min="2065" max="2066" width="13.85546875" style="284" customWidth="1"/>
    <col min="2067" max="2067" width="1.5703125" style="284" customWidth="1"/>
    <col min="2068" max="2068" width="12" style="284" customWidth="1"/>
    <col min="2069" max="2069" width="15.28515625" style="284" bestFit="1" customWidth="1"/>
    <col min="2070" max="2070" width="14.42578125" style="284" bestFit="1" customWidth="1"/>
    <col min="2071" max="2071" width="12.140625" style="284" customWidth="1"/>
    <col min="2072" max="2072" width="10.5703125" style="284" bestFit="1" customWidth="1"/>
    <col min="2073" max="2073" width="14.7109375" style="284" customWidth="1"/>
    <col min="2074" max="2074" width="14.5703125" style="284" bestFit="1" customWidth="1"/>
    <col min="2075" max="2075" width="17.7109375" style="284" customWidth="1"/>
    <col min="2076" max="2076" width="15" style="284" customWidth="1"/>
    <col min="2077" max="2077" width="8.85546875" style="284" customWidth="1"/>
    <col min="2078" max="2078" width="16" style="284" customWidth="1"/>
    <col min="2079" max="2079" width="14.85546875" style="284" bestFit="1" customWidth="1"/>
    <col min="2080" max="2080" width="15.140625" style="284" customWidth="1"/>
    <col min="2081" max="2081" width="11.85546875" style="284" customWidth="1"/>
    <col min="2082" max="2082" width="10.7109375" style="284" bestFit="1" customWidth="1"/>
    <col min="2083" max="2083" width="13.85546875" style="284" customWidth="1"/>
    <col min="2084" max="2086" width="18.140625" style="284" bestFit="1" customWidth="1"/>
    <col min="2087" max="2091" width="9.140625" style="284"/>
    <col min="2092" max="2092" width="10.42578125" style="284" bestFit="1" customWidth="1"/>
    <col min="2093" max="2094" width="14.28515625" style="284" bestFit="1" customWidth="1"/>
    <col min="2095" max="2099" width="10.42578125" style="284" bestFit="1" customWidth="1"/>
    <col min="2100" max="2305" width="9.140625" style="284"/>
    <col min="2306" max="2306" width="15.7109375" style="284" customWidth="1"/>
    <col min="2307" max="2307" width="14.7109375" style="284" bestFit="1" customWidth="1"/>
    <col min="2308" max="2308" width="12.5703125" style="284" customWidth="1"/>
    <col min="2309" max="2309" width="21" style="284" bestFit="1" customWidth="1"/>
    <col min="2310" max="2310" width="19.85546875" style="284" customWidth="1"/>
    <col min="2311" max="2311" width="15.85546875" style="284" bestFit="1" customWidth="1"/>
    <col min="2312" max="2312" width="14.85546875" style="284" bestFit="1" customWidth="1"/>
    <col min="2313" max="2313" width="15.85546875" style="284" bestFit="1" customWidth="1"/>
    <col min="2314" max="2315" width="11.5703125" style="284" customWidth="1"/>
    <col min="2316" max="2317" width="13.85546875" style="284" customWidth="1"/>
    <col min="2318" max="2318" width="15.42578125" style="284" customWidth="1"/>
    <col min="2319" max="2319" width="14.85546875" style="284" customWidth="1"/>
    <col min="2320" max="2320" width="15.42578125" style="284" customWidth="1"/>
    <col min="2321" max="2322" width="13.85546875" style="284" customWidth="1"/>
    <col min="2323" max="2323" width="1.5703125" style="284" customWidth="1"/>
    <col min="2324" max="2324" width="12" style="284" customWidth="1"/>
    <col min="2325" max="2325" width="15.28515625" style="284" bestFit="1" customWidth="1"/>
    <col min="2326" max="2326" width="14.42578125" style="284" bestFit="1" customWidth="1"/>
    <col min="2327" max="2327" width="12.140625" style="284" customWidth="1"/>
    <col min="2328" max="2328" width="10.5703125" style="284" bestFit="1" customWidth="1"/>
    <col min="2329" max="2329" width="14.7109375" style="284" customWidth="1"/>
    <col min="2330" max="2330" width="14.5703125" style="284" bestFit="1" customWidth="1"/>
    <col min="2331" max="2331" width="17.7109375" style="284" customWidth="1"/>
    <col min="2332" max="2332" width="15" style="284" customWidth="1"/>
    <col min="2333" max="2333" width="8.85546875" style="284" customWidth="1"/>
    <col min="2334" max="2334" width="16" style="284" customWidth="1"/>
    <col min="2335" max="2335" width="14.85546875" style="284" bestFit="1" customWidth="1"/>
    <col min="2336" max="2336" width="15.140625" style="284" customWidth="1"/>
    <col min="2337" max="2337" width="11.85546875" style="284" customWidth="1"/>
    <col min="2338" max="2338" width="10.7109375" style="284" bestFit="1" customWidth="1"/>
    <col min="2339" max="2339" width="13.85546875" style="284" customWidth="1"/>
    <col min="2340" max="2342" width="18.140625" style="284" bestFit="1" customWidth="1"/>
    <col min="2343" max="2347" width="9.140625" style="284"/>
    <col min="2348" max="2348" width="10.42578125" style="284" bestFit="1" customWidth="1"/>
    <col min="2349" max="2350" width="14.28515625" style="284" bestFit="1" customWidth="1"/>
    <col min="2351" max="2355" width="10.42578125" style="284" bestFit="1" customWidth="1"/>
    <col min="2356" max="2561" width="9.140625" style="284"/>
    <col min="2562" max="2562" width="15.7109375" style="284" customWidth="1"/>
    <col min="2563" max="2563" width="14.7109375" style="284" bestFit="1" customWidth="1"/>
    <col min="2564" max="2564" width="12.5703125" style="284" customWidth="1"/>
    <col min="2565" max="2565" width="21" style="284" bestFit="1" customWidth="1"/>
    <col min="2566" max="2566" width="19.85546875" style="284" customWidth="1"/>
    <col min="2567" max="2567" width="15.85546875" style="284" bestFit="1" customWidth="1"/>
    <col min="2568" max="2568" width="14.85546875" style="284" bestFit="1" customWidth="1"/>
    <col min="2569" max="2569" width="15.85546875" style="284" bestFit="1" customWidth="1"/>
    <col min="2570" max="2571" width="11.5703125" style="284" customWidth="1"/>
    <col min="2572" max="2573" width="13.85546875" style="284" customWidth="1"/>
    <col min="2574" max="2574" width="15.42578125" style="284" customWidth="1"/>
    <col min="2575" max="2575" width="14.85546875" style="284" customWidth="1"/>
    <col min="2576" max="2576" width="15.42578125" style="284" customWidth="1"/>
    <col min="2577" max="2578" width="13.85546875" style="284" customWidth="1"/>
    <col min="2579" max="2579" width="1.5703125" style="284" customWidth="1"/>
    <col min="2580" max="2580" width="12" style="284" customWidth="1"/>
    <col min="2581" max="2581" width="15.28515625" style="284" bestFit="1" customWidth="1"/>
    <col min="2582" max="2582" width="14.42578125" style="284" bestFit="1" customWidth="1"/>
    <col min="2583" max="2583" width="12.140625" style="284" customWidth="1"/>
    <col min="2584" max="2584" width="10.5703125" style="284" bestFit="1" customWidth="1"/>
    <col min="2585" max="2585" width="14.7109375" style="284" customWidth="1"/>
    <col min="2586" max="2586" width="14.5703125" style="284" bestFit="1" customWidth="1"/>
    <col min="2587" max="2587" width="17.7109375" style="284" customWidth="1"/>
    <col min="2588" max="2588" width="15" style="284" customWidth="1"/>
    <col min="2589" max="2589" width="8.85546875" style="284" customWidth="1"/>
    <col min="2590" max="2590" width="16" style="284" customWidth="1"/>
    <col min="2591" max="2591" width="14.85546875" style="284" bestFit="1" customWidth="1"/>
    <col min="2592" max="2592" width="15.140625" style="284" customWidth="1"/>
    <col min="2593" max="2593" width="11.85546875" style="284" customWidth="1"/>
    <col min="2594" max="2594" width="10.7109375" style="284" bestFit="1" customWidth="1"/>
    <col min="2595" max="2595" width="13.85546875" style="284" customWidth="1"/>
    <col min="2596" max="2598" width="18.140625" style="284" bestFit="1" customWidth="1"/>
    <col min="2599" max="2603" width="9.140625" style="284"/>
    <col min="2604" max="2604" width="10.42578125" style="284" bestFit="1" customWidth="1"/>
    <col min="2605" max="2606" width="14.28515625" style="284" bestFit="1" customWidth="1"/>
    <col min="2607" max="2611" width="10.42578125" style="284" bestFit="1" customWidth="1"/>
    <col min="2612" max="2817" width="9.140625" style="284"/>
    <col min="2818" max="2818" width="15.7109375" style="284" customWidth="1"/>
    <col min="2819" max="2819" width="14.7109375" style="284" bestFit="1" customWidth="1"/>
    <col min="2820" max="2820" width="12.5703125" style="284" customWidth="1"/>
    <col min="2821" max="2821" width="21" style="284" bestFit="1" customWidth="1"/>
    <col min="2822" max="2822" width="19.85546875" style="284" customWidth="1"/>
    <col min="2823" max="2823" width="15.85546875" style="284" bestFit="1" customWidth="1"/>
    <col min="2824" max="2824" width="14.85546875" style="284" bestFit="1" customWidth="1"/>
    <col min="2825" max="2825" width="15.85546875" style="284" bestFit="1" customWidth="1"/>
    <col min="2826" max="2827" width="11.5703125" style="284" customWidth="1"/>
    <col min="2828" max="2829" width="13.85546875" style="284" customWidth="1"/>
    <col min="2830" max="2830" width="15.42578125" style="284" customWidth="1"/>
    <col min="2831" max="2831" width="14.85546875" style="284" customWidth="1"/>
    <col min="2832" max="2832" width="15.42578125" style="284" customWidth="1"/>
    <col min="2833" max="2834" width="13.85546875" style="284" customWidth="1"/>
    <col min="2835" max="2835" width="1.5703125" style="284" customWidth="1"/>
    <col min="2836" max="2836" width="12" style="284" customWidth="1"/>
    <col min="2837" max="2837" width="15.28515625" style="284" bestFit="1" customWidth="1"/>
    <col min="2838" max="2838" width="14.42578125" style="284" bestFit="1" customWidth="1"/>
    <col min="2839" max="2839" width="12.140625" style="284" customWidth="1"/>
    <col min="2840" max="2840" width="10.5703125" style="284" bestFit="1" customWidth="1"/>
    <col min="2841" max="2841" width="14.7109375" style="284" customWidth="1"/>
    <col min="2842" max="2842" width="14.5703125" style="284" bestFit="1" customWidth="1"/>
    <col min="2843" max="2843" width="17.7109375" style="284" customWidth="1"/>
    <col min="2844" max="2844" width="15" style="284" customWidth="1"/>
    <col min="2845" max="2845" width="8.85546875" style="284" customWidth="1"/>
    <col min="2846" max="2846" width="16" style="284" customWidth="1"/>
    <col min="2847" max="2847" width="14.85546875" style="284" bestFit="1" customWidth="1"/>
    <col min="2848" max="2848" width="15.140625" style="284" customWidth="1"/>
    <col min="2849" max="2849" width="11.85546875" style="284" customWidth="1"/>
    <col min="2850" max="2850" width="10.7109375" style="284" bestFit="1" customWidth="1"/>
    <col min="2851" max="2851" width="13.85546875" style="284" customWidth="1"/>
    <col min="2852" max="2854" width="18.140625" style="284" bestFit="1" customWidth="1"/>
    <col min="2855" max="2859" width="9.140625" style="284"/>
    <col min="2860" max="2860" width="10.42578125" style="284" bestFit="1" customWidth="1"/>
    <col min="2861" max="2862" width="14.28515625" style="284" bestFit="1" customWidth="1"/>
    <col min="2863" max="2867" width="10.42578125" style="284" bestFit="1" customWidth="1"/>
    <col min="2868" max="3073" width="9.140625" style="284"/>
    <col min="3074" max="3074" width="15.7109375" style="284" customWidth="1"/>
    <col min="3075" max="3075" width="14.7109375" style="284" bestFit="1" customWidth="1"/>
    <col min="3076" max="3076" width="12.5703125" style="284" customWidth="1"/>
    <col min="3077" max="3077" width="21" style="284" bestFit="1" customWidth="1"/>
    <col min="3078" max="3078" width="19.85546875" style="284" customWidth="1"/>
    <col min="3079" max="3079" width="15.85546875" style="284" bestFit="1" customWidth="1"/>
    <col min="3080" max="3080" width="14.85546875" style="284" bestFit="1" customWidth="1"/>
    <col min="3081" max="3081" width="15.85546875" style="284" bestFit="1" customWidth="1"/>
    <col min="3082" max="3083" width="11.5703125" style="284" customWidth="1"/>
    <col min="3084" max="3085" width="13.85546875" style="284" customWidth="1"/>
    <col min="3086" max="3086" width="15.42578125" style="284" customWidth="1"/>
    <col min="3087" max="3087" width="14.85546875" style="284" customWidth="1"/>
    <col min="3088" max="3088" width="15.42578125" style="284" customWidth="1"/>
    <col min="3089" max="3090" width="13.85546875" style="284" customWidth="1"/>
    <col min="3091" max="3091" width="1.5703125" style="284" customWidth="1"/>
    <col min="3092" max="3092" width="12" style="284" customWidth="1"/>
    <col min="3093" max="3093" width="15.28515625" style="284" bestFit="1" customWidth="1"/>
    <col min="3094" max="3094" width="14.42578125" style="284" bestFit="1" customWidth="1"/>
    <col min="3095" max="3095" width="12.140625" style="284" customWidth="1"/>
    <col min="3096" max="3096" width="10.5703125" style="284" bestFit="1" customWidth="1"/>
    <col min="3097" max="3097" width="14.7109375" style="284" customWidth="1"/>
    <col min="3098" max="3098" width="14.5703125" style="284" bestFit="1" customWidth="1"/>
    <col min="3099" max="3099" width="17.7109375" style="284" customWidth="1"/>
    <col min="3100" max="3100" width="15" style="284" customWidth="1"/>
    <col min="3101" max="3101" width="8.85546875" style="284" customWidth="1"/>
    <col min="3102" max="3102" width="16" style="284" customWidth="1"/>
    <col min="3103" max="3103" width="14.85546875" style="284" bestFit="1" customWidth="1"/>
    <col min="3104" max="3104" width="15.140625" style="284" customWidth="1"/>
    <col min="3105" max="3105" width="11.85546875" style="284" customWidth="1"/>
    <col min="3106" max="3106" width="10.7109375" style="284" bestFit="1" customWidth="1"/>
    <col min="3107" max="3107" width="13.85546875" style="284" customWidth="1"/>
    <col min="3108" max="3110" width="18.140625" style="284" bestFit="1" customWidth="1"/>
    <col min="3111" max="3115" width="9.140625" style="284"/>
    <col min="3116" max="3116" width="10.42578125" style="284" bestFit="1" customWidth="1"/>
    <col min="3117" max="3118" width="14.28515625" style="284" bestFit="1" customWidth="1"/>
    <col min="3119" max="3123" width="10.42578125" style="284" bestFit="1" customWidth="1"/>
    <col min="3124" max="3329" width="9.140625" style="284"/>
    <col min="3330" max="3330" width="15.7109375" style="284" customWidth="1"/>
    <col min="3331" max="3331" width="14.7109375" style="284" bestFit="1" customWidth="1"/>
    <col min="3332" max="3332" width="12.5703125" style="284" customWidth="1"/>
    <col min="3333" max="3333" width="21" style="284" bestFit="1" customWidth="1"/>
    <col min="3334" max="3334" width="19.85546875" style="284" customWidth="1"/>
    <col min="3335" max="3335" width="15.85546875" style="284" bestFit="1" customWidth="1"/>
    <col min="3336" max="3336" width="14.85546875" style="284" bestFit="1" customWidth="1"/>
    <col min="3337" max="3337" width="15.85546875" style="284" bestFit="1" customWidth="1"/>
    <col min="3338" max="3339" width="11.5703125" style="284" customWidth="1"/>
    <col min="3340" max="3341" width="13.85546875" style="284" customWidth="1"/>
    <col min="3342" max="3342" width="15.42578125" style="284" customWidth="1"/>
    <col min="3343" max="3343" width="14.85546875" style="284" customWidth="1"/>
    <col min="3344" max="3344" width="15.42578125" style="284" customWidth="1"/>
    <col min="3345" max="3346" width="13.85546875" style="284" customWidth="1"/>
    <col min="3347" max="3347" width="1.5703125" style="284" customWidth="1"/>
    <col min="3348" max="3348" width="12" style="284" customWidth="1"/>
    <col min="3349" max="3349" width="15.28515625" style="284" bestFit="1" customWidth="1"/>
    <col min="3350" max="3350" width="14.42578125" style="284" bestFit="1" customWidth="1"/>
    <col min="3351" max="3351" width="12.140625" style="284" customWidth="1"/>
    <col min="3352" max="3352" width="10.5703125" style="284" bestFit="1" customWidth="1"/>
    <col min="3353" max="3353" width="14.7109375" style="284" customWidth="1"/>
    <col min="3354" max="3354" width="14.5703125" style="284" bestFit="1" customWidth="1"/>
    <col min="3355" max="3355" width="17.7109375" style="284" customWidth="1"/>
    <col min="3356" max="3356" width="15" style="284" customWidth="1"/>
    <col min="3357" max="3357" width="8.85546875" style="284" customWidth="1"/>
    <col min="3358" max="3358" width="16" style="284" customWidth="1"/>
    <col min="3359" max="3359" width="14.85546875" style="284" bestFit="1" customWidth="1"/>
    <col min="3360" max="3360" width="15.140625" style="284" customWidth="1"/>
    <col min="3361" max="3361" width="11.85546875" style="284" customWidth="1"/>
    <col min="3362" max="3362" width="10.7109375" style="284" bestFit="1" customWidth="1"/>
    <col min="3363" max="3363" width="13.85546875" style="284" customWidth="1"/>
    <col min="3364" max="3366" width="18.140625" style="284" bestFit="1" customWidth="1"/>
    <col min="3367" max="3371" width="9.140625" style="284"/>
    <col min="3372" max="3372" width="10.42578125" style="284" bestFit="1" customWidth="1"/>
    <col min="3373" max="3374" width="14.28515625" style="284" bestFit="1" customWidth="1"/>
    <col min="3375" max="3379" width="10.42578125" style="284" bestFit="1" customWidth="1"/>
    <col min="3380" max="3585" width="9.140625" style="284"/>
    <col min="3586" max="3586" width="15.7109375" style="284" customWidth="1"/>
    <col min="3587" max="3587" width="14.7109375" style="284" bestFit="1" customWidth="1"/>
    <col min="3588" max="3588" width="12.5703125" style="284" customWidth="1"/>
    <col min="3589" max="3589" width="21" style="284" bestFit="1" customWidth="1"/>
    <col min="3590" max="3590" width="19.85546875" style="284" customWidth="1"/>
    <col min="3591" max="3591" width="15.85546875" style="284" bestFit="1" customWidth="1"/>
    <col min="3592" max="3592" width="14.85546875" style="284" bestFit="1" customWidth="1"/>
    <col min="3593" max="3593" width="15.85546875" style="284" bestFit="1" customWidth="1"/>
    <col min="3594" max="3595" width="11.5703125" style="284" customWidth="1"/>
    <col min="3596" max="3597" width="13.85546875" style="284" customWidth="1"/>
    <col min="3598" max="3598" width="15.42578125" style="284" customWidth="1"/>
    <col min="3599" max="3599" width="14.85546875" style="284" customWidth="1"/>
    <col min="3600" max="3600" width="15.42578125" style="284" customWidth="1"/>
    <col min="3601" max="3602" width="13.85546875" style="284" customWidth="1"/>
    <col min="3603" max="3603" width="1.5703125" style="284" customWidth="1"/>
    <col min="3604" max="3604" width="12" style="284" customWidth="1"/>
    <col min="3605" max="3605" width="15.28515625" style="284" bestFit="1" customWidth="1"/>
    <col min="3606" max="3606" width="14.42578125" style="284" bestFit="1" customWidth="1"/>
    <col min="3607" max="3607" width="12.140625" style="284" customWidth="1"/>
    <col min="3608" max="3608" width="10.5703125" style="284" bestFit="1" customWidth="1"/>
    <col min="3609" max="3609" width="14.7109375" style="284" customWidth="1"/>
    <col min="3610" max="3610" width="14.5703125" style="284" bestFit="1" customWidth="1"/>
    <col min="3611" max="3611" width="17.7109375" style="284" customWidth="1"/>
    <col min="3612" max="3612" width="15" style="284" customWidth="1"/>
    <col min="3613" max="3613" width="8.85546875" style="284" customWidth="1"/>
    <col min="3614" max="3614" width="16" style="284" customWidth="1"/>
    <col min="3615" max="3615" width="14.85546875" style="284" bestFit="1" customWidth="1"/>
    <col min="3616" max="3616" width="15.140625" style="284" customWidth="1"/>
    <col min="3617" max="3617" width="11.85546875" style="284" customWidth="1"/>
    <col min="3618" max="3618" width="10.7109375" style="284" bestFit="1" customWidth="1"/>
    <col min="3619" max="3619" width="13.85546875" style="284" customWidth="1"/>
    <col min="3620" max="3622" width="18.140625" style="284" bestFit="1" customWidth="1"/>
    <col min="3623" max="3627" width="9.140625" style="284"/>
    <col min="3628" max="3628" width="10.42578125" style="284" bestFit="1" customWidth="1"/>
    <col min="3629" max="3630" width="14.28515625" style="284" bestFit="1" customWidth="1"/>
    <col min="3631" max="3635" width="10.42578125" style="284" bestFit="1" customWidth="1"/>
    <col min="3636" max="3841" width="9.140625" style="284"/>
    <col min="3842" max="3842" width="15.7109375" style="284" customWidth="1"/>
    <col min="3843" max="3843" width="14.7109375" style="284" bestFit="1" customWidth="1"/>
    <col min="3844" max="3844" width="12.5703125" style="284" customWidth="1"/>
    <col min="3845" max="3845" width="21" style="284" bestFit="1" customWidth="1"/>
    <col min="3846" max="3846" width="19.85546875" style="284" customWidth="1"/>
    <col min="3847" max="3847" width="15.85546875" style="284" bestFit="1" customWidth="1"/>
    <col min="3848" max="3848" width="14.85546875" style="284" bestFit="1" customWidth="1"/>
    <col min="3849" max="3849" width="15.85546875" style="284" bestFit="1" customWidth="1"/>
    <col min="3850" max="3851" width="11.5703125" style="284" customWidth="1"/>
    <col min="3852" max="3853" width="13.85546875" style="284" customWidth="1"/>
    <col min="3854" max="3854" width="15.42578125" style="284" customWidth="1"/>
    <col min="3855" max="3855" width="14.85546875" style="284" customWidth="1"/>
    <col min="3856" max="3856" width="15.42578125" style="284" customWidth="1"/>
    <col min="3857" max="3858" width="13.85546875" style="284" customWidth="1"/>
    <col min="3859" max="3859" width="1.5703125" style="284" customWidth="1"/>
    <col min="3860" max="3860" width="12" style="284" customWidth="1"/>
    <col min="3861" max="3861" width="15.28515625" style="284" bestFit="1" customWidth="1"/>
    <col min="3862" max="3862" width="14.42578125" style="284" bestFit="1" customWidth="1"/>
    <col min="3863" max="3863" width="12.140625" style="284" customWidth="1"/>
    <col min="3864" max="3864" width="10.5703125" style="284" bestFit="1" customWidth="1"/>
    <col min="3865" max="3865" width="14.7109375" style="284" customWidth="1"/>
    <col min="3866" max="3866" width="14.5703125" style="284" bestFit="1" customWidth="1"/>
    <col min="3867" max="3867" width="17.7109375" style="284" customWidth="1"/>
    <col min="3868" max="3868" width="15" style="284" customWidth="1"/>
    <col min="3869" max="3869" width="8.85546875" style="284" customWidth="1"/>
    <col min="3870" max="3870" width="16" style="284" customWidth="1"/>
    <col min="3871" max="3871" width="14.85546875" style="284" bestFit="1" customWidth="1"/>
    <col min="3872" max="3872" width="15.140625" style="284" customWidth="1"/>
    <col min="3873" max="3873" width="11.85546875" style="284" customWidth="1"/>
    <col min="3874" max="3874" width="10.7109375" style="284" bestFit="1" customWidth="1"/>
    <col min="3875" max="3875" width="13.85546875" style="284" customWidth="1"/>
    <col min="3876" max="3878" width="18.140625" style="284" bestFit="1" customWidth="1"/>
    <col min="3879" max="3883" width="9.140625" style="284"/>
    <col min="3884" max="3884" width="10.42578125" style="284" bestFit="1" customWidth="1"/>
    <col min="3885" max="3886" width="14.28515625" style="284" bestFit="1" customWidth="1"/>
    <col min="3887" max="3891" width="10.42578125" style="284" bestFit="1" customWidth="1"/>
    <col min="3892" max="4097" width="9.140625" style="284"/>
    <col min="4098" max="4098" width="15.7109375" style="284" customWidth="1"/>
    <col min="4099" max="4099" width="14.7109375" style="284" bestFit="1" customWidth="1"/>
    <col min="4100" max="4100" width="12.5703125" style="284" customWidth="1"/>
    <col min="4101" max="4101" width="21" style="284" bestFit="1" customWidth="1"/>
    <col min="4102" max="4102" width="19.85546875" style="284" customWidth="1"/>
    <col min="4103" max="4103" width="15.85546875" style="284" bestFit="1" customWidth="1"/>
    <col min="4104" max="4104" width="14.85546875" style="284" bestFit="1" customWidth="1"/>
    <col min="4105" max="4105" width="15.85546875" style="284" bestFit="1" customWidth="1"/>
    <col min="4106" max="4107" width="11.5703125" style="284" customWidth="1"/>
    <col min="4108" max="4109" width="13.85546875" style="284" customWidth="1"/>
    <col min="4110" max="4110" width="15.42578125" style="284" customWidth="1"/>
    <col min="4111" max="4111" width="14.85546875" style="284" customWidth="1"/>
    <col min="4112" max="4112" width="15.42578125" style="284" customWidth="1"/>
    <col min="4113" max="4114" width="13.85546875" style="284" customWidth="1"/>
    <col min="4115" max="4115" width="1.5703125" style="284" customWidth="1"/>
    <col min="4116" max="4116" width="12" style="284" customWidth="1"/>
    <col min="4117" max="4117" width="15.28515625" style="284" bestFit="1" customWidth="1"/>
    <col min="4118" max="4118" width="14.42578125" style="284" bestFit="1" customWidth="1"/>
    <col min="4119" max="4119" width="12.140625" style="284" customWidth="1"/>
    <col min="4120" max="4120" width="10.5703125" style="284" bestFit="1" customWidth="1"/>
    <col min="4121" max="4121" width="14.7109375" style="284" customWidth="1"/>
    <col min="4122" max="4122" width="14.5703125" style="284" bestFit="1" customWidth="1"/>
    <col min="4123" max="4123" width="17.7109375" style="284" customWidth="1"/>
    <col min="4124" max="4124" width="15" style="284" customWidth="1"/>
    <col min="4125" max="4125" width="8.85546875" style="284" customWidth="1"/>
    <col min="4126" max="4126" width="16" style="284" customWidth="1"/>
    <col min="4127" max="4127" width="14.85546875" style="284" bestFit="1" customWidth="1"/>
    <col min="4128" max="4128" width="15.140625" style="284" customWidth="1"/>
    <col min="4129" max="4129" width="11.85546875" style="284" customWidth="1"/>
    <col min="4130" max="4130" width="10.7109375" style="284" bestFit="1" customWidth="1"/>
    <col min="4131" max="4131" width="13.85546875" style="284" customWidth="1"/>
    <col min="4132" max="4134" width="18.140625" style="284" bestFit="1" customWidth="1"/>
    <col min="4135" max="4139" width="9.140625" style="284"/>
    <col min="4140" max="4140" width="10.42578125" style="284" bestFit="1" customWidth="1"/>
    <col min="4141" max="4142" width="14.28515625" style="284" bestFit="1" customWidth="1"/>
    <col min="4143" max="4147" width="10.42578125" style="284" bestFit="1" customWidth="1"/>
    <col min="4148" max="4353" width="9.140625" style="284"/>
    <col min="4354" max="4354" width="15.7109375" style="284" customWidth="1"/>
    <col min="4355" max="4355" width="14.7109375" style="284" bestFit="1" customWidth="1"/>
    <col min="4356" max="4356" width="12.5703125" style="284" customWidth="1"/>
    <col min="4357" max="4357" width="21" style="284" bestFit="1" customWidth="1"/>
    <col min="4358" max="4358" width="19.85546875" style="284" customWidth="1"/>
    <col min="4359" max="4359" width="15.85546875" style="284" bestFit="1" customWidth="1"/>
    <col min="4360" max="4360" width="14.85546875" style="284" bestFit="1" customWidth="1"/>
    <col min="4361" max="4361" width="15.85546875" style="284" bestFit="1" customWidth="1"/>
    <col min="4362" max="4363" width="11.5703125" style="284" customWidth="1"/>
    <col min="4364" max="4365" width="13.85546875" style="284" customWidth="1"/>
    <col min="4366" max="4366" width="15.42578125" style="284" customWidth="1"/>
    <col min="4367" max="4367" width="14.85546875" style="284" customWidth="1"/>
    <col min="4368" max="4368" width="15.42578125" style="284" customWidth="1"/>
    <col min="4369" max="4370" width="13.85546875" style="284" customWidth="1"/>
    <col min="4371" max="4371" width="1.5703125" style="284" customWidth="1"/>
    <col min="4372" max="4372" width="12" style="284" customWidth="1"/>
    <col min="4373" max="4373" width="15.28515625" style="284" bestFit="1" customWidth="1"/>
    <col min="4374" max="4374" width="14.42578125" style="284" bestFit="1" customWidth="1"/>
    <col min="4375" max="4375" width="12.140625" style="284" customWidth="1"/>
    <col min="4376" max="4376" width="10.5703125" style="284" bestFit="1" customWidth="1"/>
    <col min="4377" max="4377" width="14.7109375" style="284" customWidth="1"/>
    <col min="4378" max="4378" width="14.5703125" style="284" bestFit="1" customWidth="1"/>
    <col min="4379" max="4379" width="17.7109375" style="284" customWidth="1"/>
    <col min="4380" max="4380" width="15" style="284" customWidth="1"/>
    <col min="4381" max="4381" width="8.85546875" style="284" customWidth="1"/>
    <col min="4382" max="4382" width="16" style="284" customWidth="1"/>
    <col min="4383" max="4383" width="14.85546875" style="284" bestFit="1" customWidth="1"/>
    <col min="4384" max="4384" width="15.140625" style="284" customWidth="1"/>
    <col min="4385" max="4385" width="11.85546875" style="284" customWidth="1"/>
    <col min="4386" max="4386" width="10.7109375" style="284" bestFit="1" customWidth="1"/>
    <col min="4387" max="4387" width="13.85546875" style="284" customWidth="1"/>
    <col min="4388" max="4390" width="18.140625" style="284" bestFit="1" customWidth="1"/>
    <col min="4391" max="4395" width="9.140625" style="284"/>
    <col min="4396" max="4396" width="10.42578125" style="284" bestFit="1" customWidth="1"/>
    <col min="4397" max="4398" width="14.28515625" style="284" bestFit="1" customWidth="1"/>
    <col min="4399" max="4403" width="10.42578125" style="284" bestFit="1" customWidth="1"/>
    <col min="4404" max="4609" width="9.140625" style="284"/>
    <col min="4610" max="4610" width="15.7109375" style="284" customWidth="1"/>
    <col min="4611" max="4611" width="14.7109375" style="284" bestFit="1" customWidth="1"/>
    <col min="4612" max="4612" width="12.5703125" style="284" customWidth="1"/>
    <col min="4613" max="4613" width="21" style="284" bestFit="1" customWidth="1"/>
    <col min="4614" max="4614" width="19.85546875" style="284" customWidth="1"/>
    <col min="4615" max="4615" width="15.85546875" style="284" bestFit="1" customWidth="1"/>
    <col min="4616" max="4616" width="14.85546875" style="284" bestFit="1" customWidth="1"/>
    <col min="4617" max="4617" width="15.85546875" style="284" bestFit="1" customWidth="1"/>
    <col min="4618" max="4619" width="11.5703125" style="284" customWidth="1"/>
    <col min="4620" max="4621" width="13.85546875" style="284" customWidth="1"/>
    <col min="4622" max="4622" width="15.42578125" style="284" customWidth="1"/>
    <col min="4623" max="4623" width="14.85546875" style="284" customWidth="1"/>
    <col min="4624" max="4624" width="15.42578125" style="284" customWidth="1"/>
    <col min="4625" max="4626" width="13.85546875" style="284" customWidth="1"/>
    <col min="4627" max="4627" width="1.5703125" style="284" customWidth="1"/>
    <col min="4628" max="4628" width="12" style="284" customWidth="1"/>
    <col min="4629" max="4629" width="15.28515625" style="284" bestFit="1" customWidth="1"/>
    <col min="4630" max="4630" width="14.42578125" style="284" bestFit="1" customWidth="1"/>
    <col min="4631" max="4631" width="12.140625" style="284" customWidth="1"/>
    <col min="4632" max="4632" width="10.5703125" style="284" bestFit="1" customWidth="1"/>
    <col min="4633" max="4633" width="14.7109375" style="284" customWidth="1"/>
    <col min="4634" max="4634" width="14.5703125" style="284" bestFit="1" customWidth="1"/>
    <col min="4635" max="4635" width="17.7109375" style="284" customWidth="1"/>
    <col min="4636" max="4636" width="15" style="284" customWidth="1"/>
    <col min="4637" max="4637" width="8.85546875" style="284" customWidth="1"/>
    <col min="4638" max="4638" width="16" style="284" customWidth="1"/>
    <col min="4639" max="4639" width="14.85546875" style="284" bestFit="1" customWidth="1"/>
    <col min="4640" max="4640" width="15.140625" style="284" customWidth="1"/>
    <col min="4641" max="4641" width="11.85546875" style="284" customWidth="1"/>
    <col min="4642" max="4642" width="10.7109375" style="284" bestFit="1" customWidth="1"/>
    <col min="4643" max="4643" width="13.85546875" style="284" customWidth="1"/>
    <col min="4644" max="4646" width="18.140625" style="284" bestFit="1" customWidth="1"/>
    <col min="4647" max="4651" width="9.140625" style="284"/>
    <col min="4652" max="4652" width="10.42578125" style="284" bestFit="1" customWidth="1"/>
    <col min="4653" max="4654" width="14.28515625" style="284" bestFit="1" customWidth="1"/>
    <col min="4655" max="4659" width="10.42578125" style="284" bestFit="1" customWidth="1"/>
    <col min="4660" max="4865" width="9.140625" style="284"/>
    <col min="4866" max="4866" width="15.7109375" style="284" customWidth="1"/>
    <col min="4867" max="4867" width="14.7109375" style="284" bestFit="1" customWidth="1"/>
    <col min="4868" max="4868" width="12.5703125" style="284" customWidth="1"/>
    <col min="4869" max="4869" width="21" style="284" bestFit="1" customWidth="1"/>
    <col min="4870" max="4870" width="19.85546875" style="284" customWidth="1"/>
    <col min="4871" max="4871" width="15.85546875" style="284" bestFit="1" customWidth="1"/>
    <col min="4872" max="4872" width="14.85546875" style="284" bestFit="1" customWidth="1"/>
    <col min="4873" max="4873" width="15.85546875" style="284" bestFit="1" customWidth="1"/>
    <col min="4874" max="4875" width="11.5703125" style="284" customWidth="1"/>
    <col min="4876" max="4877" width="13.85546875" style="284" customWidth="1"/>
    <col min="4878" max="4878" width="15.42578125" style="284" customWidth="1"/>
    <col min="4879" max="4879" width="14.85546875" style="284" customWidth="1"/>
    <col min="4880" max="4880" width="15.42578125" style="284" customWidth="1"/>
    <col min="4881" max="4882" width="13.85546875" style="284" customWidth="1"/>
    <col min="4883" max="4883" width="1.5703125" style="284" customWidth="1"/>
    <col min="4884" max="4884" width="12" style="284" customWidth="1"/>
    <col min="4885" max="4885" width="15.28515625" style="284" bestFit="1" customWidth="1"/>
    <col min="4886" max="4886" width="14.42578125" style="284" bestFit="1" customWidth="1"/>
    <col min="4887" max="4887" width="12.140625" style="284" customWidth="1"/>
    <col min="4888" max="4888" width="10.5703125" style="284" bestFit="1" customWidth="1"/>
    <col min="4889" max="4889" width="14.7109375" style="284" customWidth="1"/>
    <col min="4890" max="4890" width="14.5703125" style="284" bestFit="1" customWidth="1"/>
    <col min="4891" max="4891" width="17.7109375" style="284" customWidth="1"/>
    <col min="4892" max="4892" width="15" style="284" customWidth="1"/>
    <col min="4893" max="4893" width="8.85546875" style="284" customWidth="1"/>
    <col min="4894" max="4894" width="16" style="284" customWidth="1"/>
    <col min="4895" max="4895" width="14.85546875" style="284" bestFit="1" customWidth="1"/>
    <col min="4896" max="4896" width="15.140625" style="284" customWidth="1"/>
    <col min="4897" max="4897" width="11.85546875" style="284" customWidth="1"/>
    <col min="4898" max="4898" width="10.7109375" style="284" bestFit="1" customWidth="1"/>
    <col min="4899" max="4899" width="13.85546875" style="284" customWidth="1"/>
    <col min="4900" max="4902" width="18.140625" style="284" bestFit="1" customWidth="1"/>
    <col min="4903" max="4907" width="9.140625" style="284"/>
    <col min="4908" max="4908" width="10.42578125" style="284" bestFit="1" customWidth="1"/>
    <col min="4909" max="4910" width="14.28515625" style="284" bestFit="1" customWidth="1"/>
    <col min="4911" max="4915" width="10.42578125" style="284" bestFit="1" customWidth="1"/>
    <col min="4916" max="5121" width="9.140625" style="284"/>
    <col min="5122" max="5122" width="15.7109375" style="284" customWidth="1"/>
    <col min="5123" max="5123" width="14.7109375" style="284" bestFit="1" customWidth="1"/>
    <col min="5124" max="5124" width="12.5703125" style="284" customWidth="1"/>
    <col min="5125" max="5125" width="21" style="284" bestFit="1" customWidth="1"/>
    <col min="5126" max="5126" width="19.85546875" style="284" customWidth="1"/>
    <col min="5127" max="5127" width="15.85546875" style="284" bestFit="1" customWidth="1"/>
    <col min="5128" max="5128" width="14.85546875" style="284" bestFit="1" customWidth="1"/>
    <col min="5129" max="5129" width="15.85546875" style="284" bestFit="1" customWidth="1"/>
    <col min="5130" max="5131" width="11.5703125" style="284" customWidth="1"/>
    <col min="5132" max="5133" width="13.85546875" style="284" customWidth="1"/>
    <col min="5134" max="5134" width="15.42578125" style="284" customWidth="1"/>
    <col min="5135" max="5135" width="14.85546875" style="284" customWidth="1"/>
    <col min="5136" max="5136" width="15.42578125" style="284" customWidth="1"/>
    <col min="5137" max="5138" width="13.85546875" style="284" customWidth="1"/>
    <col min="5139" max="5139" width="1.5703125" style="284" customWidth="1"/>
    <col min="5140" max="5140" width="12" style="284" customWidth="1"/>
    <col min="5141" max="5141" width="15.28515625" style="284" bestFit="1" customWidth="1"/>
    <col min="5142" max="5142" width="14.42578125" style="284" bestFit="1" customWidth="1"/>
    <col min="5143" max="5143" width="12.140625" style="284" customWidth="1"/>
    <col min="5144" max="5144" width="10.5703125" style="284" bestFit="1" customWidth="1"/>
    <col min="5145" max="5145" width="14.7109375" style="284" customWidth="1"/>
    <col min="5146" max="5146" width="14.5703125" style="284" bestFit="1" customWidth="1"/>
    <col min="5147" max="5147" width="17.7109375" style="284" customWidth="1"/>
    <col min="5148" max="5148" width="15" style="284" customWidth="1"/>
    <col min="5149" max="5149" width="8.85546875" style="284" customWidth="1"/>
    <col min="5150" max="5150" width="16" style="284" customWidth="1"/>
    <col min="5151" max="5151" width="14.85546875" style="284" bestFit="1" customWidth="1"/>
    <col min="5152" max="5152" width="15.140625" style="284" customWidth="1"/>
    <col min="5153" max="5153" width="11.85546875" style="284" customWidth="1"/>
    <col min="5154" max="5154" width="10.7109375" style="284" bestFit="1" customWidth="1"/>
    <col min="5155" max="5155" width="13.85546875" style="284" customWidth="1"/>
    <col min="5156" max="5158" width="18.140625" style="284" bestFit="1" customWidth="1"/>
    <col min="5159" max="5163" width="9.140625" style="284"/>
    <col min="5164" max="5164" width="10.42578125" style="284" bestFit="1" customWidth="1"/>
    <col min="5165" max="5166" width="14.28515625" style="284" bestFit="1" customWidth="1"/>
    <col min="5167" max="5171" width="10.42578125" style="284" bestFit="1" customWidth="1"/>
    <col min="5172" max="5377" width="9.140625" style="284"/>
    <col min="5378" max="5378" width="15.7109375" style="284" customWidth="1"/>
    <col min="5379" max="5379" width="14.7109375" style="284" bestFit="1" customWidth="1"/>
    <col min="5380" max="5380" width="12.5703125" style="284" customWidth="1"/>
    <col min="5381" max="5381" width="21" style="284" bestFit="1" customWidth="1"/>
    <col min="5382" max="5382" width="19.85546875" style="284" customWidth="1"/>
    <col min="5383" max="5383" width="15.85546875" style="284" bestFit="1" customWidth="1"/>
    <col min="5384" max="5384" width="14.85546875" style="284" bestFit="1" customWidth="1"/>
    <col min="5385" max="5385" width="15.85546875" style="284" bestFit="1" customWidth="1"/>
    <col min="5386" max="5387" width="11.5703125" style="284" customWidth="1"/>
    <col min="5388" max="5389" width="13.85546875" style="284" customWidth="1"/>
    <col min="5390" max="5390" width="15.42578125" style="284" customWidth="1"/>
    <col min="5391" max="5391" width="14.85546875" style="284" customWidth="1"/>
    <col min="5392" max="5392" width="15.42578125" style="284" customWidth="1"/>
    <col min="5393" max="5394" width="13.85546875" style="284" customWidth="1"/>
    <col min="5395" max="5395" width="1.5703125" style="284" customWidth="1"/>
    <col min="5396" max="5396" width="12" style="284" customWidth="1"/>
    <col min="5397" max="5397" width="15.28515625" style="284" bestFit="1" customWidth="1"/>
    <col min="5398" max="5398" width="14.42578125" style="284" bestFit="1" customWidth="1"/>
    <col min="5399" max="5399" width="12.140625" style="284" customWidth="1"/>
    <col min="5400" max="5400" width="10.5703125" style="284" bestFit="1" customWidth="1"/>
    <col min="5401" max="5401" width="14.7109375" style="284" customWidth="1"/>
    <col min="5402" max="5402" width="14.5703125" style="284" bestFit="1" customWidth="1"/>
    <col min="5403" max="5403" width="17.7109375" style="284" customWidth="1"/>
    <col min="5404" max="5404" width="15" style="284" customWidth="1"/>
    <col min="5405" max="5405" width="8.85546875" style="284" customWidth="1"/>
    <col min="5406" max="5406" width="16" style="284" customWidth="1"/>
    <col min="5407" max="5407" width="14.85546875" style="284" bestFit="1" customWidth="1"/>
    <col min="5408" max="5408" width="15.140625" style="284" customWidth="1"/>
    <col min="5409" max="5409" width="11.85546875" style="284" customWidth="1"/>
    <col min="5410" max="5410" width="10.7109375" style="284" bestFit="1" customWidth="1"/>
    <col min="5411" max="5411" width="13.85546875" style="284" customWidth="1"/>
    <col min="5412" max="5414" width="18.140625" style="284" bestFit="1" customWidth="1"/>
    <col min="5415" max="5419" width="9.140625" style="284"/>
    <col min="5420" max="5420" width="10.42578125" style="284" bestFit="1" customWidth="1"/>
    <col min="5421" max="5422" width="14.28515625" style="284" bestFit="1" customWidth="1"/>
    <col min="5423" max="5427" width="10.42578125" style="284" bestFit="1" customWidth="1"/>
    <col min="5428" max="5633" width="9.140625" style="284"/>
    <col min="5634" max="5634" width="15.7109375" style="284" customWidth="1"/>
    <col min="5635" max="5635" width="14.7109375" style="284" bestFit="1" customWidth="1"/>
    <col min="5636" max="5636" width="12.5703125" style="284" customWidth="1"/>
    <col min="5637" max="5637" width="21" style="284" bestFit="1" customWidth="1"/>
    <col min="5638" max="5638" width="19.85546875" style="284" customWidth="1"/>
    <col min="5639" max="5639" width="15.85546875" style="284" bestFit="1" customWidth="1"/>
    <col min="5640" max="5640" width="14.85546875" style="284" bestFit="1" customWidth="1"/>
    <col min="5641" max="5641" width="15.85546875" style="284" bestFit="1" customWidth="1"/>
    <col min="5642" max="5643" width="11.5703125" style="284" customWidth="1"/>
    <col min="5644" max="5645" width="13.85546875" style="284" customWidth="1"/>
    <col min="5646" max="5646" width="15.42578125" style="284" customWidth="1"/>
    <col min="5647" max="5647" width="14.85546875" style="284" customWidth="1"/>
    <col min="5648" max="5648" width="15.42578125" style="284" customWidth="1"/>
    <col min="5649" max="5650" width="13.85546875" style="284" customWidth="1"/>
    <col min="5651" max="5651" width="1.5703125" style="284" customWidth="1"/>
    <col min="5652" max="5652" width="12" style="284" customWidth="1"/>
    <col min="5653" max="5653" width="15.28515625" style="284" bestFit="1" customWidth="1"/>
    <col min="5654" max="5654" width="14.42578125" style="284" bestFit="1" customWidth="1"/>
    <col min="5655" max="5655" width="12.140625" style="284" customWidth="1"/>
    <col min="5656" max="5656" width="10.5703125" style="284" bestFit="1" customWidth="1"/>
    <col min="5657" max="5657" width="14.7109375" style="284" customWidth="1"/>
    <col min="5658" max="5658" width="14.5703125" style="284" bestFit="1" customWidth="1"/>
    <col min="5659" max="5659" width="17.7109375" style="284" customWidth="1"/>
    <col min="5660" max="5660" width="15" style="284" customWidth="1"/>
    <col min="5661" max="5661" width="8.85546875" style="284" customWidth="1"/>
    <col min="5662" max="5662" width="16" style="284" customWidth="1"/>
    <col min="5663" max="5663" width="14.85546875" style="284" bestFit="1" customWidth="1"/>
    <col min="5664" max="5664" width="15.140625" style="284" customWidth="1"/>
    <col min="5665" max="5665" width="11.85546875" style="284" customWidth="1"/>
    <col min="5666" max="5666" width="10.7109375" style="284" bestFit="1" customWidth="1"/>
    <col min="5667" max="5667" width="13.85546875" style="284" customWidth="1"/>
    <col min="5668" max="5670" width="18.140625" style="284" bestFit="1" customWidth="1"/>
    <col min="5671" max="5675" width="9.140625" style="284"/>
    <col min="5676" max="5676" width="10.42578125" style="284" bestFit="1" customWidth="1"/>
    <col min="5677" max="5678" width="14.28515625" style="284" bestFit="1" customWidth="1"/>
    <col min="5679" max="5683" width="10.42578125" style="284" bestFit="1" customWidth="1"/>
    <col min="5684" max="5889" width="9.140625" style="284"/>
    <col min="5890" max="5890" width="15.7109375" style="284" customWidth="1"/>
    <col min="5891" max="5891" width="14.7109375" style="284" bestFit="1" customWidth="1"/>
    <col min="5892" max="5892" width="12.5703125" style="284" customWidth="1"/>
    <col min="5893" max="5893" width="21" style="284" bestFit="1" customWidth="1"/>
    <col min="5894" max="5894" width="19.85546875" style="284" customWidth="1"/>
    <col min="5895" max="5895" width="15.85546875" style="284" bestFit="1" customWidth="1"/>
    <col min="5896" max="5896" width="14.85546875" style="284" bestFit="1" customWidth="1"/>
    <col min="5897" max="5897" width="15.85546875" style="284" bestFit="1" customWidth="1"/>
    <col min="5898" max="5899" width="11.5703125" style="284" customWidth="1"/>
    <col min="5900" max="5901" width="13.85546875" style="284" customWidth="1"/>
    <col min="5902" max="5902" width="15.42578125" style="284" customWidth="1"/>
    <col min="5903" max="5903" width="14.85546875" style="284" customWidth="1"/>
    <col min="5904" max="5904" width="15.42578125" style="284" customWidth="1"/>
    <col min="5905" max="5906" width="13.85546875" style="284" customWidth="1"/>
    <col min="5907" max="5907" width="1.5703125" style="284" customWidth="1"/>
    <col min="5908" max="5908" width="12" style="284" customWidth="1"/>
    <col min="5909" max="5909" width="15.28515625" style="284" bestFit="1" customWidth="1"/>
    <col min="5910" max="5910" width="14.42578125" style="284" bestFit="1" customWidth="1"/>
    <col min="5911" max="5911" width="12.140625" style="284" customWidth="1"/>
    <col min="5912" max="5912" width="10.5703125" style="284" bestFit="1" customWidth="1"/>
    <col min="5913" max="5913" width="14.7109375" style="284" customWidth="1"/>
    <col min="5914" max="5914" width="14.5703125" style="284" bestFit="1" customWidth="1"/>
    <col min="5915" max="5915" width="17.7109375" style="284" customWidth="1"/>
    <col min="5916" max="5916" width="15" style="284" customWidth="1"/>
    <col min="5917" max="5917" width="8.85546875" style="284" customWidth="1"/>
    <col min="5918" max="5918" width="16" style="284" customWidth="1"/>
    <col min="5919" max="5919" width="14.85546875" style="284" bestFit="1" customWidth="1"/>
    <col min="5920" max="5920" width="15.140625" style="284" customWidth="1"/>
    <col min="5921" max="5921" width="11.85546875" style="284" customWidth="1"/>
    <col min="5922" max="5922" width="10.7109375" style="284" bestFit="1" customWidth="1"/>
    <col min="5923" max="5923" width="13.85546875" style="284" customWidth="1"/>
    <col min="5924" max="5926" width="18.140625" style="284" bestFit="1" customWidth="1"/>
    <col min="5927" max="5931" width="9.140625" style="284"/>
    <col min="5932" max="5932" width="10.42578125" style="284" bestFit="1" customWidth="1"/>
    <col min="5933" max="5934" width="14.28515625" style="284" bestFit="1" customWidth="1"/>
    <col min="5935" max="5939" width="10.42578125" style="284" bestFit="1" customWidth="1"/>
    <col min="5940" max="6145" width="9.140625" style="284"/>
    <col min="6146" max="6146" width="15.7109375" style="284" customWidth="1"/>
    <col min="6147" max="6147" width="14.7109375" style="284" bestFit="1" customWidth="1"/>
    <col min="6148" max="6148" width="12.5703125" style="284" customWidth="1"/>
    <col min="6149" max="6149" width="21" style="284" bestFit="1" customWidth="1"/>
    <col min="6150" max="6150" width="19.85546875" style="284" customWidth="1"/>
    <col min="6151" max="6151" width="15.85546875" style="284" bestFit="1" customWidth="1"/>
    <col min="6152" max="6152" width="14.85546875" style="284" bestFit="1" customWidth="1"/>
    <col min="6153" max="6153" width="15.85546875" style="284" bestFit="1" customWidth="1"/>
    <col min="6154" max="6155" width="11.5703125" style="284" customWidth="1"/>
    <col min="6156" max="6157" width="13.85546875" style="284" customWidth="1"/>
    <col min="6158" max="6158" width="15.42578125" style="284" customWidth="1"/>
    <col min="6159" max="6159" width="14.85546875" style="284" customWidth="1"/>
    <col min="6160" max="6160" width="15.42578125" style="284" customWidth="1"/>
    <col min="6161" max="6162" width="13.85546875" style="284" customWidth="1"/>
    <col min="6163" max="6163" width="1.5703125" style="284" customWidth="1"/>
    <col min="6164" max="6164" width="12" style="284" customWidth="1"/>
    <col min="6165" max="6165" width="15.28515625" style="284" bestFit="1" customWidth="1"/>
    <col min="6166" max="6166" width="14.42578125" style="284" bestFit="1" customWidth="1"/>
    <col min="6167" max="6167" width="12.140625" style="284" customWidth="1"/>
    <col min="6168" max="6168" width="10.5703125" style="284" bestFit="1" customWidth="1"/>
    <col min="6169" max="6169" width="14.7109375" style="284" customWidth="1"/>
    <col min="6170" max="6170" width="14.5703125" style="284" bestFit="1" customWidth="1"/>
    <col min="6171" max="6171" width="17.7109375" style="284" customWidth="1"/>
    <col min="6172" max="6172" width="15" style="284" customWidth="1"/>
    <col min="6173" max="6173" width="8.85546875" style="284" customWidth="1"/>
    <col min="6174" max="6174" width="16" style="284" customWidth="1"/>
    <col min="6175" max="6175" width="14.85546875" style="284" bestFit="1" customWidth="1"/>
    <col min="6176" max="6176" width="15.140625" style="284" customWidth="1"/>
    <col min="6177" max="6177" width="11.85546875" style="284" customWidth="1"/>
    <col min="6178" max="6178" width="10.7109375" style="284" bestFit="1" customWidth="1"/>
    <col min="6179" max="6179" width="13.85546875" style="284" customWidth="1"/>
    <col min="6180" max="6182" width="18.140625" style="284" bestFit="1" customWidth="1"/>
    <col min="6183" max="6187" width="9.140625" style="284"/>
    <col min="6188" max="6188" width="10.42578125" style="284" bestFit="1" customWidth="1"/>
    <col min="6189" max="6190" width="14.28515625" style="284" bestFit="1" customWidth="1"/>
    <col min="6191" max="6195" width="10.42578125" style="284" bestFit="1" customWidth="1"/>
    <col min="6196" max="6401" width="9.140625" style="284"/>
    <col min="6402" max="6402" width="15.7109375" style="284" customWidth="1"/>
    <col min="6403" max="6403" width="14.7109375" style="284" bestFit="1" customWidth="1"/>
    <col min="6404" max="6404" width="12.5703125" style="284" customWidth="1"/>
    <col min="6405" max="6405" width="21" style="284" bestFit="1" customWidth="1"/>
    <col min="6406" max="6406" width="19.85546875" style="284" customWidth="1"/>
    <col min="6407" max="6407" width="15.85546875" style="284" bestFit="1" customWidth="1"/>
    <col min="6408" max="6408" width="14.85546875" style="284" bestFit="1" customWidth="1"/>
    <col min="6409" max="6409" width="15.85546875" style="284" bestFit="1" customWidth="1"/>
    <col min="6410" max="6411" width="11.5703125" style="284" customWidth="1"/>
    <col min="6412" max="6413" width="13.85546875" style="284" customWidth="1"/>
    <col min="6414" max="6414" width="15.42578125" style="284" customWidth="1"/>
    <col min="6415" max="6415" width="14.85546875" style="284" customWidth="1"/>
    <col min="6416" max="6416" width="15.42578125" style="284" customWidth="1"/>
    <col min="6417" max="6418" width="13.85546875" style="284" customWidth="1"/>
    <col min="6419" max="6419" width="1.5703125" style="284" customWidth="1"/>
    <col min="6420" max="6420" width="12" style="284" customWidth="1"/>
    <col min="6421" max="6421" width="15.28515625" style="284" bestFit="1" customWidth="1"/>
    <col min="6422" max="6422" width="14.42578125" style="284" bestFit="1" customWidth="1"/>
    <col min="6423" max="6423" width="12.140625" style="284" customWidth="1"/>
    <col min="6424" max="6424" width="10.5703125" style="284" bestFit="1" customWidth="1"/>
    <col min="6425" max="6425" width="14.7109375" style="284" customWidth="1"/>
    <col min="6426" max="6426" width="14.5703125" style="284" bestFit="1" customWidth="1"/>
    <col min="6427" max="6427" width="17.7109375" style="284" customWidth="1"/>
    <col min="6428" max="6428" width="15" style="284" customWidth="1"/>
    <col min="6429" max="6429" width="8.85546875" style="284" customWidth="1"/>
    <col min="6430" max="6430" width="16" style="284" customWidth="1"/>
    <col min="6431" max="6431" width="14.85546875" style="284" bestFit="1" customWidth="1"/>
    <col min="6432" max="6432" width="15.140625" style="284" customWidth="1"/>
    <col min="6433" max="6433" width="11.85546875" style="284" customWidth="1"/>
    <col min="6434" max="6434" width="10.7109375" style="284" bestFit="1" customWidth="1"/>
    <col min="6435" max="6435" width="13.85546875" style="284" customWidth="1"/>
    <col min="6436" max="6438" width="18.140625" style="284" bestFit="1" customWidth="1"/>
    <col min="6439" max="6443" width="9.140625" style="284"/>
    <col min="6444" max="6444" width="10.42578125" style="284" bestFit="1" customWidth="1"/>
    <col min="6445" max="6446" width="14.28515625" style="284" bestFit="1" customWidth="1"/>
    <col min="6447" max="6451" width="10.42578125" style="284" bestFit="1" customWidth="1"/>
    <col min="6452" max="6657" width="9.140625" style="284"/>
    <col min="6658" max="6658" width="15.7109375" style="284" customWidth="1"/>
    <col min="6659" max="6659" width="14.7109375" style="284" bestFit="1" customWidth="1"/>
    <col min="6660" max="6660" width="12.5703125" style="284" customWidth="1"/>
    <col min="6661" max="6661" width="21" style="284" bestFit="1" customWidth="1"/>
    <col min="6662" max="6662" width="19.85546875" style="284" customWidth="1"/>
    <col min="6663" max="6663" width="15.85546875" style="284" bestFit="1" customWidth="1"/>
    <col min="6664" max="6664" width="14.85546875" style="284" bestFit="1" customWidth="1"/>
    <col min="6665" max="6665" width="15.85546875" style="284" bestFit="1" customWidth="1"/>
    <col min="6666" max="6667" width="11.5703125" style="284" customWidth="1"/>
    <col min="6668" max="6669" width="13.85546875" style="284" customWidth="1"/>
    <col min="6670" max="6670" width="15.42578125" style="284" customWidth="1"/>
    <col min="6671" max="6671" width="14.85546875" style="284" customWidth="1"/>
    <col min="6672" max="6672" width="15.42578125" style="284" customWidth="1"/>
    <col min="6673" max="6674" width="13.85546875" style="284" customWidth="1"/>
    <col min="6675" max="6675" width="1.5703125" style="284" customWidth="1"/>
    <col min="6676" max="6676" width="12" style="284" customWidth="1"/>
    <col min="6677" max="6677" width="15.28515625" style="284" bestFit="1" customWidth="1"/>
    <col min="6678" max="6678" width="14.42578125" style="284" bestFit="1" customWidth="1"/>
    <col min="6679" max="6679" width="12.140625" style="284" customWidth="1"/>
    <col min="6680" max="6680" width="10.5703125" style="284" bestFit="1" customWidth="1"/>
    <col min="6681" max="6681" width="14.7109375" style="284" customWidth="1"/>
    <col min="6682" max="6682" width="14.5703125" style="284" bestFit="1" customWidth="1"/>
    <col min="6683" max="6683" width="17.7109375" style="284" customWidth="1"/>
    <col min="6684" max="6684" width="15" style="284" customWidth="1"/>
    <col min="6685" max="6685" width="8.85546875" style="284" customWidth="1"/>
    <col min="6686" max="6686" width="16" style="284" customWidth="1"/>
    <col min="6687" max="6687" width="14.85546875" style="284" bestFit="1" customWidth="1"/>
    <col min="6688" max="6688" width="15.140625" style="284" customWidth="1"/>
    <col min="6689" max="6689" width="11.85546875" style="284" customWidth="1"/>
    <col min="6690" max="6690" width="10.7109375" style="284" bestFit="1" customWidth="1"/>
    <col min="6691" max="6691" width="13.85546875" style="284" customWidth="1"/>
    <col min="6692" max="6694" width="18.140625" style="284" bestFit="1" customWidth="1"/>
    <col min="6695" max="6699" width="9.140625" style="284"/>
    <col min="6700" max="6700" width="10.42578125" style="284" bestFit="1" customWidth="1"/>
    <col min="6701" max="6702" width="14.28515625" style="284" bestFit="1" customWidth="1"/>
    <col min="6703" max="6707" width="10.42578125" style="284" bestFit="1" customWidth="1"/>
    <col min="6708" max="6913" width="9.140625" style="284"/>
    <col min="6914" max="6914" width="15.7109375" style="284" customWidth="1"/>
    <col min="6915" max="6915" width="14.7109375" style="284" bestFit="1" customWidth="1"/>
    <col min="6916" max="6916" width="12.5703125" style="284" customWidth="1"/>
    <col min="6917" max="6917" width="21" style="284" bestFit="1" customWidth="1"/>
    <col min="6918" max="6918" width="19.85546875" style="284" customWidth="1"/>
    <col min="6919" max="6919" width="15.85546875" style="284" bestFit="1" customWidth="1"/>
    <col min="6920" max="6920" width="14.85546875" style="284" bestFit="1" customWidth="1"/>
    <col min="6921" max="6921" width="15.85546875" style="284" bestFit="1" customWidth="1"/>
    <col min="6922" max="6923" width="11.5703125" style="284" customWidth="1"/>
    <col min="6924" max="6925" width="13.85546875" style="284" customWidth="1"/>
    <col min="6926" max="6926" width="15.42578125" style="284" customWidth="1"/>
    <col min="6927" max="6927" width="14.85546875" style="284" customWidth="1"/>
    <col min="6928" max="6928" width="15.42578125" style="284" customWidth="1"/>
    <col min="6929" max="6930" width="13.85546875" style="284" customWidth="1"/>
    <col min="6931" max="6931" width="1.5703125" style="284" customWidth="1"/>
    <col min="6932" max="6932" width="12" style="284" customWidth="1"/>
    <col min="6933" max="6933" width="15.28515625" style="284" bestFit="1" customWidth="1"/>
    <col min="6934" max="6934" width="14.42578125" style="284" bestFit="1" customWidth="1"/>
    <col min="6935" max="6935" width="12.140625" style="284" customWidth="1"/>
    <col min="6936" max="6936" width="10.5703125" style="284" bestFit="1" customWidth="1"/>
    <col min="6937" max="6937" width="14.7109375" style="284" customWidth="1"/>
    <col min="6938" max="6938" width="14.5703125" style="284" bestFit="1" customWidth="1"/>
    <col min="6939" max="6939" width="17.7109375" style="284" customWidth="1"/>
    <col min="6940" max="6940" width="15" style="284" customWidth="1"/>
    <col min="6941" max="6941" width="8.85546875" style="284" customWidth="1"/>
    <col min="6942" max="6942" width="16" style="284" customWidth="1"/>
    <col min="6943" max="6943" width="14.85546875" style="284" bestFit="1" customWidth="1"/>
    <col min="6944" max="6944" width="15.140625" style="284" customWidth="1"/>
    <col min="6945" max="6945" width="11.85546875" style="284" customWidth="1"/>
    <col min="6946" max="6946" width="10.7109375" style="284" bestFit="1" customWidth="1"/>
    <col min="6947" max="6947" width="13.85546875" style="284" customWidth="1"/>
    <col min="6948" max="6950" width="18.140625" style="284" bestFit="1" customWidth="1"/>
    <col min="6951" max="6955" width="9.140625" style="284"/>
    <col min="6956" max="6956" width="10.42578125" style="284" bestFit="1" customWidth="1"/>
    <col min="6957" max="6958" width="14.28515625" style="284" bestFit="1" customWidth="1"/>
    <col min="6959" max="6963" width="10.42578125" style="284" bestFit="1" customWidth="1"/>
    <col min="6964" max="7169" width="9.140625" style="284"/>
    <col min="7170" max="7170" width="15.7109375" style="284" customWidth="1"/>
    <col min="7171" max="7171" width="14.7109375" style="284" bestFit="1" customWidth="1"/>
    <col min="7172" max="7172" width="12.5703125" style="284" customWidth="1"/>
    <col min="7173" max="7173" width="21" style="284" bestFit="1" customWidth="1"/>
    <col min="7174" max="7174" width="19.85546875" style="284" customWidth="1"/>
    <col min="7175" max="7175" width="15.85546875" style="284" bestFit="1" customWidth="1"/>
    <col min="7176" max="7176" width="14.85546875" style="284" bestFit="1" customWidth="1"/>
    <col min="7177" max="7177" width="15.85546875" style="284" bestFit="1" customWidth="1"/>
    <col min="7178" max="7179" width="11.5703125" style="284" customWidth="1"/>
    <col min="7180" max="7181" width="13.85546875" style="284" customWidth="1"/>
    <col min="7182" max="7182" width="15.42578125" style="284" customWidth="1"/>
    <col min="7183" max="7183" width="14.85546875" style="284" customWidth="1"/>
    <col min="7184" max="7184" width="15.42578125" style="284" customWidth="1"/>
    <col min="7185" max="7186" width="13.85546875" style="284" customWidth="1"/>
    <col min="7187" max="7187" width="1.5703125" style="284" customWidth="1"/>
    <col min="7188" max="7188" width="12" style="284" customWidth="1"/>
    <col min="7189" max="7189" width="15.28515625" style="284" bestFit="1" customWidth="1"/>
    <col min="7190" max="7190" width="14.42578125" style="284" bestFit="1" customWidth="1"/>
    <col min="7191" max="7191" width="12.140625" style="284" customWidth="1"/>
    <col min="7192" max="7192" width="10.5703125" style="284" bestFit="1" customWidth="1"/>
    <col min="7193" max="7193" width="14.7109375" style="284" customWidth="1"/>
    <col min="7194" max="7194" width="14.5703125" style="284" bestFit="1" customWidth="1"/>
    <col min="7195" max="7195" width="17.7109375" style="284" customWidth="1"/>
    <col min="7196" max="7196" width="15" style="284" customWidth="1"/>
    <col min="7197" max="7197" width="8.85546875" style="284" customWidth="1"/>
    <col min="7198" max="7198" width="16" style="284" customWidth="1"/>
    <col min="7199" max="7199" width="14.85546875" style="284" bestFit="1" customWidth="1"/>
    <col min="7200" max="7200" width="15.140625" style="284" customWidth="1"/>
    <col min="7201" max="7201" width="11.85546875" style="284" customWidth="1"/>
    <col min="7202" max="7202" width="10.7109375" style="284" bestFit="1" customWidth="1"/>
    <col min="7203" max="7203" width="13.85546875" style="284" customWidth="1"/>
    <col min="7204" max="7206" width="18.140625" style="284" bestFit="1" customWidth="1"/>
    <col min="7207" max="7211" width="9.140625" style="284"/>
    <col min="7212" max="7212" width="10.42578125" style="284" bestFit="1" customWidth="1"/>
    <col min="7213" max="7214" width="14.28515625" style="284" bestFit="1" customWidth="1"/>
    <col min="7215" max="7219" width="10.42578125" style="284" bestFit="1" customWidth="1"/>
    <col min="7220" max="7425" width="9.140625" style="284"/>
    <col min="7426" max="7426" width="15.7109375" style="284" customWidth="1"/>
    <col min="7427" max="7427" width="14.7109375" style="284" bestFit="1" customWidth="1"/>
    <col min="7428" max="7428" width="12.5703125" style="284" customWidth="1"/>
    <col min="7429" max="7429" width="21" style="284" bestFit="1" customWidth="1"/>
    <col min="7430" max="7430" width="19.85546875" style="284" customWidth="1"/>
    <col min="7431" max="7431" width="15.85546875" style="284" bestFit="1" customWidth="1"/>
    <col min="7432" max="7432" width="14.85546875" style="284" bestFit="1" customWidth="1"/>
    <col min="7433" max="7433" width="15.85546875" style="284" bestFit="1" customWidth="1"/>
    <col min="7434" max="7435" width="11.5703125" style="284" customWidth="1"/>
    <col min="7436" max="7437" width="13.85546875" style="284" customWidth="1"/>
    <col min="7438" max="7438" width="15.42578125" style="284" customWidth="1"/>
    <col min="7439" max="7439" width="14.85546875" style="284" customWidth="1"/>
    <col min="7440" max="7440" width="15.42578125" style="284" customWidth="1"/>
    <col min="7441" max="7442" width="13.85546875" style="284" customWidth="1"/>
    <col min="7443" max="7443" width="1.5703125" style="284" customWidth="1"/>
    <col min="7444" max="7444" width="12" style="284" customWidth="1"/>
    <col min="7445" max="7445" width="15.28515625" style="284" bestFit="1" customWidth="1"/>
    <col min="7446" max="7446" width="14.42578125" style="284" bestFit="1" customWidth="1"/>
    <col min="7447" max="7447" width="12.140625" style="284" customWidth="1"/>
    <col min="7448" max="7448" width="10.5703125" style="284" bestFit="1" customWidth="1"/>
    <col min="7449" max="7449" width="14.7109375" style="284" customWidth="1"/>
    <col min="7450" max="7450" width="14.5703125" style="284" bestFit="1" customWidth="1"/>
    <col min="7451" max="7451" width="17.7109375" style="284" customWidth="1"/>
    <col min="7452" max="7452" width="15" style="284" customWidth="1"/>
    <col min="7453" max="7453" width="8.85546875" style="284" customWidth="1"/>
    <col min="7454" max="7454" width="16" style="284" customWidth="1"/>
    <col min="7455" max="7455" width="14.85546875" style="284" bestFit="1" customWidth="1"/>
    <col min="7456" max="7456" width="15.140625" style="284" customWidth="1"/>
    <col min="7457" max="7457" width="11.85546875" style="284" customWidth="1"/>
    <col min="7458" max="7458" width="10.7109375" style="284" bestFit="1" customWidth="1"/>
    <col min="7459" max="7459" width="13.85546875" style="284" customWidth="1"/>
    <col min="7460" max="7462" width="18.140625" style="284" bestFit="1" customWidth="1"/>
    <col min="7463" max="7467" width="9.140625" style="284"/>
    <col min="7468" max="7468" width="10.42578125" style="284" bestFit="1" customWidth="1"/>
    <col min="7469" max="7470" width="14.28515625" style="284" bestFit="1" customWidth="1"/>
    <col min="7471" max="7475" width="10.42578125" style="284" bestFit="1" customWidth="1"/>
    <col min="7476" max="7681" width="9.140625" style="284"/>
    <col min="7682" max="7682" width="15.7109375" style="284" customWidth="1"/>
    <col min="7683" max="7683" width="14.7109375" style="284" bestFit="1" customWidth="1"/>
    <col min="7684" max="7684" width="12.5703125" style="284" customWidth="1"/>
    <col min="7685" max="7685" width="21" style="284" bestFit="1" customWidth="1"/>
    <col min="7686" max="7686" width="19.85546875" style="284" customWidth="1"/>
    <col min="7687" max="7687" width="15.85546875" style="284" bestFit="1" customWidth="1"/>
    <col min="7688" max="7688" width="14.85546875" style="284" bestFit="1" customWidth="1"/>
    <col min="7689" max="7689" width="15.85546875" style="284" bestFit="1" customWidth="1"/>
    <col min="7690" max="7691" width="11.5703125" style="284" customWidth="1"/>
    <col min="7692" max="7693" width="13.85546875" style="284" customWidth="1"/>
    <col min="7694" max="7694" width="15.42578125" style="284" customWidth="1"/>
    <col min="7695" max="7695" width="14.85546875" style="284" customWidth="1"/>
    <col min="7696" max="7696" width="15.42578125" style="284" customWidth="1"/>
    <col min="7697" max="7698" width="13.85546875" style="284" customWidth="1"/>
    <col min="7699" max="7699" width="1.5703125" style="284" customWidth="1"/>
    <col min="7700" max="7700" width="12" style="284" customWidth="1"/>
    <col min="7701" max="7701" width="15.28515625" style="284" bestFit="1" customWidth="1"/>
    <col min="7702" max="7702" width="14.42578125" style="284" bestFit="1" customWidth="1"/>
    <col min="7703" max="7703" width="12.140625" style="284" customWidth="1"/>
    <col min="7704" max="7704" width="10.5703125" style="284" bestFit="1" customWidth="1"/>
    <col min="7705" max="7705" width="14.7109375" style="284" customWidth="1"/>
    <col min="7706" max="7706" width="14.5703125" style="284" bestFit="1" customWidth="1"/>
    <col min="7707" max="7707" width="17.7109375" style="284" customWidth="1"/>
    <col min="7708" max="7708" width="15" style="284" customWidth="1"/>
    <col min="7709" max="7709" width="8.85546875" style="284" customWidth="1"/>
    <col min="7710" max="7710" width="16" style="284" customWidth="1"/>
    <col min="7711" max="7711" width="14.85546875" style="284" bestFit="1" customWidth="1"/>
    <col min="7712" max="7712" width="15.140625" style="284" customWidth="1"/>
    <col min="7713" max="7713" width="11.85546875" style="284" customWidth="1"/>
    <col min="7714" max="7714" width="10.7109375" style="284" bestFit="1" customWidth="1"/>
    <col min="7715" max="7715" width="13.85546875" style="284" customWidth="1"/>
    <col min="7716" max="7718" width="18.140625" style="284" bestFit="1" customWidth="1"/>
    <col min="7719" max="7723" width="9.140625" style="284"/>
    <col min="7724" max="7724" width="10.42578125" style="284" bestFit="1" customWidth="1"/>
    <col min="7725" max="7726" width="14.28515625" style="284" bestFit="1" customWidth="1"/>
    <col min="7727" max="7731" width="10.42578125" style="284" bestFit="1" customWidth="1"/>
    <col min="7732" max="7937" width="9.140625" style="284"/>
    <col min="7938" max="7938" width="15.7109375" style="284" customWidth="1"/>
    <col min="7939" max="7939" width="14.7109375" style="284" bestFit="1" customWidth="1"/>
    <col min="7940" max="7940" width="12.5703125" style="284" customWidth="1"/>
    <col min="7941" max="7941" width="21" style="284" bestFit="1" customWidth="1"/>
    <col min="7942" max="7942" width="19.85546875" style="284" customWidth="1"/>
    <col min="7943" max="7943" width="15.85546875" style="284" bestFit="1" customWidth="1"/>
    <col min="7944" max="7944" width="14.85546875" style="284" bestFit="1" customWidth="1"/>
    <col min="7945" max="7945" width="15.85546875" style="284" bestFit="1" customWidth="1"/>
    <col min="7946" max="7947" width="11.5703125" style="284" customWidth="1"/>
    <col min="7948" max="7949" width="13.85546875" style="284" customWidth="1"/>
    <col min="7950" max="7950" width="15.42578125" style="284" customWidth="1"/>
    <col min="7951" max="7951" width="14.85546875" style="284" customWidth="1"/>
    <col min="7952" max="7952" width="15.42578125" style="284" customWidth="1"/>
    <col min="7953" max="7954" width="13.85546875" style="284" customWidth="1"/>
    <col min="7955" max="7955" width="1.5703125" style="284" customWidth="1"/>
    <col min="7956" max="7956" width="12" style="284" customWidth="1"/>
    <col min="7957" max="7957" width="15.28515625" style="284" bestFit="1" customWidth="1"/>
    <col min="7958" max="7958" width="14.42578125" style="284" bestFit="1" customWidth="1"/>
    <col min="7959" max="7959" width="12.140625" style="284" customWidth="1"/>
    <col min="7960" max="7960" width="10.5703125" style="284" bestFit="1" customWidth="1"/>
    <col min="7961" max="7961" width="14.7109375" style="284" customWidth="1"/>
    <col min="7962" max="7962" width="14.5703125" style="284" bestFit="1" customWidth="1"/>
    <col min="7963" max="7963" width="17.7109375" style="284" customWidth="1"/>
    <col min="7964" max="7964" width="15" style="284" customWidth="1"/>
    <col min="7965" max="7965" width="8.85546875" style="284" customWidth="1"/>
    <col min="7966" max="7966" width="16" style="284" customWidth="1"/>
    <col min="7967" max="7967" width="14.85546875" style="284" bestFit="1" customWidth="1"/>
    <col min="7968" max="7968" width="15.140625" style="284" customWidth="1"/>
    <col min="7969" max="7969" width="11.85546875" style="284" customWidth="1"/>
    <col min="7970" max="7970" width="10.7109375" style="284" bestFit="1" customWidth="1"/>
    <col min="7971" max="7971" width="13.85546875" style="284" customWidth="1"/>
    <col min="7972" max="7974" width="18.140625" style="284" bestFit="1" customWidth="1"/>
    <col min="7975" max="7979" width="9.140625" style="284"/>
    <col min="7980" max="7980" width="10.42578125" style="284" bestFit="1" customWidth="1"/>
    <col min="7981" max="7982" width="14.28515625" style="284" bestFit="1" customWidth="1"/>
    <col min="7983" max="7987" width="10.42578125" style="284" bestFit="1" customWidth="1"/>
    <col min="7988" max="8193" width="9.140625" style="284"/>
    <col min="8194" max="8194" width="15.7109375" style="284" customWidth="1"/>
    <col min="8195" max="8195" width="14.7109375" style="284" bestFit="1" customWidth="1"/>
    <col min="8196" max="8196" width="12.5703125" style="284" customWidth="1"/>
    <col min="8197" max="8197" width="21" style="284" bestFit="1" customWidth="1"/>
    <col min="8198" max="8198" width="19.85546875" style="284" customWidth="1"/>
    <col min="8199" max="8199" width="15.85546875" style="284" bestFit="1" customWidth="1"/>
    <col min="8200" max="8200" width="14.85546875" style="284" bestFit="1" customWidth="1"/>
    <col min="8201" max="8201" width="15.85546875" style="284" bestFit="1" customWidth="1"/>
    <col min="8202" max="8203" width="11.5703125" style="284" customWidth="1"/>
    <col min="8204" max="8205" width="13.85546875" style="284" customWidth="1"/>
    <col min="8206" max="8206" width="15.42578125" style="284" customWidth="1"/>
    <col min="8207" max="8207" width="14.85546875" style="284" customWidth="1"/>
    <col min="8208" max="8208" width="15.42578125" style="284" customWidth="1"/>
    <col min="8209" max="8210" width="13.85546875" style="284" customWidth="1"/>
    <col min="8211" max="8211" width="1.5703125" style="284" customWidth="1"/>
    <col min="8212" max="8212" width="12" style="284" customWidth="1"/>
    <col min="8213" max="8213" width="15.28515625" style="284" bestFit="1" customWidth="1"/>
    <col min="8214" max="8214" width="14.42578125" style="284" bestFit="1" customWidth="1"/>
    <col min="8215" max="8215" width="12.140625" style="284" customWidth="1"/>
    <col min="8216" max="8216" width="10.5703125" style="284" bestFit="1" customWidth="1"/>
    <col min="8217" max="8217" width="14.7109375" style="284" customWidth="1"/>
    <col min="8218" max="8218" width="14.5703125" style="284" bestFit="1" customWidth="1"/>
    <col min="8219" max="8219" width="17.7109375" style="284" customWidth="1"/>
    <col min="8220" max="8220" width="15" style="284" customWidth="1"/>
    <col min="8221" max="8221" width="8.85546875" style="284" customWidth="1"/>
    <col min="8222" max="8222" width="16" style="284" customWidth="1"/>
    <col min="8223" max="8223" width="14.85546875" style="284" bestFit="1" customWidth="1"/>
    <col min="8224" max="8224" width="15.140625" style="284" customWidth="1"/>
    <col min="8225" max="8225" width="11.85546875" style="284" customWidth="1"/>
    <col min="8226" max="8226" width="10.7109375" style="284" bestFit="1" customWidth="1"/>
    <col min="8227" max="8227" width="13.85546875" style="284" customWidth="1"/>
    <col min="8228" max="8230" width="18.140625" style="284" bestFit="1" customWidth="1"/>
    <col min="8231" max="8235" width="9.140625" style="284"/>
    <col min="8236" max="8236" width="10.42578125" style="284" bestFit="1" customWidth="1"/>
    <col min="8237" max="8238" width="14.28515625" style="284" bestFit="1" customWidth="1"/>
    <col min="8239" max="8243" width="10.42578125" style="284" bestFit="1" customWidth="1"/>
    <col min="8244" max="8449" width="9.140625" style="284"/>
    <col min="8450" max="8450" width="15.7109375" style="284" customWidth="1"/>
    <col min="8451" max="8451" width="14.7109375" style="284" bestFit="1" customWidth="1"/>
    <col min="8452" max="8452" width="12.5703125" style="284" customWidth="1"/>
    <col min="8453" max="8453" width="21" style="284" bestFit="1" customWidth="1"/>
    <col min="8454" max="8454" width="19.85546875" style="284" customWidth="1"/>
    <col min="8455" max="8455" width="15.85546875" style="284" bestFit="1" customWidth="1"/>
    <col min="8456" max="8456" width="14.85546875" style="284" bestFit="1" customWidth="1"/>
    <col min="8457" max="8457" width="15.85546875" style="284" bestFit="1" customWidth="1"/>
    <col min="8458" max="8459" width="11.5703125" style="284" customWidth="1"/>
    <col min="8460" max="8461" width="13.85546875" style="284" customWidth="1"/>
    <col min="8462" max="8462" width="15.42578125" style="284" customWidth="1"/>
    <col min="8463" max="8463" width="14.85546875" style="284" customWidth="1"/>
    <col min="8464" max="8464" width="15.42578125" style="284" customWidth="1"/>
    <col min="8465" max="8466" width="13.85546875" style="284" customWidth="1"/>
    <col min="8467" max="8467" width="1.5703125" style="284" customWidth="1"/>
    <col min="8468" max="8468" width="12" style="284" customWidth="1"/>
    <col min="8469" max="8469" width="15.28515625" style="284" bestFit="1" customWidth="1"/>
    <col min="8470" max="8470" width="14.42578125" style="284" bestFit="1" customWidth="1"/>
    <col min="8471" max="8471" width="12.140625" style="284" customWidth="1"/>
    <col min="8472" max="8472" width="10.5703125" style="284" bestFit="1" customWidth="1"/>
    <col min="8473" max="8473" width="14.7109375" style="284" customWidth="1"/>
    <col min="8474" max="8474" width="14.5703125" style="284" bestFit="1" customWidth="1"/>
    <col min="8475" max="8475" width="17.7109375" style="284" customWidth="1"/>
    <col min="8476" max="8476" width="15" style="284" customWidth="1"/>
    <col min="8477" max="8477" width="8.85546875" style="284" customWidth="1"/>
    <col min="8478" max="8478" width="16" style="284" customWidth="1"/>
    <col min="8479" max="8479" width="14.85546875" style="284" bestFit="1" customWidth="1"/>
    <col min="8480" max="8480" width="15.140625" style="284" customWidth="1"/>
    <col min="8481" max="8481" width="11.85546875" style="284" customWidth="1"/>
    <col min="8482" max="8482" width="10.7109375" style="284" bestFit="1" customWidth="1"/>
    <col min="8483" max="8483" width="13.85546875" style="284" customWidth="1"/>
    <col min="8484" max="8486" width="18.140625" style="284" bestFit="1" customWidth="1"/>
    <col min="8487" max="8491" width="9.140625" style="284"/>
    <col min="8492" max="8492" width="10.42578125" style="284" bestFit="1" customWidth="1"/>
    <col min="8493" max="8494" width="14.28515625" style="284" bestFit="1" customWidth="1"/>
    <col min="8495" max="8499" width="10.42578125" style="284" bestFit="1" customWidth="1"/>
    <col min="8500" max="8705" width="9.140625" style="284"/>
    <col min="8706" max="8706" width="15.7109375" style="284" customWidth="1"/>
    <col min="8707" max="8707" width="14.7109375" style="284" bestFit="1" customWidth="1"/>
    <col min="8708" max="8708" width="12.5703125" style="284" customWidth="1"/>
    <col min="8709" max="8709" width="21" style="284" bestFit="1" customWidth="1"/>
    <col min="8710" max="8710" width="19.85546875" style="284" customWidth="1"/>
    <col min="8711" max="8711" width="15.85546875" style="284" bestFit="1" customWidth="1"/>
    <col min="8712" max="8712" width="14.85546875" style="284" bestFit="1" customWidth="1"/>
    <col min="8713" max="8713" width="15.85546875" style="284" bestFit="1" customWidth="1"/>
    <col min="8714" max="8715" width="11.5703125" style="284" customWidth="1"/>
    <col min="8716" max="8717" width="13.85546875" style="284" customWidth="1"/>
    <col min="8718" max="8718" width="15.42578125" style="284" customWidth="1"/>
    <col min="8719" max="8719" width="14.85546875" style="284" customWidth="1"/>
    <col min="8720" max="8720" width="15.42578125" style="284" customWidth="1"/>
    <col min="8721" max="8722" width="13.85546875" style="284" customWidth="1"/>
    <col min="8723" max="8723" width="1.5703125" style="284" customWidth="1"/>
    <col min="8724" max="8724" width="12" style="284" customWidth="1"/>
    <col min="8725" max="8725" width="15.28515625" style="284" bestFit="1" customWidth="1"/>
    <col min="8726" max="8726" width="14.42578125" style="284" bestFit="1" customWidth="1"/>
    <col min="8727" max="8727" width="12.140625" style="284" customWidth="1"/>
    <col min="8728" max="8728" width="10.5703125" style="284" bestFit="1" customWidth="1"/>
    <col min="8729" max="8729" width="14.7109375" style="284" customWidth="1"/>
    <col min="8730" max="8730" width="14.5703125" style="284" bestFit="1" customWidth="1"/>
    <col min="8731" max="8731" width="17.7109375" style="284" customWidth="1"/>
    <col min="8732" max="8732" width="15" style="284" customWidth="1"/>
    <col min="8733" max="8733" width="8.85546875" style="284" customWidth="1"/>
    <col min="8734" max="8734" width="16" style="284" customWidth="1"/>
    <col min="8735" max="8735" width="14.85546875" style="284" bestFit="1" customWidth="1"/>
    <col min="8736" max="8736" width="15.140625" style="284" customWidth="1"/>
    <col min="8737" max="8737" width="11.85546875" style="284" customWidth="1"/>
    <col min="8738" max="8738" width="10.7109375" style="284" bestFit="1" customWidth="1"/>
    <col min="8739" max="8739" width="13.85546875" style="284" customWidth="1"/>
    <col min="8740" max="8742" width="18.140625" style="284" bestFit="1" customWidth="1"/>
    <col min="8743" max="8747" width="9.140625" style="284"/>
    <col min="8748" max="8748" width="10.42578125" style="284" bestFit="1" customWidth="1"/>
    <col min="8749" max="8750" width="14.28515625" style="284" bestFit="1" customWidth="1"/>
    <col min="8751" max="8755" width="10.42578125" style="284" bestFit="1" customWidth="1"/>
    <col min="8756" max="8961" width="9.140625" style="284"/>
    <col min="8962" max="8962" width="15.7109375" style="284" customWidth="1"/>
    <col min="8963" max="8963" width="14.7109375" style="284" bestFit="1" customWidth="1"/>
    <col min="8964" max="8964" width="12.5703125" style="284" customWidth="1"/>
    <col min="8965" max="8965" width="21" style="284" bestFit="1" customWidth="1"/>
    <col min="8966" max="8966" width="19.85546875" style="284" customWidth="1"/>
    <col min="8967" max="8967" width="15.85546875" style="284" bestFit="1" customWidth="1"/>
    <col min="8968" max="8968" width="14.85546875" style="284" bestFit="1" customWidth="1"/>
    <col min="8969" max="8969" width="15.85546875" style="284" bestFit="1" customWidth="1"/>
    <col min="8970" max="8971" width="11.5703125" style="284" customWidth="1"/>
    <col min="8972" max="8973" width="13.85546875" style="284" customWidth="1"/>
    <col min="8974" max="8974" width="15.42578125" style="284" customWidth="1"/>
    <col min="8975" max="8975" width="14.85546875" style="284" customWidth="1"/>
    <col min="8976" max="8976" width="15.42578125" style="284" customWidth="1"/>
    <col min="8977" max="8978" width="13.85546875" style="284" customWidth="1"/>
    <col min="8979" max="8979" width="1.5703125" style="284" customWidth="1"/>
    <col min="8980" max="8980" width="12" style="284" customWidth="1"/>
    <col min="8981" max="8981" width="15.28515625" style="284" bestFit="1" customWidth="1"/>
    <col min="8982" max="8982" width="14.42578125" style="284" bestFit="1" customWidth="1"/>
    <col min="8983" max="8983" width="12.140625" style="284" customWidth="1"/>
    <col min="8984" max="8984" width="10.5703125" style="284" bestFit="1" customWidth="1"/>
    <col min="8985" max="8985" width="14.7109375" style="284" customWidth="1"/>
    <col min="8986" max="8986" width="14.5703125" style="284" bestFit="1" customWidth="1"/>
    <col min="8987" max="8987" width="17.7109375" style="284" customWidth="1"/>
    <col min="8988" max="8988" width="15" style="284" customWidth="1"/>
    <col min="8989" max="8989" width="8.85546875" style="284" customWidth="1"/>
    <col min="8990" max="8990" width="16" style="284" customWidth="1"/>
    <col min="8991" max="8991" width="14.85546875" style="284" bestFit="1" customWidth="1"/>
    <col min="8992" max="8992" width="15.140625" style="284" customWidth="1"/>
    <col min="8993" max="8993" width="11.85546875" style="284" customWidth="1"/>
    <col min="8994" max="8994" width="10.7109375" style="284" bestFit="1" customWidth="1"/>
    <col min="8995" max="8995" width="13.85546875" style="284" customWidth="1"/>
    <col min="8996" max="8998" width="18.140625" style="284" bestFit="1" customWidth="1"/>
    <col min="8999" max="9003" width="9.140625" style="284"/>
    <col min="9004" max="9004" width="10.42578125" style="284" bestFit="1" customWidth="1"/>
    <col min="9005" max="9006" width="14.28515625" style="284" bestFit="1" customWidth="1"/>
    <col min="9007" max="9011" width="10.42578125" style="284" bestFit="1" customWidth="1"/>
    <col min="9012" max="9217" width="9.140625" style="284"/>
    <col min="9218" max="9218" width="15.7109375" style="284" customWidth="1"/>
    <col min="9219" max="9219" width="14.7109375" style="284" bestFit="1" customWidth="1"/>
    <col min="9220" max="9220" width="12.5703125" style="284" customWidth="1"/>
    <col min="9221" max="9221" width="21" style="284" bestFit="1" customWidth="1"/>
    <col min="9222" max="9222" width="19.85546875" style="284" customWidth="1"/>
    <col min="9223" max="9223" width="15.85546875" style="284" bestFit="1" customWidth="1"/>
    <col min="9224" max="9224" width="14.85546875" style="284" bestFit="1" customWidth="1"/>
    <col min="9225" max="9225" width="15.85546875" style="284" bestFit="1" customWidth="1"/>
    <col min="9226" max="9227" width="11.5703125" style="284" customWidth="1"/>
    <col min="9228" max="9229" width="13.85546875" style="284" customWidth="1"/>
    <col min="9230" max="9230" width="15.42578125" style="284" customWidth="1"/>
    <col min="9231" max="9231" width="14.85546875" style="284" customWidth="1"/>
    <col min="9232" max="9232" width="15.42578125" style="284" customWidth="1"/>
    <col min="9233" max="9234" width="13.85546875" style="284" customWidth="1"/>
    <col min="9235" max="9235" width="1.5703125" style="284" customWidth="1"/>
    <col min="9236" max="9236" width="12" style="284" customWidth="1"/>
    <col min="9237" max="9237" width="15.28515625" style="284" bestFit="1" customWidth="1"/>
    <col min="9238" max="9238" width="14.42578125" style="284" bestFit="1" customWidth="1"/>
    <col min="9239" max="9239" width="12.140625" style="284" customWidth="1"/>
    <col min="9240" max="9240" width="10.5703125" style="284" bestFit="1" customWidth="1"/>
    <col min="9241" max="9241" width="14.7109375" style="284" customWidth="1"/>
    <col min="9242" max="9242" width="14.5703125" style="284" bestFit="1" customWidth="1"/>
    <col min="9243" max="9243" width="17.7109375" style="284" customWidth="1"/>
    <col min="9244" max="9244" width="15" style="284" customWidth="1"/>
    <col min="9245" max="9245" width="8.85546875" style="284" customWidth="1"/>
    <col min="9246" max="9246" width="16" style="284" customWidth="1"/>
    <col min="9247" max="9247" width="14.85546875" style="284" bestFit="1" customWidth="1"/>
    <col min="9248" max="9248" width="15.140625" style="284" customWidth="1"/>
    <col min="9249" max="9249" width="11.85546875" style="284" customWidth="1"/>
    <col min="9250" max="9250" width="10.7109375" style="284" bestFit="1" customWidth="1"/>
    <col min="9251" max="9251" width="13.85546875" style="284" customWidth="1"/>
    <col min="9252" max="9254" width="18.140625" style="284" bestFit="1" customWidth="1"/>
    <col min="9255" max="9259" width="9.140625" style="284"/>
    <col min="9260" max="9260" width="10.42578125" style="284" bestFit="1" customWidth="1"/>
    <col min="9261" max="9262" width="14.28515625" style="284" bestFit="1" customWidth="1"/>
    <col min="9263" max="9267" width="10.42578125" style="284" bestFit="1" customWidth="1"/>
    <col min="9268" max="9473" width="9.140625" style="284"/>
    <col min="9474" max="9474" width="15.7109375" style="284" customWidth="1"/>
    <col min="9475" max="9475" width="14.7109375" style="284" bestFit="1" customWidth="1"/>
    <col min="9476" max="9476" width="12.5703125" style="284" customWidth="1"/>
    <col min="9477" max="9477" width="21" style="284" bestFit="1" customWidth="1"/>
    <col min="9478" max="9478" width="19.85546875" style="284" customWidth="1"/>
    <col min="9479" max="9479" width="15.85546875" style="284" bestFit="1" customWidth="1"/>
    <col min="9480" max="9480" width="14.85546875" style="284" bestFit="1" customWidth="1"/>
    <col min="9481" max="9481" width="15.85546875" style="284" bestFit="1" customWidth="1"/>
    <col min="9482" max="9483" width="11.5703125" style="284" customWidth="1"/>
    <col min="9484" max="9485" width="13.85546875" style="284" customWidth="1"/>
    <col min="9486" max="9486" width="15.42578125" style="284" customWidth="1"/>
    <col min="9487" max="9487" width="14.85546875" style="284" customWidth="1"/>
    <col min="9488" max="9488" width="15.42578125" style="284" customWidth="1"/>
    <col min="9489" max="9490" width="13.85546875" style="284" customWidth="1"/>
    <col min="9491" max="9491" width="1.5703125" style="284" customWidth="1"/>
    <col min="9492" max="9492" width="12" style="284" customWidth="1"/>
    <col min="9493" max="9493" width="15.28515625" style="284" bestFit="1" customWidth="1"/>
    <col min="9494" max="9494" width="14.42578125" style="284" bestFit="1" customWidth="1"/>
    <col min="9495" max="9495" width="12.140625" style="284" customWidth="1"/>
    <col min="9496" max="9496" width="10.5703125" style="284" bestFit="1" customWidth="1"/>
    <col min="9497" max="9497" width="14.7109375" style="284" customWidth="1"/>
    <col min="9498" max="9498" width="14.5703125" style="284" bestFit="1" customWidth="1"/>
    <col min="9499" max="9499" width="17.7109375" style="284" customWidth="1"/>
    <col min="9500" max="9500" width="15" style="284" customWidth="1"/>
    <col min="9501" max="9501" width="8.85546875" style="284" customWidth="1"/>
    <col min="9502" max="9502" width="16" style="284" customWidth="1"/>
    <col min="9503" max="9503" width="14.85546875" style="284" bestFit="1" customWidth="1"/>
    <col min="9504" max="9504" width="15.140625" style="284" customWidth="1"/>
    <col min="9505" max="9505" width="11.85546875" style="284" customWidth="1"/>
    <col min="9506" max="9506" width="10.7109375" style="284" bestFit="1" customWidth="1"/>
    <col min="9507" max="9507" width="13.85546875" style="284" customWidth="1"/>
    <col min="9508" max="9510" width="18.140625" style="284" bestFit="1" customWidth="1"/>
    <col min="9511" max="9515" width="9.140625" style="284"/>
    <col min="9516" max="9516" width="10.42578125" style="284" bestFit="1" customWidth="1"/>
    <col min="9517" max="9518" width="14.28515625" style="284" bestFit="1" customWidth="1"/>
    <col min="9519" max="9523" width="10.42578125" style="284" bestFit="1" customWidth="1"/>
    <col min="9524" max="9729" width="9.140625" style="284"/>
    <col min="9730" max="9730" width="15.7109375" style="284" customWidth="1"/>
    <col min="9731" max="9731" width="14.7109375" style="284" bestFit="1" customWidth="1"/>
    <col min="9732" max="9732" width="12.5703125" style="284" customWidth="1"/>
    <col min="9733" max="9733" width="21" style="284" bestFit="1" customWidth="1"/>
    <col min="9734" max="9734" width="19.85546875" style="284" customWidth="1"/>
    <col min="9735" max="9735" width="15.85546875" style="284" bestFit="1" customWidth="1"/>
    <col min="9736" max="9736" width="14.85546875" style="284" bestFit="1" customWidth="1"/>
    <col min="9737" max="9737" width="15.85546875" style="284" bestFit="1" customWidth="1"/>
    <col min="9738" max="9739" width="11.5703125" style="284" customWidth="1"/>
    <col min="9740" max="9741" width="13.85546875" style="284" customWidth="1"/>
    <col min="9742" max="9742" width="15.42578125" style="284" customWidth="1"/>
    <col min="9743" max="9743" width="14.85546875" style="284" customWidth="1"/>
    <col min="9744" max="9744" width="15.42578125" style="284" customWidth="1"/>
    <col min="9745" max="9746" width="13.85546875" style="284" customWidth="1"/>
    <col min="9747" max="9747" width="1.5703125" style="284" customWidth="1"/>
    <col min="9748" max="9748" width="12" style="284" customWidth="1"/>
    <col min="9749" max="9749" width="15.28515625" style="284" bestFit="1" customWidth="1"/>
    <col min="9750" max="9750" width="14.42578125" style="284" bestFit="1" customWidth="1"/>
    <col min="9751" max="9751" width="12.140625" style="284" customWidth="1"/>
    <col min="9752" max="9752" width="10.5703125" style="284" bestFit="1" customWidth="1"/>
    <col min="9753" max="9753" width="14.7109375" style="284" customWidth="1"/>
    <col min="9754" max="9754" width="14.5703125" style="284" bestFit="1" customWidth="1"/>
    <col min="9755" max="9755" width="17.7109375" style="284" customWidth="1"/>
    <col min="9756" max="9756" width="15" style="284" customWidth="1"/>
    <col min="9757" max="9757" width="8.85546875" style="284" customWidth="1"/>
    <col min="9758" max="9758" width="16" style="284" customWidth="1"/>
    <col min="9759" max="9759" width="14.85546875" style="284" bestFit="1" customWidth="1"/>
    <col min="9760" max="9760" width="15.140625" style="284" customWidth="1"/>
    <col min="9761" max="9761" width="11.85546875" style="284" customWidth="1"/>
    <col min="9762" max="9762" width="10.7109375" style="284" bestFit="1" customWidth="1"/>
    <col min="9763" max="9763" width="13.85546875" style="284" customWidth="1"/>
    <col min="9764" max="9766" width="18.140625" style="284" bestFit="1" customWidth="1"/>
    <col min="9767" max="9771" width="9.140625" style="284"/>
    <col min="9772" max="9772" width="10.42578125" style="284" bestFit="1" customWidth="1"/>
    <col min="9773" max="9774" width="14.28515625" style="284" bestFit="1" customWidth="1"/>
    <col min="9775" max="9779" width="10.42578125" style="284" bestFit="1" customWidth="1"/>
    <col min="9780" max="9985" width="9.140625" style="284"/>
    <col min="9986" max="9986" width="15.7109375" style="284" customWidth="1"/>
    <col min="9987" max="9987" width="14.7109375" style="284" bestFit="1" customWidth="1"/>
    <col min="9988" max="9988" width="12.5703125" style="284" customWidth="1"/>
    <col min="9989" max="9989" width="21" style="284" bestFit="1" customWidth="1"/>
    <col min="9990" max="9990" width="19.85546875" style="284" customWidth="1"/>
    <col min="9991" max="9991" width="15.85546875" style="284" bestFit="1" customWidth="1"/>
    <col min="9992" max="9992" width="14.85546875" style="284" bestFit="1" customWidth="1"/>
    <col min="9993" max="9993" width="15.85546875" style="284" bestFit="1" customWidth="1"/>
    <col min="9994" max="9995" width="11.5703125" style="284" customWidth="1"/>
    <col min="9996" max="9997" width="13.85546875" style="284" customWidth="1"/>
    <col min="9998" max="9998" width="15.42578125" style="284" customWidth="1"/>
    <col min="9999" max="9999" width="14.85546875" style="284" customWidth="1"/>
    <col min="10000" max="10000" width="15.42578125" style="284" customWidth="1"/>
    <col min="10001" max="10002" width="13.85546875" style="284" customWidth="1"/>
    <col min="10003" max="10003" width="1.5703125" style="284" customWidth="1"/>
    <col min="10004" max="10004" width="12" style="284" customWidth="1"/>
    <col min="10005" max="10005" width="15.28515625" style="284" bestFit="1" customWidth="1"/>
    <col min="10006" max="10006" width="14.42578125" style="284" bestFit="1" customWidth="1"/>
    <col min="10007" max="10007" width="12.140625" style="284" customWidth="1"/>
    <col min="10008" max="10008" width="10.5703125" style="284" bestFit="1" customWidth="1"/>
    <col min="10009" max="10009" width="14.7109375" style="284" customWidth="1"/>
    <col min="10010" max="10010" width="14.5703125" style="284" bestFit="1" customWidth="1"/>
    <col min="10011" max="10011" width="17.7109375" style="284" customWidth="1"/>
    <col min="10012" max="10012" width="15" style="284" customWidth="1"/>
    <col min="10013" max="10013" width="8.85546875" style="284" customWidth="1"/>
    <col min="10014" max="10014" width="16" style="284" customWidth="1"/>
    <col min="10015" max="10015" width="14.85546875" style="284" bestFit="1" customWidth="1"/>
    <col min="10016" max="10016" width="15.140625" style="284" customWidth="1"/>
    <col min="10017" max="10017" width="11.85546875" style="284" customWidth="1"/>
    <col min="10018" max="10018" width="10.7109375" style="284" bestFit="1" customWidth="1"/>
    <col min="10019" max="10019" width="13.85546875" style="284" customWidth="1"/>
    <col min="10020" max="10022" width="18.140625" style="284" bestFit="1" customWidth="1"/>
    <col min="10023" max="10027" width="9.140625" style="284"/>
    <col min="10028" max="10028" width="10.42578125" style="284" bestFit="1" customWidth="1"/>
    <col min="10029" max="10030" width="14.28515625" style="284" bestFit="1" customWidth="1"/>
    <col min="10031" max="10035" width="10.42578125" style="284" bestFit="1" customWidth="1"/>
    <col min="10036" max="10241" width="9.140625" style="284"/>
    <col min="10242" max="10242" width="15.7109375" style="284" customWidth="1"/>
    <col min="10243" max="10243" width="14.7109375" style="284" bestFit="1" customWidth="1"/>
    <col min="10244" max="10244" width="12.5703125" style="284" customWidth="1"/>
    <col min="10245" max="10245" width="21" style="284" bestFit="1" customWidth="1"/>
    <col min="10246" max="10246" width="19.85546875" style="284" customWidth="1"/>
    <col min="10247" max="10247" width="15.85546875" style="284" bestFit="1" customWidth="1"/>
    <col min="10248" max="10248" width="14.85546875" style="284" bestFit="1" customWidth="1"/>
    <col min="10249" max="10249" width="15.85546875" style="284" bestFit="1" customWidth="1"/>
    <col min="10250" max="10251" width="11.5703125" style="284" customWidth="1"/>
    <col min="10252" max="10253" width="13.85546875" style="284" customWidth="1"/>
    <col min="10254" max="10254" width="15.42578125" style="284" customWidth="1"/>
    <col min="10255" max="10255" width="14.85546875" style="284" customWidth="1"/>
    <col min="10256" max="10256" width="15.42578125" style="284" customWidth="1"/>
    <col min="10257" max="10258" width="13.85546875" style="284" customWidth="1"/>
    <col min="10259" max="10259" width="1.5703125" style="284" customWidth="1"/>
    <col min="10260" max="10260" width="12" style="284" customWidth="1"/>
    <col min="10261" max="10261" width="15.28515625" style="284" bestFit="1" customWidth="1"/>
    <col min="10262" max="10262" width="14.42578125" style="284" bestFit="1" customWidth="1"/>
    <col min="10263" max="10263" width="12.140625" style="284" customWidth="1"/>
    <col min="10264" max="10264" width="10.5703125" style="284" bestFit="1" customWidth="1"/>
    <col min="10265" max="10265" width="14.7109375" style="284" customWidth="1"/>
    <col min="10266" max="10266" width="14.5703125" style="284" bestFit="1" customWidth="1"/>
    <col min="10267" max="10267" width="17.7109375" style="284" customWidth="1"/>
    <col min="10268" max="10268" width="15" style="284" customWidth="1"/>
    <col min="10269" max="10269" width="8.85546875" style="284" customWidth="1"/>
    <col min="10270" max="10270" width="16" style="284" customWidth="1"/>
    <col min="10271" max="10271" width="14.85546875" style="284" bestFit="1" customWidth="1"/>
    <col min="10272" max="10272" width="15.140625" style="284" customWidth="1"/>
    <col min="10273" max="10273" width="11.85546875" style="284" customWidth="1"/>
    <col min="10274" max="10274" width="10.7109375" style="284" bestFit="1" customWidth="1"/>
    <col min="10275" max="10275" width="13.85546875" style="284" customWidth="1"/>
    <col min="10276" max="10278" width="18.140625" style="284" bestFit="1" customWidth="1"/>
    <col min="10279" max="10283" width="9.140625" style="284"/>
    <col min="10284" max="10284" width="10.42578125" style="284" bestFit="1" customWidth="1"/>
    <col min="10285" max="10286" width="14.28515625" style="284" bestFit="1" customWidth="1"/>
    <col min="10287" max="10291" width="10.42578125" style="284" bestFit="1" customWidth="1"/>
    <col min="10292" max="10497" width="9.140625" style="284"/>
    <col min="10498" max="10498" width="15.7109375" style="284" customWidth="1"/>
    <col min="10499" max="10499" width="14.7109375" style="284" bestFit="1" customWidth="1"/>
    <col min="10500" max="10500" width="12.5703125" style="284" customWidth="1"/>
    <col min="10501" max="10501" width="21" style="284" bestFit="1" customWidth="1"/>
    <col min="10502" max="10502" width="19.85546875" style="284" customWidth="1"/>
    <col min="10503" max="10503" width="15.85546875" style="284" bestFit="1" customWidth="1"/>
    <col min="10504" max="10504" width="14.85546875" style="284" bestFit="1" customWidth="1"/>
    <col min="10505" max="10505" width="15.85546875" style="284" bestFit="1" customWidth="1"/>
    <col min="10506" max="10507" width="11.5703125" style="284" customWidth="1"/>
    <col min="10508" max="10509" width="13.85546875" style="284" customWidth="1"/>
    <col min="10510" max="10510" width="15.42578125" style="284" customWidth="1"/>
    <col min="10511" max="10511" width="14.85546875" style="284" customWidth="1"/>
    <col min="10512" max="10512" width="15.42578125" style="284" customWidth="1"/>
    <col min="10513" max="10514" width="13.85546875" style="284" customWidth="1"/>
    <col min="10515" max="10515" width="1.5703125" style="284" customWidth="1"/>
    <col min="10516" max="10516" width="12" style="284" customWidth="1"/>
    <col min="10517" max="10517" width="15.28515625" style="284" bestFit="1" customWidth="1"/>
    <col min="10518" max="10518" width="14.42578125" style="284" bestFit="1" customWidth="1"/>
    <col min="10519" max="10519" width="12.140625" style="284" customWidth="1"/>
    <col min="10520" max="10520" width="10.5703125" style="284" bestFit="1" customWidth="1"/>
    <col min="10521" max="10521" width="14.7109375" style="284" customWidth="1"/>
    <col min="10522" max="10522" width="14.5703125" style="284" bestFit="1" customWidth="1"/>
    <col min="10523" max="10523" width="17.7109375" style="284" customWidth="1"/>
    <col min="10524" max="10524" width="15" style="284" customWidth="1"/>
    <col min="10525" max="10525" width="8.85546875" style="284" customWidth="1"/>
    <col min="10526" max="10526" width="16" style="284" customWidth="1"/>
    <col min="10527" max="10527" width="14.85546875" style="284" bestFit="1" customWidth="1"/>
    <col min="10528" max="10528" width="15.140625" style="284" customWidth="1"/>
    <col min="10529" max="10529" width="11.85546875" style="284" customWidth="1"/>
    <col min="10530" max="10530" width="10.7109375" style="284" bestFit="1" customWidth="1"/>
    <col min="10531" max="10531" width="13.85546875" style="284" customWidth="1"/>
    <col min="10532" max="10534" width="18.140625" style="284" bestFit="1" customWidth="1"/>
    <col min="10535" max="10539" width="9.140625" style="284"/>
    <col min="10540" max="10540" width="10.42578125" style="284" bestFit="1" customWidth="1"/>
    <col min="10541" max="10542" width="14.28515625" style="284" bestFit="1" customWidth="1"/>
    <col min="10543" max="10547" width="10.42578125" style="284" bestFit="1" customWidth="1"/>
    <col min="10548" max="10753" width="9.140625" style="284"/>
    <col min="10754" max="10754" width="15.7109375" style="284" customWidth="1"/>
    <col min="10755" max="10755" width="14.7109375" style="284" bestFit="1" customWidth="1"/>
    <col min="10756" max="10756" width="12.5703125" style="284" customWidth="1"/>
    <col min="10757" max="10757" width="21" style="284" bestFit="1" customWidth="1"/>
    <col min="10758" max="10758" width="19.85546875" style="284" customWidth="1"/>
    <col min="10759" max="10759" width="15.85546875" style="284" bestFit="1" customWidth="1"/>
    <col min="10760" max="10760" width="14.85546875" style="284" bestFit="1" customWidth="1"/>
    <col min="10761" max="10761" width="15.85546875" style="284" bestFit="1" customWidth="1"/>
    <col min="10762" max="10763" width="11.5703125" style="284" customWidth="1"/>
    <col min="10764" max="10765" width="13.85546875" style="284" customWidth="1"/>
    <col min="10766" max="10766" width="15.42578125" style="284" customWidth="1"/>
    <col min="10767" max="10767" width="14.85546875" style="284" customWidth="1"/>
    <col min="10768" max="10768" width="15.42578125" style="284" customWidth="1"/>
    <col min="10769" max="10770" width="13.85546875" style="284" customWidth="1"/>
    <col min="10771" max="10771" width="1.5703125" style="284" customWidth="1"/>
    <col min="10772" max="10772" width="12" style="284" customWidth="1"/>
    <col min="10773" max="10773" width="15.28515625" style="284" bestFit="1" customWidth="1"/>
    <col min="10774" max="10774" width="14.42578125" style="284" bestFit="1" customWidth="1"/>
    <col min="10775" max="10775" width="12.140625" style="284" customWidth="1"/>
    <col min="10776" max="10776" width="10.5703125" style="284" bestFit="1" customWidth="1"/>
    <col min="10777" max="10777" width="14.7109375" style="284" customWidth="1"/>
    <col min="10778" max="10778" width="14.5703125" style="284" bestFit="1" customWidth="1"/>
    <col min="10779" max="10779" width="17.7109375" style="284" customWidth="1"/>
    <col min="10780" max="10780" width="15" style="284" customWidth="1"/>
    <col min="10781" max="10781" width="8.85546875" style="284" customWidth="1"/>
    <col min="10782" max="10782" width="16" style="284" customWidth="1"/>
    <col min="10783" max="10783" width="14.85546875" style="284" bestFit="1" customWidth="1"/>
    <col min="10784" max="10784" width="15.140625" style="284" customWidth="1"/>
    <col min="10785" max="10785" width="11.85546875" style="284" customWidth="1"/>
    <col min="10786" max="10786" width="10.7109375" style="284" bestFit="1" customWidth="1"/>
    <col min="10787" max="10787" width="13.85546875" style="284" customWidth="1"/>
    <col min="10788" max="10790" width="18.140625" style="284" bestFit="1" customWidth="1"/>
    <col min="10791" max="10795" width="9.140625" style="284"/>
    <col min="10796" max="10796" width="10.42578125" style="284" bestFit="1" customWidth="1"/>
    <col min="10797" max="10798" width="14.28515625" style="284" bestFit="1" customWidth="1"/>
    <col min="10799" max="10803" width="10.42578125" style="284" bestFit="1" customWidth="1"/>
    <col min="10804" max="11009" width="9.140625" style="284"/>
    <col min="11010" max="11010" width="15.7109375" style="284" customWidth="1"/>
    <col min="11011" max="11011" width="14.7109375" style="284" bestFit="1" customWidth="1"/>
    <col min="11012" max="11012" width="12.5703125" style="284" customWidth="1"/>
    <col min="11013" max="11013" width="21" style="284" bestFit="1" customWidth="1"/>
    <col min="11014" max="11014" width="19.85546875" style="284" customWidth="1"/>
    <col min="11015" max="11015" width="15.85546875" style="284" bestFit="1" customWidth="1"/>
    <col min="11016" max="11016" width="14.85546875" style="284" bestFit="1" customWidth="1"/>
    <col min="11017" max="11017" width="15.85546875" style="284" bestFit="1" customWidth="1"/>
    <col min="11018" max="11019" width="11.5703125" style="284" customWidth="1"/>
    <col min="11020" max="11021" width="13.85546875" style="284" customWidth="1"/>
    <col min="11022" max="11022" width="15.42578125" style="284" customWidth="1"/>
    <col min="11023" max="11023" width="14.85546875" style="284" customWidth="1"/>
    <col min="11024" max="11024" width="15.42578125" style="284" customWidth="1"/>
    <col min="11025" max="11026" width="13.85546875" style="284" customWidth="1"/>
    <col min="11027" max="11027" width="1.5703125" style="284" customWidth="1"/>
    <col min="11028" max="11028" width="12" style="284" customWidth="1"/>
    <col min="11029" max="11029" width="15.28515625" style="284" bestFit="1" customWidth="1"/>
    <col min="11030" max="11030" width="14.42578125" style="284" bestFit="1" customWidth="1"/>
    <col min="11031" max="11031" width="12.140625" style="284" customWidth="1"/>
    <col min="11032" max="11032" width="10.5703125" style="284" bestFit="1" customWidth="1"/>
    <col min="11033" max="11033" width="14.7109375" style="284" customWidth="1"/>
    <col min="11034" max="11034" width="14.5703125" style="284" bestFit="1" customWidth="1"/>
    <col min="11035" max="11035" width="17.7109375" style="284" customWidth="1"/>
    <col min="11036" max="11036" width="15" style="284" customWidth="1"/>
    <col min="11037" max="11037" width="8.85546875" style="284" customWidth="1"/>
    <col min="11038" max="11038" width="16" style="284" customWidth="1"/>
    <col min="11039" max="11039" width="14.85546875" style="284" bestFit="1" customWidth="1"/>
    <col min="11040" max="11040" width="15.140625" style="284" customWidth="1"/>
    <col min="11041" max="11041" width="11.85546875" style="284" customWidth="1"/>
    <col min="11042" max="11042" width="10.7109375" style="284" bestFit="1" customWidth="1"/>
    <col min="11043" max="11043" width="13.85546875" style="284" customWidth="1"/>
    <col min="11044" max="11046" width="18.140625" style="284" bestFit="1" customWidth="1"/>
    <col min="11047" max="11051" width="9.140625" style="284"/>
    <col min="11052" max="11052" width="10.42578125" style="284" bestFit="1" customWidth="1"/>
    <col min="11053" max="11054" width="14.28515625" style="284" bestFit="1" customWidth="1"/>
    <col min="11055" max="11059" width="10.42578125" style="284" bestFit="1" customWidth="1"/>
    <col min="11060" max="11265" width="9.140625" style="284"/>
    <col min="11266" max="11266" width="15.7109375" style="284" customWidth="1"/>
    <col min="11267" max="11267" width="14.7109375" style="284" bestFit="1" customWidth="1"/>
    <col min="11268" max="11268" width="12.5703125" style="284" customWidth="1"/>
    <col min="11269" max="11269" width="21" style="284" bestFit="1" customWidth="1"/>
    <col min="11270" max="11270" width="19.85546875" style="284" customWidth="1"/>
    <col min="11271" max="11271" width="15.85546875" style="284" bestFit="1" customWidth="1"/>
    <col min="11272" max="11272" width="14.85546875" style="284" bestFit="1" customWidth="1"/>
    <col min="11273" max="11273" width="15.85546875" style="284" bestFit="1" customWidth="1"/>
    <col min="11274" max="11275" width="11.5703125" style="284" customWidth="1"/>
    <col min="11276" max="11277" width="13.85546875" style="284" customWidth="1"/>
    <col min="11278" max="11278" width="15.42578125" style="284" customWidth="1"/>
    <col min="11279" max="11279" width="14.85546875" style="284" customWidth="1"/>
    <col min="11280" max="11280" width="15.42578125" style="284" customWidth="1"/>
    <col min="11281" max="11282" width="13.85546875" style="284" customWidth="1"/>
    <col min="11283" max="11283" width="1.5703125" style="284" customWidth="1"/>
    <col min="11284" max="11284" width="12" style="284" customWidth="1"/>
    <col min="11285" max="11285" width="15.28515625" style="284" bestFit="1" customWidth="1"/>
    <col min="11286" max="11286" width="14.42578125" style="284" bestFit="1" customWidth="1"/>
    <col min="11287" max="11287" width="12.140625" style="284" customWidth="1"/>
    <col min="11288" max="11288" width="10.5703125" style="284" bestFit="1" customWidth="1"/>
    <col min="11289" max="11289" width="14.7109375" style="284" customWidth="1"/>
    <col min="11290" max="11290" width="14.5703125" style="284" bestFit="1" customWidth="1"/>
    <col min="11291" max="11291" width="17.7109375" style="284" customWidth="1"/>
    <col min="11292" max="11292" width="15" style="284" customWidth="1"/>
    <col min="11293" max="11293" width="8.85546875" style="284" customWidth="1"/>
    <col min="11294" max="11294" width="16" style="284" customWidth="1"/>
    <col min="11295" max="11295" width="14.85546875" style="284" bestFit="1" customWidth="1"/>
    <col min="11296" max="11296" width="15.140625" style="284" customWidth="1"/>
    <col min="11297" max="11297" width="11.85546875" style="284" customWidth="1"/>
    <col min="11298" max="11298" width="10.7109375" style="284" bestFit="1" customWidth="1"/>
    <col min="11299" max="11299" width="13.85546875" style="284" customWidth="1"/>
    <col min="11300" max="11302" width="18.140625" style="284" bestFit="1" customWidth="1"/>
    <col min="11303" max="11307" width="9.140625" style="284"/>
    <col min="11308" max="11308" width="10.42578125" style="284" bestFit="1" customWidth="1"/>
    <col min="11309" max="11310" width="14.28515625" style="284" bestFit="1" customWidth="1"/>
    <col min="11311" max="11315" width="10.42578125" style="284" bestFit="1" customWidth="1"/>
    <col min="11316" max="11521" width="9.140625" style="284"/>
    <col min="11522" max="11522" width="15.7109375" style="284" customWidth="1"/>
    <col min="11523" max="11523" width="14.7109375" style="284" bestFit="1" customWidth="1"/>
    <col min="11524" max="11524" width="12.5703125" style="284" customWidth="1"/>
    <col min="11525" max="11525" width="21" style="284" bestFit="1" customWidth="1"/>
    <col min="11526" max="11526" width="19.85546875" style="284" customWidth="1"/>
    <col min="11527" max="11527" width="15.85546875" style="284" bestFit="1" customWidth="1"/>
    <col min="11528" max="11528" width="14.85546875" style="284" bestFit="1" customWidth="1"/>
    <col min="11529" max="11529" width="15.85546875" style="284" bestFit="1" customWidth="1"/>
    <col min="11530" max="11531" width="11.5703125" style="284" customWidth="1"/>
    <col min="11532" max="11533" width="13.85546875" style="284" customWidth="1"/>
    <col min="11534" max="11534" width="15.42578125" style="284" customWidth="1"/>
    <col min="11535" max="11535" width="14.85546875" style="284" customWidth="1"/>
    <col min="11536" max="11536" width="15.42578125" style="284" customWidth="1"/>
    <col min="11537" max="11538" width="13.85546875" style="284" customWidth="1"/>
    <col min="11539" max="11539" width="1.5703125" style="284" customWidth="1"/>
    <col min="11540" max="11540" width="12" style="284" customWidth="1"/>
    <col min="11541" max="11541" width="15.28515625" style="284" bestFit="1" customWidth="1"/>
    <col min="11542" max="11542" width="14.42578125" style="284" bestFit="1" customWidth="1"/>
    <col min="11543" max="11543" width="12.140625" style="284" customWidth="1"/>
    <col min="11544" max="11544" width="10.5703125" style="284" bestFit="1" customWidth="1"/>
    <col min="11545" max="11545" width="14.7109375" style="284" customWidth="1"/>
    <col min="11546" max="11546" width="14.5703125" style="284" bestFit="1" customWidth="1"/>
    <col min="11547" max="11547" width="17.7109375" style="284" customWidth="1"/>
    <col min="11548" max="11548" width="15" style="284" customWidth="1"/>
    <col min="11549" max="11549" width="8.85546875" style="284" customWidth="1"/>
    <col min="11550" max="11550" width="16" style="284" customWidth="1"/>
    <col min="11551" max="11551" width="14.85546875" style="284" bestFit="1" customWidth="1"/>
    <col min="11552" max="11552" width="15.140625" style="284" customWidth="1"/>
    <col min="11553" max="11553" width="11.85546875" style="284" customWidth="1"/>
    <col min="11554" max="11554" width="10.7109375" style="284" bestFit="1" customWidth="1"/>
    <col min="11555" max="11555" width="13.85546875" style="284" customWidth="1"/>
    <col min="11556" max="11558" width="18.140625" style="284" bestFit="1" customWidth="1"/>
    <col min="11559" max="11563" width="9.140625" style="284"/>
    <col min="11564" max="11564" width="10.42578125" style="284" bestFit="1" customWidth="1"/>
    <col min="11565" max="11566" width="14.28515625" style="284" bestFit="1" customWidth="1"/>
    <col min="11567" max="11571" width="10.42578125" style="284" bestFit="1" customWidth="1"/>
    <col min="11572" max="11777" width="9.140625" style="284"/>
    <col min="11778" max="11778" width="15.7109375" style="284" customWidth="1"/>
    <col min="11779" max="11779" width="14.7109375" style="284" bestFit="1" customWidth="1"/>
    <col min="11780" max="11780" width="12.5703125" style="284" customWidth="1"/>
    <col min="11781" max="11781" width="21" style="284" bestFit="1" customWidth="1"/>
    <col min="11782" max="11782" width="19.85546875" style="284" customWidth="1"/>
    <col min="11783" max="11783" width="15.85546875" style="284" bestFit="1" customWidth="1"/>
    <col min="11784" max="11784" width="14.85546875" style="284" bestFit="1" customWidth="1"/>
    <col min="11785" max="11785" width="15.85546875" style="284" bestFit="1" customWidth="1"/>
    <col min="11786" max="11787" width="11.5703125" style="284" customWidth="1"/>
    <col min="11788" max="11789" width="13.85546875" style="284" customWidth="1"/>
    <col min="11790" max="11790" width="15.42578125" style="284" customWidth="1"/>
    <col min="11791" max="11791" width="14.85546875" style="284" customWidth="1"/>
    <col min="11792" max="11792" width="15.42578125" style="284" customWidth="1"/>
    <col min="11793" max="11794" width="13.85546875" style="284" customWidth="1"/>
    <col min="11795" max="11795" width="1.5703125" style="284" customWidth="1"/>
    <col min="11796" max="11796" width="12" style="284" customWidth="1"/>
    <col min="11797" max="11797" width="15.28515625" style="284" bestFit="1" customWidth="1"/>
    <col min="11798" max="11798" width="14.42578125" style="284" bestFit="1" customWidth="1"/>
    <col min="11799" max="11799" width="12.140625" style="284" customWidth="1"/>
    <col min="11800" max="11800" width="10.5703125" style="284" bestFit="1" customWidth="1"/>
    <col min="11801" max="11801" width="14.7109375" style="284" customWidth="1"/>
    <col min="11802" max="11802" width="14.5703125" style="284" bestFit="1" customWidth="1"/>
    <col min="11803" max="11803" width="17.7109375" style="284" customWidth="1"/>
    <col min="11804" max="11804" width="15" style="284" customWidth="1"/>
    <col min="11805" max="11805" width="8.85546875" style="284" customWidth="1"/>
    <col min="11806" max="11806" width="16" style="284" customWidth="1"/>
    <col min="11807" max="11807" width="14.85546875" style="284" bestFit="1" customWidth="1"/>
    <col min="11808" max="11808" width="15.140625" style="284" customWidth="1"/>
    <col min="11809" max="11809" width="11.85546875" style="284" customWidth="1"/>
    <col min="11810" max="11810" width="10.7109375" style="284" bestFit="1" customWidth="1"/>
    <col min="11811" max="11811" width="13.85546875" style="284" customWidth="1"/>
    <col min="11812" max="11814" width="18.140625" style="284" bestFit="1" customWidth="1"/>
    <col min="11815" max="11819" width="9.140625" style="284"/>
    <col min="11820" max="11820" width="10.42578125" style="284" bestFit="1" customWidth="1"/>
    <col min="11821" max="11822" width="14.28515625" style="284" bestFit="1" customWidth="1"/>
    <col min="11823" max="11827" width="10.42578125" style="284" bestFit="1" customWidth="1"/>
    <col min="11828" max="12033" width="9.140625" style="284"/>
    <col min="12034" max="12034" width="15.7109375" style="284" customWidth="1"/>
    <col min="12035" max="12035" width="14.7109375" style="284" bestFit="1" customWidth="1"/>
    <col min="12036" max="12036" width="12.5703125" style="284" customWidth="1"/>
    <col min="12037" max="12037" width="21" style="284" bestFit="1" customWidth="1"/>
    <col min="12038" max="12038" width="19.85546875" style="284" customWidth="1"/>
    <col min="12039" max="12039" width="15.85546875" style="284" bestFit="1" customWidth="1"/>
    <col min="12040" max="12040" width="14.85546875" style="284" bestFit="1" customWidth="1"/>
    <col min="12041" max="12041" width="15.85546875" style="284" bestFit="1" customWidth="1"/>
    <col min="12042" max="12043" width="11.5703125" style="284" customWidth="1"/>
    <col min="12044" max="12045" width="13.85546875" style="284" customWidth="1"/>
    <col min="12046" max="12046" width="15.42578125" style="284" customWidth="1"/>
    <col min="12047" max="12047" width="14.85546875" style="284" customWidth="1"/>
    <col min="12048" max="12048" width="15.42578125" style="284" customWidth="1"/>
    <col min="12049" max="12050" width="13.85546875" style="284" customWidth="1"/>
    <col min="12051" max="12051" width="1.5703125" style="284" customWidth="1"/>
    <col min="12052" max="12052" width="12" style="284" customWidth="1"/>
    <col min="12053" max="12053" width="15.28515625" style="284" bestFit="1" customWidth="1"/>
    <col min="12054" max="12054" width="14.42578125" style="284" bestFit="1" customWidth="1"/>
    <col min="12055" max="12055" width="12.140625" style="284" customWidth="1"/>
    <col min="12056" max="12056" width="10.5703125" style="284" bestFit="1" customWidth="1"/>
    <col min="12057" max="12057" width="14.7109375" style="284" customWidth="1"/>
    <col min="12058" max="12058" width="14.5703125" style="284" bestFit="1" customWidth="1"/>
    <col min="12059" max="12059" width="17.7109375" style="284" customWidth="1"/>
    <col min="12060" max="12060" width="15" style="284" customWidth="1"/>
    <col min="12061" max="12061" width="8.85546875" style="284" customWidth="1"/>
    <col min="12062" max="12062" width="16" style="284" customWidth="1"/>
    <col min="12063" max="12063" width="14.85546875" style="284" bestFit="1" customWidth="1"/>
    <col min="12064" max="12064" width="15.140625" style="284" customWidth="1"/>
    <col min="12065" max="12065" width="11.85546875" style="284" customWidth="1"/>
    <col min="12066" max="12066" width="10.7109375" style="284" bestFit="1" customWidth="1"/>
    <col min="12067" max="12067" width="13.85546875" style="284" customWidth="1"/>
    <col min="12068" max="12070" width="18.140625" style="284" bestFit="1" customWidth="1"/>
    <col min="12071" max="12075" width="9.140625" style="284"/>
    <col min="12076" max="12076" width="10.42578125" style="284" bestFit="1" customWidth="1"/>
    <col min="12077" max="12078" width="14.28515625" style="284" bestFit="1" customWidth="1"/>
    <col min="12079" max="12083" width="10.42578125" style="284" bestFit="1" customWidth="1"/>
    <col min="12084" max="12289" width="9.140625" style="284"/>
    <col min="12290" max="12290" width="15.7109375" style="284" customWidth="1"/>
    <col min="12291" max="12291" width="14.7109375" style="284" bestFit="1" customWidth="1"/>
    <col min="12292" max="12292" width="12.5703125" style="284" customWidth="1"/>
    <col min="12293" max="12293" width="21" style="284" bestFit="1" customWidth="1"/>
    <col min="12294" max="12294" width="19.85546875" style="284" customWidth="1"/>
    <col min="12295" max="12295" width="15.85546875" style="284" bestFit="1" customWidth="1"/>
    <col min="12296" max="12296" width="14.85546875" style="284" bestFit="1" customWidth="1"/>
    <col min="12297" max="12297" width="15.85546875" style="284" bestFit="1" customWidth="1"/>
    <col min="12298" max="12299" width="11.5703125" style="284" customWidth="1"/>
    <col min="12300" max="12301" width="13.85546875" style="284" customWidth="1"/>
    <col min="12302" max="12302" width="15.42578125" style="284" customWidth="1"/>
    <col min="12303" max="12303" width="14.85546875" style="284" customWidth="1"/>
    <col min="12304" max="12304" width="15.42578125" style="284" customWidth="1"/>
    <col min="12305" max="12306" width="13.85546875" style="284" customWidth="1"/>
    <col min="12307" max="12307" width="1.5703125" style="284" customWidth="1"/>
    <col min="12308" max="12308" width="12" style="284" customWidth="1"/>
    <col min="12309" max="12309" width="15.28515625" style="284" bestFit="1" customWidth="1"/>
    <col min="12310" max="12310" width="14.42578125" style="284" bestFit="1" customWidth="1"/>
    <col min="12311" max="12311" width="12.140625" style="284" customWidth="1"/>
    <col min="12312" max="12312" width="10.5703125" style="284" bestFit="1" customWidth="1"/>
    <col min="12313" max="12313" width="14.7109375" style="284" customWidth="1"/>
    <col min="12314" max="12314" width="14.5703125" style="284" bestFit="1" customWidth="1"/>
    <col min="12315" max="12315" width="17.7109375" style="284" customWidth="1"/>
    <col min="12316" max="12316" width="15" style="284" customWidth="1"/>
    <col min="12317" max="12317" width="8.85546875" style="284" customWidth="1"/>
    <col min="12318" max="12318" width="16" style="284" customWidth="1"/>
    <col min="12319" max="12319" width="14.85546875" style="284" bestFit="1" customWidth="1"/>
    <col min="12320" max="12320" width="15.140625" style="284" customWidth="1"/>
    <col min="12321" max="12321" width="11.85546875" style="284" customWidth="1"/>
    <col min="12322" max="12322" width="10.7109375" style="284" bestFit="1" customWidth="1"/>
    <col min="12323" max="12323" width="13.85546875" style="284" customWidth="1"/>
    <col min="12324" max="12326" width="18.140625" style="284" bestFit="1" customWidth="1"/>
    <col min="12327" max="12331" width="9.140625" style="284"/>
    <col min="12332" max="12332" width="10.42578125" style="284" bestFit="1" customWidth="1"/>
    <col min="12333" max="12334" width="14.28515625" style="284" bestFit="1" customWidth="1"/>
    <col min="12335" max="12339" width="10.42578125" style="284" bestFit="1" customWidth="1"/>
    <col min="12340" max="12545" width="9.140625" style="284"/>
    <col min="12546" max="12546" width="15.7109375" style="284" customWidth="1"/>
    <col min="12547" max="12547" width="14.7109375" style="284" bestFit="1" customWidth="1"/>
    <col min="12548" max="12548" width="12.5703125" style="284" customWidth="1"/>
    <col min="12549" max="12549" width="21" style="284" bestFit="1" customWidth="1"/>
    <col min="12550" max="12550" width="19.85546875" style="284" customWidth="1"/>
    <col min="12551" max="12551" width="15.85546875" style="284" bestFit="1" customWidth="1"/>
    <col min="12552" max="12552" width="14.85546875" style="284" bestFit="1" customWidth="1"/>
    <col min="12553" max="12553" width="15.85546875" style="284" bestFit="1" customWidth="1"/>
    <col min="12554" max="12555" width="11.5703125" style="284" customWidth="1"/>
    <col min="12556" max="12557" width="13.85546875" style="284" customWidth="1"/>
    <col min="12558" max="12558" width="15.42578125" style="284" customWidth="1"/>
    <col min="12559" max="12559" width="14.85546875" style="284" customWidth="1"/>
    <col min="12560" max="12560" width="15.42578125" style="284" customWidth="1"/>
    <col min="12561" max="12562" width="13.85546875" style="284" customWidth="1"/>
    <col min="12563" max="12563" width="1.5703125" style="284" customWidth="1"/>
    <col min="12564" max="12564" width="12" style="284" customWidth="1"/>
    <col min="12565" max="12565" width="15.28515625" style="284" bestFit="1" customWidth="1"/>
    <col min="12566" max="12566" width="14.42578125" style="284" bestFit="1" customWidth="1"/>
    <col min="12567" max="12567" width="12.140625" style="284" customWidth="1"/>
    <col min="12568" max="12568" width="10.5703125" style="284" bestFit="1" customWidth="1"/>
    <col min="12569" max="12569" width="14.7109375" style="284" customWidth="1"/>
    <col min="12570" max="12570" width="14.5703125" style="284" bestFit="1" customWidth="1"/>
    <col min="12571" max="12571" width="17.7109375" style="284" customWidth="1"/>
    <col min="12572" max="12572" width="15" style="284" customWidth="1"/>
    <col min="12573" max="12573" width="8.85546875" style="284" customWidth="1"/>
    <col min="12574" max="12574" width="16" style="284" customWidth="1"/>
    <col min="12575" max="12575" width="14.85546875" style="284" bestFit="1" customWidth="1"/>
    <col min="12576" max="12576" width="15.140625" style="284" customWidth="1"/>
    <col min="12577" max="12577" width="11.85546875" style="284" customWidth="1"/>
    <col min="12578" max="12578" width="10.7109375" style="284" bestFit="1" customWidth="1"/>
    <col min="12579" max="12579" width="13.85546875" style="284" customWidth="1"/>
    <col min="12580" max="12582" width="18.140625" style="284" bestFit="1" customWidth="1"/>
    <col min="12583" max="12587" width="9.140625" style="284"/>
    <col min="12588" max="12588" width="10.42578125" style="284" bestFit="1" customWidth="1"/>
    <col min="12589" max="12590" width="14.28515625" style="284" bestFit="1" customWidth="1"/>
    <col min="12591" max="12595" width="10.42578125" style="284" bestFit="1" customWidth="1"/>
    <col min="12596" max="12801" width="9.140625" style="284"/>
    <col min="12802" max="12802" width="15.7109375" style="284" customWidth="1"/>
    <col min="12803" max="12803" width="14.7109375" style="284" bestFit="1" customWidth="1"/>
    <col min="12804" max="12804" width="12.5703125" style="284" customWidth="1"/>
    <col min="12805" max="12805" width="21" style="284" bestFit="1" customWidth="1"/>
    <col min="12806" max="12806" width="19.85546875" style="284" customWidth="1"/>
    <col min="12807" max="12807" width="15.85546875" style="284" bestFit="1" customWidth="1"/>
    <col min="12808" max="12808" width="14.85546875" style="284" bestFit="1" customWidth="1"/>
    <col min="12809" max="12809" width="15.85546875" style="284" bestFit="1" customWidth="1"/>
    <col min="12810" max="12811" width="11.5703125" style="284" customWidth="1"/>
    <col min="12812" max="12813" width="13.85546875" style="284" customWidth="1"/>
    <col min="12814" max="12814" width="15.42578125" style="284" customWidth="1"/>
    <col min="12815" max="12815" width="14.85546875" style="284" customWidth="1"/>
    <col min="12816" max="12816" width="15.42578125" style="284" customWidth="1"/>
    <col min="12817" max="12818" width="13.85546875" style="284" customWidth="1"/>
    <col min="12819" max="12819" width="1.5703125" style="284" customWidth="1"/>
    <col min="12820" max="12820" width="12" style="284" customWidth="1"/>
    <col min="12821" max="12821" width="15.28515625" style="284" bestFit="1" customWidth="1"/>
    <col min="12822" max="12822" width="14.42578125" style="284" bestFit="1" customWidth="1"/>
    <col min="12823" max="12823" width="12.140625" style="284" customWidth="1"/>
    <col min="12824" max="12824" width="10.5703125" style="284" bestFit="1" customWidth="1"/>
    <col min="12825" max="12825" width="14.7109375" style="284" customWidth="1"/>
    <col min="12826" max="12826" width="14.5703125" style="284" bestFit="1" customWidth="1"/>
    <col min="12827" max="12827" width="17.7109375" style="284" customWidth="1"/>
    <col min="12828" max="12828" width="15" style="284" customWidth="1"/>
    <col min="12829" max="12829" width="8.85546875" style="284" customWidth="1"/>
    <col min="12830" max="12830" width="16" style="284" customWidth="1"/>
    <col min="12831" max="12831" width="14.85546875" style="284" bestFit="1" customWidth="1"/>
    <col min="12832" max="12832" width="15.140625" style="284" customWidth="1"/>
    <col min="12833" max="12833" width="11.85546875" style="284" customWidth="1"/>
    <col min="12834" max="12834" width="10.7109375" style="284" bestFit="1" customWidth="1"/>
    <col min="12835" max="12835" width="13.85546875" style="284" customWidth="1"/>
    <col min="12836" max="12838" width="18.140625" style="284" bestFit="1" customWidth="1"/>
    <col min="12839" max="12843" width="9.140625" style="284"/>
    <col min="12844" max="12844" width="10.42578125" style="284" bestFit="1" customWidth="1"/>
    <col min="12845" max="12846" width="14.28515625" style="284" bestFit="1" customWidth="1"/>
    <col min="12847" max="12851" width="10.42578125" style="284" bestFit="1" customWidth="1"/>
    <col min="12852" max="13057" width="9.140625" style="284"/>
    <col min="13058" max="13058" width="15.7109375" style="284" customWidth="1"/>
    <col min="13059" max="13059" width="14.7109375" style="284" bestFit="1" customWidth="1"/>
    <col min="13060" max="13060" width="12.5703125" style="284" customWidth="1"/>
    <col min="13061" max="13061" width="21" style="284" bestFit="1" customWidth="1"/>
    <col min="13062" max="13062" width="19.85546875" style="284" customWidth="1"/>
    <col min="13063" max="13063" width="15.85546875" style="284" bestFit="1" customWidth="1"/>
    <col min="13064" max="13064" width="14.85546875" style="284" bestFit="1" customWidth="1"/>
    <col min="13065" max="13065" width="15.85546875" style="284" bestFit="1" customWidth="1"/>
    <col min="13066" max="13067" width="11.5703125" style="284" customWidth="1"/>
    <col min="13068" max="13069" width="13.85546875" style="284" customWidth="1"/>
    <col min="13070" max="13070" width="15.42578125" style="284" customWidth="1"/>
    <col min="13071" max="13071" width="14.85546875" style="284" customWidth="1"/>
    <col min="13072" max="13072" width="15.42578125" style="284" customWidth="1"/>
    <col min="13073" max="13074" width="13.85546875" style="284" customWidth="1"/>
    <col min="13075" max="13075" width="1.5703125" style="284" customWidth="1"/>
    <col min="13076" max="13076" width="12" style="284" customWidth="1"/>
    <col min="13077" max="13077" width="15.28515625" style="284" bestFit="1" customWidth="1"/>
    <col min="13078" max="13078" width="14.42578125" style="284" bestFit="1" customWidth="1"/>
    <col min="13079" max="13079" width="12.140625" style="284" customWidth="1"/>
    <col min="13080" max="13080" width="10.5703125" style="284" bestFit="1" customWidth="1"/>
    <col min="13081" max="13081" width="14.7109375" style="284" customWidth="1"/>
    <col min="13082" max="13082" width="14.5703125" style="284" bestFit="1" customWidth="1"/>
    <col min="13083" max="13083" width="17.7109375" style="284" customWidth="1"/>
    <col min="13084" max="13084" width="15" style="284" customWidth="1"/>
    <col min="13085" max="13085" width="8.85546875" style="284" customWidth="1"/>
    <col min="13086" max="13086" width="16" style="284" customWidth="1"/>
    <col min="13087" max="13087" width="14.85546875" style="284" bestFit="1" customWidth="1"/>
    <col min="13088" max="13088" width="15.140625" style="284" customWidth="1"/>
    <col min="13089" max="13089" width="11.85546875" style="284" customWidth="1"/>
    <col min="13090" max="13090" width="10.7109375" style="284" bestFit="1" customWidth="1"/>
    <col min="13091" max="13091" width="13.85546875" style="284" customWidth="1"/>
    <col min="13092" max="13094" width="18.140625" style="284" bestFit="1" customWidth="1"/>
    <col min="13095" max="13099" width="9.140625" style="284"/>
    <col min="13100" max="13100" width="10.42578125" style="284" bestFit="1" customWidth="1"/>
    <col min="13101" max="13102" width="14.28515625" style="284" bestFit="1" customWidth="1"/>
    <col min="13103" max="13107" width="10.42578125" style="284" bestFit="1" customWidth="1"/>
    <col min="13108" max="13313" width="9.140625" style="284"/>
    <col min="13314" max="13314" width="15.7109375" style="284" customWidth="1"/>
    <col min="13315" max="13315" width="14.7109375" style="284" bestFit="1" customWidth="1"/>
    <col min="13316" max="13316" width="12.5703125" style="284" customWidth="1"/>
    <col min="13317" max="13317" width="21" style="284" bestFit="1" customWidth="1"/>
    <col min="13318" max="13318" width="19.85546875" style="284" customWidth="1"/>
    <col min="13319" max="13319" width="15.85546875" style="284" bestFit="1" customWidth="1"/>
    <col min="13320" max="13320" width="14.85546875" style="284" bestFit="1" customWidth="1"/>
    <col min="13321" max="13321" width="15.85546875" style="284" bestFit="1" customWidth="1"/>
    <col min="13322" max="13323" width="11.5703125" style="284" customWidth="1"/>
    <col min="13324" max="13325" width="13.85546875" style="284" customWidth="1"/>
    <col min="13326" max="13326" width="15.42578125" style="284" customWidth="1"/>
    <col min="13327" max="13327" width="14.85546875" style="284" customWidth="1"/>
    <col min="13328" max="13328" width="15.42578125" style="284" customWidth="1"/>
    <col min="13329" max="13330" width="13.85546875" style="284" customWidth="1"/>
    <col min="13331" max="13331" width="1.5703125" style="284" customWidth="1"/>
    <col min="13332" max="13332" width="12" style="284" customWidth="1"/>
    <col min="13333" max="13333" width="15.28515625" style="284" bestFit="1" customWidth="1"/>
    <col min="13334" max="13334" width="14.42578125" style="284" bestFit="1" customWidth="1"/>
    <col min="13335" max="13335" width="12.140625" style="284" customWidth="1"/>
    <col min="13336" max="13336" width="10.5703125" style="284" bestFit="1" customWidth="1"/>
    <col min="13337" max="13337" width="14.7109375" style="284" customWidth="1"/>
    <col min="13338" max="13338" width="14.5703125" style="284" bestFit="1" customWidth="1"/>
    <col min="13339" max="13339" width="17.7109375" style="284" customWidth="1"/>
    <col min="13340" max="13340" width="15" style="284" customWidth="1"/>
    <col min="13341" max="13341" width="8.85546875" style="284" customWidth="1"/>
    <col min="13342" max="13342" width="16" style="284" customWidth="1"/>
    <col min="13343" max="13343" width="14.85546875" style="284" bestFit="1" customWidth="1"/>
    <col min="13344" max="13344" width="15.140625" style="284" customWidth="1"/>
    <col min="13345" max="13345" width="11.85546875" style="284" customWidth="1"/>
    <col min="13346" max="13346" width="10.7109375" style="284" bestFit="1" customWidth="1"/>
    <col min="13347" max="13347" width="13.85546875" style="284" customWidth="1"/>
    <col min="13348" max="13350" width="18.140625" style="284" bestFit="1" customWidth="1"/>
    <col min="13351" max="13355" width="9.140625" style="284"/>
    <col min="13356" max="13356" width="10.42578125" style="284" bestFit="1" customWidth="1"/>
    <col min="13357" max="13358" width="14.28515625" style="284" bestFit="1" customWidth="1"/>
    <col min="13359" max="13363" width="10.42578125" style="284" bestFit="1" customWidth="1"/>
    <col min="13364" max="13569" width="9.140625" style="284"/>
    <col min="13570" max="13570" width="15.7109375" style="284" customWidth="1"/>
    <col min="13571" max="13571" width="14.7109375" style="284" bestFit="1" customWidth="1"/>
    <col min="13572" max="13572" width="12.5703125" style="284" customWidth="1"/>
    <col min="13573" max="13573" width="21" style="284" bestFit="1" customWidth="1"/>
    <col min="13574" max="13574" width="19.85546875" style="284" customWidth="1"/>
    <col min="13575" max="13575" width="15.85546875" style="284" bestFit="1" customWidth="1"/>
    <col min="13576" max="13576" width="14.85546875" style="284" bestFit="1" customWidth="1"/>
    <col min="13577" max="13577" width="15.85546875" style="284" bestFit="1" customWidth="1"/>
    <col min="13578" max="13579" width="11.5703125" style="284" customWidth="1"/>
    <col min="13580" max="13581" width="13.85546875" style="284" customWidth="1"/>
    <col min="13582" max="13582" width="15.42578125" style="284" customWidth="1"/>
    <col min="13583" max="13583" width="14.85546875" style="284" customWidth="1"/>
    <col min="13584" max="13584" width="15.42578125" style="284" customWidth="1"/>
    <col min="13585" max="13586" width="13.85546875" style="284" customWidth="1"/>
    <col min="13587" max="13587" width="1.5703125" style="284" customWidth="1"/>
    <col min="13588" max="13588" width="12" style="284" customWidth="1"/>
    <col min="13589" max="13589" width="15.28515625" style="284" bestFit="1" customWidth="1"/>
    <col min="13590" max="13590" width="14.42578125" style="284" bestFit="1" customWidth="1"/>
    <col min="13591" max="13591" width="12.140625" style="284" customWidth="1"/>
    <col min="13592" max="13592" width="10.5703125" style="284" bestFit="1" customWidth="1"/>
    <col min="13593" max="13593" width="14.7109375" style="284" customWidth="1"/>
    <col min="13594" max="13594" width="14.5703125" style="284" bestFit="1" customWidth="1"/>
    <col min="13595" max="13595" width="17.7109375" style="284" customWidth="1"/>
    <col min="13596" max="13596" width="15" style="284" customWidth="1"/>
    <col min="13597" max="13597" width="8.85546875" style="284" customWidth="1"/>
    <col min="13598" max="13598" width="16" style="284" customWidth="1"/>
    <col min="13599" max="13599" width="14.85546875" style="284" bestFit="1" customWidth="1"/>
    <col min="13600" max="13600" width="15.140625" style="284" customWidth="1"/>
    <col min="13601" max="13601" width="11.85546875" style="284" customWidth="1"/>
    <col min="13602" max="13602" width="10.7109375" style="284" bestFit="1" customWidth="1"/>
    <col min="13603" max="13603" width="13.85546875" style="284" customWidth="1"/>
    <col min="13604" max="13606" width="18.140625" style="284" bestFit="1" customWidth="1"/>
    <col min="13607" max="13611" width="9.140625" style="284"/>
    <col min="13612" max="13612" width="10.42578125" style="284" bestFit="1" customWidth="1"/>
    <col min="13613" max="13614" width="14.28515625" style="284" bestFit="1" customWidth="1"/>
    <col min="13615" max="13619" width="10.42578125" style="284" bestFit="1" customWidth="1"/>
    <col min="13620" max="13825" width="9.140625" style="284"/>
    <col min="13826" max="13826" width="15.7109375" style="284" customWidth="1"/>
    <col min="13827" max="13827" width="14.7109375" style="284" bestFit="1" customWidth="1"/>
    <col min="13828" max="13828" width="12.5703125" style="284" customWidth="1"/>
    <col min="13829" max="13829" width="21" style="284" bestFit="1" customWidth="1"/>
    <col min="13830" max="13830" width="19.85546875" style="284" customWidth="1"/>
    <col min="13831" max="13831" width="15.85546875" style="284" bestFit="1" customWidth="1"/>
    <col min="13832" max="13832" width="14.85546875" style="284" bestFit="1" customWidth="1"/>
    <col min="13833" max="13833" width="15.85546875" style="284" bestFit="1" customWidth="1"/>
    <col min="13834" max="13835" width="11.5703125" style="284" customWidth="1"/>
    <col min="13836" max="13837" width="13.85546875" style="284" customWidth="1"/>
    <col min="13838" max="13838" width="15.42578125" style="284" customWidth="1"/>
    <col min="13839" max="13839" width="14.85546875" style="284" customWidth="1"/>
    <col min="13840" max="13840" width="15.42578125" style="284" customWidth="1"/>
    <col min="13841" max="13842" width="13.85546875" style="284" customWidth="1"/>
    <col min="13843" max="13843" width="1.5703125" style="284" customWidth="1"/>
    <col min="13844" max="13844" width="12" style="284" customWidth="1"/>
    <col min="13845" max="13845" width="15.28515625" style="284" bestFit="1" customWidth="1"/>
    <col min="13846" max="13846" width="14.42578125" style="284" bestFit="1" customWidth="1"/>
    <col min="13847" max="13847" width="12.140625" style="284" customWidth="1"/>
    <col min="13848" max="13848" width="10.5703125" style="284" bestFit="1" customWidth="1"/>
    <col min="13849" max="13849" width="14.7109375" style="284" customWidth="1"/>
    <col min="13850" max="13850" width="14.5703125" style="284" bestFit="1" customWidth="1"/>
    <col min="13851" max="13851" width="17.7109375" style="284" customWidth="1"/>
    <col min="13852" max="13852" width="15" style="284" customWidth="1"/>
    <col min="13853" max="13853" width="8.85546875" style="284" customWidth="1"/>
    <col min="13854" max="13854" width="16" style="284" customWidth="1"/>
    <col min="13855" max="13855" width="14.85546875" style="284" bestFit="1" customWidth="1"/>
    <col min="13856" max="13856" width="15.140625" style="284" customWidth="1"/>
    <col min="13857" max="13857" width="11.85546875" style="284" customWidth="1"/>
    <col min="13858" max="13858" width="10.7109375" style="284" bestFit="1" customWidth="1"/>
    <col min="13859" max="13859" width="13.85546875" style="284" customWidth="1"/>
    <col min="13860" max="13862" width="18.140625" style="284" bestFit="1" customWidth="1"/>
    <col min="13863" max="13867" width="9.140625" style="284"/>
    <col min="13868" max="13868" width="10.42578125" style="284" bestFit="1" customWidth="1"/>
    <col min="13869" max="13870" width="14.28515625" style="284" bestFit="1" customWidth="1"/>
    <col min="13871" max="13875" width="10.42578125" style="284" bestFit="1" customWidth="1"/>
    <col min="13876" max="14081" width="9.140625" style="284"/>
    <col min="14082" max="14082" width="15.7109375" style="284" customWidth="1"/>
    <col min="14083" max="14083" width="14.7109375" style="284" bestFit="1" customWidth="1"/>
    <col min="14084" max="14084" width="12.5703125" style="284" customWidth="1"/>
    <col min="14085" max="14085" width="21" style="284" bestFit="1" customWidth="1"/>
    <col min="14086" max="14086" width="19.85546875" style="284" customWidth="1"/>
    <col min="14087" max="14087" width="15.85546875" style="284" bestFit="1" customWidth="1"/>
    <col min="14088" max="14088" width="14.85546875" style="284" bestFit="1" customWidth="1"/>
    <col min="14089" max="14089" width="15.85546875" style="284" bestFit="1" customWidth="1"/>
    <col min="14090" max="14091" width="11.5703125" style="284" customWidth="1"/>
    <col min="14092" max="14093" width="13.85546875" style="284" customWidth="1"/>
    <col min="14094" max="14094" width="15.42578125" style="284" customWidth="1"/>
    <col min="14095" max="14095" width="14.85546875" style="284" customWidth="1"/>
    <col min="14096" max="14096" width="15.42578125" style="284" customWidth="1"/>
    <col min="14097" max="14098" width="13.85546875" style="284" customWidth="1"/>
    <col min="14099" max="14099" width="1.5703125" style="284" customWidth="1"/>
    <col min="14100" max="14100" width="12" style="284" customWidth="1"/>
    <col min="14101" max="14101" width="15.28515625" style="284" bestFit="1" customWidth="1"/>
    <col min="14102" max="14102" width="14.42578125" style="284" bestFit="1" customWidth="1"/>
    <col min="14103" max="14103" width="12.140625" style="284" customWidth="1"/>
    <col min="14104" max="14104" width="10.5703125" style="284" bestFit="1" customWidth="1"/>
    <col min="14105" max="14105" width="14.7109375" style="284" customWidth="1"/>
    <col min="14106" max="14106" width="14.5703125" style="284" bestFit="1" customWidth="1"/>
    <col min="14107" max="14107" width="17.7109375" style="284" customWidth="1"/>
    <col min="14108" max="14108" width="15" style="284" customWidth="1"/>
    <col min="14109" max="14109" width="8.85546875" style="284" customWidth="1"/>
    <col min="14110" max="14110" width="16" style="284" customWidth="1"/>
    <col min="14111" max="14111" width="14.85546875" style="284" bestFit="1" customWidth="1"/>
    <col min="14112" max="14112" width="15.140625" style="284" customWidth="1"/>
    <col min="14113" max="14113" width="11.85546875" style="284" customWidth="1"/>
    <col min="14114" max="14114" width="10.7109375" style="284" bestFit="1" customWidth="1"/>
    <col min="14115" max="14115" width="13.85546875" style="284" customWidth="1"/>
    <col min="14116" max="14118" width="18.140625" style="284" bestFit="1" customWidth="1"/>
    <col min="14119" max="14123" width="9.140625" style="284"/>
    <col min="14124" max="14124" width="10.42578125" style="284" bestFit="1" customWidth="1"/>
    <col min="14125" max="14126" width="14.28515625" style="284" bestFit="1" customWidth="1"/>
    <col min="14127" max="14131" width="10.42578125" style="284" bestFit="1" customWidth="1"/>
    <col min="14132" max="14337" width="9.140625" style="284"/>
    <col min="14338" max="14338" width="15.7109375" style="284" customWidth="1"/>
    <col min="14339" max="14339" width="14.7109375" style="284" bestFit="1" customWidth="1"/>
    <col min="14340" max="14340" width="12.5703125" style="284" customWidth="1"/>
    <col min="14341" max="14341" width="21" style="284" bestFit="1" customWidth="1"/>
    <col min="14342" max="14342" width="19.85546875" style="284" customWidth="1"/>
    <col min="14343" max="14343" width="15.85546875" style="284" bestFit="1" customWidth="1"/>
    <col min="14344" max="14344" width="14.85546875" style="284" bestFit="1" customWidth="1"/>
    <col min="14345" max="14345" width="15.85546875" style="284" bestFit="1" customWidth="1"/>
    <col min="14346" max="14347" width="11.5703125" style="284" customWidth="1"/>
    <col min="14348" max="14349" width="13.85546875" style="284" customWidth="1"/>
    <col min="14350" max="14350" width="15.42578125" style="284" customWidth="1"/>
    <col min="14351" max="14351" width="14.85546875" style="284" customWidth="1"/>
    <col min="14352" max="14352" width="15.42578125" style="284" customWidth="1"/>
    <col min="14353" max="14354" width="13.85546875" style="284" customWidth="1"/>
    <col min="14355" max="14355" width="1.5703125" style="284" customWidth="1"/>
    <col min="14356" max="14356" width="12" style="284" customWidth="1"/>
    <col min="14357" max="14357" width="15.28515625" style="284" bestFit="1" customWidth="1"/>
    <col min="14358" max="14358" width="14.42578125" style="284" bestFit="1" customWidth="1"/>
    <col min="14359" max="14359" width="12.140625" style="284" customWidth="1"/>
    <col min="14360" max="14360" width="10.5703125" style="284" bestFit="1" customWidth="1"/>
    <col min="14361" max="14361" width="14.7109375" style="284" customWidth="1"/>
    <col min="14362" max="14362" width="14.5703125" style="284" bestFit="1" customWidth="1"/>
    <col min="14363" max="14363" width="17.7109375" style="284" customWidth="1"/>
    <col min="14364" max="14364" width="15" style="284" customWidth="1"/>
    <col min="14365" max="14365" width="8.85546875" style="284" customWidth="1"/>
    <col min="14366" max="14366" width="16" style="284" customWidth="1"/>
    <col min="14367" max="14367" width="14.85546875" style="284" bestFit="1" customWidth="1"/>
    <col min="14368" max="14368" width="15.140625" style="284" customWidth="1"/>
    <col min="14369" max="14369" width="11.85546875" style="284" customWidth="1"/>
    <col min="14370" max="14370" width="10.7109375" style="284" bestFit="1" customWidth="1"/>
    <col min="14371" max="14371" width="13.85546875" style="284" customWidth="1"/>
    <col min="14372" max="14374" width="18.140625" style="284" bestFit="1" customWidth="1"/>
    <col min="14375" max="14379" width="9.140625" style="284"/>
    <col min="14380" max="14380" width="10.42578125" style="284" bestFit="1" customWidth="1"/>
    <col min="14381" max="14382" width="14.28515625" style="284" bestFit="1" customWidth="1"/>
    <col min="14383" max="14387" width="10.42578125" style="284" bestFit="1" customWidth="1"/>
    <col min="14388" max="14593" width="9.140625" style="284"/>
    <col min="14594" max="14594" width="15.7109375" style="284" customWidth="1"/>
    <col min="14595" max="14595" width="14.7109375" style="284" bestFit="1" customWidth="1"/>
    <col min="14596" max="14596" width="12.5703125" style="284" customWidth="1"/>
    <col min="14597" max="14597" width="21" style="284" bestFit="1" customWidth="1"/>
    <col min="14598" max="14598" width="19.85546875" style="284" customWidth="1"/>
    <col min="14599" max="14599" width="15.85546875" style="284" bestFit="1" customWidth="1"/>
    <col min="14600" max="14600" width="14.85546875" style="284" bestFit="1" customWidth="1"/>
    <col min="14601" max="14601" width="15.85546875" style="284" bestFit="1" customWidth="1"/>
    <col min="14602" max="14603" width="11.5703125" style="284" customWidth="1"/>
    <col min="14604" max="14605" width="13.85546875" style="284" customWidth="1"/>
    <col min="14606" max="14606" width="15.42578125" style="284" customWidth="1"/>
    <col min="14607" max="14607" width="14.85546875" style="284" customWidth="1"/>
    <col min="14608" max="14608" width="15.42578125" style="284" customWidth="1"/>
    <col min="14609" max="14610" width="13.85546875" style="284" customWidth="1"/>
    <col min="14611" max="14611" width="1.5703125" style="284" customWidth="1"/>
    <col min="14612" max="14612" width="12" style="284" customWidth="1"/>
    <col min="14613" max="14613" width="15.28515625" style="284" bestFit="1" customWidth="1"/>
    <col min="14614" max="14614" width="14.42578125" style="284" bestFit="1" customWidth="1"/>
    <col min="14615" max="14615" width="12.140625" style="284" customWidth="1"/>
    <col min="14616" max="14616" width="10.5703125" style="284" bestFit="1" customWidth="1"/>
    <col min="14617" max="14617" width="14.7109375" style="284" customWidth="1"/>
    <col min="14618" max="14618" width="14.5703125" style="284" bestFit="1" customWidth="1"/>
    <col min="14619" max="14619" width="17.7109375" style="284" customWidth="1"/>
    <col min="14620" max="14620" width="15" style="284" customWidth="1"/>
    <col min="14621" max="14621" width="8.85546875" style="284" customWidth="1"/>
    <col min="14622" max="14622" width="16" style="284" customWidth="1"/>
    <col min="14623" max="14623" width="14.85546875" style="284" bestFit="1" customWidth="1"/>
    <col min="14624" max="14624" width="15.140625" style="284" customWidth="1"/>
    <col min="14625" max="14625" width="11.85546875" style="284" customWidth="1"/>
    <col min="14626" max="14626" width="10.7109375" style="284" bestFit="1" customWidth="1"/>
    <col min="14627" max="14627" width="13.85546875" style="284" customWidth="1"/>
    <col min="14628" max="14630" width="18.140625" style="284" bestFit="1" customWidth="1"/>
    <col min="14631" max="14635" width="9.140625" style="284"/>
    <col min="14636" max="14636" width="10.42578125" style="284" bestFit="1" customWidth="1"/>
    <col min="14637" max="14638" width="14.28515625" style="284" bestFit="1" customWidth="1"/>
    <col min="14639" max="14643" width="10.42578125" style="284" bestFit="1" customWidth="1"/>
    <col min="14644" max="14849" width="9.140625" style="284"/>
    <col min="14850" max="14850" width="15.7109375" style="284" customWidth="1"/>
    <col min="14851" max="14851" width="14.7109375" style="284" bestFit="1" customWidth="1"/>
    <col min="14852" max="14852" width="12.5703125" style="284" customWidth="1"/>
    <col min="14853" max="14853" width="21" style="284" bestFit="1" customWidth="1"/>
    <col min="14854" max="14854" width="19.85546875" style="284" customWidth="1"/>
    <col min="14855" max="14855" width="15.85546875" style="284" bestFit="1" customWidth="1"/>
    <col min="14856" max="14856" width="14.85546875" style="284" bestFit="1" customWidth="1"/>
    <col min="14857" max="14857" width="15.85546875" style="284" bestFit="1" customWidth="1"/>
    <col min="14858" max="14859" width="11.5703125" style="284" customWidth="1"/>
    <col min="14860" max="14861" width="13.85546875" style="284" customWidth="1"/>
    <col min="14862" max="14862" width="15.42578125" style="284" customWidth="1"/>
    <col min="14863" max="14863" width="14.85546875" style="284" customWidth="1"/>
    <col min="14864" max="14864" width="15.42578125" style="284" customWidth="1"/>
    <col min="14865" max="14866" width="13.85546875" style="284" customWidth="1"/>
    <col min="14867" max="14867" width="1.5703125" style="284" customWidth="1"/>
    <col min="14868" max="14868" width="12" style="284" customWidth="1"/>
    <col min="14869" max="14869" width="15.28515625" style="284" bestFit="1" customWidth="1"/>
    <col min="14870" max="14870" width="14.42578125" style="284" bestFit="1" customWidth="1"/>
    <col min="14871" max="14871" width="12.140625" style="284" customWidth="1"/>
    <col min="14872" max="14872" width="10.5703125" style="284" bestFit="1" customWidth="1"/>
    <col min="14873" max="14873" width="14.7109375" style="284" customWidth="1"/>
    <col min="14874" max="14874" width="14.5703125" style="284" bestFit="1" customWidth="1"/>
    <col min="14875" max="14875" width="17.7109375" style="284" customWidth="1"/>
    <col min="14876" max="14876" width="15" style="284" customWidth="1"/>
    <col min="14877" max="14877" width="8.85546875" style="284" customWidth="1"/>
    <col min="14878" max="14878" width="16" style="284" customWidth="1"/>
    <col min="14879" max="14879" width="14.85546875" style="284" bestFit="1" customWidth="1"/>
    <col min="14880" max="14880" width="15.140625" style="284" customWidth="1"/>
    <col min="14881" max="14881" width="11.85546875" style="284" customWidth="1"/>
    <col min="14882" max="14882" width="10.7109375" style="284" bestFit="1" customWidth="1"/>
    <col min="14883" max="14883" width="13.85546875" style="284" customWidth="1"/>
    <col min="14884" max="14886" width="18.140625" style="284" bestFit="1" customWidth="1"/>
    <col min="14887" max="14891" width="9.140625" style="284"/>
    <col min="14892" max="14892" width="10.42578125" style="284" bestFit="1" customWidth="1"/>
    <col min="14893" max="14894" width="14.28515625" style="284" bestFit="1" customWidth="1"/>
    <col min="14895" max="14899" width="10.42578125" style="284" bestFit="1" customWidth="1"/>
    <col min="14900" max="15105" width="9.140625" style="284"/>
    <col min="15106" max="15106" width="15.7109375" style="284" customWidth="1"/>
    <col min="15107" max="15107" width="14.7109375" style="284" bestFit="1" customWidth="1"/>
    <col min="15108" max="15108" width="12.5703125" style="284" customWidth="1"/>
    <col min="15109" max="15109" width="21" style="284" bestFit="1" customWidth="1"/>
    <col min="15110" max="15110" width="19.85546875" style="284" customWidth="1"/>
    <col min="15111" max="15111" width="15.85546875" style="284" bestFit="1" customWidth="1"/>
    <col min="15112" max="15112" width="14.85546875" style="284" bestFit="1" customWidth="1"/>
    <col min="15113" max="15113" width="15.85546875" style="284" bestFit="1" customWidth="1"/>
    <col min="15114" max="15115" width="11.5703125" style="284" customWidth="1"/>
    <col min="15116" max="15117" width="13.85546875" style="284" customWidth="1"/>
    <col min="15118" max="15118" width="15.42578125" style="284" customWidth="1"/>
    <col min="15119" max="15119" width="14.85546875" style="284" customWidth="1"/>
    <col min="15120" max="15120" width="15.42578125" style="284" customWidth="1"/>
    <col min="15121" max="15122" width="13.85546875" style="284" customWidth="1"/>
    <col min="15123" max="15123" width="1.5703125" style="284" customWidth="1"/>
    <col min="15124" max="15124" width="12" style="284" customWidth="1"/>
    <col min="15125" max="15125" width="15.28515625" style="284" bestFit="1" customWidth="1"/>
    <col min="15126" max="15126" width="14.42578125" style="284" bestFit="1" customWidth="1"/>
    <col min="15127" max="15127" width="12.140625" style="284" customWidth="1"/>
    <col min="15128" max="15128" width="10.5703125" style="284" bestFit="1" customWidth="1"/>
    <col min="15129" max="15129" width="14.7109375" style="284" customWidth="1"/>
    <col min="15130" max="15130" width="14.5703125" style="284" bestFit="1" customWidth="1"/>
    <col min="15131" max="15131" width="17.7109375" style="284" customWidth="1"/>
    <col min="15132" max="15132" width="15" style="284" customWidth="1"/>
    <col min="15133" max="15133" width="8.85546875" style="284" customWidth="1"/>
    <col min="15134" max="15134" width="16" style="284" customWidth="1"/>
    <col min="15135" max="15135" width="14.85546875" style="284" bestFit="1" customWidth="1"/>
    <col min="15136" max="15136" width="15.140625" style="284" customWidth="1"/>
    <col min="15137" max="15137" width="11.85546875" style="284" customWidth="1"/>
    <col min="15138" max="15138" width="10.7109375" style="284" bestFit="1" customWidth="1"/>
    <col min="15139" max="15139" width="13.85546875" style="284" customWidth="1"/>
    <col min="15140" max="15142" width="18.140625" style="284" bestFit="1" customWidth="1"/>
    <col min="15143" max="15147" width="9.140625" style="284"/>
    <col min="15148" max="15148" width="10.42578125" style="284" bestFit="1" customWidth="1"/>
    <col min="15149" max="15150" width="14.28515625" style="284" bestFit="1" customWidth="1"/>
    <col min="15151" max="15155" width="10.42578125" style="284" bestFit="1" customWidth="1"/>
    <col min="15156" max="15361" width="9.140625" style="284"/>
    <col min="15362" max="15362" width="15.7109375" style="284" customWidth="1"/>
    <col min="15363" max="15363" width="14.7109375" style="284" bestFit="1" customWidth="1"/>
    <col min="15364" max="15364" width="12.5703125" style="284" customWidth="1"/>
    <col min="15365" max="15365" width="21" style="284" bestFit="1" customWidth="1"/>
    <col min="15366" max="15366" width="19.85546875" style="284" customWidth="1"/>
    <col min="15367" max="15367" width="15.85546875" style="284" bestFit="1" customWidth="1"/>
    <col min="15368" max="15368" width="14.85546875" style="284" bestFit="1" customWidth="1"/>
    <col min="15369" max="15369" width="15.85546875" style="284" bestFit="1" customWidth="1"/>
    <col min="15370" max="15371" width="11.5703125" style="284" customWidth="1"/>
    <col min="15372" max="15373" width="13.85546875" style="284" customWidth="1"/>
    <col min="15374" max="15374" width="15.42578125" style="284" customWidth="1"/>
    <col min="15375" max="15375" width="14.85546875" style="284" customWidth="1"/>
    <col min="15376" max="15376" width="15.42578125" style="284" customWidth="1"/>
    <col min="15377" max="15378" width="13.85546875" style="284" customWidth="1"/>
    <col min="15379" max="15379" width="1.5703125" style="284" customWidth="1"/>
    <col min="15380" max="15380" width="12" style="284" customWidth="1"/>
    <col min="15381" max="15381" width="15.28515625" style="284" bestFit="1" customWidth="1"/>
    <col min="15382" max="15382" width="14.42578125" style="284" bestFit="1" customWidth="1"/>
    <col min="15383" max="15383" width="12.140625" style="284" customWidth="1"/>
    <col min="15384" max="15384" width="10.5703125" style="284" bestFit="1" customWidth="1"/>
    <col min="15385" max="15385" width="14.7109375" style="284" customWidth="1"/>
    <col min="15386" max="15386" width="14.5703125" style="284" bestFit="1" customWidth="1"/>
    <col min="15387" max="15387" width="17.7109375" style="284" customWidth="1"/>
    <col min="15388" max="15388" width="15" style="284" customWidth="1"/>
    <col min="15389" max="15389" width="8.85546875" style="284" customWidth="1"/>
    <col min="15390" max="15390" width="16" style="284" customWidth="1"/>
    <col min="15391" max="15391" width="14.85546875" style="284" bestFit="1" customWidth="1"/>
    <col min="15392" max="15392" width="15.140625" style="284" customWidth="1"/>
    <col min="15393" max="15393" width="11.85546875" style="284" customWidth="1"/>
    <col min="15394" max="15394" width="10.7109375" style="284" bestFit="1" customWidth="1"/>
    <col min="15395" max="15395" width="13.85546875" style="284" customWidth="1"/>
    <col min="15396" max="15398" width="18.140625" style="284" bestFit="1" customWidth="1"/>
    <col min="15399" max="15403" width="9.140625" style="284"/>
    <col min="15404" max="15404" width="10.42578125" style="284" bestFit="1" customWidth="1"/>
    <col min="15405" max="15406" width="14.28515625" style="284" bestFit="1" customWidth="1"/>
    <col min="15407" max="15411" width="10.42578125" style="284" bestFit="1" customWidth="1"/>
    <col min="15412" max="15617" width="9.140625" style="284"/>
    <col min="15618" max="15618" width="15.7109375" style="284" customWidth="1"/>
    <col min="15619" max="15619" width="14.7109375" style="284" bestFit="1" customWidth="1"/>
    <col min="15620" max="15620" width="12.5703125" style="284" customWidth="1"/>
    <col min="15621" max="15621" width="21" style="284" bestFit="1" customWidth="1"/>
    <col min="15622" max="15622" width="19.85546875" style="284" customWidth="1"/>
    <col min="15623" max="15623" width="15.85546875" style="284" bestFit="1" customWidth="1"/>
    <col min="15624" max="15624" width="14.85546875" style="284" bestFit="1" customWidth="1"/>
    <col min="15625" max="15625" width="15.85546875" style="284" bestFit="1" customWidth="1"/>
    <col min="15626" max="15627" width="11.5703125" style="284" customWidth="1"/>
    <col min="15628" max="15629" width="13.85546875" style="284" customWidth="1"/>
    <col min="15630" max="15630" width="15.42578125" style="284" customWidth="1"/>
    <col min="15631" max="15631" width="14.85546875" style="284" customWidth="1"/>
    <col min="15632" max="15632" width="15.42578125" style="284" customWidth="1"/>
    <col min="15633" max="15634" width="13.85546875" style="284" customWidth="1"/>
    <col min="15635" max="15635" width="1.5703125" style="284" customWidth="1"/>
    <col min="15636" max="15636" width="12" style="284" customWidth="1"/>
    <col min="15637" max="15637" width="15.28515625" style="284" bestFit="1" customWidth="1"/>
    <col min="15638" max="15638" width="14.42578125" style="284" bestFit="1" customWidth="1"/>
    <col min="15639" max="15639" width="12.140625" style="284" customWidth="1"/>
    <col min="15640" max="15640" width="10.5703125" style="284" bestFit="1" customWidth="1"/>
    <col min="15641" max="15641" width="14.7109375" style="284" customWidth="1"/>
    <col min="15642" max="15642" width="14.5703125" style="284" bestFit="1" customWidth="1"/>
    <col min="15643" max="15643" width="17.7109375" style="284" customWidth="1"/>
    <col min="15644" max="15644" width="15" style="284" customWidth="1"/>
    <col min="15645" max="15645" width="8.85546875" style="284" customWidth="1"/>
    <col min="15646" max="15646" width="16" style="284" customWidth="1"/>
    <col min="15647" max="15647" width="14.85546875" style="284" bestFit="1" customWidth="1"/>
    <col min="15648" max="15648" width="15.140625" style="284" customWidth="1"/>
    <col min="15649" max="15649" width="11.85546875" style="284" customWidth="1"/>
    <col min="15650" max="15650" width="10.7109375" style="284" bestFit="1" customWidth="1"/>
    <col min="15651" max="15651" width="13.85546875" style="284" customWidth="1"/>
    <col min="15652" max="15654" width="18.140625" style="284" bestFit="1" customWidth="1"/>
    <col min="15655" max="15659" width="9.140625" style="284"/>
    <col min="15660" max="15660" width="10.42578125" style="284" bestFit="1" customWidth="1"/>
    <col min="15661" max="15662" width="14.28515625" style="284" bestFit="1" customWidth="1"/>
    <col min="15663" max="15667" width="10.42578125" style="284" bestFit="1" customWidth="1"/>
    <col min="15668" max="15873" width="9.140625" style="284"/>
    <col min="15874" max="15874" width="15.7109375" style="284" customWidth="1"/>
    <col min="15875" max="15875" width="14.7109375" style="284" bestFit="1" customWidth="1"/>
    <col min="15876" max="15876" width="12.5703125" style="284" customWidth="1"/>
    <col min="15877" max="15877" width="21" style="284" bestFit="1" customWidth="1"/>
    <col min="15878" max="15878" width="19.85546875" style="284" customWidth="1"/>
    <col min="15879" max="15879" width="15.85546875" style="284" bestFit="1" customWidth="1"/>
    <col min="15880" max="15880" width="14.85546875" style="284" bestFit="1" customWidth="1"/>
    <col min="15881" max="15881" width="15.85546875" style="284" bestFit="1" customWidth="1"/>
    <col min="15882" max="15883" width="11.5703125" style="284" customWidth="1"/>
    <col min="15884" max="15885" width="13.85546875" style="284" customWidth="1"/>
    <col min="15886" max="15886" width="15.42578125" style="284" customWidth="1"/>
    <col min="15887" max="15887" width="14.85546875" style="284" customWidth="1"/>
    <col min="15888" max="15888" width="15.42578125" style="284" customWidth="1"/>
    <col min="15889" max="15890" width="13.85546875" style="284" customWidth="1"/>
    <col min="15891" max="15891" width="1.5703125" style="284" customWidth="1"/>
    <col min="15892" max="15892" width="12" style="284" customWidth="1"/>
    <col min="15893" max="15893" width="15.28515625" style="284" bestFit="1" customWidth="1"/>
    <col min="15894" max="15894" width="14.42578125" style="284" bestFit="1" customWidth="1"/>
    <col min="15895" max="15895" width="12.140625" style="284" customWidth="1"/>
    <col min="15896" max="15896" width="10.5703125" style="284" bestFit="1" customWidth="1"/>
    <col min="15897" max="15897" width="14.7109375" style="284" customWidth="1"/>
    <col min="15898" max="15898" width="14.5703125" style="284" bestFit="1" customWidth="1"/>
    <col min="15899" max="15899" width="17.7109375" style="284" customWidth="1"/>
    <col min="15900" max="15900" width="15" style="284" customWidth="1"/>
    <col min="15901" max="15901" width="8.85546875" style="284" customWidth="1"/>
    <col min="15902" max="15902" width="16" style="284" customWidth="1"/>
    <col min="15903" max="15903" width="14.85546875" style="284" bestFit="1" customWidth="1"/>
    <col min="15904" max="15904" width="15.140625" style="284" customWidth="1"/>
    <col min="15905" max="15905" width="11.85546875" style="284" customWidth="1"/>
    <col min="15906" max="15906" width="10.7109375" style="284" bestFit="1" customWidth="1"/>
    <col min="15907" max="15907" width="13.85546875" style="284" customWidth="1"/>
    <col min="15908" max="15910" width="18.140625" style="284" bestFit="1" customWidth="1"/>
    <col min="15911" max="15915" width="9.140625" style="284"/>
    <col min="15916" max="15916" width="10.42578125" style="284" bestFit="1" customWidth="1"/>
    <col min="15917" max="15918" width="14.28515625" style="284" bestFit="1" customWidth="1"/>
    <col min="15919" max="15923" width="10.42578125" style="284" bestFit="1" customWidth="1"/>
    <col min="15924" max="16129" width="9.140625" style="284"/>
    <col min="16130" max="16130" width="15.7109375" style="284" customWidth="1"/>
    <col min="16131" max="16131" width="14.7109375" style="284" bestFit="1" customWidth="1"/>
    <col min="16132" max="16132" width="12.5703125" style="284" customWidth="1"/>
    <col min="16133" max="16133" width="21" style="284" bestFit="1" customWidth="1"/>
    <col min="16134" max="16134" width="19.85546875" style="284" customWidth="1"/>
    <col min="16135" max="16135" width="15.85546875" style="284" bestFit="1" customWidth="1"/>
    <col min="16136" max="16136" width="14.85546875" style="284" bestFit="1" customWidth="1"/>
    <col min="16137" max="16137" width="15.85546875" style="284" bestFit="1" customWidth="1"/>
    <col min="16138" max="16139" width="11.5703125" style="284" customWidth="1"/>
    <col min="16140" max="16141" width="13.85546875" style="284" customWidth="1"/>
    <col min="16142" max="16142" width="15.42578125" style="284" customWidth="1"/>
    <col min="16143" max="16143" width="14.85546875" style="284" customWidth="1"/>
    <col min="16144" max="16144" width="15.42578125" style="284" customWidth="1"/>
    <col min="16145" max="16146" width="13.85546875" style="284" customWidth="1"/>
    <col min="16147" max="16147" width="1.5703125" style="284" customWidth="1"/>
    <col min="16148" max="16148" width="12" style="284" customWidth="1"/>
    <col min="16149" max="16149" width="15.28515625" style="284" bestFit="1" customWidth="1"/>
    <col min="16150" max="16150" width="14.42578125" style="284" bestFit="1" customWidth="1"/>
    <col min="16151" max="16151" width="12.140625" style="284" customWidth="1"/>
    <col min="16152" max="16152" width="10.5703125" style="284" bestFit="1" customWidth="1"/>
    <col min="16153" max="16153" width="14.7109375" style="284" customWidth="1"/>
    <col min="16154" max="16154" width="14.5703125" style="284" bestFit="1" customWidth="1"/>
    <col min="16155" max="16155" width="17.7109375" style="284" customWidth="1"/>
    <col min="16156" max="16156" width="15" style="284" customWidth="1"/>
    <col min="16157" max="16157" width="8.85546875" style="284" customWidth="1"/>
    <col min="16158" max="16158" width="16" style="284" customWidth="1"/>
    <col min="16159" max="16159" width="14.85546875" style="284" bestFit="1" customWidth="1"/>
    <col min="16160" max="16160" width="15.140625" style="284" customWidth="1"/>
    <col min="16161" max="16161" width="11.85546875" style="284" customWidth="1"/>
    <col min="16162" max="16162" width="10.7109375" style="284" bestFit="1" customWidth="1"/>
    <col min="16163" max="16163" width="13.85546875" style="284" customWidth="1"/>
    <col min="16164" max="16166" width="18.140625" style="284" bestFit="1" customWidth="1"/>
    <col min="16167" max="16171" width="9.140625" style="284"/>
    <col min="16172" max="16172" width="10.42578125" style="284" bestFit="1" customWidth="1"/>
    <col min="16173" max="16174" width="14.28515625" style="284" bestFit="1" customWidth="1"/>
    <col min="16175" max="16179" width="10.42578125" style="284" bestFit="1" customWidth="1"/>
    <col min="16180" max="16384" width="9.140625" style="284"/>
  </cols>
  <sheetData>
    <row r="1" spans="1:36">
      <c r="A1" s="284" t="s">
        <v>430</v>
      </c>
      <c r="B1" s="285" t="s">
        <v>431</v>
      </c>
      <c r="C1" s="285" t="s">
        <v>492</v>
      </c>
      <c r="D1" s="285" t="s">
        <v>673</v>
      </c>
      <c r="F1" s="284" t="s">
        <v>432</v>
      </c>
      <c r="H1" s="285" t="s">
        <v>431</v>
      </c>
      <c r="S1" s="284" t="s">
        <v>432</v>
      </c>
      <c r="AD1" s="284" t="s">
        <v>432</v>
      </c>
    </row>
    <row r="2" spans="1:36">
      <c r="B2" s="285" t="s">
        <v>433</v>
      </c>
      <c r="C2" s="285" t="s">
        <v>486</v>
      </c>
      <c r="D2" s="285" t="s">
        <v>211</v>
      </c>
      <c r="F2" s="284" t="s">
        <v>435</v>
      </c>
      <c r="G2" s="285" t="s">
        <v>433</v>
      </c>
      <c r="H2" s="285" t="s">
        <v>433</v>
      </c>
      <c r="I2" s="285" t="s">
        <v>434</v>
      </c>
      <c r="S2" s="284" t="s">
        <v>436</v>
      </c>
      <c r="AD2" s="284" t="s">
        <v>437</v>
      </c>
      <c r="AH2" s="291"/>
      <c r="AI2" s="291"/>
    </row>
    <row r="3" spans="1:36" ht="15" thickBot="1">
      <c r="A3" s="285"/>
      <c r="B3" s="317" t="s">
        <v>438</v>
      </c>
      <c r="C3" s="318" t="s">
        <v>485</v>
      </c>
      <c r="D3" s="317" t="s">
        <v>212</v>
      </c>
      <c r="G3" s="285" t="s">
        <v>439</v>
      </c>
      <c r="H3" s="286" t="s">
        <v>438</v>
      </c>
      <c r="I3" s="285" t="s">
        <v>96</v>
      </c>
      <c r="J3" s="285" t="s">
        <v>440</v>
      </c>
      <c r="K3" s="285" t="s">
        <v>440</v>
      </c>
      <c r="L3" s="285"/>
      <c r="M3" s="285" t="s">
        <v>440</v>
      </c>
      <c r="N3" s="287" t="s">
        <v>441</v>
      </c>
      <c r="P3" s="287" t="s">
        <v>442</v>
      </c>
      <c r="W3" s="291"/>
      <c r="X3" s="291"/>
      <c r="AH3" s="291"/>
      <c r="AI3" s="291"/>
    </row>
    <row r="4" spans="1:36" ht="15" thickBot="1">
      <c r="A4" s="286" t="s">
        <v>487</v>
      </c>
      <c r="B4" s="311" t="s">
        <v>443</v>
      </c>
      <c r="C4" s="311" t="s">
        <v>444</v>
      </c>
      <c r="D4" s="311" t="s">
        <v>445</v>
      </c>
      <c r="F4" s="287" t="s">
        <v>446</v>
      </c>
      <c r="G4" s="287" t="s">
        <v>447</v>
      </c>
      <c r="H4" s="287" t="s">
        <v>448</v>
      </c>
      <c r="I4" s="287" t="s">
        <v>449</v>
      </c>
      <c r="J4" s="287" t="s">
        <v>448</v>
      </c>
      <c r="K4" s="287" t="s">
        <v>450</v>
      </c>
      <c r="L4" s="288" t="s">
        <v>449</v>
      </c>
      <c r="M4" s="288" t="s">
        <v>451</v>
      </c>
      <c r="N4" s="288" t="s">
        <v>452</v>
      </c>
      <c r="O4" s="288" t="s">
        <v>453</v>
      </c>
      <c r="P4" s="288" t="s">
        <v>452</v>
      </c>
      <c r="Q4" s="288" t="s">
        <v>453</v>
      </c>
      <c r="S4" s="287" t="s">
        <v>446</v>
      </c>
      <c r="T4" s="287" t="s">
        <v>448</v>
      </c>
      <c r="U4" s="287" t="s">
        <v>449</v>
      </c>
      <c r="V4" s="287" t="s">
        <v>448</v>
      </c>
      <c r="W4" s="287" t="s">
        <v>450</v>
      </c>
      <c r="X4" s="287" t="s">
        <v>447</v>
      </c>
      <c r="Y4" s="288" t="s">
        <v>451</v>
      </c>
      <c r="AD4" s="287" t="s">
        <v>446</v>
      </c>
      <c r="AE4" s="287" t="s">
        <v>448</v>
      </c>
      <c r="AF4" s="287" t="s">
        <v>449</v>
      </c>
      <c r="AG4" s="287" t="s">
        <v>448</v>
      </c>
      <c r="AH4" s="287" t="s">
        <v>450</v>
      </c>
      <c r="AI4" s="287" t="s">
        <v>447</v>
      </c>
      <c r="AJ4" s="288" t="s">
        <v>451</v>
      </c>
    </row>
    <row r="5" spans="1:36">
      <c r="A5" s="289">
        <v>1988</v>
      </c>
      <c r="B5" s="290">
        <v>1381100</v>
      </c>
      <c r="C5" s="290"/>
      <c r="D5" s="290"/>
      <c r="F5" s="285">
        <v>1990</v>
      </c>
      <c r="G5" s="297">
        <v>5396018.2085689167</v>
      </c>
      <c r="H5" s="290">
        <f t="shared" ref="H5:H25" si="0">B5</f>
        <v>1381100</v>
      </c>
      <c r="I5" s="284" t="s">
        <v>454</v>
      </c>
      <c r="J5" s="290">
        <f t="shared" ref="J5:J25" si="1">H5</f>
        <v>1381100</v>
      </c>
      <c r="K5" s="284" t="s">
        <v>454</v>
      </c>
      <c r="L5" s="291" t="s">
        <v>454</v>
      </c>
      <c r="M5" s="292">
        <f t="shared" ref="M5:M24" si="2">LN(G5/H5)</f>
        <v>1.3627810296948744</v>
      </c>
      <c r="S5" s="285">
        <v>1991</v>
      </c>
      <c r="T5" s="290">
        <f t="shared" ref="T5:T14" ca="1" si="3">OFFSET($H$6,$S5-$F$6,,1)</f>
        <v>224000</v>
      </c>
      <c r="U5" s="297"/>
      <c r="V5" s="290">
        <f t="shared" ref="V5:V13" ca="1" si="4">T5</f>
        <v>224000</v>
      </c>
      <c r="W5" s="297">
        <f t="shared" ref="W5:W13" ca="1" si="5">OFFSET($K$6,$S5-$F$6,,1)</f>
        <v>906.45500000000004</v>
      </c>
      <c r="X5" s="297">
        <f t="shared" ref="X5:X14" ca="1" si="6">OFFSET($G$6,$S5-$F$6,,1)</f>
        <v>216257.23994812582</v>
      </c>
      <c r="Y5" s="293">
        <f t="shared" ref="Y5:Y14" ca="1" si="7">LN(X5/V5)</f>
        <v>-3.5177427074572568E-2</v>
      </c>
      <c r="AD5" s="285">
        <v>1992</v>
      </c>
      <c r="AE5" s="290">
        <f t="shared" ref="AE5:AE13" ca="1" si="8">OFFSET($H$7,$AD5-$F$7,,1)</f>
        <v>1800100</v>
      </c>
      <c r="AF5" s="297"/>
      <c r="AG5" s="290">
        <f t="shared" ref="AG5:AG13" ca="1" si="9">AE5</f>
        <v>1800100</v>
      </c>
      <c r="AH5" s="297">
        <f t="shared" ref="AH5:AH13" ca="1" si="10">OFFSET($K$7,$AD5-$F$7,,1)</f>
        <v>4593.701</v>
      </c>
      <c r="AI5" s="297">
        <f t="shared" ref="AI5:AI13" ca="1" si="11">OFFSET($G$7,$AD5-$F$7,,1)</f>
        <v>2182289.5498920702</v>
      </c>
      <c r="AJ5" s="293">
        <f t="shared" ref="AJ5:AJ13" ca="1" si="12">LN(AI5/AG5)</f>
        <v>0.19253235900150581</v>
      </c>
    </row>
    <row r="6" spans="1:36">
      <c r="A6" s="289">
        <v>1989</v>
      </c>
      <c r="B6" s="290">
        <v>224000</v>
      </c>
      <c r="C6" s="290"/>
      <c r="D6" s="290"/>
      <c r="F6" s="285">
        <v>1991</v>
      </c>
      <c r="G6" s="297">
        <v>216257.23994812582</v>
      </c>
      <c r="H6" s="290">
        <f t="shared" si="0"/>
        <v>224000</v>
      </c>
      <c r="I6" s="294"/>
      <c r="J6" s="290">
        <f t="shared" si="1"/>
        <v>224000</v>
      </c>
      <c r="K6" s="297">
        <f t="shared" ref="K6:K25" si="13">D7</f>
        <v>906.45500000000004</v>
      </c>
      <c r="L6" s="294"/>
      <c r="M6" s="292">
        <f t="shared" si="2"/>
        <v>-3.5177427074572568E-2</v>
      </c>
      <c r="P6" s="292">
        <f t="shared" ref="P6:P15" si="14">$G$70+$G$71*H6+$G$72*K6</f>
        <v>1.3254841055307012</v>
      </c>
      <c r="Q6" s="292">
        <f t="shared" ref="Q6:Q15" si="15">M6-P6</f>
        <v>-1.3606615326052738</v>
      </c>
      <c r="S6" s="285">
        <v>1993</v>
      </c>
      <c r="T6" s="290">
        <f t="shared" ca="1" si="3"/>
        <v>66785</v>
      </c>
      <c r="U6" s="297"/>
      <c r="V6" s="290">
        <f t="shared" ca="1" si="4"/>
        <v>66785</v>
      </c>
      <c r="W6" s="297">
        <f t="shared" ca="1" si="5"/>
        <v>3653.694</v>
      </c>
      <c r="X6" s="297">
        <f t="shared" ca="1" si="6"/>
        <v>868497.25192994904</v>
      </c>
      <c r="Y6" s="293">
        <f t="shared" ca="1" si="7"/>
        <v>2.5652859170904345</v>
      </c>
      <c r="AD6" s="285">
        <v>1994</v>
      </c>
      <c r="AE6" s="290">
        <f t="shared" ca="1" si="8"/>
        <v>1490174</v>
      </c>
      <c r="AF6" s="297"/>
      <c r="AG6" s="290">
        <f t="shared" ca="1" si="9"/>
        <v>1490174</v>
      </c>
      <c r="AH6" s="297">
        <f t="shared" ca="1" si="10"/>
        <v>3092.0349999999999</v>
      </c>
      <c r="AI6" s="297">
        <f t="shared" ca="1" si="11"/>
        <v>973975.11616975348</v>
      </c>
      <c r="AJ6" s="293">
        <f t="shared" ca="1" si="12"/>
        <v>-0.42526241540907167</v>
      </c>
    </row>
    <row r="7" spans="1:36">
      <c r="A7" s="285">
        <v>1990</v>
      </c>
      <c r="B7" s="290">
        <v>1800100</v>
      </c>
      <c r="C7" s="294"/>
      <c r="D7" s="290">
        <v>906.45500000000004</v>
      </c>
      <c r="F7" s="285">
        <v>1992</v>
      </c>
      <c r="G7" s="297">
        <v>2182289.5498920702</v>
      </c>
      <c r="H7" s="290">
        <f t="shared" si="0"/>
        <v>1800100</v>
      </c>
      <c r="I7" s="294"/>
      <c r="J7" s="290">
        <f t="shared" si="1"/>
        <v>1800100</v>
      </c>
      <c r="K7" s="297">
        <f t="shared" si="13"/>
        <v>4593.701</v>
      </c>
      <c r="L7" s="294"/>
      <c r="M7" s="292">
        <f t="shared" si="2"/>
        <v>0.19253235900150581</v>
      </c>
      <c r="P7" s="292">
        <f t="shared" si="14"/>
        <v>-0.52757153360742204</v>
      </c>
      <c r="Q7" s="292">
        <f t="shared" si="15"/>
        <v>0.72010389260892782</v>
      </c>
      <c r="S7" s="285">
        <v>1995</v>
      </c>
      <c r="T7" s="290">
        <f t="shared" ca="1" si="3"/>
        <v>348822</v>
      </c>
      <c r="U7" s="297"/>
      <c r="V7" s="290">
        <f t="shared" ca="1" si="4"/>
        <v>348822</v>
      </c>
      <c r="W7" s="297">
        <f t="shared" ca="1" si="5"/>
        <v>4724.3590000000004</v>
      </c>
      <c r="X7" s="297">
        <f t="shared" ca="1" si="6"/>
        <v>610008.32306219626</v>
      </c>
      <c r="Y7" s="293">
        <f t="shared" ca="1" si="7"/>
        <v>0.55891083799825259</v>
      </c>
      <c r="AD7" s="285">
        <v>1996</v>
      </c>
      <c r="AE7" s="290">
        <f t="shared" ca="1" si="8"/>
        <v>843390</v>
      </c>
      <c r="AF7" s="297"/>
      <c r="AG7" s="290">
        <f t="shared" ca="1" si="9"/>
        <v>843390</v>
      </c>
      <c r="AH7" s="297">
        <f t="shared" ca="1" si="10"/>
        <v>5882.3410000000003</v>
      </c>
      <c r="AI7" s="297">
        <f t="shared" ca="1" si="11"/>
        <v>1720510.1051864009</v>
      </c>
      <c r="AJ7" s="293">
        <f t="shared" ca="1" si="12"/>
        <v>0.71294661414932381</v>
      </c>
    </row>
    <row r="8" spans="1:36">
      <c r="A8" s="285">
        <v>1991</v>
      </c>
      <c r="B8" s="290">
        <v>66785</v>
      </c>
      <c r="C8" s="294"/>
      <c r="D8" s="290">
        <v>4593.701</v>
      </c>
      <c r="F8" s="285">
        <v>1993</v>
      </c>
      <c r="G8" s="297">
        <v>868497.25192994904</v>
      </c>
      <c r="H8" s="290">
        <f t="shared" si="0"/>
        <v>66785</v>
      </c>
      <c r="I8" s="295"/>
      <c r="J8" s="290">
        <f t="shared" si="1"/>
        <v>66785</v>
      </c>
      <c r="K8" s="297">
        <f t="shared" si="13"/>
        <v>3653.694</v>
      </c>
      <c r="L8" s="295"/>
      <c r="M8" s="292">
        <f t="shared" si="2"/>
        <v>2.5652859170904345</v>
      </c>
      <c r="P8" s="292">
        <f t="shared" si="14"/>
        <v>1.3941213677836175</v>
      </c>
      <c r="Q8" s="292">
        <f t="shared" si="15"/>
        <v>1.171164549306817</v>
      </c>
      <c r="S8" s="285">
        <v>1997</v>
      </c>
      <c r="T8" s="290">
        <f t="shared" ca="1" si="3"/>
        <v>240765</v>
      </c>
      <c r="U8" s="297"/>
      <c r="V8" s="290">
        <f t="shared" ca="1" si="4"/>
        <v>240765</v>
      </c>
      <c r="W8" s="297">
        <f t="shared" ca="1" si="5"/>
        <v>8347.32</v>
      </c>
      <c r="X8" s="297">
        <f t="shared" ca="1" si="6"/>
        <v>672566.95484663045</v>
      </c>
      <c r="Y8" s="293">
        <f t="shared" ca="1" si="7"/>
        <v>1.0272803135970561</v>
      </c>
      <c r="AD8" s="285">
        <v>1998</v>
      </c>
      <c r="AE8" s="290">
        <f t="shared" ca="1" si="8"/>
        <v>1686910</v>
      </c>
      <c r="AF8" s="297"/>
      <c r="AG8" s="290">
        <f t="shared" ca="1" si="9"/>
        <v>1686910</v>
      </c>
      <c r="AH8" s="297">
        <f t="shared" ca="1" si="10"/>
        <v>11018.370999999999</v>
      </c>
      <c r="AI8" s="297">
        <f t="shared" ca="1" si="11"/>
        <v>1710252.1781725008</v>
      </c>
      <c r="AJ8" s="293">
        <f t="shared" ca="1" si="12"/>
        <v>1.3742379256819611E-2</v>
      </c>
    </row>
    <row r="9" spans="1:36">
      <c r="A9" s="285">
        <v>1992</v>
      </c>
      <c r="B9" s="290">
        <v>1490174</v>
      </c>
      <c r="C9" s="295"/>
      <c r="D9" s="290">
        <v>3653.694</v>
      </c>
      <c r="F9" s="285">
        <v>1994</v>
      </c>
      <c r="G9" s="297">
        <v>973975.11616975348</v>
      </c>
      <c r="H9" s="290">
        <f t="shared" si="0"/>
        <v>1490174</v>
      </c>
      <c r="I9" s="294"/>
      <c r="J9" s="290">
        <f t="shared" si="1"/>
        <v>1490174</v>
      </c>
      <c r="K9" s="297">
        <f t="shared" si="13"/>
        <v>3092.0349999999999</v>
      </c>
      <c r="L9" s="294"/>
      <c r="M9" s="292">
        <f t="shared" si="2"/>
        <v>-0.42526241540907167</v>
      </c>
      <c r="P9" s="292">
        <f t="shared" si="14"/>
        <v>-0.1342142043935825</v>
      </c>
      <c r="Q9" s="292">
        <f t="shared" si="15"/>
        <v>-0.29104821101548917</v>
      </c>
      <c r="S9" s="285">
        <v>1999</v>
      </c>
      <c r="T9" s="290">
        <f t="shared" ca="1" si="3"/>
        <v>346431</v>
      </c>
      <c r="U9" s="297"/>
      <c r="V9" s="290">
        <f t="shared" ca="1" si="4"/>
        <v>346431</v>
      </c>
      <c r="W9" s="297">
        <f t="shared" ca="1" si="5"/>
        <v>14323.634</v>
      </c>
      <c r="X9" s="297">
        <f t="shared" ca="1" si="6"/>
        <v>603030.13744886289</v>
      </c>
      <c r="Y9" s="293">
        <f t="shared" ca="1" si="7"/>
        <v>0.55428351006280174</v>
      </c>
      <c r="AD9" s="285">
        <v>2000</v>
      </c>
      <c r="AE9" s="290">
        <f t="shared" ca="1" si="8"/>
        <v>1639830</v>
      </c>
      <c r="AF9" s="297"/>
      <c r="AG9" s="290">
        <f t="shared" ca="1" si="9"/>
        <v>1639830</v>
      </c>
      <c r="AH9" s="297">
        <f t="shared" ca="1" si="10"/>
        <v>16992.023000000001</v>
      </c>
      <c r="AI9" s="297">
        <f t="shared" ca="1" si="11"/>
        <v>4479313.40877055</v>
      </c>
      <c r="AJ9" s="293">
        <f t="shared" ca="1" si="12"/>
        <v>1.0048771997843804</v>
      </c>
    </row>
    <row r="10" spans="1:36">
      <c r="A10" s="285">
        <v>1993</v>
      </c>
      <c r="B10" s="290">
        <v>348822</v>
      </c>
      <c r="C10" s="294"/>
      <c r="D10" s="290">
        <v>3092.0349999999999</v>
      </c>
      <c r="F10" s="285">
        <v>1995</v>
      </c>
      <c r="G10" s="297">
        <v>610008.32306219626</v>
      </c>
      <c r="H10" s="290">
        <f t="shared" si="0"/>
        <v>348822</v>
      </c>
      <c r="I10" s="295"/>
      <c r="J10" s="290">
        <f t="shared" si="1"/>
        <v>348822</v>
      </c>
      <c r="K10" s="297">
        <f t="shared" si="13"/>
        <v>4724.3590000000004</v>
      </c>
      <c r="L10" s="295"/>
      <c r="M10" s="292">
        <f t="shared" si="2"/>
        <v>0.55891083799825259</v>
      </c>
      <c r="P10" s="292">
        <f t="shared" si="14"/>
        <v>1.0471979457319849</v>
      </c>
      <c r="Q10" s="292">
        <f t="shared" si="15"/>
        <v>-0.4882871077337323</v>
      </c>
      <c r="S10" s="285">
        <v>2001</v>
      </c>
      <c r="T10" s="290">
        <f t="shared" ca="1" si="3"/>
        <v>582434</v>
      </c>
      <c r="U10" s="290">
        <f t="shared" ref="U10:U13" ca="1" si="16">OFFSET($I$6,$S10-$F$6,,1)</f>
        <v>10419064.796003865</v>
      </c>
      <c r="V10" s="290">
        <f t="shared" ca="1" si="4"/>
        <v>582434</v>
      </c>
      <c r="W10" s="297">
        <f t="shared" ca="1" si="5"/>
        <v>15575.808000000001</v>
      </c>
      <c r="X10" s="297">
        <f t="shared" ca="1" si="6"/>
        <v>1700351.7491424014</v>
      </c>
      <c r="Y10" s="293">
        <f t="shared" ca="1" si="7"/>
        <v>1.0713745456020003</v>
      </c>
      <c r="AD10" s="285">
        <v>2002</v>
      </c>
      <c r="AE10" s="290">
        <f t="shared" ca="1" si="8"/>
        <v>3417384</v>
      </c>
      <c r="AF10" s="290">
        <f ca="1">OFFSET($I$7,$AD10-$F$7,,1)</f>
        <v>8618400.9436424747</v>
      </c>
      <c r="AG10" s="290">
        <f t="shared" ca="1" si="9"/>
        <v>3417384</v>
      </c>
      <c r="AH10" s="297">
        <f t="shared" ca="1" si="10"/>
        <v>17312.827000000001</v>
      </c>
      <c r="AI10" s="297">
        <f t="shared" ca="1" si="11"/>
        <v>125377.02233912013</v>
      </c>
      <c r="AJ10" s="293">
        <f t="shared" ca="1" si="12"/>
        <v>-3.3053052486072811</v>
      </c>
    </row>
    <row r="11" spans="1:36">
      <c r="A11" s="285">
        <v>1994</v>
      </c>
      <c r="B11" s="290">
        <v>843390</v>
      </c>
      <c r="C11" s="295"/>
      <c r="D11" s="290">
        <v>4724.3590000000004</v>
      </c>
      <c r="F11" s="285">
        <v>1996</v>
      </c>
      <c r="G11" s="297">
        <v>1720510.1051864009</v>
      </c>
      <c r="H11" s="290">
        <f t="shared" si="0"/>
        <v>843390</v>
      </c>
      <c r="I11" s="294"/>
      <c r="J11" s="290">
        <f t="shared" si="1"/>
        <v>843390</v>
      </c>
      <c r="K11" s="297">
        <f t="shared" si="13"/>
        <v>5882.3410000000003</v>
      </c>
      <c r="L11" s="294"/>
      <c r="M11" s="292">
        <f t="shared" si="2"/>
        <v>0.71294661414932381</v>
      </c>
      <c r="P11" s="292">
        <f t="shared" si="14"/>
        <v>0.46568786680509877</v>
      </c>
      <c r="Q11" s="292">
        <f t="shared" si="15"/>
        <v>0.24725874734422504</v>
      </c>
      <c r="S11" s="285">
        <v>2003</v>
      </c>
      <c r="T11" s="290">
        <f t="shared" ca="1" si="3"/>
        <v>1490347</v>
      </c>
      <c r="U11" s="290">
        <f t="shared" ca="1" si="16"/>
        <v>18705715.680859476</v>
      </c>
      <c r="V11" s="290">
        <f t="shared" ca="1" si="4"/>
        <v>1490347</v>
      </c>
      <c r="W11" s="297">
        <f t="shared" ca="1" si="5"/>
        <v>20840.866999999998</v>
      </c>
      <c r="X11" s="297">
        <f t="shared" ca="1" si="6"/>
        <v>186761.25</v>
      </c>
      <c r="Y11" s="293">
        <f t="shared" ca="1" si="7"/>
        <v>-2.076933194569464</v>
      </c>
      <c r="AD11" s="285">
        <v>2004</v>
      </c>
      <c r="AE11" s="290">
        <f t="shared" ca="1" si="8"/>
        <v>110319</v>
      </c>
      <c r="AF11" s="290">
        <f ca="1">OFFSET($I$7,$AD11-$F$7,,1)</f>
        <v>1412283.8800000004</v>
      </c>
      <c r="AG11" s="290">
        <f t="shared" ca="1" si="9"/>
        <v>110319</v>
      </c>
      <c r="AH11" s="297">
        <f t="shared" ca="1" si="10"/>
        <v>16438.332999999999</v>
      </c>
      <c r="AI11" s="297">
        <f t="shared" ca="1" si="11"/>
        <v>1145669.1190617357</v>
      </c>
      <c r="AJ11" s="293">
        <f t="shared" ca="1" si="12"/>
        <v>2.3403679598584093</v>
      </c>
    </row>
    <row r="12" spans="1:36">
      <c r="A12" s="285">
        <v>1995</v>
      </c>
      <c r="B12" s="290">
        <v>240765</v>
      </c>
      <c r="C12" s="294"/>
      <c r="D12" s="290">
        <v>5882.3410000000003</v>
      </c>
      <c r="F12" s="285">
        <v>1997</v>
      </c>
      <c r="G12" s="297">
        <v>672566.95484663045</v>
      </c>
      <c r="H12" s="290">
        <f t="shared" si="0"/>
        <v>240765</v>
      </c>
      <c r="I12" s="295"/>
      <c r="J12" s="290">
        <f t="shared" si="1"/>
        <v>240765</v>
      </c>
      <c r="K12" s="297">
        <f t="shared" si="13"/>
        <v>8347.32</v>
      </c>
      <c r="L12" s="295"/>
      <c r="M12" s="292">
        <f t="shared" si="2"/>
        <v>1.0272803135970561</v>
      </c>
      <c r="P12" s="292">
        <f t="shared" si="14"/>
        <v>1.029661119881033</v>
      </c>
      <c r="Q12" s="292">
        <f t="shared" si="15"/>
        <v>-2.3808062839769661E-3</v>
      </c>
      <c r="S12" s="285">
        <v>2005</v>
      </c>
      <c r="T12" s="290">
        <f t="shared" ca="1" si="3"/>
        <v>186761.25</v>
      </c>
      <c r="U12" s="290">
        <f t="shared" ca="1" si="16"/>
        <v>7885960.5500000007</v>
      </c>
      <c r="V12" s="290">
        <f t="shared" ca="1" si="4"/>
        <v>186761.25</v>
      </c>
      <c r="W12" s="297">
        <f t="shared" ca="1" si="5"/>
        <v>20232.844000000001</v>
      </c>
      <c r="X12" s="297">
        <f t="shared" ca="1" si="6"/>
        <v>282263.75906701991</v>
      </c>
      <c r="Y12" s="293">
        <f t="shared" ca="1" si="7"/>
        <v>0.41301088648093265</v>
      </c>
      <c r="AD12" s="285">
        <v>2006</v>
      </c>
      <c r="AE12" s="290">
        <f t="shared" ca="1" si="8"/>
        <v>1074962</v>
      </c>
      <c r="AF12" s="290">
        <f ca="1">OFFSET($I$7,$AD12-$F$7,,1)</f>
        <v>4261532.12</v>
      </c>
      <c r="AG12" s="290">
        <f t="shared" ca="1" si="9"/>
        <v>1074962</v>
      </c>
      <c r="AH12" s="297">
        <f t="shared" ca="1" si="10"/>
        <v>17167.415000000001</v>
      </c>
      <c r="AI12" s="297">
        <f t="shared" ca="1" si="11"/>
        <v>361153.40961790271</v>
      </c>
      <c r="AJ12" s="293">
        <f t="shared" ca="1" si="12"/>
        <v>-1.0907377656453949</v>
      </c>
    </row>
    <row r="13" spans="1:36">
      <c r="A13" s="285">
        <v>1996</v>
      </c>
      <c r="B13" s="290">
        <v>1686910</v>
      </c>
      <c r="C13" s="295"/>
      <c r="D13" s="290">
        <v>8347.32</v>
      </c>
      <c r="F13" s="285">
        <v>1998</v>
      </c>
      <c r="G13" s="297">
        <v>1710252.1781725008</v>
      </c>
      <c r="H13" s="290">
        <f t="shared" si="0"/>
        <v>1686910</v>
      </c>
      <c r="I13" s="294"/>
      <c r="J13" s="290">
        <f t="shared" si="1"/>
        <v>1686910</v>
      </c>
      <c r="K13" s="297">
        <f t="shared" si="13"/>
        <v>11018.370999999999</v>
      </c>
      <c r="L13" s="294"/>
      <c r="M13" s="292">
        <f t="shared" si="2"/>
        <v>1.3742379256819611E-2</v>
      </c>
      <c r="P13" s="292">
        <f t="shared" si="14"/>
        <v>-0.64403670965638504</v>
      </c>
      <c r="Q13" s="292">
        <f t="shared" si="15"/>
        <v>0.65777908891320469</v>
      </c>
      <c r="S13" s="285">
        <v>2007</v>
      </c>
      <c r="T13" s="290">
        <f t="shared" ca="1" si="3"/>
        <v>261513</v>
      </c>
      <c r="U13" s="290">
        <f t="shared" ca="1" si="16"/>
        <v>1095941.29</v>
      </c>
      <c r="V13" s="290">
        <f t="shared" ca="1" si="4"/>
        <v>261513</v>
      </c>
      <c r="W13" s="297">
        <f t="shared" ca="1" si="5"/>
        <v>26244.225999999999</v>
      </c>
      <c r="X13" s="297">
        <f t="shared" ca="1" si="6"/>
        <v>320679.94195065869</v>
      </c>
      <c r="Y13" s="293">
        <f t="shared" ca="1" si="7"/>
        <v>0.20395956469277499</v>
      </c>
      <c r="AD13" s="285">
        <v>2008</v>
      </c>
      <c r="AE13" s="290">
        <f t="shared" ca="1" si="8"/>
        <v>336296</v>
      </c>
      <c r="AF13" s="290">
        <f ca="1">OFFSET($I$7,$AD13-$F$7,,1)</f>
        <v>1442069.35</v>
      </c>
      <c r="AG13" s="290">
        <f t="shared" ca="1" si="9"/>
        <v>336296</v>
      </c>
      <c r="AH13" s="297">
        <f t="shared" ca="1" si="10"/>
        <v>14760</v>
      </c>
      <c r="AI13" s="297">
        <f t="shared" ca="1" si="11"/>
        <v>83505.817041584509</v>
      </c>
      <c r="AJ13" s="293">
        <f t="shared" ca="1" si="12"/>
        <v>-1.3930754299343717</v>
      </c>
    </row>
    <row r="14" spans="1:36">
      <c r="A14" s="285">
        <v>1997</v>
      </c>
      <c r="B14" s="290">
        <v>346431</v>
      </c>
      <c r="C14" s="294"/>
      <c r="D14" s="290">
        <v>11018.370999999999</v>
      </c>
      <c r="F14" s="285">
        <v>1999</v>
      </c>
      <c r="G14" s="297">
        <v>603030.13744886289</v>
      </c>
      <c r="H14" s="290">
        <f t="shared" si="0"/>
        <v>346431</v>
      </c>
      <c r="I14" s="295"/>
      <c r="J14" s="290">
        <f t="shared" si="1"/>
        <v>346431</v>
      </c>
      <c r="K14" s="297">
        <f t="shared" si="13"/>
        <v>14323.634</v>
      </c>
      <c r="L14" s="295"/>
      <c r="M14" s="292">
        <f t="shared" si="2"/>
        <v>0.55428351006280174</v>
      </c>
      <c r="P14" s="292">
        <f t="shared" si="14"/>
        <v>0.69170766488412416</v>
      </c>
      <c r="Q14" s="292">
        <f t="shared" si="15"/>
        <v>-0.13742415482132242</v>
      </c>
      <c r="S14" s="285">
        <v>2009</v>
      </c>
      <c r="T14" s="290">
        <f t="shared" ca="1" si="3"/>
        <v>317128</v>
      </c>
      <c r="U14" s="290">
        <v>687060.39</v>
      </c>
      <c r="V14" s="290">
        <v>317128</v>
      </c>
      <c r="W14" s="297">
        <v>21998</v>
      </c>
      <c r="X14" s="297">
        <f t="shared" ca="1" si="6"/>
        <v>953002.8632146091</v>
      </c>
      <c r="Y14" s="293">
        <f t="shared" ca="1" si="7"/>
        <v>1.1003124302053366</v>
      </c>
    </row>
    <row r="15" spans="1:36" ht="15">
      <c r="A15" s="285">
        <v>1998</v>
      </c>
      <c r="B15" s="290">
        <v>1639830</v>
      </c>
      <c r="C15" s="295"/>
      <c r="D15" s="290">
        <v>14323.634</v>
      </c>
      <c r="F15" s="285">
        <v>2000</v>
      </c>
      <c r="G15" s="297">
        <v>4479313.40877055</v>
      </c>
      <c r="H15" s="290">
        <f t="shared" si="0"/>
        <v>1639830</v>
      </c>
      <c r="I15" s="294"/>
      <c r="J15" s="290">
        <f t="shared" si="1"/>
        <v>1639830</v>
      </c>
      <c r="K15" s="297">
        <f t="shared" si="13"/>
        <v>16992.023000000001</v>
      </c>
      <c r="L15" s="294"/>
      <c r="M15" s="292">
        <f t="shared" si="2"/>
        <v>1.0048771997843804</v>
      </c>
      <c r="P15" s="292">
        <f t="shared" si="14"/>
        <v>-0.81563447463388383</v>
      </c>
      <c r="Q15" s="292">
        <f t="shared" si="15"/>
        <v>1.8205116744182641</v>
      </c>
      <c r="AD15" s="296"/>
    </row>
    <row r="16" spans="1:36">
      <c r="A16" s="285">
        <v>1999</v>
      </c>
      <c r="B16" s="290">
        <v>582434</v>
      </c>
      <c r="C16" s="294"/>
      <c r="D16" s="290">
        <v>16992.023000000001</v>
      </c>
      <c r="F16" s="285">
        <v>2001</v>
      </c>
      <c r="G16" s="297">
        <v>1700351.7491424014</v>
      </c>
      <c r="H16" s="290">
        <f t="shared" si="0"/>
        <v>582434</v>
      </c>
      <c r="I16" s="290">
        <f>BroughtonPivot!AG5</f>
        <v>10419064.796003865</v>
      </c>
      <c r="J16" s="290">
        <f t="shared" si="1"/>
        <v>582434</v>
      </c>
      <c r="K16" s="297">
        <f t="shared" si="13"/>
        <v>15575.808000000001</v>
      </c>
      <c r="L16" s="297">
        <f>BroughtonPivot!AG5</f>
        <v>10419064.796003865</v>
      </c>
      <c r="M16" s="292">
        <f t="shared" si="2"/>
        <v>1.0713745456020003</v>
      </c>
      <c r="N16" s="292">
        <f t="shared" ref="N16:N23" si="17">$G$46+$G$47*H16+$G$48*I16</f>
        <v>-6.7469816999444154E-2</v>
      </c>
      <c r="O16" s="292">
        <f t="shared" ref="O16:O23" si="18">M16-N16</f>
        <v>1.1388443626014444</v>
      </c>
      <c r="P16" s="292">
        <f>$G$70+$G$71*H16+$G$72*K16</f>
        <v>0.38811891253859743</v>
      </c>
      <c r="Q16" s="292">
        <f>M16-P16</f>
        <v>0.68325563306340287</v>
      </c>
    </row>
    <row r="17" spans="1:39">
      <c r="A17" s="285">
        <v>2000</v>
      </c>
      <c r="B17" s="290">
        <v>3417384</v>
      </c>
      <c r="C17" s="290">
        <f>BroughtonPivot!AG5</f>
        <v>10419064.796003865</v>
      </c>
      <c r="D17" s="290">
        <v>15575.808000000001</v>
      </c>
      <c r="F17" s="285">
        <v>2002</v>
      </c>
      <c r="G17" s="297">
        <v>125377.02233912013</v>
      </c>
      <c r="H17" s="290">
        <f t="shared" si="0"/>
        <v>3417384</v>
      </c>
      <c r="I17" s="290">
        <v>8618400.9436424747</v>
      </c>
      <c r="J17" s="290">
        <f t="shared" si="1"/>
        <v>3417384</v>
      </c>
      <c r="K17" s="297">
        <f t="shared" si="13"/>
        <v>17312.827000000001</v>
      </c>
      <c r="L17" s="297">
        <v>8618400.9436424747</v>
      </c>
      <c r="M17" s="292">
        <f t="shared" si="2"/>
        <v>-3.3053052486072811</v>
      </c>
      <c r="N17" s="292">
        <f t="shared" si="17"/>
        <v>-3.6744601124606842</v>
      </c>
      <c r="O17" s="292">
        <f t="shared" si="18"/>
        <v>0.36915486385340301</v>
      </c>
      <c r="P17" s="292">
        <f t="shared" ref="P17:P23" si="19">$G$70+$G$71*H17+$G$72*K17</f>
        <v>-2.762380476671435</v>
      </c>
      <c r="Q17" s="292">
        <f t="shared" ref="Q17:Q23" si="20">M17-P17</f>
        <v>-0.5429247719358461</v>
      </c>
    </row>
    <row r="18" spans="1:39">
      <c r="A18" s="285">
        <v>2001</v>
      </c>
      <c r="B18" s="290">
        <v>1490347</v>
      </c>
      <c r="C18" s="290">
        <v>8618400.9436424747</v>
      </c>
      <c r="D18" s="290">
        <v>17312.827000000001</v>
      </c>
      <c r="F18" s="285">
        <v>2003</v>
      </c>
      <c r="G18" s="297">
        <v>186761.25</v>
      </c>
      <c r="H18" s="290">
        <f t="shared" si="0"/>
        <v>1490347</v>
      </c>
      <c r="I18" s="290">
        <v>18705715.680859476</v>
      </c>
      <c r="J18" s="290">
        <f t="shared" si="1"/>
        <v>1490347</v>
      </c>
      <c r="K18" s="297">
        <f t="shared" si="13"/>
        <v>20840.866999999998</v>
      </c>
      <c r="L18" s="297">
        <v>18705715.680859476</v>
      </c>
      <c r="M18" s="292">
        <f t="shared" si="2"/>
        <v>-2.076933194569464</v>
      </c>
      <c r="N18" s="292">
        <f t="shared" si="17"/>
        <v>-1.4807295631345878</v>
      </c>
      <c r="O18" s="292">
        <f t="shared" si="18"/>
        <v>-0.5962036314348762</v>
      </c>
      <c r="P18" s="292">
        <f t="shared" si="19"/>
        <v>-0.79650754267462143</v>
      </c>
      <c r="Q18" s="292">
        <f t="shared" si="20"/>
        <v>-1.2804256518948427</v>
      </c>
    </row>
    <row r="19" spans="1:39">
      <c r="A19" s="285">
        <v>2002</v>
      </c>
      <c r="B19" s="290">
        <v>110319</v>
      </c>
      <c r="C19" s="290">
        <v>18705715.680859476</v>
      </c>
      <c r="D19" s="290">
        <v>20840.866999999998</v>
      </c>
      <c r="F19" s="285">
        <v>2004</v>
      </c>
      <c r="G19" s="297">
        <v>1145669.1190617357</v>
      </c>
      <c r="H19" s="290">
        <f t="shared" si="0"/>
        <v>110319</v>
      </c>
      <c r="I19" s="290">
        <f t="shared" ref="I19:I25" si="21">C20</f>
        <v>1412283.8800000004</v>
      </c>
      <c r="J19" s="290">
        <f t="shared" si="1"/>
        <v>110319</v>
      </c>
      <c r="K19" s="297">
        <f t="shared" si="13"/>
        <v>16438.332999999999</v>
      </c>
      <c r="L19" s="297">
        <v>1412283.8800000004</v>
      </c>
      <c r="M19" s="292">
        <f t="shared" si="2"/>
        <v>2.3403679598584093</v>
      </c>
      <c r="N19" s="292">
        <f t="shared" si="17"/>
        <v>0.8042207264299932</v>
      </c>
      <c r="O19" s="292">
        <f t="shared" si="18"/>
        <v>1.5361472334284161</v>
      </c>
      <c r="P19" s="292">
        <f t="shared" si="19"/>
        <v>0.86981673325862929</v>
      </c>
      <c r="Q19" s="292">
        <f t="shared" si="20"/>
        <v>1.47055122659978</v>
      </c>
    </row>
    <row r="20" spans="1:39">
      <c r="A20" s="285">
        <v>2003</v>
      </c>
      <c r="B20" s="290">
        <v>186761.25</v>
      </c>
      <c r="C20" s="290">
        <v>1412283.8800000004</v>
      </c>
      <c r="D20" s="290">
        <v>16438.332999999999</v>
      </c>
      <c r="F20" s="285">
        <v>2005</v>
      </c>
      <c r="G20" s="297">
        <v>282263.75906701991</v>
      </c>
      <c r="H20" s="290">
        <f t="shared" si="0"/>
        <v>186761.25</v>
      </c>
      <c r="I20" s="290">
        <f t="shared" si="21"/>
        <v>7885960.5500000007</v>
      </c>
      <c r="J20" s="290">
        <f t="shared" si="1"/>
        <v>186761.25</v>
      </c>
      <c r="K20" s="297">
        <f t="shared" si="13"/>
        <v>20232.844000000001</v>
      </c>
      <c r="L20" s="297">
        <v>7885960.5500000007</v>
      </c>
      <c r="M20" s="292">
        <f t="shared" si="2"/>
        <v>0.41301088648093265</v>
      </c>
      <c r="N20" s="292">
        <f t="shared" si="17"/>
        <v>0.5170371475705311</v>
      </c>
      <c r="O20" s="292">
        <f t="shared" si="18"/>
        <v>-0.10402626108959845</v>
      </c>
      <c r="P20" s="292">
        <f t="shared" si="19"/>
        <v>0.64506216910505443</v>
      </c>
      <c r="Q20" s="292">
        <f t="shared" si="20"/>
        <v>-0.23205128262412178</v>
      </c>
    </row>
    <row r="21" spans="1:39">
      <c r="A21" s="285">
        <v>2004</v>
      </c>
      <c r="B21" s="290">
        <v>1074962</v>
      </c>
      <c r="C21" s="290">
        <v>7885960.5500000007</v>
      </c>
      <c r="D21" s="290">
        <v>20232.844000000001</v>
      </c>
      <c r="F21" s="285">
        <v>2006</v>
      </c>
      <c r="G21" s="297">
        <v>361153.40961790271</v>
      </c>
      <c r="H21" s="290">
        <f t="shared" si="0"/>
        <v>1074962</v>
      </c>
      <c r="I21" s="290">
        <f t="shared" si="21"/>
        <v>4261532.12</v>
      </c>
      <c r="J21" s="290">
        <f t="shared" si="1"/>
        <v>1074962</v>
      </c>
      <c r="K21" s="297">
        <f t="shared" si="13"/>
        <v>17167.415000000001</v>
      </c>
      <c r="L21" s="297">
        <v>4261532.12</v>
      </c>
      <c r="M21" s="292">
        <f t="shared" si="2"/>
        <v>-1.0907377656453949</v>
      </c>
      <c r="N21" s="292">
        <f t="shared" si="17"/>
        <v>-0.52393327138735801</v>
      </c>
      <c r="O21" s="292">
        <f t="shared" si="18"/>
        <v>-0.56680449425803692</v>
      </c>
      <c r="P21" s="292">
        <f t="shared" si="19"/>
        <v>-0.20734673905680678</v>
      </c>
      <c r="Q21" s="292">
        <f t="shared" si="20"/>
        <v>-0.88339102658858815</v>
      </c>
    </row>
    <row r="22" spans="1:39">
      <c r="A22" s="285">
        <v>2005</v>
      </c>
      <c r="B22" s="290">
        <v>261513</v>
      </c>
      <c r="C22" s="290">
        <v>4261532.12</v>
      </c>
      <c r="D22" s="290">
        <v>17167.415000000001</v>
      </c>
      <c r="F22" s="285">
        <v>2007</v>
      </c>
      <c r="G22" s="297">
        <v>320679.94195065869</v>
      </c>
      <c r="H22" s="290">
        <f t="shared" si="0"/>
        <v>261513</v>
      </c>
      <c r="I22" s="290">
        <f t="shared" si="21"/>
        <v>1095941.29</v>
      </c>
      <c r="J22" s="290">
        <f t="shared" si="1"/>
        <v>261513</v>
      </c>
      <c r="K22" s="297">
        <f t="shared" si="13"/>
        <v>26244.225999999999</v>
      </c>
      <c r="L22" s="297">
        <v>1095941.29</v>
      </c>
      <c r="M22" s="292">
        <f t="shared" si="2"/>
        <v>0.20395956469277499</v>
      </c>
      <c r="N22" s="292">
        <f t="shared" si="17"/>
        <v>0.61826744081917684</v>
      </c>
      <c r="O22" s="292">
        <f t="shared" si="18"/>
        <v>-0.41430787612640185</v>
      </c>
      <c r="P22" s="292">
        <f t="shared" si="19"/>
        <v>0.33944914823924033</v>
      </c>
      <c r="Q22" s="292">
        <f t="shared" si="20"/>
        <v>-0.13548958354646534</v>
      </c>
    </row>
    <row r="23" spans="1:39">
      <c r="A23" s="285">
        <v>2006</v>
      </c>
      <c r="B23" s="290">
        <v>336296</v>
      </c>
      <c r="C23" s="290">
        <v>1095941.29</v>
      </c>
      <c r="D23" s="290">
        <v>26244.225999999999</v>
      </c>
      <c r="F23" s="285">
        <v>2008</v>
      </c>
      <c r="G23" s="297">
        <v>83505.817041584509</v>
      </c>
      <c r="H23" s="290">
        <f t="shared" si="0"/>
        <v>336296</v>
      </c>
      <c r="I23" s="290">
        <f t="shared" si="21"/>
        <v>1442069.35</v>
      </c>
      <c r="J23" s="290">
        <f t="shared" si="1"/>
        <v>336296</v>
      </c>
      <c r="K23" s="297">
        <f t="shared" si="13"/>
        <v>14760</v>
      </c>
      <c r="L23" s="297">
        <v>1442069.35</v>
      </c>
      <c r="M23" s="292">
        <f t="shared" si="2"/>
        <v>-1.3930754299343717</v>
      </c>
      <c r="N23" s="292">
        <f t="shared" si="17"/>
        <v>0.51165660213296205</v>
      </c>
      <c r="O23" s="292">
        <f t="shared" si="18"/>
        <v>-1.9047320320673338</v>
      </c>
      <c r="P23" s="292">
        <f t="shared" si="19"/>
        <v>0.686460844440971</v>
      </c>
      <c r="Q23" s="292">
        <f t="shared" si="20"/>
        <v>-2.0795362743753429</v>
      </c>
    </row>
    <row r="24" spans="1:39">
      <c r="A24" s="285">
        <v>2007</v>
      </c>
      <c r="B24" s="290">
        <v>317128</v>
      </c>
      <c r="C24" s="290">
        <v>1442069.35</v>
      </c>
      <c r="D24" s="290">
        <v>14760</v>
      </c>
      <c r="F24" s="285">
        <v>2009</v>
      </c>
      <c r="G24" s="297">
        <v>953002.8632146091</v>
      </c>
      <c r="H24" s="290">
        <f t="shared" si="0"/>
        <v>317128</v>
      </c>
      <c r="I24" s="290">
        <f t="shared" si="21"/>
        <v>687060.39</v>
      </c>
      <c r="J24" s="290">
        <f t="shared" si="1"/>
        <v>317128</v>
      </c>
      <c r="K24" s="297">
        <f t="shared" si="13"/>
        <v>21998</v>
      </c>
      <c r="L24" s="297">
        <v>687060.39</v>
      </c>
      <c r="M24" s="292">
        <f t="shared" si="2"/>
        <v>1.1003124302053366</v>
      </c>
      <c r="N24" s="292">
        <f>$G$46+$G$47*H24+$G$48*I24</f>
        <v>0.55838459511235128</v>
      </c>
      <c r="O24" s="292">
        <f>M24-N24</f>
        <v>0.54192783509298537</v>
      </c>
      <c r="P24" s="292">
        <f>$G$70+$G$71*H24+$G$72*K24</f>
        <v>0.43731683903495777</v>
      </c>
      <c r="Q24" s="292">
        <f>M24-P24</f>
        <v>0.66299559117037887</v>
      </c>
    </row>
    <row r="25" spans="1:39">
      <c r="A25" s="285">
        <v>2008</v>
      </c>
      <c r="B25" s="290">
        <v>82120</v>
      </c>
      <c r="C25" s="290">
        <v>687060.39</v>
      </c>
      <c r="D25" s="290">
        <v>21998</v>
      </c>
      <c r="F25" s="285">
        <v>2010</v>
      </c>
      <c r="H25" s="290">
        <f t="shared" si="0"/>
        <v>82120</v>
      </c>
      <c r="I25" s="297">
        <f t="shared" si="21"/>
        <v>164500</v>
      </c>
      <c r="J25" s="290">
        <f t="shared" si="1"/>
        <v>82120</v>
      </c>
      <c r="K25" s="297">
        <f t="shared" si="13"/>
        <v>18501</v>
      </c>
      <c r="L25" s="297">
        <v>164500</v>
      </c>
    </row>
    <row r="26" spans="1:39">
      <c r="A26" s="285">
        <v>2009</v>
      </c>
      <c r="B26" s="290">
        <v>906284</v>
      </c>
      <c r="C26" s="297">
        <v>164500</v>
      </c>
      <c r="D26" s="290">
        <v>18501</v>
      </c>
      <c r="T26" s="291"/>
      <c r="U26" s="291"/>
      <c r="V26" s="291"/>
      <c r="W26" s="291"/>
      <c r="X26" s="291"/>
      <c r="Y26" s="291"/>
      <c r="Z26" s="291"/>
      <c r="AA26" s="291"/>
      <c r="AB26" s="291"/>
      <c r="AC26" s="291"/>
      <c r="AD26" s="291"/>
      <c r="AE26" s="291"/>
      <c r="AF26" s="291"/>
      <c r="AG26" s="291"/>
      <c r="AH26" s="291"/>
      <c r="AI26" s="291"/>
      <c r="AJ26" s="291"/>
      <c r="AK26" s="291"/>
      <c r="AL26" s="291"/>
      <c r="AM26" s="291"/>
    </row>
    <row r="27" spans="1:39">
      <c r="T27" s="291"/>
      <c r="U27" s="291"/>
      <c r="V27" s="291"/>
      <c r="W27" s="291"/>
      <c r="X27" s="291"/>
      <c r="Y27" s="291"/>
      <c r="Z27" s="291"/>
      <c r="AA27" s="291"/>
      <c r="AB27" s="291"/>
      <c r="AC27" s="291"/>
      <c r="AD27" s="291"/>
      <c r="AE27" s="291"/>
      <c r="AF27" s="291"/>
      <c r="AG27" s="291"/>
      <c r="AH27" s="291"/>
      <c r="AI27" s="291"/>
      <c r="AJ27" s="291"/>
      <c r="AK27" s="291"/>
      <c r="AL27" s="291"/>
      <c r="AM27" s="291"/>
    </row>
    <row r="28" spans="1:39" ht="15">
      <c r="F28" s="298" t="s">
        <v>455</v>
      </c>
      <c r="S28" s="299" t="s">
        <v>456</v>
      </c>
      <c r="T28" s="291"/>
      <c r="U28" s="291"/>
      <c r="V28" s="291"/>
      <c r="W28" s="291"/>
      <c r="X28" s="291"/>
      <c r="Y28" s="291"/>
      <c r="Z28" s="291"/>
      <c r="AA28" s="291"/>
      <c r="AB28" s="291"/>
      <c r="AC28" s="291"/>
      <c r="AD28" s="300" t="s">
        <v>457</v>
      </c>
      <c r="AE28" s="291"/>
      <c r="AF28" s="291"/>
      <c r="AG28" s="291"/>
      <c r="AH28" s="291"/>
      <c r="AI28" s="291"/>
      <c r="AJ28" s="291"/>
      <c r="AK28" s="291"/>
      <c r="AL28" s="291"/>
    </row>
    <row r="29" spans="1:39" ht="15">
      <c r="F29" s="296" t="s">
        <v>458</v>
      </c>
      <c r="S29" s="296" t="s">
        <v>458</v>
      </c>
      <c r="AC29" s="291"/>
      <c r="AD29" s="301" t="s">
        <v>458</v>
      </c>
      <c r="AE29" s="291"/>
      <c r="AF29" s="291"/>
      <c r="AG29" s="291"/>
      <c r="AH29" s="291"/>
      <c r="AI29" s="291"/>
      <c r="AJ29" s="291"/>
      <c r="AK29" s="291"/>
      <c r="AL29" s="291"/>
    </row>
    <row r="30" spans="1:39">
      <c r="A30" s="284" t="s">
        <v>493</v>
      </c>
      <c r="F30" s="452" t="s">
        <v>459</v>
      </c>
      <c r="G30" s="452"/>
      <c r="H30" s="452"/>
      <c r="I30" s="452"/>
      <c r="J30" s="452"/>
      <c r="K30" s="452"/>
      <c r="L30" s="452"/>
      <c r="M30" s="452"/>
      <c r="N30" s="452"/>
      <c r="S30" s="452" t="s">
        <v>459</v>
      </c>
      <c r="T30" s="452"/>
      <c r="U30" s="452"/>
      <c r="V30" s="452"/>
      <c r="W30" s="452"/>
      <c r="X30" s="452"/>
      <c r="Y30" s="452"/>
      <c r="Z30" s="452"/>
      <c r="AA30" s="452"/>
      <c r="AC30" s="291"/>
      <c r="AD30" s="284" t="s">
        <v>459</v>
      </c>
    </row>
    <row r="31" spans="1:39" ht="15.75" thickBot="1">
      <c r="A31" s="284" t="s">
        <v>488</v>
      </c>
      <c r="F31" s="452"/>
      <c r="G31" s="452"/>
      <c r="H31" s="452"/>
      <c r="I31" s="452"/>
      <c r="J31" s="452"/>
      <c r="K31" s="452"/>
      <c r="L31" s="452"/>
      <c r="M31" s="452"/>
      <c r="N31" s="452"/>
      <c r="S31" s="452"/>
      <c r="T31" s="452"/>
      <c r="U31" s="452"/>
      <c r="V31" s="452"/>
      <c r="W31" s="452"/>
      <c r="X31" s="452"/>
      <c r="Y31" s="452"/>
      <c r="Z31" s="452"/>
      <c r="AA31" s="452"/>
      <c r="AC31" s="291"/>
    </row>
    <row r="32" spans="1:39" ht="15">
      <c r="A32" s="284" t="s">
        <v>489</v>
      </c>
      <c r="F32" s="471" t="s">
        <v>460</v>
      </c>
      <c r="G32" s="471"/>
      <c r="H32" s="452"/>
      <c r="I32" s="452"/>
      <c r="J32" s="452"/>
      <c r="K32" s="452"/>
      <c r="L32" s="452"/>
      <c r="M32" s="452"/>
      <c r="N32" s="452"/>
      <c r="S32" s="471" t="s">
        <v>460</v>
      </c>
      <c r="T32" s="471"/>
      <c r="U32" s="452"/>
      <c r="V32" s="452"/>
      <c r="W32" s="452"/>
      <c r="X32" s="452"/>
      <c r="Y32" s="452"/>
      <c r="Z32" s="452"/>
      <c r="AA32" s="452"/>
      <c r="AC32" s="291"/>
      <c r="AD32" s="302" t="s">
        <v>460</v>
      </c>
      <c r="AE32" s="302"/>
    </row>
    <row r="33" spans="1:38" ht="15">
      <c r="A33" s="284" t="s">
        <v>695</v>
      </c>
      <c r="F33" s="472" t="s">
        <v>461</v>
      </c>
      <c r="G33" s="472">
        <v>0.81540352395158333</v>
      </c>
      <c r="H33" s="452"/>
      <c r="I33" s="452"/>
      <c r="J33" s="452"/>
      <c r="K33" s="452"/>
      <c r="L33" s="452"/>
      <c r="M33" s="452"/>
      <c r="N33" s="452"/>
      <c r="S33" s="472" t="s">
        <v>461</v>
      </c>
      <c r="T33" s="472">
        <v>0.85669547022146331</v>
      </c>
      <c r="U33" s="452"/>
      <c r="V33" s="452"/>
      <c r="W33" s="452"/>
      <c r="X33" s="452"/>
      <c r="Y33" s="452"/>
      <c r="Z33" s="452"/>
      <c r="AA33" s="452"/>
      <c r="AC33" s="291"/>
      <c r="AD33" s="303" t="s">
        <v>461</v>
      </c>
      <c r="AE33" s="303">
        <v>0.79981828765225682</v>
      </c>
    </row>
    <row r="34" spans="1:38">
      <c r="A34" s="284" t="s">
        <v>494</v>
      </c>
      <c r="F34" s="472" t="s">
        <v>462</v>
      </c>
      <c r="G34" s="472">
        <v>0.66488290687266027</v>
      </c>
      <c r="H34" s="452"/>
      <c r="I34" s="452"/>
      <c r="J34" s="452"/>
      <c r="K34" s="452"/>
      <c r="L34" s="452"/>
      <c r="M34" s="452"/>
      <c r="N34" s="452"/>
      <c r="S34" s="472" t="s">
        <v>462</v>
      </c>
      <c r="T34" s="472">
        <v>0.73392712869797405</v>
      </c>
      <c r="U34" s="452"/>
      <c r="V34" s="452"/>
      <c r="W34" s="452"/>
      <c r="X34" s="452"/>
      <c r="Y34" s="452"/>
      <c r="Z34" s="452"/>
      <c r="AA34" s="452"/>
      <c r="AC34" s="291"/>
      <c r="AD34" s="303" t="s">
        <v>462</v>
      </c>
      <c r="AE34" s="303">
        <v>0.6397092932629882</v>
      </c>
    </row>
    <row r="35" spans="1:38">
      <c r="A35" s="284" t="s">
        <v>495</v>
      </c>
      <c r="F35" s="472" t="s">
        <v>463</v>
      </c>
      <c r="G35" s="472">
        <v>0.55317720916354707</v>
      </c>
      <c r="H35" s="452"/>
      <c r="I35" s="452"/>
      <c r="J35" s="452"/>
      <c r="K35" s="452"/>
      <c r="L35" s="452"/>
      <c r="M35" s="452"/>
      <c r="N35" s="452"/>
      <c r="S35" s="472" t="s">
        <v>463</v>
      </c>
      <c r="T35" s="472">
        <v>0.4678542573959481</v>
      </c>
      <c r="U35" s="452"/>
      <c r="V35" s="452"/>
      <c r="W35" s="452"/>
      <c r="X35" s="452"/>
      <c r="Y35" s="452"/>
      <c r="Z35" s="452"/>
      <c r="AA35" s="452"/>
      <c r="AC35" s="291"/>
      <c r="AD35" s="303" t="s">
        <v>463</v>
      </c>
      <c r="AE35" s="303">
        <v>-8.0872120211035403E-2</v>
      </c>
    </row>
    <row r="36" spans="1:38">
      <c r="F36" s="472" t="s">
        <v>197</v>
      </c>
      <c r="G36" s="472">
        <v>1.1953994168618085</v>
      </c>
      <c r="H36" s="452"/>
      <c r="I36" s="452"/>
      <c r="J36" s="452"/>
      <c r="K36" s="452"/>
      <c r="L36" s="452"/>
      <c r="M36" s="452"/>
      <c r="N36" s="452"/>
      <c r="S36" s="472" t="s">
        <v>197</v>
      </c>
      <c r="T36" s="472">
        <v>0.94994354483331211</v>
      </c>
      <c r="U36" s="452"/>
      <c r="V36" s="452"/>
      <c r="W36" s="452"/>
      <c r="X36" s="452"/>
      <c r="Y36" s="452"/>
      <c r="Z36" s="452"/>
      <c r="AA36" s="452"/>
      <c r="AC36" s="291"/>
      <c r="AD36" s="303" t="s">
        <v>197</v>
      </c>
      <c r="AE36" s="303">
        <v>2.4425700764480172</v>
      </c>
    </row>
    <row r="37" spans="1:38" ht="15" thickBot="1">
      <c r="F37" s="473" t="s">
        <v>464</v>
      </c>
      <c r="G37" s="473">
        <v>9</v>
      </c>
      <c r="H37" s="452"/>
      <c r="I37" s="452"/>
      <c r="J37" s="452"/>
      <c r="K37" s="452"/>
      <c r="L37" s="452"/>
      <c r="M37" s="452"/>
      <c r="N37" s="452"/>
      <c r="S37" s="473" t="s">
        <v>464</v>
      </c>
      <c r="T37" s="473">
        <v>5</v>
      </c>
      <c r="U37" s="452"/>
      <c r="V37" s="452"/>
      <c r="W37" s="452"/>
      <c r="X37" s="452"/>
      <c r="Y37" s="452"/>
      <c r="Z37" s="452"/>
      <c r="AA37" s="452"/>
      <c r="AC37" s="291"/>
      <c r="AD37" s="304" t="s">
        <v>464</v>
      </c>
      <c r="AE37" s="304">
        <v>4</v>
      </c>
    </row>
    <row r="38" spans="1:38">
      <c r="F38" s="452"/>
      <c r="G38" s="452"/>
      <c r="H38" s="452"/>
      <c r="I38" s="452"/>
      <c r="J38" s="452"/>
      <c r="K38" s="452"/>
      <c r="L38" s="452"/>
      <c r="M38" s="452"/>
      <c r="N38" s="452"/>
      <c r="S38" s="452"/>
      <c r="T38" s="452"/>
      <c r="U38" s="452"/>
      <c r="V38" s="452"/>
      <c r="W38" s="452"/>
      <c r="X38" s="452"/>
      <c r="Y38" s="452"/>
      <c r="Z38" s="452"/>
      <c r="AA38" s="452"/>
      <c r="AC38" s="291"/>
    </row>
    <row r="39" spans="1:38" ht="15" thickBot="1">
      <c r="F39" s="452" t="s">
        <v>465</v>
      </c>
      <c r="G39" s="452"/>
      <c r="H39" s="452"/>
      <c r="I39" s="452"/>
      <c r="J39" s="452"/>
      <c r="K39" s="452"/>
      <c r="L39" s="452"/>
      <c r="M39" s="452"/>
      <c r="N39" s="452"/>
      <c r="R39" s="288"/>
      <c r="S39" s="452" t="s">
        <v>465</v>
      </c>
      <c r="T39" s="452"/>
      <c r="U39" s="452"/>
      <c r="V39" s="452"/>
      <c r="W39" s="452"/>
      <c r="X39" s="452"/>
      <c r="Y39" s="452"/>
      <c r="Z39" s="452"/>
      <c r="AA39" s="452"/>
      <c r="AC39" s="291"/>
      <c r="AD39" s="284" t="s">
        <v>465</v>
      </c>
    </row>
    <row r="40" spans="1:38">
      <c r="F40" s="474"/>
      <c r="G40" s="474" t="s">
        <v>198</v>
      </c>
      <c r="H40" s="474" t="s">
        <v>199</v>
      </c>
      <c r="I40" s="474" t="s">
        <v>200</v>
      </c>
      <c r="J40" s="474" t="s">
        <v>201</v>
      </c>
      <c r="K40" s="474" t="s">
        <v>202</v>
      </c>
      <c r="L40" s="452"/>
      <c r="M40" s="452"/>
      <c r="N40" s="452"/>
      <c r="R40" s="303"/>
      <c r="S40" s="474"/>
      <c r="T40" s="474" t="s">
        <v>198</v>
      </c>
      <c r="U40" s="474" t="s">
        <v>199</v>
      </c>
      <c r="V40" s="474" t="s">
        <v>200</v>
      </c>
      <c r="W40" s="474" t="s">
        <v>201</v>
      </c>
      <c r="X40" s="474" t="s">
        <v>202</v>
      </c>
      <c r="Y40" s="452"/>
      <c r="Z40" s="452"/>
      <c r="AA40" s="452"/>
      <c r="AC40" s="291"/>
      <c r="AD40" s="305"/>
      <c r="AE40" s="305" t="s">
        <v>198</v>
      </c>
      <c r="AF40" s="305" t="s">
        <v>199</v>
      </c>
      <c r="AG40" s="305" t="s">
        <v>200</v>
      </c>
      <c r="AH40" s="305" t="s">
        <v>201</v>
      </c>
      <c r="AI40" s="305" t="s">
        <v>202</v>
      </c>
    </row>
    <row r="41" spans="1:38" ht="15">
      <c r="F41" s="472" t="s">
        <v>466</v>
      </c>
      <c r="G41" s="472">
        <v>2</v>
      </c>
      <c r="H41" s="472">
        <v>17.010846179820483</v>
      </c>
      <c r="I41" s="472">
        <v>8.5054230899102414</v>
      </c>
      <c r="J41" s="472">
        <v>5.9520948394597184</v>
      </c>
      <c r="K41" s="475">
        <v>3.7634811110204738E-2</v>
      </c>
      <c r="L41" s="452"/>
      <c r="M41" s="452"/>
      <c r="N41" s="452"/>
      <c r="R41" s="303"/>
      <c r="S41" s="472" t="s">
        <v>466</v>
      </c>
      <c r="T41" s="472">
        <v>2</v>
      </c>
      <c r="U41" s="472">
        <v>4.9782640987728897</v>
      </c>
      <c r="V41" s="472">
        <v>2.4891320493864448</v>
      </c>
      <c r="W41" s="472">
        <v>2.7583688825790702</v>
      </c>
      <c r="X41" s="472">
        <v>0.26607287130140433</v>
      </c>
      <c r="Y41" s="452"/>
      <c r="Z41" s="452"/>
      <c r="AA41" s="452"/>
      <c r="AC41" s="291"/>
      <c r="AD41" s="303" t="s">
        <v>466</v>
      </c>
      <c r="AE41" s="303">
        <v>2</v>
      </c>
      <c r="AF41" s="303">
        <v>10.593114446746069</v>
      </c>
      <c r="AG41" s="303">
        <v>5.2965572233730347</v>
      </c>
      <c r="AH41" s="303">
        <v>0.88776824006445054</v>
      </c>
      <c r="AI41" s="303">
        <v>0.60024220667458361</v>
      </c>
    </row>
    <row r="42" spans="1:38">
      <c r="F42" s="472" t="s">
        <v>453</v>
      </c>
      <c r="G42" s="472">
        <v>6</v>
      </c>
      <c r="H42" s="472">
        <v>8.573878595001311</v>
      </c>
      <c r="I42" s="472">
        <v>1.4289797658335519</v>
      </c>
      <c r="J42" s="472"/>
      <c r="K42" s="472"/>
      <c r="L42" s="452"/>
      <c r="M42" s="452"/>
      <c r="N42" s="452"/>
      <c r="O42" s="307"/>
      <c r="R42" s="303"/>
      <c r="S42" s="472" t="s">
        <v>453</v>
      </c>
      <c r="T42" s="472">
        <v>2</v>
      </c>
      <c r="U42" s="472">
        <v>1.8047854767409577</v>
      </c>
      <c r="V42" s="472">
        <v>0.90239273837047884</v>
      </c>
      <c r="W42" s="472"/>
      <c r="X42" s="472"/>
      <c r="Y42" s="452"/>
      <c r="Z42" s="452"/>
      <c r="AA42" s="452"/>
      <c r="AC42" s="291"/>
      <c r="AD42" s="303" t="s">
        <v>453</v>
      </c>
      <c r="AE42" s="303">
        <v>1</v>
      </c>
      <c r="AF42" s="303">
        <v>5.966148578359272</v>
      </c>
      <c r="AG42" s="303">
        <v>5.966148578359272</v>
      </c>
      <c r="AH42" s="303"/>
      <c r="AI42" s="303"/>
    </row>
    <row r="43" spans="1:38" ht="15" thickBot="1">
      <c r="F43" s="473" t="s">
        <v>111</v>
      </c>
      <c r="G43" s="473">
        <v>8</v>
      </c>
      <c r="H43" s="473">
        <v>25.584724774821794</v>
      </c>
      <c r="I43" s="473"/>
      <c r="J43" s="473"/>
      <c r="K43" s="473"/>
      <c r="L43" s="452"/>
      <c r="M43" s="452"/>
      <c r="N43" s="452"/>
      <c r="O43" s="307"/>
      <c r="S43" s="473" t="s">
        <v>111</v>
      </c>
      <c r="T43" s="473">
        <v>4</v>
      </c>
      <c r="U43" s="473">
        <v>6.7830495755138474</v>
      </c>
      <c r="V43" s="473"/>
      <c r="W43" s="473"/>
      <c r="X43" s="473"/>
      <c r="Y43" s="452"/>
      <c r="Z43" s="452"/>
      <c r="AA43" s="452"/>
      <c r="AC43" s="291"/>
      <c r="AD43" s="304" t="s">
        <v>111</v>
      </c>
      <c r="AE43" s="304">
        <v>3</v>
      </c>
      <c r="AF43" s="304">
        <v>16.559263025105341</v>
      </c>
      <c r="AG43" s="304"/>
      <c r="AH43" s="304"/>
      <c r="AI43" s="304"/>
    </row>
    <row r="44" spans="1:38" ht="15" thickBot="1">
      <c r="F44" s="452"/>
      <c r="G44" s="452"/>
      <c r="H44" s="452"/>
      <c r="I44" s="452"/>
      <c r="J44" s="452"/>
      <c r="K44" s="452"/>
      <c r="L44" s="452"/>
      <c r="M44" s="452"/>
      <c r="N44" s="452"/>
      <c r="O44" s="307"/>
      <c r="R44" s="288"/>
      <c r="S44" s="452"/>
      <c r="T44" s="452"/>
      <c r="U44" s="452"/>
      <c r="V44" s="452"/>
      <c r="W44" s="452"/>
      <c r="X44" s="452"/>
      <c r="Y44" s="452"/>
      <c r="Z44" s="452"/>
      <c r="AA44" s="452"/>
      <c r="AC44" s="291"/>
    </row>
    <row r="45" spans="1:38">
      <c r="F45" s="474"/>
      <c r="G45" s="474" t="s">
        <v>203</v>
      </c>
      <c r="H45" s="474" t="s">
        <v>197</v>
      </c>
      <c r="I45" s="474" t="s">
        <v>204</v>
      </c>
      <c r="J45" s="474" t="s">
        <v>205</v>
      </c>
      <c r="K45" s="474" t="s">
        <v>206</v>
      </c>
      <c r="L45" s="474" t="s">
        <v>207</v>
      </c>
      <c r="M45" s="474" t="s">
        <v>208</v>
      </c>
      <c r="N45" s="474" t="s">
        <v>209</v>
      </c>
      <c r="O45" s="288"/>
      <c r="R45" s="303"/>
      <c r="S45" s="474"/>
      <c r="T45" s="474" t="s">
        <v>203</v>
      </c>
      <c r="U45" s="474" t="s">
        <v>197</v>
      </c>
      <c r="V45" s="474" t="s">
        <v>204</v>
      </c>
      <c r="W45" s="474" t="s">
        <v>205</v>
      </c>
      <c r="X45" s="474" t="s">
        <v>206</v>
      </c>
      <c r="Y45" s="474" t="s">
        <v>207</v>
      </c>
      <c r="Z45" s="474" t="s">
        <v>208</v>
      </c>
      <c r="AA45" s="474" t="s">
        <v>209</v>
      </c>
      <c r="AB45" s="288"/>
      <c r="AC45" s="291"/>
      <c r="AD45" s="305"/>
      <c r="AE45" s="305" t="s">
        <v>203</v>
      </c>
      <c r="AF45" s="305" t="s">
        <v>197</v>
      </c>
      <c r="AG45" s="305" t="s">
        <v>204</v>
      </c>
      <c r="AH45" s="305" t="s">
        <v>205</v>
      </c>
      <c r="AI45" s="305" t="s">
        <v>206</v>
      </c>
      <c r="AJ45" s="305" t="s">
        <v>207</v>
      </c>
      <c r="AK45" s="305" t="s">
        <v>208</v>
      </c>
      <c r="AL45" s="305" t="s">
        <v>209</v>
      </c>
    </row>
    <row r="46" spans="1:38">
      <c r="F46" s="472" t="s">
        <v>467</v>
      </c>
      <c r="G46" s="472">
        <v>0.98774821376796784</v>
      </c>
      <c r="H46" s="472">
        <v>0.60691629424735904</v>
      </c>
      <c r="I46" s="472">
        <v>1.627486727791484</v>
      </c>
      <c r="J46" s="472">
        <v>0.1547578016667934</v>
      </c>
      <c r="K46" s="472">
        <v>-0.49732245641891848</v>
      </c>
      <c r="L46" s="472">
        <v>2.4728188839548544</v>
      </c>
      <c r="M46" s="472">
        <v>-0.49732245641891848</v>
      </c>
      <c r="N46" s="472">
        <v>2.4728188839548544</v>
      </c>
      <c r="O46" s="303"/>
      <c r="R46" s="303"/>
      <c r="S46" s="472" t="s">
        <v>467</v>
      </c>
      <c r="T46" s="472">
        <v>1.3232220221520756</v>
      </c>
      <c r="U46" s="472">
        <v>0.66834979368924152</v>
      </c>
      <c r="V46" s="472">
        <v>1.9798345636466614</v>
      </c>
      <c r="W46" s="472">
        <v>0.18627547429847835</v>
      </c>
      <c r="X46" s="472">
        <v>-1.5524550419554712</v>
      </c>
      <c r="Y46" s="472">
        <v>4.1988990862596225</v>
      </c>
      <c r="Z46" s="472">
        <v>-1.5524550419554712</v>
      </c>
      <c r="AA46" s="472">
        <v>4.1988990862596225</v>
      </c>
      <c r="AB46" s="303"/>
      <c r="AC46" s="291"/>
      <c r="AD46" s="303" t="s">
        <v>467</v>
      </c>
      <c r="AE46" s="303">
        <v>-5.223274035764236E-2</v>
      </c>
      <c r="AF46" s="303">
        <v>3.7734399568102681</v>
      </c>
      <c r="AG46" s="303">
        <v>-1.3842207893986285E-2</v>
      </c>
      <c r="AH46" s="303">
        <v>0.99118833952534324</v>
      </c>
      <c r="AI46" s="303">
        <v>-47.998333382995938</v>
      </c>
      <c r="AJ46" s="303">
        <v>47.893867902280647</v>
      </c>
      <c r="AK46" s="303">
        <v>-47.998333382995938</v>
      </c>
      <c r="AL46" s="303">
        <v>47.893867902280647</v>
      </c>
    </row>
    <row r="47" spans="1:38" ht="15">
      <c r="E47" s="309" t="s">
        <v>468</v>
      </c>
      <c r="F47" s="472" t="s">
        <v>680</v>
      </c>
      <c r="G47" s="472">
        <v>-1.2908251164475581E-6</v>
      </c>
      <c r="H47" s="472">
        <v>4.4887457796700341E-7</v>
      </c>
      <c r="I47" s="472">
        <v>-2.8756921862089637</v>
      </c>
      <c r="J47" s="475">
        <v>2.8216209136381665E-2</v>
      </c>
      <c r="K47" s="472">
        <v>-2.3891816388374894E-6</v>
      </c>
      <c r="L47" s="472">
        <v>-1.9246859405762668E-7</v>
      </c>
      <c r="M47" s="472">
        <v>-2.3891816388374894E-6</v>
      </c>
      <c r="N47" s="472">
        <v>-1.9246859405762668E-7</v>
      </c>
      <c r="O47" s="303"/>
      <c r="Q47" s="309" t="s">
        <v>468</v>
      </c>
      <c r="S47" s="472" t="s">
        <v>680</v>
      </c>
      <c r="T47" s="472">
        <v>-2.0582767997333531E-6</v>
      </c>
      <c r="U47" s="472">
        <v>1.7957704918735898E-6</v>
      </c>
      <c r="V47" s="472">
        <v>-1.1461803215097277</v>
      </c>
      <c r="W47" s="472">
        <v>0.37035692385810814</v>
      </c>
      <c r="X47" s="472">
        <v>-9.7848536082287992E-6</v>
      </c>
      <c r="Y47" s="472">
        <v>5.6683000087620929E-6</v>
      </c>
      <c r="Z47" s="472">
        <v>-9.7848536082287992E-6</v>
      </c>
      <c r="AA47" s="472">
        <v>5.6683000087620929E-6</v>
      </c>
      <c r="AB47" s="303"/>
      <c r="AC47" s="309" t="s">
        <v>468</v>
      </c>
      <c r="AD47" s="288" t="s">
        <v>448</v>
      </c>
      <c r="AE47" s="303">
        <v>-2.5446612130423819E-6</v>
      </c>
      <c r="AF47" s="303">
        <v>6.3807938422974198E-6</v>
      </c>
      <c r="AG47" s="303">
        <v>-0.39880009853541526</v>
      </c>
      <c r="AH47" s="303">
        <v>0.75842090730758971</v>
      </c>
      <c r="AI47" s="303">
        <v>-8.3620334138636887E-5</v>
      </c>
      <c r="AJ47" s="303">
        <v>7.8531011712552136E-5</v>
      </c>
      <c r="AK47" s="303">
        <v>-8.3620334138636887E-5</v>
      </c>
      <c r="AL47" s="303">
        <v>7.8531011712552136E-5</v>
      </c>
    </row>
    <row r="48" spans="1:38" ht="15" thickBot="1">
      <c r="E48" s="319" t="s">
        <v>490</v>
      </c>
      <c r="F48" s="473" t="s">
        <v>704</v>
      </c>
      <c r="G48" s="473">
        <v>-2.9119465214455739E-8</v>
      </c>
      <c r="H48" s="473">
        <v>7.9299956521825964E-8</v>
      </c>
      <c r="I48" s="473">
        <v>-0.3672065722563303</v>
      </c>
      <c r="J48" s="473">
        <v>0.72606857373307909</v>
      </c>
      <c r="K48" s="473">
        <v>-2.2315946824930834E-7</v>
      </c>
      <c r="L48" s="473">
        <v>1.6492053782039684E-7</v>
      </c>
      <c r="M48" s="473">
        <v>-2.2315946824930834E-7</v>
      </c>
      <c r="N48" s="473">
        <v>1.6492053782039684E-7</v>
      </c>
      <c r="O48" s="303"/>
      <c r="Q48" s="319" t="s">
        <v>490</v>
      </c>
      <c r="S48" s="473" t="s">
        <v>704</v>
      </c>
      <c r="T48" s="473">
        <v>-1.6141557146253645E-9</v>
      </c>
      <c r="U48" s="473">
        <v>1.2961983855695282E-7</v>
      </c>
      <c r="V48" s="473">
        <v>-1.2452998959076245E-2</v>
      </c>
      <c r="W48" s="473">
        <v>0.9911947413577602</v>
      </c>
      <c r="X48" s="473">
        <v>-5.5932330788482135E-7</v>
      </c>
      <c r="Y48" s="473">
        <v>5.5609499645557055E-7</v>
      </c>
      <c r="Z48" s="473">
        <v>-5.5932330788482135E-7</v>
      </c>
      <c r="AA48" s="473">
        <v>5.5609499645557055E-7</v>
      </c>
      <c r="AB48" s="303"/>
      <c r="AC48" s="319" t="s">
        <v>490</v>
      </c>
      <c r="AD48" s="311" t="s">
        <v>449</v>
      </c>
      <c r="AE48" s="304">
        <v>5.9285580498811968E-7</v>
      </c>
      <c r="AF48" s="304">
        <v>2.8405775455294902E-6</v>
      </c>
      <c r="AG48" s="304">
        <v>0.20870960059554017</v>
      </c>
      <c r="AH48" s="304">
        <v>0.86901167638094468</v>
      </c>
      <c r="AI48" s="304">
        <v>-3.5500104051275838E-5</v>
      </c>
      <c r="AJ48" s="304">
        <v>3.6685815661252074E-5</v>
      </c>
      <c r="AK48" s="304">
        <v>-3.5500104051275838E-5</v>
      </c>
      <c r="AL48" s="304">
        <v>3.6685815661252074E-5</v>
      </c>
    </row>
    <row r="49" spans="6:43" ht="15">
      <c r="F49" s="469" t="s">
        <v>469</v>
      </c>
      <c r="G49" s="452"/>
      <c r="H49" s="452"/>
      <c r="I49" s="452"/>
      <c r="J49" s="452"/>
      <c r="K49" s="452"/>
      <c r="L49" s="452"/>
      <c r="M49" s="452"/>
      <c r="N49" s="452"/>
      <c r="O49" s="307"/>
      <c r="S49" s="470" t="s">
        <v>470</v>
      </c>
      <c r="T49" s="452"/>
      <c r="U49" s="452"/>
      <c r="V49" s="452"/>
      <c r="W49" s="452"/>
      <c r="X49" s="452"/>
      <c r="Y49" s="452"/>
      <c r="Z49" s="452"/>
      <c r="AA49" s="452"/>
      <c r="AD49" s="470" t="s">
        <v>470</v>
      </c>
    </row>
    <row r="50" spans="6:43">
      <c r="F50" s="452"/>
      <c r="G50" s="452"/>
      <c r="H50" s="452"/>
      <c r="I50" s="452"/>
      <c r="J50" s="452"/>
      <c r="K50" s="452"/>
      <c r="L50" s="452"/>
      <c r="M50" s="452"/>
      <c r="N50" s="452"/>
      <c r="O50" s="307"/>
      <c r="S50" s="452"/>
      <c r="T50" s="452"/>
      <c r="U50" s="452"/>
      <c r="V50" s="452"/>
      <c r="W50" s="452"/>
      <c r="X50" s="452"/>
      <c r="Y50" s="452"/>
      <c r="Z50" s="452"/>
      <c r="AA50" s="452"/>
      <c r="AD50" s="313"/>
    </row>
    <row r="51" spans="6:43">
      <c r="F51" s="452"/>
      <c r="G51" s="452"/>
      <c r="H51" s="452"/>
      <c r="I51" s="452"/>
      <c r="J51" s="452"/>
      <c r="K51" s="452"/>
      <c r="L51" s="452"/>
      <c r="M51" s="452"/>
      <c r="N51" s="452"/>
      <c r="O51" s="307"/>
      <c r="S51" s="452"/>
      <c r="T51" s="452"/>
      <c r="U51" s="452"/>
      <c r="V51" s="452"/>
      <c r="W51" s="452"/>
      <c r="X51" s="452"/>
      <c r="Y51" s="452"/>
      <c r="Z51" s="452"/>
      <c r="AA51" s="452"/>
      <c r="AM51" s="291"/>
    </row>
    <row r="52" spans="6:43" ht="15">
      <c r="F52" s="298" t="s">
        <v>471</v>
      </c>
      <c r="R52" s="298" t="s">
        <v>472</v>
      </c>
      <c r="AD52" s="300" t="s">
        <v>473</v>
      </c>
      <c r="AM52" s="291"/>
    </row>
    <row r="53" spans="6:43" ht="15">
      <c r="F53" s="301" t="s">
        <v>474</v>
      </c>
      <c r="G53" s="291"/>
      <c r="H53" s="291"/>
      <c r="I53" s="291"/>
      <c r="J53" s="291"/>
      <c r="K53" s="291"/>
      <c r="L53" s="291"/>
      <c r="M53" s="291"/>
      <c r="N53" s="291"/>
      <c r="O53" s="291"/>
      <c r="S53" s="301" t="s">
        <v>474</v>
      </c>
      <c r="T53" s="291"/>
      <c r="U53" s="291"/>
      <c r="V53" s="291"/>
      <c r="W53" s="291"/>
      <c r="X53" s="291"/>
      <c r="Y53" s="291"/>
      <c r="Z53" s="291"/>
      <c r="AA53" s="291"/>
      <c r="AB53" s="291"/>
      <c r="AD53" s="301" t="s">
        <v>474</v>
      </c>
      <c r="AE53" s="291"/>
      <c r="AF53" s="291"/>
      <c r="AG53" s="291"/>
      <c r="AH53" s="291"/>
      <c r="AI53" s="291"/>
      <c r="AJ53" s="291"/>
      <c r="AK53" s="291"/>
      <c r="AL53" s="291"/>
      <c r="AM53" s="291"/>
      <c r="AQ53" s="312"/>
    </row>
    <row r="54" spans="6:43">
      <c r="F54" s="284" t="s">
        <v>459</v>
      </c>
      <c r="S54" s="284" t="s">
        <v>459</v>
      </c>
      <c r="AC54" s="291"/>
      <c r="AD54" s="284" t="s">
        <v>459</v>
      </c>
      <c r="AM54" s="291"/>
    </row>
    <row r="55" spans="6:43" ht="15" thickBot="1">
      <c r="AC55" s="291"/>
    </row>
    <row r="56" spans="6:43">
      <c r="F56" s="302" t="s">
        <v>460</v>
      </c>
      <c r="G56" s="302"/>
      <c r="S56" s="302" t="s">
        <v>460</v>
      </c>
      <c r="T56" s="302"/>
      <c r="AC56" s="291"/>
      <c r="AD56" s="302" t="s">
        <v>460</v>
      </c>
      <c r="AE56" s="302"/>
    </row>
    <row r="57" spans="6:43">
      <c r="F57" s="303" t="s">
        <v>461</v>
      </c>
      <c r="G57" s="303">
        <v>0.70360335310980526</v>
      </c>
      <c r="S57" s="303" t="s">
        <v>461</v>
      </c>
      <c r="T57" s="303">
        <v>0.80361931689737109</v>
      </c>
      <c r="AC57" s="291"/>
      <c r="AD57" s="303" t="s">
        <v>461</v>
      </c>
      <c r="AE57" s="303">
        <v>0.65864665133947808</v>
      </c>
    </row>
    <row r="58" spans="6:43">
      <c r="F58" s="303" t="s">
        <v>462</v>
      </c>
      <c r="G58" s="303">
        <v>0.49505767850736127</v>
      </c>
      <c r="S58" s="303" t="s">
        <v>462</v>
      </c>
      <c r="T58" s="303">
        <v>0.64580400649059733</v>
      </c>
      <c r="AC58" s="291"/>
      <c r="AD58" s="303" t="s">
        <v>462</v>
      </c>
      <c r="AE58" s="303">
        <v>0.43381541132070806</v>
      </c>
    </row>
    <row r="59" spans="6:43">
      <c r="F59" s="303" t="s">
        <v>463</v>
      </c>
      <c r="G59" s="303">
        <v>0.43193988832078145</v>
      </c>
      <c r="S59" s="303" t="s">
        <v>463</v>
      </c>
      <c r="T59" s="303">
        <v>0.54460515120219655</v>
      </c>
      <c r="AC59" s="291"/>
      <c r="AD59" s="303" t="s">
        <v>463</v>
      </c>
      <c r="AE59" s="303">
        <v>0.24508721509427742</v>
      </c>
    </row>
    <row r="60" spans="6:43">
      <c r="F60" s="303" t="s">
        <v>197</v>
      </c>
      <c r="G60" s="303">
        <v>1.0627766920709079</v>
      </c>
      <c r="S60" s="303" t="s">
        <v>197</v>
      </c>
      <c r="T60" s="303">
        <v>0.78711731858885492</v>
      </c>
      <c r="AC60" s="291"/>
      <c r="AD60" s="303" t="s">
        <v>197</v>
      </c>
      <c r="AE60" s="303">
        <v>1.4025534417491687</v>
      </c>
    </row>
    <row r="61" spans="6:43" ht="15" thickBot="1">
      <c r="F61" s="304" t="s">
        <v>464</v>
      </c>
      <c r="G61" s="304">
        <v>19</v>
      </c>
      <c r="S61" s="304" t="s">
        <v>464</v>
      </c>
      <c r="T61" s="304">
        <v>10</v>
      </c>
      <c r="AC61" s="291"/>
      <c r="AD61" s="304" t="s">
        <v>464</v>
      </c>
      <c r="AE61" s="304">
        <v>9</v>
      </c>
    </row>
    <row r="62" spans="6:43">
      <c r="AC62" s="291"/>
    </row>
    <row r="63" spans="6:43" ht="15" thickBot="1">
      <c r="F63" s="284" t="s">
        <v>465</v>
      </c>
      <c r="S63" s="284" t="s">
        <v>465</v>
      </c>
      <c r="AC63" s="291"/>
      <c r="AD63" s="284" t="s">
        <v>465</v>
      </c>
    </row>
    <row r="64" spans="6:43">
      <c r="F64" s="305"/>
      <c r="G64" s="305" t="s">
        <v>198</v>
      </c>
      <c r="H64" s="305" t="s">
        <v>199</v>
      </c>
      <c r="I64" s="305" t="s">
        <v>200</v>
      </c>
      <c r="J64" s="305" t="s">
        <v>201</v>
      </c>
      <c r="K64" s="305" t="s">
        <v>202</v>
      </c>
      <c r="S64" s="305"/>
      <c r="T64" s="305" t="s">
        <v>198</v>
      </c>
      <c r="U64" s="305" t="s">
        <v>199</v>
      </c>
      <c r="V64" s="305" t="s">
        <v>200</v>
      </c>
      <c r="W64" s="305" t="s">
        <v>201</v>
      </c>
      <c r="X64" s="305" t="s">
        <v>202</v>
      </c>
      <c r="AC64" s="291"/>
      <c r="AD64" s="305"/>
      <c r="AE64" s="305" t="s">
        <v>198</v>
      </c>
      <c r="AF64" s="305" t="s">
        <v>199</v>
      </c>
      <c r="AG64" s="305" t="s">
        <v>200</v>
      </c>
      <c r="AH64" s="305" t="s">
        <v>201</v>
      </c>
      <c r="AI64" s="305" t="s">
        <v>202</v>
      </c>
    </row>
    <row r="65" spans="3:38" ht="15">
      <c r="F65" s="303" t="s">
        <v>466</v>
      </c>
      <c r="G65" s="303">
        <v>2</v>
      </c>
      <c r="H65" s="303">
        <v>17.718136931307555</v>
      </c>
      <c r="I65" s="303">
        <v>8.8590684656537775</v>
      </c>
      <c r="J65" s="303">
        <v>7.8433937095063389</v>
      </c>
      <c r="K65" s="306">
        <v>4.2260456032533903E-3</v>
      </c>
      <c r="S65" s="303" t="s">
        <v>466</v>
      </c>
      <c r="T65" s="303">
        <v>2</v>
      </c>
      <c r="U65" s="303">
        <v>7.9074065267400808</v>
      </c>
      <c r="V65" s="303">
        <v>3.9537032633700404</v>
      </c>
      <c r="W65" s="303">
        <v>6.3815346986896042</v>
      </c>
      <c r="X65" s="306">
        <v>2.6445559230784153E-2</v>
      </c>
      <c r="AC65" s="291"/>
      <c r="AD65" s="303" t="s">
        <v>466</v>
      </c>
      <c r="AE65" s="303">
        <v>2</v>
      </c>
      <c r="AF65" s="303">
        <v>9.0435099198517186</v>
      </c>
      <c r="AG65" s="303">
        <v>4.5217549599258593</v>
      </c>
      <c r="AH65" s="303">
        <v>2.2986253246453372</v>
      </c>
      <c r="AI65" s="303">
        <v>0.18149895613792266</v>
      </c>
    </row>
    <row r="66" spans="3:38">
      <c r="F66" s="303" t="s">
        <v>453</v>
      </c>
      <c r="G66" s="303">
        <v>16</v>
      </c>
      <c r="H66" s="303">
        <v>18.071908755346904</v>
      </c>
      <c r="I66" s="303">
        <v>1.1294942972091815</v>
      </c>
      <c r="J66" s="303"/>
      <c r="K66" s="303"/>
      <c r="S66" s="303" t="s">
        <v>453</v>
      </c>
      <c r="T66" s="303">
        <v>7</v>
      </c>
      <c r="U66" s="303">
        <v>4.3368757125575623</v>
      </c>
      <c r="V66" s="303">
        <v>0.61955367322250887</v>
      </c>
      <c r="W66" s="303"/>
      <c r="X66" s="303"/>
      <c r="AC66" s="291"/>
      <c r="AD66" s="303" t="s">
        <v>453</v>
      </c>
      <c r="AE66" s="303">
        <v>6</v>
      </c>
      <c r="AF66" s="303">
        <v>11.802936941774632</v>
      </c>
      <c r="AG66" s="303">
        <v>1.9671561569624387</v>
      </c>
      <c r="AH66" s="303"/>
      <c r="AI66" s="303"/>
    </row>
    <row r="67" spans="3:38" ht="15" thickBot="1">
      <c r="F67" s="304" t="s">
        <v>111</v>
      </c>
      <c r="G67" s="304">
        <v>18</v>
      </c>
      <c r="H67" s="304">
        <v>35.790045686654459</v>
      </c>
      <c r="I67" s="304"/>
      <c r="J67" s="304"/>
      <c r="K67" s="304"/>
      <c r="S67" s="304" t="s">
        <v>111</v>
      </c>
      <c r="T67" s="304">
        <v>9</v>
      </c>
      <c r="U67" s="304">
        <v>12.244282239297643</v>
      </c>
      <c r="V67" s="304"/>
      <c r="W67" s="304"/>
      <c r="X67" s="304"/>
      <c r="AC67" s="291"/>
      <c r="AD67" s="304" t="s">
        <v>111</v>
      </c>
      <c r="AE67" s="304">
        <v>8</v>
      </c>
      <c r="AF67" s="304">
        <v>20.846446861626351</v>
      </c>
      <c r="AG67" s="304"/>
      <c r="AH67" s="304"/>
      <c r="AI67" s="304"/>
    </row>
    <row r="68" spans="3:38" ht="15" thickBot="1">
      <c r="O68" s="307"/>
      <c r="AC68" s="314"/>
    </row>
    <row r="69" spans="3:38">
      <c r="F69" s="305"/>
      <c r="G69" s="305" t="s">
        <v>203</v>
      </c>
      <c r="H69" s="305" t="s">
        <v>197</v>
      </c>
      <c r="I69" s="305" t="s">
        <v>204</v>
      </c>
      <c r="J69" s="305" t="s">
        <v>205</v>
      </c>
      <c r="K69" s="305" t="s">
        <v>206</v>
      </c>
      <c r="L69" s="305" t="s">
        <v>207</v>
      </c>
      <c r="M69" s="305" t="s">
        <v>208</v>
      </c>
      <c r="N69" s="305" t="s">
        <v>209</v>
      </c>
      <c r="O69" s="288"/>
      <c r="S69" s="305"/>
      <c r="T69" s="305" t="s">
        <v>203</v>
      </c>
      <c r="U69" s="305" t="s">
        <v>197</v>
      </c>
      <c r="V69" s="305" t="s">
        <v>204</v>
      </c>
      <c r="W69" s="305" t="s">
        <v>205</v>
      </c>
      <c r="X69" s="305" t="s">
        <v>206</v>
      </c>
      <c r="Y69" s="305" t="s">
        <v>207</v>
      </c>
      <c r="Z69" s="305" t="s">
        <v>208</v>
      </c>
      <c r="AA69" s="305" t="s">
        <v>209</v>
      </c>
      <c r="AB69" s="288"/>
      <c r="AC69" s="288"/>
      <c r="AD69" s="305"/>
      <c r="AE69" s="305" t="s">
        <v>203</v>
      </c>
      <c r="AF69" s="305" t="s">
        <v>197</v>
      </c>
      <c r="AG69" s="305" t="s">
        <v>204</v>
      </c>
      <c r="AH69" s="305" t="s">
        <v>205</v>
      </c>
      <c r="AI69" s="305" t="s">
        <v>206</v>
      </c>
      <c r="AJ69" s="305" t="s">
        <v>207</v>
      </c>
      <c r="AK69" s="305" t="s">
        <v>208</v>
      </c>
      <c r="AL69" s="305" t="s">
        <v>209</v>
      </c>
    </row>
    <row r="70" spans="3:38">
      <c r="F70" s="303" t="s">
        <v>467</v>
      </c>
      <c r="G70" s="303">
        <v>1.6031114399496533</v>
      </c>
      <c r="H70" s="303">
        <v>0.55040223237407448</v>
      </c>
      <c r="I70" s="303">
        <v>2.9126179830973453</v>
      </c>
      <c r="J70" s="303">
        <v>1.0171032982108518E-2</v>
      </c>
      <c r="K70" s="303">
        <v>0.43631083857457087</v>
      </c>
      <c r="L70" s="303">
        <v>2.7699120413247358</v>
      </c>
      <c r="M70" s="303">
        <v>0.43631083857457087</v>
      </c>
      <c r="N70" s="303">
        <v>2.7699120413247358</v>
      </c>
      <c r="O70" s="303"/>
      <c r="S70" s="303" t="s">
        <v>467</v>
      </c>
      <c r="T70" s="303">
        <v>1.6148114659109449</v>
      </c>
      <c r="U70" s="303">
        <v>0.49509046838956244</v>
      </c>
      <c r="V70" s="303">
        <v>3.2616492722302399</v>
      </c>
      <c r="W70" s="303">
        <v>1.3832851008267187E-2</v>
      </c>
      <c r="X70" s="303">
        <v>0.44410853794312821</v>
      </c>
      <c r="Y70" s="303">
        <v>2.7855143938787617</v>
      </c>
      <c r="Z70" s="303">
        <v>0.44410853794312821</v>
      </c>
      <c r="AA70" s="303">
        <v>2.7855143938787617</v>
      </c>
      <c r="AB70" s="303"/>
      <c r="AC70" s="303"/>
      <c r="AD70" s="303" t="s">
        <v>467</v>
      </c>
      <c r="AE70" s="303">
        <v>1.7777628811315078</v>
      </c>
      <c r="AF70" s="303">
        <v>1.2971077982167929</v>
      </c>
      <c r="AG70" s="303">
        <v>1.370559088130916</v>
      </c>
      <c r="AH70" s="303">
        <v>0.21957391270552129</v>
      </c>
      <c r="AI70" s="303">
        <v>-1.3961455564253757</v>
      </c>
      <c r="AJ70" s="303">
        <v>4.9516713186883914</v>
      </c>
      <c r="AK70" s="303">
        <v>-1.3961455564253757</v>
      </c>
      <c r="AL70" s="303">
        <v>4.9516713186883914</v>
      </c>
    </row>
    <row r="71" spans="3:38" ht="15">
      <c r="E71" s="309" t="s">
        <v>468</v>
      </c>
      <c r="F71" s="303" t="s">
        <v>448</v>
      </c>
      <c r="G71" s="303">
        <v>-1.0884500175476471E-6</v>
      </c>
      <c r="H71" s="303">
        <v>2.8923200126987667E-7</v>
      </c>
      <c r="I71" s="303">
        <v>-3.7632420090750465</v>
      </c>
      <c r="J71" s="306">
        <v>1.699584319486468E-3</v>
      </c>
      <c r="K71" s="303">
        <v>-1.7015944656778086E-6</v>
      </c>
      <c r="L71" s="303">
        <v>-4.7530556941748582E-7</v>
      </c>
      <c r="M71" s="303">
        <v>-1.7015944656778086E-6</v>
      </c>
      <c r="N71" s="303">
        <v>-4.7530556941748582E-7</v>
      </c>
      <c r="O71" s="303"/>
      <c r="Q71" s="309" t="s">
        <v>468</v>
      </c>
      <c r="S71" s="303" t="s">
        <v>448</v>
      </c>
      <c r="T71" s="303">
        <v>-2.2067468470198212E-6</v>
      </c>
      <c r="U71" s="303">
        <v>6.9392501283173842E-7</v>
      </c>
      <c r="V71" s="303">
        <v>-3.1800941113429917</v>
      </c>
      <c r="W71" s="306">
        <v>1.5488618810550496E-2</v>
      </c>
      <c r="X71" s="303">
        <v>-3.8476187607020672E-6</v>
      </c>
      <c r="Y71" s="303">
        <v>-5.65874933337575E-7</v>
      </c>
      <c r="Z71" s="303">
        <v>-3.8476187607020672E-6</v>
      </c>
      <c r="AA71" s="303">
        <v>-5.65874933337575E-7</v>
      </c>
      <c r="AB71" s="303"/>
      <c r="AC71" s="309" t="s">
        <v>468</v>
      </c>
      <c r="AD71" s="303" t="s">
        <v>448</v>
      </c>
      <c r="AE71" s="303">
        <v>-1.0502412483852596E-6</v>
      </c>
      <c r="AF71" s="303">
        <v>5.0940954830115225E-7</v>
      </c>
      <c r="AG71" s="303">
        <v>-2.0616834762672704</v>
      </c>
      <c r="AH71" s="303">
        <v>8.4858495921152369E-2</v>
      </c>
      <c r="AI71" s="303">
        <v>-2.2967215068092708E-6</v>
      </c>
      <c r="AJ71" s="303">
        <v>1.9623901003875152E-7</v>
      </c>
      <c r="AK71" s="303">
        <v>-2.2967215068092708E-6</v>
      </c>
      <c r="AL71" s="303">
        <v>1.9623901003875152E-7</v>
      </c>
    </row>
    <row r="72" spans="3:38" ht="15" thickBot="1">
      <c r="E72" s="319" t="s">
        <v>491</v>
      </c>
      <c r="F72" s="304" t="s">
        <v>450</v>
      </c>
      <c r="G72" s="304">
        <v>-3.7304146911075794E-5</v>
      </c>
      <c r="H72" s="304">
        <v>3.3761410605708001E-5</v>
      </c>
      <c r="I72" s="304">
        <v>-1.1049344870906794</v>
      </c>
      <c r="J72" s="304">
        <v>0.28552731561298517</v>
      </c>
      <c r="K72" s="304">
        <v>-1.0887513968866014E-4</v>
      </c>
      <c r="L72" s="304">
        <v>3.4266845866508544E-5</v>
      </c>
      <c r="M72" s="304">
        <v>-1.0887513968866014E-4</v>
      </c>
      <c r="N72" s="304">
        <v>3.4266845866508544E-5</v>
      </c>
      <c r="O72" s="303"/>
      <c r="Q72" s="319" t="s">
        <v>491</v>
      </c>
      <c r="S72" s="304" t="s">
        <v>450</v>
      </c>
      <c r="T72" s="304">
        <v>-1.3119827024730355E-5</v>
      </c>
      <c r="U72" s="304">
        <v>3.1811724425648196E-5</v>
      </c>
      <c r="V72" s="304">
        <v>-0.41242112025063621</v>
      </c>
      <c r="W72" s="304">
        <v>0.69236871908511222</v>
      </c>
      <c r="X72" s="304">
        <v>-8.8342602066134878E-5</v>
      </c>
      <c r="Y72" s="304">
        <v>6.2102948016674178E-5</v>
      </c>
      <c r="Z72" s="304">
        <v>-8.8342602066134878E-5</v>
      </c>
      <c r="AA72" s="304">
        <v>6.2102948016674178E-5</v>
      </c>
      <c r="AB72" s="303"/>
      <c r="AC72" s="319" t="s">
        <v>491</v>
      </c>
      <c r="AD72" s="304" t="s">
        <v>450</v>
      </c>
      <c r="AE72" s="304">
        <v>-4.5940624739420438E-5</v>
      </c>
      <c r="AF72" s="304">
        <v>8.3880419784890852E-5</v>
      </c>
      <c r="AG72" s="304">
        <v>-0.5476918791922355</v>
      </c>
      <c r="AH72" s="304">
        <v>0.6036648535068927</v>
      </c>
      <c r="AI72" s="304">
        <v>-2.5118861759481617E-4</v>
      </c>
      <c r="AJ72" s="304">
        <v>1.5930736811597531E-4</v>
      </c>
      <c r="AK72" s="304">
        <v>-2.5118861759481617E-4</v>
      </c>
      <c r="AL72" s="304">
        <v>1.5930736811597531E-4</v>
      </c>
    </row>
    <row r="73" spans="3:38" ht="15">
      <c r="F73" s="469" t="s">
        <v>475</v>
      </c>
      <c r="S73" s="469" t="s">
        <v>476</v>
      </c>
      <c r="AD73" s="312" t="s">
        <v>477</v>
      </c>
    </row>
    <row r="74" spans="3:38">
      <c r="F74" s="312"/>
      <c r="S74" s="312"/>
      <c r="AD74" s="312"/>
    </row>
    <row r="76" spans="3:38" ht="15">
      <c r="C76" s="312"/>
      <c r="F76" s="298" t="s">
        <v>478</v>
      </c>
      <c r="R76" s="298" t="s">
        <v>479</v>
      </c>
      <c r="AD76" s="298" t="s">
        <v>480</v>
      </c>
    </row>
    <row r="77" spans="3:38" ht="15">
      <c r="F77" s="296" t="s">
        <v>474</v>
      </c>
      <c r="S77" s="296" t="s">
        <v>474</v>
      </c>
      <c r="AD77" s="296" t="s">
        <v>474</v>
      </c>
    </row>
    <row r="78" spans="3:38">
      <c r="F78" s="284" t="s">
        <v>459</v>
      </c>
      <c r="S78" s="284" t="s">
        <v>459</v>
      </c>
      <c r="AD78" s="284" t="s">
        <v>459</v>
      </c>
    </row>
    <row r="79" spans="3:38" ht="15" thickBot="1"/>
    <row r="80" spans="3:38">
      <c r="F80" s="302" t="s">
        <v>460</v>
      </c>
      <c r="G80" s="302"/>
      <c r="S80" s="302" t="s">
        <v>460</v>
      </c>
      <c r="T80" s="302"/>
      <c r="AD80" s="302" t="s">
        <v>460</v>
      </c>
      <c r="AE80" s="302"/>
    </row>
    <row r="81" spans="5:38">
      <c r="F81" s="303" t="s">
        <v>461</v>
      </c>
      <c r="G81" s="303">
        <v>0.81170480852783711</v>
      </c>
      <c r="S81" s="303" t="s">
        <v>461</v>
      </c>
      <c r="T81" s="303">
        <v>0.93602925864002695</v>
      </c>
      <c r="AD81" s="303" t="s">
        <v>461</v>
      </c>
      <c r="AE81" s="303">
        <v>0.88908672745951278</v>
      </c>
    </row>
    <row r="82" spans="5:38">
      <c r="F82" s="303" t="s">
        <v>462</v>
      </c>
      <c r="G82" s="303">
        <v>0.65886469618721266</v>
      </c>
      <c r="S82" s="303" t="s">
        <v>462</v>
      </c>
      <c r="T82" s="303">
        <v>0.8761507730301985</v>
      </c>
      <c r="AD82" s="303" t="s">
        <v>462</v>
      </c>
      <c r="AE82" s="303">
        <v>0.79047520894466594</v>
      </c>
    </row>
    <row r="83" spans="5:38">
      <c r="F83" s="303" t="s">
        <v>463</v>
      </c>
      <c r="G83" s="303">
        <v>0.54515292824961692</v>
      </c>
      <c r="S83" s="303" t="s">
        <v>463</v>
      </c>
      <c r="T83" s="303">
        <v>0.75230154606039701</v>
      </c>
      <c r="AD83" s="303" t="s">
        <v>463</v>
      </c>
      <c r="AE83" s="303">
        <v>0.37142562683399793</v>
      </c>
    </row>
    <row r="84" spans="5:38">
      <c r="F84" s="303" t="s">
        <v>197</v>
      </c>
      <c r="G84" s="303">
        <v>1.2060854626314408</v>
      </c>
      <c r="S84" s="303" t="s">
        <v>197</v>
      </c>
      <c r="T84" s="303">
        <v>0.64810317327769251</v>
      </c>
      <c r="AD84" s="303" t="s">
        <v>197</v>
      </c>
      <c r="AE84" s="303">
        <v>1.8626798236319402</v>
      </c>
    </row>
    <row r="85" spans="5:38" ht="15" thickBot="1">
      <c r="F85" s="304" t="s">
        <v>464</v>
      </c>
      <c r="G85" s="304">
        <v>9</v>
      </c>
      <c r="S85" s="304" t="s">
        <v>464</v>
      </c>
      <c r="T85" s="304">
        <v>5</v>
      </c>
      <c r="AD85" s="304" t="s">
        <v>464</v>
      </c>
      <c r="AE85" s="304">
        <v>4</v>
      </c>
    </row>
    <row r="87" spans="5:38" ht="15" thickBot="1">
      <c r="F87" s="284" t="s">
        <v>465</v>
      </c>
      <c r="S87" s="284" t="s">
        <v>465</v>
      </c>
      <c r="AD87" s="284" t="s">
        <v>465</v>
      </c>
    </row>
    <row r="88" spans="5:38">
      <c r="F88" s="305"/>
      <c r="G88" s="305" t="s">
        <v>198</v>
      </c>
      <c r="H88" s="305" t="s">
        <v>199</v>
      </c>
      <c r="I88" s="305" t="s">
        <v>200</v>
      </c>
      <c r="J88" s="305" t="s">
        <v>201</v>
      </c>
      <c r="K88" s="305" t="s">
        <v>202</v>
      </c>
      <c r="S88" s="305"/>
      <c r="T88" s="305" t="s">
        <v>198</v>
      </c>
      <c r="U88" s="305" t="s">
        <v>199</v>
      </c>
      <c r="V88" s="305" t="s">
        <v>200</v>
      </c>
      <c r="W88" s="305" t="s">
        <v>201</v>
      </c>
      <c r="X88" s="305" t="s">
        <v>202</v>
      </c>
      <c r="AD88" s="305"/>
      <c r="AE88" s="305" t="s">
        <v>198</v>
      </c>
      <c r="AF88" s="305" t="s">
        <v>199</v>
      </c>
      <c r="AG88" s="305" t="s">
        <v>200</v>
      </c>
      <c r="AH88" s="305" t="s">
        <v>201</v>
      </c>
      <c r="AI88" s="305" t="s">
        <v>202</v>
      </c>
    </row>
    <row r="89" spans="5:38" ht="15">
      <c r="F89" s="303" t="s">
        <v>466</v>
      </c>
      <c r="G89" s="303">
        <v>2</v>
      </c>
      <c r="H89" s="303">
        <v>16.856871915796415</v>
      </c>
      <c r="I89" s="303">
        <v>8.4284359578982073</v>
      </c>
      <c r="J89" s="303">
        <v>5.7941645630625764</v>
      </c>
      <c r="K89" s="306">
        <v>3.9699039519257247E-2</v>
      </c>
      <c r="S89" s="303" t="s">
        <v>466</v>
      </c>
      <c r="T89" s="303">
        <v>2</v>
      </c>
      <c r="U89" s="303">
        <v>5.9429741290886176</v>
      </c>
      <c r="V89" s="303">
        <v>2.9714870645443088</v>
      </c>
      <c r="W89" s="303">
        <v>7.074333804633544</v>
      </c>
      <c r="X89" s="303">
        <v>0.12384922696951207</v>
      </c>
      <c r="AD89" s="303" t="s">
        <v>466</v>
      </c>
      <c r="AE89" s="303">
        <v>2</v>
      </c>
      <c r="AF89" s="303">
        <v>13.089686899739826</v>
      </c>
      <c r="AG89" s="303">
        <v>6.5448434498699131</v>
      </c>
      <c r="AH89" s="303">
        <v>1.8863524572992101</v>
      </c>
      <c r="AI89" s="303">
        <v>0.4577387803304872</v>
      </c>
    </row>
    <row r="90" spans="5:38">
      <c r="F90" s="303" t="s">
        <v>453</v>
      </c>
      <c r="G90" s="303">
        <v>6</v>
      </c>
      <c r="H90" s="303">
        <v>8.7278528590253792</v>
      </c>
      <c r="I90" s="303">
        <v>1.4546421431708965</v>
      </c>
      <c r="J90" s="303"/>
      <c r="K90" s="303"/>
      <c r="S90" s="303" t="s">
        <v>453</v>
      </c>
      <c r="T90" s="303">
        <v>2</v>
      </c>
      <c r="U90" s="303">
        <v>0.84007544642522958</v>
      </c>
      <c r="V90" s="303">
        <v>0.42003772321261479</v>
      </c>
      <c r="W90" s="303"/>
      <c r="X90" s="303"/>
      <c r="AD90" s="303" t="s">
        <v>453</v>
      </c>
      <c r="AE90" s="303">
        <v>1</v>
      </c>
      <c r="AF90" s="303">
        <v>3.4695761253655157</v>
      </c>
      <c r="AG90" s="303">
        <v>3.4695761253655157</v>
      </c>
      <c r="AH90" s="303"/>
      <c r="AI90" s="303"/>
    </row>
    <row r="91" spans="5:38" ht="15" thickBot="1">
      <c r="F91" s="304" t="s">
        <v>111</v>
      </c>
      <c r="G91" s="304">
        <v>8</v>
      </c>
      <c r="H91" s="304">
        <v>25.584724774821794</v>
      </c>
      <c r="I91" s="304"/>
      <c r="J91" s="304"/>
      <c r="K91" s="304"/>
      <c r="S91" s="304" t="s">
        <v>111</v>
      </c>
      <c r="T91" s="304">
        <v>4</v>
      </c>
      <c r="U91" s="304">
        <v>6.7830495755138474</v>
      </c>
      <c r="V91" s="304"/>
      <c r="W91" s="304"/>
      <c r="X91" s="304"/>
      <c r="AD91" s="304" t="s">
        <v>111</v>
      </c>
      <c r="AE91" s="304">
        <v>3</v>
      </c>
      <c r="AF91" s="304">
        <v>16.559263025105341</v>
      </c>
      <c r="AG91" s="304"/>
      <c r="AH91" s="304"/>
      <c r="AI91" s="304"/>
    </row>
    <row r="92" spans="5:38" ht="15" thickBot="1">
      <c r="O92" s="307"/>
    </row>
    <row r="93" spans="5:38">
      <c r="F93" s="305"/>
      <c r="G93" s="305" t="s">
        <v>203</v>
      </c>
      <c r="H93" s="305" t="s">
        <v>197</v>
      </c>
      <c r="I93" s="305" t="s">
        <v>204</v>
      </c>
      <c r="J93" s="305" t="s">
        <v>205</v>
      </c>
      <c r="K93" s="305" t="s">
        <v>206</v>
      </c>
      <c r="L93" s="305" t="s">
        <v>207</v>
      </c>
      <c r="M93" s="305" t="s">
        <v>208</v>
      </c>
      <c r="N93" s="305" t="s">
        <v>209</v>
      </c>
      <c r="O93" s="288"/>
      <c r="S93" s="305"/>
      <c r="T93" s="305" t="s">
        <v>203</v>
      </c>
      <c r="U93" s="305" t="s">
        <v>197</v>
      </c>
      <c r="V93" s="305" t="s">
        <v>204</v>
      </c>
      <c r="W93" s="305" t="s">
        <v>205</v>
      </c>
      <c r="X93" s="305" t="s">
        <v>206</v>
      </c>
      <c r="Y93" s="305" t="s">
        <v>207</v>
      </c>
      <c r="Z93" s="305" t="s">
        <v>208</v>
      </c>
      <c r="AA93" s="305" t="s">
        <v>209</v>
      </c>
      <c r="AB93" s="288"/>
      <c r="AD93" s="305"/>
      <c r="AE93" s="305" t="s">
        <v>203</v>
      </c>
      <c r="AF93" s="305" t="s">
        <v>197</v>
      </c>
      <c r="AG93" s="305" t="s">
        <v>204</v>
      </c>
      <c r="AH93" s="305" t="s">
        <v>205</v>
      </c>
      <c r="AI93" s="305" t="s">
        <v>206</v>
      </c>
      <c r="AJ93" s="305" t="s">
        <v>207</v>
      </c>
      <c r="AK93" s="305" t="s">
        <v>208</v>
      </c>
      <c r="AL93" s="305" t="s">
        <v>209</v>
      </c>
    </row>
    <row r="94" spans="5:38">
      <c r="F94" s="303" t="s">
        <v>467</v>
      </c>
      <c r="G94" s="303">
        <v>1.2491601521887172</v>
      </c>
      <c r="H94" s="303">
        <v>2.3427461876355551</v>
      </c>
      <c r="I94" s="303">
        <v>0.53320336568318027</v>
      </c>
      <c r="J94" s="303">
        <v>0.61305550428192435</v>
      </c>
      <c r="K94" s="303">
        <v>-4.4833332475217258</v>
      </c>
      <c r="L94" s="303">
        <v>6.9816535518991607</v>
      </c>
      <c r="M94" s="303">
        <v>-4.4833332475217258</v>
      </c>
      <c r="N94" s="303">
        <v>6.9816535518991607</v>
      </c>
      <c r="O94" s="303"/>
      <c r="S94" s="303" t="s">
        <v>467</v>
      </c>
      <c r="T94" s="303">
        <v>4.1974423835567078</v>
      </c>
      <c r="U94" s="303">
        <v>1.949737594071886</v>
      </c>
      <c r="V94" s="303">
        <v>2.1528242550786811</v>
      </c>
      <c r="W94" s="303">
        <v>0.16420552722071932</v>
      </c>
      <c r="X94" s="303">
        <v>-4.1916013974723016</v>
      </c>
      <c r="Y94" s="303">
        <v>12.586486164585718</v>
      </c>
      <c r="Z94" s="303">
        <v>-4.1916013974723016</v>
      </c>
      <c r="AA94" s="303">
        <v>12.586486164585718</v>
      </c>
      <c r="AB94" s="303"/>
      <c r="AD94" s="303" t="s">
        <v>467</v>
      </c>
      <c r="AE94" s="303">
        <v>-15.884128704221141</v>
      </c>
      <c r="AF94" s="303">
        <v>18.597601809723137</v>
      </c>
      <c r="AG94" s="303">
        <v>-0.85409553698029239</v>
      </c>
      <c r="AH94" s="303">
        <v>0.54999453478751548</v>
      </c>
      <c r="AI94" s="303">
        <v>-252.18906485973031</v>
      </c>
      <c r="AJ94" s="303">
        <v>220.420807451288</v>
      </c>
      <c r="AK94" s="303">
        <v>-252.18906485973031</v>
      </c>
      <c r="AL94" s="303">
        <v>220.420807451288</v>
      </c>
    </row>
    <row r="95" spans="5:38" ht="15">
      <c r="E95" s="309" t="s">
        <v>468</v>
      </c>
      <c r="F95" s="303" t="s">
        <v>448</v>
      </c>
      <c r="G95" s="303">
        <v>-1.3779166352302048E-6</v>
      </c>
      <c r="H95" s="303">
        <v>4.077318307147996E-7</v>
      </c>
      <c r="I95" s="303">
        <v>-3.3794679037311424</v>
      </c>
      <c r="J95" s="306">
        <v>1.4867559963024586E-2</v>
      </c>
      <c r="K95" s="303">
        <v>-2.375600481973933E-6</v>
      </c>
      <c r="L95" s="303">
        <v>-3.8023278848647676E-7</v>
      </c>
      <c r="M95" s="303">
        <v>-2.375600481973933E-6</v>
      </c>
      <c r="N95" s="303">
        <v>-3.8023278848647676E-7</v>
      </c>
      <c r="O95" s="303"/>
      <c r="Q95" s="309" t="s">
        <v>468</v>
      </c>
      <c r="S95" s="303" t="s">
        <v>448</v>
      </c>
      <c r="T95" s="303">
        <v>-2.2819780827901812E-6</v>
      </c>
      <c r="U95" s="303">
        <v>6.1839599283231125E-7</v>
      </c>
      <c r="V95" s="303">
        <v>-3.6901566459680777</v>
      </c>
      <c r="W95" s="303">
        <v>6.6224582517371983E-2</v>
      </c>
      <c r="X95" s="303">
        <v>-4.9427212892895325E-6</v>
      </c>
      <c r="Y95" s="303">
        <v>3.7876512370917017E-7</v>
      </c>
      <c r="Z95" s="303">
        <v>-4.9427212892895325E-6</v>
      </c>
      <c r="AA95" s="303">
        <v>3.7876512370917017E-7</v>
      </c>
      <c r="AB95" s="303"/>
      <c r="AC95" s="309" t="s">
        <v>468</v>
      </c>
      <c r="AD95" s="303" t="s">
        <v>448</v>
      </c>
      <c r="AE95" s="303">
        <v>-1.7298473196515119E-6</v>
      </c>
      <c r="AF95" s="303">
        <v>9.075687274534853E-7</v>
      </c>
      <c r="AG95" s="303">
        <v>-1.9060234969810261</v>
      </c>
      <c r="AH95" s="303">
        <v>0.30759847196229811</v>
      </c>
      <c r="AI95" s="303">
        <v>-1.3261601380839535E-5</v>
      </c>
      <c r="AJ95" s="303">
        <v>9.8019067415365114E-6</v>
      </c>
      <c r="AK95" s="303">
        <v>-1.3261601380839535E-5</v>
      </c>
      <c r="AL95" s="303">
        <v>9.8019067415365114E-6</v>
      </c>
    </row>
    <row r="96" spans="5:38" ht="15" thickBot="1">
      <c r="E96" s="319" t="s">
        <v>491</v>
      </c>
      <c r="F96" s="304" t="s">
        <v>450</v>
      </c>
      <c r="G96" s="304">
        <v>-1.9131178184783728E-5</v>
      </c>
      <c r="H96" s="304">
        <v>1.1727526338455661E-4</v>
      </c>
      <c r="I96" s="304">
        <v>-0.16313054972258553</v>
      </c>
      <c r="J96" s="304">
        <v>0.87577147911371434</v>
      </c>
      <c r="K96" s="304">
        <v>-3.060934094539683E-4</v>
      </c>
      <c r="L96" s="304">
        <v>2.6783105308440081E-4</v>
      </c>
      <c r="M96" s="304">
        <v>-3.060934094539683E-4</v>
      </c>
      <c r="N96" s="304">
        <v>2.6783105308440081E-4</v>
      </c>
      <c r="O96" s="303"/>
      <c r="Q96" s="319" t="s">
        <v>491</v>
      </c>
      <c r="S96" s="304" t="s">
        <v>450</v>
      </c>
      <c r="T96" s="304">
        <v>-1.3155292357782544E-4</v>
      </c>
      <c r="U96" s="304">
        <v>8.6799007235232657E-5</v>
      </c>
      <c r="V96" s="304">
        <v>-1.5156040117061003</v>
      </c>
      <c r="W96" s="304">
        <v>0.26886047260253282</v>
      </c>
      <c r="X96" s="304">
        <v>-5.0501890898025574E-4</v>
      </c>
      <c r="Y96" s="304">
        <v>2.419130618246048E-4</v>
      </c>
      <c r="Z96" s="304">
        <v>-5.0501890898025574E-4</v>
      </c>
      <c r="AA96" s="304">
        <v>2.419130618246048E-4</v>
      </c>
      <c r="AB96" s="303"/>
      <c r="AC96" s="319" t="s">
        <v>491</v>
      </c>
      <c r="AD96" s="304" t="s">
        <v>450</v>
      </c>
      <c r="AE96" s="304">
        <v>1.0449589197126957E-3</v>
      </c>
      <c r="AF96" s="304">
        <v>1.1723624216171086E-3</v>
      </c>
      <c r="AG96" s="304">
        <v>0.89132754551388838</v>
      </c>
      <c r="AH96" s="304">
        <v>0.53653891111104368</v>
      </c>
      <c r="AI96" s="304">
        <v>-1.385131803178706E-2</v>
      </c>
      <c r="AJ96" s="304">
        <v>1.5941235871212451E-2</v>
      </c>
      <c r="AK96" s="304">
        <v>-1.385131803178706E-2</v>
      </c>
      <c r="AL96" s="304">
        <v>1.5941235871212451E-2</v>
      </c>
    </row>
    <row r="97" spans="6:30" ht="15">
      <c r="F97" s="469" t="s">
        <v>476</v>
      </c>
      <c r="S97" s="469" t="s">
        <v>477</v>
      </c>
      <c r="AD97" s="470" t="s">
        <v>470</v>
      </c>
    </row>
    <row r="100" spans="6:30">
      <c r="F100" s="303"/>
      <c r="G100" s="303"/>
    </row>
    <row r="101" spans="6:30">
      <c r="F101" s="303"/>
      <c r="G101" s="303"/>
    </row>
    <row r="102" spans="6:30">
      <c r="F102" s="303"/>
      <c r="G102" s="303"/>
    </row>
    <row r="103" spans="6:30">
      <c r="F103" s="303"/>
      <c r="G103" s="303"/>
      <c r="H103" s="307"/>
      <c r="I103" s="307"/>
      <c r="J103" s="307"/>
      <c r="K103" s="307"/>
    </row>
    <row r="104" spans="6:30">
      <c r="F104" s="303"/>
      <c r="G104" s="303"/>
      <c r="H104" s="307"/>
      <c r="I104" s="307"/>
      <c r="J104" s="307"/>
      <c r="K104" s="307"/>
    </row>
    <row r="105" spans="6:30">
      <c r="F105" s="307"/>
      <c r="G105" s="307"/>
      <c r="H105" s="307"/>
      <c r="I105" s="307"/>
      <c r="J105" s="307"/>
      <c r="K105" s="307"/>
    </row>
    <row r="106" spans="6:30">
      <c r="F106" s="307"/>
      <c r="G106" s="307"/>
      <c r="H106" s="307"/>
      <c r="I106" s="307"/>
      <c r="J106" s="307"/>
      <c r="K106" s="307"/>
    </row>
    <row r="107" spans="6:30">
      <c r="F107" s="288"/>
      <c r="G107" s="288"/>
      <c r="H107" s="288"/>
      <c r="I107" s="288"/>
      <c r="J107" s="288"/>
      <c r="K107" s="288"/>
      <c r="L107" s="288"/>
    </row>
    <row r="108" spans="6:30">
      <c r="F108" s="303"/>
      <c r="G108" s="303"/>
      <c r="H108" s="303"/>
      <c r="I108" s="303"/>
      <c r="J108" s="303"/>
      <c r="K108" s="303"/>
      <c r="L108" s="303"/>
    </row>
    <row r="109" spans="6:30">
      <c r="F109" s="303"/>
      <c r="G109" s="303"/>
      <c r="H109" s="303"/>
      <c r="I109" s="303"/>
      <c r="J109" s="303"/>
      <c r="K109" s="303"/>
      <c r="L109" s="303"/>
    </row>
    <row r="110" spans="6:30">
      <c r="F110" s="303"/>
      <c r="G110" s="303"/>
      <c r="H110" s="303"/>
      <c r="I110" s="303"/>
      <c r="J110" s="303"/>
      <c r="K110" s="303"/>
      <c r="L110" s="303"/>
    </row>
    <row r="141" spans="6:6" ht="15">
      <c r="F141" s="298" t="s">
        <v>455</v>
      </c>
    </row>
    <row r="142" spans="6:6" ht="15">
      <c r="F142" s="296" t="s">
        <v>481</v>
      </c>
    </row>
    <row r="143" spans="6:6">
      <c r="F143" s="284" t="s">
        <v>459</v>
      </c>
    </row>
    <row r="144" spans="6:6" ht="15" thickBot="1"/>
    <row r="145" spans="6:14">
      <c r="F145" s="302" t="s">
        <v>460</v>
      </c>
      <c r="G145" s="302"/>
    </row>
    <row r="146" spans="6:14">
      <c r="F146" s="303" t="s">
        <v>461</v>
      </c>
      <c r="G146" s="303">
        <v>0.81880299020598168</v>
      </c>
    </row>
    <row r="147" spans="6:14">
      <c r="F147" s="303" t="s">
        <v>462</v>
      </c>
      <c r="G147" s="303">
        <v>0.67043833677025699</v>
      </c>
    </row>
    <row r="148" spans="6:14">
      <c r="F148" s="303" t="s">
        <v>463</v>
      </c>
      <c r="G148" s="303">
        <v>0.47270133883241117</v>
      </c>
    </row>
    <row r="149" spans="6:14">
      <c r="F149" s="303" t="s">
        <v>197</v>
      </c>
      <c r="G149" s="303">
        <v>1.2824553225220934</v>
      </c>
    </row>
    <row r="150" spans="6:14" ht="15" thickBot="1">
      <c r="F150" s="304" t="s">
        <v>464</v>
      </c>
      <c r="G150" s="304">
        <v>9</v>
      </c>
    </row>
    <row r="152" spans="6:14" ht="15" thickBot="1">
      <c r="F152" s="284" t="s">
        <v>465</v>
      </c>
    </row>
    <row r="153" spans="6:14">
      <c r="F153" s="305"/>
      <c r="G153" s="305" t="s">
        <v>198</v>
      </c>
      <c r="H153" s="305" t="s">
        <v>199</v>
      </c>
      <c r="I153" s="305" t="s">
        <v>200</v>
      </c>
      <c r="J153" s="305" t="s">
        <v>201</v>
      </c>
      <c r="K153" s="305" t="s">
        <v>202</v>
      </c>
    </row>
    <row r="154" spans="6:14">
      <c r="F154" s="303" t="s">
        <v>466</v>
      </c>
      <c r="G154" s="303">
        <v>3</v>
      </c>
      <c r="H154" s="303">
        <v>16.729256770633974</v>
      </c>
      <c r="I154" s="303">
        <v>5.576418923544658</v>
      </c>
      <c r="J154" s="303">
        <v>3.3905558583477347</v>
      </c>
      <c r="K154" s="303">
        <v>0.11095409894223345</v>
      </c>
    </row>
    <row r="155" spans="6:14">
      <c r="F155" s="303" t="s">
        <v>453</v>
      </c>
      <c r="G155" s="303">
        <v>5</v>
      </c>
      <c r="H155" s="303">
        <v>8.2234582713262316</v>
      </c>
      <c r="I155" s="303">
        <v>1.6446916542652463</v>
      </c>
      <c r="J155" s="303"/>
      <c r="K155" s="303"/>
    </row>
    <row r="156" spans="6:14" ht="15" thickBot="1">
      <c r="F156" s="304" t="s">
        <v>111</v>
      </c>
      <c r="G156" s="304">
        <v>8</v>
      </c>
      <c r="H156" s="304">
        <v>24.952715041960204</v>
      </c>
      <c r="I156" s="304"/>
      <c r="J156" s="304"/>
      <c r="K156" s="304"/>
    </row>
    <row r="157" spans="6:14" ht="15" thickBot="1"/>
    <row r="158" spans="6:14">
      <c r="F158" s="305"/>
      <c r="G158" s="305" t="s">
        <v>203</v>
      </c>
      <c r="H158" s="305" t="s">
        <v>197</v>
      </c>
      <c r="I158" s="305" t="s">
        <v>204</v>
      </c>
      <c r="J158" s="305" t="s">
        <v>205</v>
      </c>
      <c r="K158" s="305" t="s">
        <v>206</v>
      </c>
      <c r="L158" s="305" t="s">
        <v>207</v>
      </c>
      <c r="M158" s="305" t="s">
        <v>208</v>
      </c>
      <c r="N158" s="305" t="s">
        <v>209</v>
      </c>
    </row>
    <row r="159" spans="6:14">
      <c r="F159" s="303" t="s">
        <v>467</v>
      </c>
      <c r="G159" s="303">
        <v>1.3692542549338211</v>
      </c>
      <c r="H159" s="303">
        <v>2.4975825283586501</v>
      </c>
      <c r="I159" s="303">
        <v>0.54823183594003655</v>
      </c>
      <c r="J159" s="303">
        <v>0.60711090573767956</v>
      </c>
      <c r="K159" s="303">
        <v>-5.0509860231228787</v>
      </c>
      <c r="L159" s="303">
        <v>7.7894945329905214</v>
      </c>
      <c r="M159" s="303">
        <v>-5.0509860231228787</v>
      </c>
      <c r="N159" s="303">
        <v>7.7894945329905214</v>
      </c>
    </row>
    <row r="160" spans="6:14">
      <c r="F160" s="303" t="s">
        <v>448</v>
      </c>
      <c r="G160" s="303">
        <v>-1.2907047469034778E-6</v>
      </c>
      <c r="H160" s="303">
        <v>4.9632571241018831E-7</v>
      </c>
      <c r="I160" s="303">
        <v>-2.6005196076498551</v>
      </c>
      <c r="J160" s="315">
        <v>4.8219143592849442E-2</v>
      </c>
      <c r="K160" s="303">
        <v>-2.5665506073184236E-6</v>
      </c>
      <c r="L160" s="303">
        <v>-1.4858886488532179E-8</v>
      </c>
      <c r="M160" s="303">
        <v>-2.5665506073184236E-6</v>
      </c>
      <c r="N160" s="303">
        <v>-1.4858886488532179E-8</v>
      </c>
    </row>
    <row r="161" spans="6:14">
      <c r="F161" s="303" t="s">
        <v>450</v>
      </c>
      <c r="G161" s="303">
        <v>-2.3181980355828964E-5</v>
      </c>
      <c r="H161" s="303">
        <v>1.2514877654570068E-4</v>
      </c>
      <c r="I161" s="303">
        <v>-0.18523537341464605</v>
      </c>
      <c r="J161" s="303">
        <v>0.86032402827920851</v>
      </c>
      <c r="K161" s="303">
        <v>-3.4488715197882871E-4</v>
      </c>
      <c r="L161" s="303">
        <v>2.985231912671708E-4</v>
      </c>
      <c r="M161" s="303">
        <v>-3.4488715197882871E-4</v>
      </c>
      <c r="N161" s="303">
        <v>2.985231912671708E-4</v>
      </c>
    </row>
    <row r="162" spans="6:14" ht="15" thickBot="1">
      <c r="F162" s="316" t="s">
        <v>449</v>
      </c>
      <c r="G162" s="304">
        <v>-2.8472973352942321E-8</v>
      </c>
      <c r="H162" s="304">
        <v>8.8652237377928398E-8</v>
      </c>
      <c r="I162" s="304">
        <v>-0.32117602663044792</v>
      </c>
      <c r="J162" s="304">
        <v>0.76106794658545451</v>
      </c>
      <c r="K162" s="304">
        <v>-2.5636080436193935E-7</v>
      </c>
      <c r="L162" s="304">
        <v>1.9941485765605471E-7</v>
      </c>
      <c r="M162" s="304">
        <v>-2.5636080436193935E-7</v>
      </c>
      <c r="N162" s="304">
        <v>1.9941485765605471E-7</v>
      </c>
    </row>
    <row r="163" spans="6:14">
      <c r="F163" s="312" t="s">
        <v>482</v>
      </c>
    </row>
    <row r="166" spans="6:14" ht="15">
      <c r="F166" s="298" t="s">
        <v>483</v>
      </c>
    </row>
    <row r="167" spans="6:14" ht="15">
      <c r="F167" s="296" t="s">
        <v>481</v>
      </c>
    </row>
    <row r="168" spans="6:14">
      <c r="F168" s="284" t="s">
        <v>459</v>
      </c>
    </row>
    <row r="169" spans="6:14" ht="15" thickBot="1"/>
    <row r="170" spans="6:14">
      <c r="F170" s="302" t="s">
        <v>460</v>
      </c>
      <c r="G170" s="302"/>
    </row>
    <row r="171" spans="6:14">
      <c r="F171" s="303" t="s">
        <v>461</v>
      </c>
      <c r="G171" s="303">
        <v>0.72946513108065203</v>
      </c>
    </row>
    <row r="172" spans="6:14">
      <c r="F172" s="303" t="s">
        <v>462</v>
      </c>
      <c r="G172" s="303">
        <v>0.53211937746251292</v>
      </c>
    </row>
    <row r="173" spans="6:14">
      <c r="F173" s="303" t="s">
        <v>463</v>
      </c>
      <c r="G173" s="303">
        <v>0.29817906619376933</v>
      </c>
    </row>
    <row r="174" spans="6:14">
      <c r="F174" s="303" t="s">
        <v>197</v>
      </c>
      <c r="G174" s="303">
        <v>1.4390665721892322</v>
      </c>
    </row>
    <row r="175" spans="6:14" ht="15" thickBot="1">
      <c r="F175" s="304" t="s">
        <v>464</v>
      </c>
      <c r="G175" s="304">
        <v>10</v>
      </c>
    </row>
    <row r="177" spans="6:14" ht="15" thickBot="1">
      <c r="F177" s="284" t="s">
        <v>465</v>
      </c>
    </row>
    <row r="178" spans="6:14">
      <c r="F178" s="305"/>
      <c r="G178" s="305" t="s">
        <v>198</v>
      </c>
      <c r="H178" s="305" t="s">
        <v>199</v>
      </c>
      <c r="I178" s="305" t="s">
        <v>200</v>
      </c>
      <c r="J178" s="305" t="s">
        <v>201</v>
      </c>
      <c r="K178" s="305" t="s">
        <v>202</v>
      </c>
    </row>
    <row r="179" spans="6:14">
      <c r="F179" s="303" t="s">
        <v>466</v>
      </c>
      <c r="G179" s="303">
        <v>3</v>
      </c>
      <c r="H179" s="303">
        <v>14.131460077382606</v>
      </c>
      <c r="I179" s="303">
        <v>4.7104866924608686</v>
      </c>
      <c r="J179" s="303">
        <v>2.2745946373099857</v>
      </c>
      <c r="K179" s="303">
        <v>0.18009148424859658</v>
      </c>
    </row>
    <row r="180" spans="6:14">
      <c r="F180" s="303" t="s">
        <v>453</v>
      </c>
      <c r="G180" s="303">
        <v>6</v>
      </c>
      <c r="H180" s="303">
        <v>12.425475595154801</v>
      </c>
      <c r="I180" s="303">
        <v>2.0709125991924666</v>
      </c>
      <c r="J180" s="303"/>
      <c r="K180" s="303"/>
    </row>
    <row r="181" spans="6:14" ht="15" thickBot="1">
      <c r="F181" s="304" t="s">
        <v>111</v>
      </c>
      <c r="G181" s="304">
        <v>9</v>
      </c>
      <c r="H181" s="304">
        <v>26.556935672537406</v>
      </c>
      <c r="I181" s="304"/>
      <c r="J181" s="304"/>
      <c r="K181" s="304"/>
    </row>
    <row r="182" spans="6:14" ht="15" thickBot="1"/>
    <row r="183" spans="6:14">
      <c r="F183" s="305"/>
      <c r="G183" s="305" t="s">
        <v>203</v>
      </c>
      <c r="H183" s="305" t="s">
        <v>197</v>
      </c>
      <c r="I183" s="305" t="s">
        <v>204</v>
      </c>
      <c r="J183" s="305" t="s">
        <v>205</v>
      </c>
      <c r="K183" s="305" t="s">
        <v>206</v>
      </c>
      <c r="L183" s="305" t="s">
        <v>207</v>
      </c>
      <c r="M183" s="305" t="s">
        <v>208</v>
      </c>
      <c r="N183" s="305" t="s">
        <v>209</v>
      </c>
    </row>
    <row r="184" spans="6:14">
      <c r="F184" s="303" t="s">
        <v>467</v>
      </c>
      <c r="G184" s="303">
        <v>1.9872721508585611</v>
      </c>
      <c r="H184" s="303">
        <v>2.7687965268549077</v>
      </c>
      <c r="I184" s="303">
        <v>0.71773860288531754</v>
      </c>
      <c r="J184" s="303">
        <v>0.49989648534769726</v>
      </c>
      <c r="K184" s="303">
        <v>-4.7877288710643784</v>
      </c>
      <c r="L184" s="303">
        <v>8.7622731727815015</v>
      </c>
      <c r="M184" s="303">
        <v>-4.7877288710643784</v>
      </c>
      <c r="N184" s="303">
        <v>8.7622731727815015</v>
      </c>
    </row>
    <row r="185" spans="6:14">
      <c r="F185" s="303" t="s">
        <v>448</v>
      </c>
      <c r="G185" s="303">
        <v>-1.0856304126745491E-6</v>
      </c>
      <c r="H185" s="303">
        <v>5.3800683791849955E-7</v>
      </c>
      <c r="I185" s="303">
        <v>-2.0178747483484716</v>
      </c>
      <c r="J185" s="303">
        <v>9.0165474993656292E-2</v>
      </c>
      <c r="K185" s="303">
        <v>-2.4020857178391136E-6</v>
      </c>
      <c r="L185" s="303">
        <v>2.308248924900154E-7</v>
      </c>
      <c r="M185" s="303">
        <v>-2.4020857178391136E-6</v>
      </c>
      <c r="N185" s="303">
        <v>2.308248924900154E-7</v>
      </c>
    </row>
    <row r="186" spans="6:14">
      <c r="F186" s="303" t="s">
        <v>450</v>
      </c>
      <c r="G186" s="303">
        <v>-4.7412283097780813E-5</v>
      </c>
      <c r="H186" s="303">
        <v>1.393977127555566E-4</v>
      </c>
      <c r="I186" s="303">
        <v>-0.34012238910204706</v>
      </c>
      <c r="J186" s="303">
        <v>0.7453557016322564</v>
      </c>
      <c r="K186" s="303">
        <v>-3.8850619780497249E-4</v>
      </c>
      <c r="L186" s="303">
        <v>2.9368163160941083E-4</v>
      </c>
      <c r="M186" s="303">
        <v>-3.8850619780497249E-4</v>
      </c>
      <c r="N186" s="303">
        <v>2.9368163160941083E-4</v>
      </c>
    </row>
    <row r="187" spans="6:14" ht="15" thickBot="1">
      <c r="F187" s="316" t="s">
        <v>449</v>
      </c>
      <c r="G187" s="304">
        <v>-5.0892926233561329E-8</v>
      </c>
      <c r="H187" s="304">
        <v>9.8225274597748844E-8</v>
      </c>
      <c r="I187" s="304">
        <v>-0.51812455034590155</v>
      </c>
      <c r="J187" s="304">
        <v>0.62291491759699458</v>
      </c>
      <c r="K187" s="304">
        <v>-2.9124151426589618E-7</v>
      </c>
      <c r="L187" s="304">
        <v>1.8945566179877355E-7</v>
      </c>
      <c r="M187" s="304">
        <v>-2.9124151426589618E-7</v>
      </c>
      <c r="N187" s="304">
        <v>1.8945566179877355E-7</v>
      </c>
    </row>
    <row r="188" spans="6:14">
      <c r="F188" s="315" t="s">
        <v>484</v>
      </c>
    </row>
    <row r="190" spans="6:14" ht="15">
      <c r="F190" s="298" t="s">
        <v>483</v>
      </c>
    </row>
    <row r="191" spans="6:14" ht="15">
      <c r="F191" s="296" t="s">
        <v>458</v>
      </c>
    </row>
    <row r="192" spans="6:14">
      <c r="F192" s="284" t="s">
        <v>459</v>
      </c>
    </row>
    <row r="193" spans="6:14" ht="15" thickBot="1"/>
    <row r="194" spans="6:14">
      <c r="F194" s="302" t="s">
        <v>460</v>
      </c>
      <c r="G194" s="302"/>
    </row>
    <row r="195" spans="6:14">
      <c r="F195" s="303" t="s">
        <v>461</v>
      </c>
      <c r="G195" s="303">
        <v>0.72325540885506245</v>
      </c>
    </row>
    <row r="196" spans="6:14">
      <c r="F196" s="303" t="s">
        <v>462</v>
      </c>
      <c r="G196" s="303">
        <v>0.52309838643810358</v>
      </c>
    </row>
    <row r="197" spans="6:14">
      <c r="F197" s="303" t="s">
        <v>463</v>
      </c>
      <c r="G197" s="303">
        <v>0.38684078256327609</v>
      </c>
    </row>
    <row r="198" spans="6:14">
      <c r="F198" s="303" t="s">
        <v>197</v>
      </c>
      <c r="G198" s="303">
        <v>1.3450993310900647</v>
      </c>
    </row>
    <row r="199" spans="6:14" ht="15" thickBot="1">
      <c r="F199" s="304" t="s">
        <v>464</v>
      </c>
      <c r="G199" s="304">
        <v>10</v>
      </c>
    </row>
    <row r="201" spans="6:14" ht="15" thickBot="1">
      <c r="F201" s="284" t="s">
        <v>465</v>
      </c>
    </row>
    <row r="202" spans="6:14">
      <c r="F202" s="305"/>
      <c r="G202" s="305" t="s">
        <v>198</v>
      </c>
      <c r="H202" s="305" t="s">
        <v>199</v>
      </c>
      <c r="I202" s="305" t="s">
        <v>200</v>
      </c>
      <c r="J202" s="305" t="s">
        <v>201</v>
      </c>
      <c r="K202" s="305" t="s">
        <v>202</v>
      </c>
    </row>
    <row r="203" spans="6:14">
      <c r="F203" s="303" t="s">
        <v>466</v>
      </c>
      <c r="G203" s="303">
        <v>2</v>
      </c>
      <c r="H203" s="303">
        <v>13.89189019904483</v>
      </c>
      <c r="I203" s="303">
        <v>6.9459450995224152</v>
      </c>
      <c r="J203" s="303">
        <v>3.8390399622662206</v>
      </c>
      <c r="K203" s="303">
        <v>7.4903268903628015E-2</v>
      </c>
    </row>
    <row r="204" spans="6:14">
      <c r="F204" s="303" t="s">
        <v>453</v>
      </c>
      <c r="G204" s="303">
        <v>7</v>
      </c>
      <c r="H204" s="303">
        <v>12.665045473492576</v>
      </c>
      <c r="I204" s="303">
        <v>1.8092922104989395</v>
      </c>
      <c r="J204" s="303"/>
      <c r="K204" s="303"/>
    </row>
    <row r="205" spans="6:14" ht="15" thickBot="1">
      <c r="F205" s="304" t="s">
        <v>111</v>
      </c>
      <c r="G205" s="304">
        <v>9</v>
      </c>
      <c r="H205" s="304">
        <v>26.556935672537406</v>
      </c>
      <c r="I205" s="304"/>
      <c r="J205" s="304"/>
      <c r="K205" s="304"/>
    </row>
    <row r="206" spans="6:14" ht="15" thickBot="1"/>
    <row r="207" spans="6:14">
      <c r="F207" s="305"/>
      <c r="G207" s="305" t="s">
        <v>203</v>
      </c>
      <c r="H207" s="305" t="s">
        <v>197</v>
      </c>
      <c r="I207" s="305" t="s">
        <v>204</v>
      </c>
      <c r="J207" s="305" t="s">
        <v>205</v>
      </c>
      <c r="K207" s="305" t="s">
        <v>206</v>
      </c>
      <c r="L207" s="305" t="s">
        <v>207</v>
      </c>
      <c r="M207" s="305" t="s">
        <v>208</v>
      </c>
      <c r="N207" s="305" t="s">
        <v>209</v>
      </c>
    </row>
    <row r="208" spans="6:14">
      <c r="F208" s="303" t="s">
        <v>467</v>
      </c>
      <c r="G208" s="303">
        <v>1.0775921943632607</v>
      </c>
      <c r="H208" s="303">
        <v>0.66942468146631984</v>
      </c>
      <c r="I208" s="303">
        <v>1.609728807732161</v>
      </c>
      <c r="J208" s="303">
        <v>0.15149239612068285</v>
      </c>
      <c r="K208" s="303">
        <v>-0.50534564161602247</v>
      </c>
      <c r="L208" s="303">
        <v>2.6605300303425441</v>
      </c>
      <c r="M208" s="303">
        <v>-0.50534564161602247</v>
      </c>
      <c r="N208" s="303">
        <v>2.6605300303425441</v>
      </c>
    </row>
    <row r="209" spans="6:14">
      <c r="F209" s="308" t="s">
        <v>448</v>
      </c>
      <c r="G209" s="303">
        <v>-1.0456172543255138E-6</v>
      </c>
      <c r="H209" s="303">
        <v>4.9070676863360977E-7</v>
      </c>
      <c r="I209" s="303">
        <v>-2.130839273395539</v>
      </c>
      <c r="J209" s="303">
        <v>7.0582669284991448E-2</v>
      </c>
      <c r="K209" s="303">
        <v>-2.2059543795415242E-6</v>
      </c>
      <c r="L209" s="303">
        <v>1.1471987089049655E-7</v>
      </c>
      <c r="M209" s="303">
        <v>-2.2059543795415242E-6</v>
      </c>
      <c r="N209" s="303">
        <v>1.1471987089049655E-7</v>
      </c>
    </row>
    <row r="210" spans="6:14" ht="15" thickBot="1">
      <c r="F210" s="310" t="s">
        <v>449</v>
      </c>
      <c r="G210" s="304">
        <v>-5.3843682232183351E-8</v>
      </c>
      <c r="H210" s="304">
        <v>9.1452612870651839E-8</v>
      </c>
      <c r="I210" s="304">
        <v>-0.58876045792522558</v>
      </c>
      <c r="J210" s="304">
        <v>0.57452062748060273</v>
      </c>
      <c r="K210" s="304">
        <v>-2.7009474843880655E-7</v>
      </c>
      <c r="L210" s="304">
        <v>1.6240738397443982E-7</v>
      </c>
      <c r="M210" s="304">
        <v>-2.7009474843880655E-7</v>
      </c>
      <c r="N210" s="304">
        <v>1.6240738397443982E-7</v>
      </c>
    </row>
    <row r="211" spans="6:14">
      <c r="F211" s="315" t="s">
        <v>484</v>
      </c>
    </row>
  </sheetData>
  <pageMargins left="0.75" right="0.75" top="1" bottom="1" header="0.5" footer="0.5"/>
  <pageSetup orientation="portrait" r:id="rId1"/>
  <headerFooter alignWithMargins="0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>
  <dimension ref="A1:T48"/>
  <sheetViews>
    <sheetView topLeftCell="A22" workbookViewId="0">
      <selection activeCell="H40" sqref="H40"/>
    </sheetView>
  </sheetViews>
  <sheetFormatPr defaultColWidth="9.140625" defaultRowHeight="14.25"/>
  <cols>
    <col min="1" max="1" width="13.140625" style="452" bestFit="1" customWidth="1"/>
    <col min="2" max="2" width="13.140625" style="452" customWidth="1"/>
    <col min="3" max="3" width="11.28515625" style="452" customWidth="1"/>
    <col min="4" max="4" width="11" style="452" bestFit="1" customWidth="1"/>
    <col min="5" max="5" width="10.5703125" style="452" bestFit="1" customWidth="1"/>
    <col min="6" max="6" width="9.140625" style="452"/>
    <col min="7" max="7" width="14.5703125" style="452" customWidth="1"/>
    <col min="8" max="8" width="12.7109375" style="452" customWidth="1"/>
    <col min="9" max="9" width="15.42578125" style="452" customWidth="1"/>
    <col min="10" max="11" width="12.7109375" style="452" customWidth="1"/>
    <col min="12" max="12" width="15.140625" style="452" customWidth="1"/>
    <col min="13" max="15" width="12.7109375" style="452" customWidth="1"/>
    <col min="16" max="16" width="9.140625" style="452"/>
    <col min="17" max="17" width="14.7109375" style="452" bestFit="1" customWidth="1"/>
    <col min="18" max="18" width="12.85546875" style="452" bestFit="1" customWidth="1"/>
    <col min="19" max="19" width="11.7109375" style="452" bestFit="1" customWidth="1"/>
    <col min="20" max="20" width="11" style="452" bestFit="1" customWidth="1"/>
    <col min="21" max="16384" width="9.140625" style="452"/>
  </cols>
  <sheetData>
    <row r="1" spans="1:20" ht="15">
      <c r="A1" s="459" t="s">
        <v>681</v>
      </c>
      <c r="B1" s="459"/>
      <c r="C1" s="444"/>
      <c r="D1" s="444"/>
      <c r="Q1" s="307"/>
      <c r="R1" s="289"/>
      <c r="S1" s="289"/>
      <c r="T1" s="289"/>
    </row>
    <row r="2" spans="1:20">
      <c r="C2" s="444"/>
      <c r="D2" s="444"/>
      <c r="Q2" s="307"/>
      <c r="R2" s="289"/>
      <c r="S2" s="289"/>
      <c r="T2" s="289"/>
    </row>
    <row r="3" spans="1:20">
      <c r="A3" s="444"/>
      <c r="B3" s="444" t="s">
        <v>96</v>
      </c>
      <c r="C3" s="444" t="s">
        <v>96</v>
      </c>
      <c r="D3" s="444" t="s">
        <v>673</v>
      </c>
      <c r="Q3" s="307"/>
      <c r="R3" s="289"/>
      <c r="S3" s="289"/>
      <c r="T3" s="289"/>
    </row>
    <row r="4" spans="1:20">
      <c r="A4" s="444" t="s">
        <v>210</v>
      </c>
      <c r="B4" s="458" t="s">
        <v>178</v>
      </c>
      <c r="C4" s="458" t="s">
        <v>95</v>
      </c>
      <c r="D4" s="458" t="s">
        <v>211</v>
      </c>
      <c r="Q4" s="289"/>
      <c r="R4" s="289"/>
      <c r="S4" s="457"/>
      <c r="T4" s="289"/>
    </row>
    <row r="5" spans="1:20">
      <c r="A5" s="445" t="s">
        <v>0</v>
      </c>
      <c r="B5" s="460" t="s">
        <v>107</v>
      </c>
      <c r="C5" s="460" t="s">
        <v>107</v>
      </c>
      <c r="D5" s="445" t="s">
        <v>212</v>
      </c>
      <c r="Q5" s="289"/>
      <c r="R5" s="288"/>
      <c r="S5" s="288"/>
      <c r="T5" s="288"/>
    </row>
    <row r="6" spans="1:20">
      <c r="A6" s="444">
        <v>2000</v>
      </c>
      <c r="B6" s="456">
        <f>B7*(C6/C7)</f>
        <v>9124881.7090750281</v>
      </c>
      <c r="C6" s="456">
        <f>BroughtonPivot!AG5</f>
        <v>10419064.796003865</v>
      </c>
      <c r="D6" s="456">
        <v>15575.808000000001</v>
      </c>
      <c r="Q6" s="289"/>
      <c r="R6" s="453"/>
      <c r="S6" s="453"/>
      <c r="T6" s="453"/>
    </row>
    <row r="7" spans="1:20" ht="15">
      <c r="A7" s="444">
        <v>2001</v>
      </c>
      <c r="B7" s="456">
        <f>BroughtonPivot!AG16</f>
        <v>7547883.6797598703</v>
      </c>
      <c r="C7" s="456">
        <f>BroughtonPivot!AG17</f>
        <v>8618400.9436424747</v>
      </c>
      <c r="D7" s="456">
        <v>17312.827000000001</v>
      </c>
      <c r="G7" s="459" t="s">
        <v>754</v>
      </c>
      <c r="Q7" s="289"/>
      <c r="R7" s="453"/>
      <c r="S7" s="453"/>
      <c r="T7" s="453"/>
    </row>
    <row r="8" spans="1:20">
      <c r="A8" s="444">
        <v>2002</v>
      </c>
      <c r="B8" s="456">
        <f>BroughtonPivot!AG28</f>
        <v>14640897.840283608</v>
      </c>
      <c r="C8" s="456">
        <f>BroughtonPivot!AG29</f>
        <v>18705715.680859476</v>
      </c>
      <c r="D8" s="456">
        <v>20840.866999999998</v>
      </c>
      <c r="G8" s="452" t="s">
        <v>459</v>
      </c>
      <c r="Q8" s="289"/>
      <c r="R8" s="453"/>
      <c r="S8" s="455"/>
      <c r="T8" s="453"/>
    </row>
    <row r="9" spans="1:20" ht="15" thickBot="1">
      <c r="A9" s="444">
        <v>2003</v>
      </c>
      <c r="B9" s="456">
        <f>BroughtonPivot!AG40</f>
        <v>4849224.7879999997</v>
      </c>
      <c r="C9" s="456">
        <f>BroughtonPivot!AG41</f>
        <v>1412283.8800000001</v>
      </c>
      <c r="D9" s="456">
        <v>16438.332999999999</v>
      </c>
      <c r="Q9" s="289"/>
      <c r="R9" s="453"/>
      <c r="S9" s="455"/>
      <c r="T9" s="453"/>
    </row>
    <row r="10" spans="1:20">
      <c r="A10" s="444">
        <v>2004</v>
      </c>
      <c r="B10" s="456">
        <f>BroughtonPivot!AG52</f>
        <v>5566962.5999999996</v>
      </c>
      <c r="C10" s="456">
        <f>BroughtonPivot!AG53</f>
        <v>7885960.5499999989</v>
      </c>
      <c r="D10" s="456">
        <v>20232.844000000001</v>
      </c>
      <c r="G10" s="471" t="s">
        <v>460</v>
      </c>
      <c r="H10" s="471"/>
      <c r="Q10" s="289"/>
      <c r="R10" s="453"/>
      <c r="S10" s="295"/>
      <c r="T10" s="453"/>
    </row>
    <row r="11" spans="1:20">
      <c r="A11" s="444">
        <v>2005</v>
      </c>
      <c r="B11" s="456">
        <f>BroughtonPivot!AG64</f>
        <v>4019714.8800000004</v>
      </c>
      <c r="C11" s="456">
        <f>BroughtonPivot!AG65</f>
        <v>4261532.12</v>
      </c>
      <c r="D11" s="456">
        <v>17167.415000000001</v>
      </c>
      <c r="G11" s="472" t="s">
        <v>461</v>
      </c>
      <c r="H11" s="472">
        <v>4.8783653024586119E-3</v>
      </c>
      <c r="Q11" s="289"/>
      <c r="R11" s="453"/>
      <c r="S11" s="455"/>
      <c r="T11" s="453"/>
    </row>
    <row r="12" spans="1:20">
      <c r="A12" s="444">
        <v>2006</v>
      </c>
      <c r="B12" s="456">
        <f>BroughtonPivot!AG76</f>
        <v>4490380.3600000013</v>
      </c>
      <c r="C12" s="456">
        <f>BroughtonPivot!AG77</f>
        <v>1095941.2899999998</v>
      </c>
      <c r="D12" s="456">
        <v>26244.225999999999</v>
      </c>
      <c r="G12" s="472" t="s">
        <v>462</v>
      </c>
      <c r="H12" s="472">
        <v>2.3798448024232102E-5</v>
      </c>
      <c r="Q12" s="289"/>
      <c r="R12" s="453"/>
      <c r="S12" s="295"/>
      <c r="T12" s="453"/>
    </row>
    <row r="13" spans="1:20">
      <c r="A13" s="444">
        <v>2007</v>
      </c>
      <c r="B13" s="456">
        <f>BroughtonPivot!AG88</f>
        <v>2310171.0400000005</v>
      </c>
      <c r="C13" s="456">
        <f>BroughtonPivot!AG89</f>
        <v>1442069.35</v>
      </c>
      <c r="D13" s="456">
        <v>14760</v>
      </c>
      <c r="G13" s="472" t="s">
        <v>463</v>
      </c>
      <c r="H13" s="472">
        <v>-0.12497322674597273</v>
      </c>
      <c r="Q13" s="289"/>
      <c r="R13" s="453"/>
      <c r="S13" s="455"/>
      <c r="T13" s="453"/>
    </row>
    <row r="14" spans="1:20">
      <c r="A14" s="444">
        <v>2008</v>
      </c>
      <c r="B14" s="456">
        <f>BroughtonPivot!AG100</f>
        <v>1044197.7799999999</v>
      </c>
      <c r="C14" s="456">
        <f>BroughtonPivot!AG101</f>
        <v>687060.39000000013</v>
      </c>
      <c r="D14" s="456">
        <v>21998</v>
      </c>
      <c r="G14" s="472" t="s">
        <v>197</v>
      </c>
      <c r="H14" s="472">
        <v>4449836.0219900915</v>
      </c>
      <c r="Q14" s="289"/>
      <c r="R14" s="453"/>
      <c r="S14" s="295"/>
      <c r="T14" s="453"/>
    </row>
    <row r="15" spans="1:20" ht="15" thickBot="1">
      <c r="A15" s="444">
        <v>2009</v>
      </c>
      <c r="B15" s="456">
        <f>BroughtonPivot!AG112</f>
        <v>609381.82499999995</v>
      </c>
      <c r="C15" s="456">
        <f>BroughtonPivot!AG113</f>
        <v>164499.79499999998</v>
      </c>
      <c r="D15" s="456">
        <v>18501</v>
      </c>
      <c r="G15" s="473" t="s">
        <v>464</v>
      </c>
      <c r="H15" s="473">
        <v>10</v>
      </c>
      <c r="Q15" s="289"/>
      <c r="R15" s="453"/>
      <c r="S15" s="455"/>
      <c r="T15" s="453"/>
    </row>
    <row r="16" spans="1:20">
      <c r="Q16" s="289"/>
      <c r="R16" s="453"/>
      <c r="S16" s="295"/>
      <c r="T16" s="453"/>
    </row>
    <row r="17" spans="3:20" ht="15" thickBot="1">
      <c r="G17" s="452" t="s">
        <v>465</v>
      </c>
      <c r="Q17" s="289"/>
      <c r="R17" s="453"/>
      <c r="S17" s="455"/>
      <c r="T17" s="453"/>
    </row>
    <row r="18" spans="3:20">
      <c r="C18" s="456"/>
      <c r="G18" s="474"/>
      <c r="H18" s="474" t="s">
        <v>198</v>
      </c>
      <c r="I18" s="474" t="s">
        <v>199</v>
      </c>
      <c r="J18" s="474" t="s">
        <v>200</v>
      </c>
      <c r="K18" s="474" t="s">
        <v>201</v>
      </c>
      <c r="L18" s="474" t="s">
        <v>202</v>
      </c>
      <c r="Q18" s="289"/>
      <c r="R18" s="453"/>
      <c r="S18" s="453"/>
      <c r="T18" s="453"/>
    </row>
    <row r="19" spans="3:20">
      <c r="C19" s="456"/>
      <c r="G19" s="472" t="s">
        <v>466</v>
      </c>
      <c r="H19" s="472">
        <v>1</v>
      </c>
      <c r="I19" s="472">
        <v>3769962007.90625</v>
      </c>
      <c r="J19" s="472">
        <v>3769962007.90625</v>
      </c>
      <c r="K19" s="472">
        <v>1.9039211523071535E-4</v>
      </c>
      <c r="L19" s="472">
        <v>0.98932882986137627</v>
      </c>
      <c r="Q19" s="289"/>
      <c r="R19" s="453"/>
      <c r="S19" s="453"/>
      <c r="T19" s="453"/>
    </row>
    <row r="20" spans="3:20">
      <c r="C20" s="456"/>
      <c r="G20" s="472" t="s">
        <v>453</v>
      </c>
      <c r="H20" s="472">
        <v>8</v>
      </c>
      <c r="I20" s="472">
        <v>158408324980804.84</v>
      </c>
      <c r="J20" s="472">
        <v>19801040622600.605</v>
      </c>
      <c r="K20" s="472"/>
      <c r="L20" s="472"/>
      <c r="Q20" s="289"/>
      <c r="R20" s="453"/>
      <c r="S20" s="453"/>
      <c r="T20" s="453"/>
    </row>
    <row r="21" spans="3:20" ht="15" thickBot="1">
      <c r="C21" s="456"/>
      <c r="G21" s="473" t="s">
        <v>111</v>
      </c>
      <c r="H21" s="473">
        <v>9</v>
      </c>
      <c r="I21" s="473">
        <v>158412094942812.75</v>
      </c>
      <c r="J21" s="473"/>
      <c r="K21" s="473"/>
      <c r="L21" s="473"/>
      <c r="Q21" s="289"/>
      <c r="R21" s="453"/>
      <c r="S21" s="453"/>
      <c r="T21" s="453"/>
    </row>
    <row r="22" spans="3:20" ht="15" thickBot="1">
      <c r="C22" s="456"/>
      <c r="Q22" s="289"/>
      <c r="R22" s="453"/>
      <c r="S22" s="453"/>
      <c r="T22" s="453"/>
    </row>
    <row r="23" spans="3:20">
      <c r="C23" s="456"/>
      <c r="G23" s="474"/>
      <c r="H23" s="474" t="s">
        <v>203</v>
      </c>
      <c r="I23" s="474" t="s">
        <v>197</v>
      </c>
      <c r="J23" s="474" t="s">
        <v>204</v>
      </c>
      <c r="K23" s="474" t="s">
        <v>205</v>
      </c>
      <c r="L23" s="474" t="s">
        <v>206</v>
      </c>
      <c r="M23" s="474" t="s">
        <v>207</v>
      </c>
      <c r="N23" s="474" t="s">
        <v>208</v>
      </c>
      <c r="O23" s="474" t="s">
        <v>209</v>
      </c>
      <c r="Q23" s="289"/>
      <c r="R23" s="453"/>
      <c r="S23" s="453"/>
      <c r="T23" s="453"/>
    </row>
    <row r="24" spans="3:20">
      <c r="C24" s="456"/>
      <c r="G24" s="472" t="s">
        <v>467</v>
      </c>
      <c r="H24" s="472">
        <v>5309179.8560290141</v>
      </c>
      <c r="I24" s="472">
        <v>8180184.0089146029</v>
      </c>
      <c r="J24" s="472">
        <v>0.64902939227811685</v>
      </c>
      <c r="K24" s="472">
        <v>0.53450391797617436</v>
      </c>
      <c r="L24" s="472">
        <v>-13554358.279675402</v>
      </c>
      <c r="M24" s="472">
        <v>24172717.991733432</v>
      </c>
      <c r="N24" s="472">
        <v>-13554358.279675402</v>
      </c>
      <c r="O24" s="472">
        <v>24172717.991733432</v>
      </c>
      <c r="Q24" s="289"/>
      <c r="R24" s="453"/>
      <c r="S24" s="453"/>
      <c r="T24" s="453"/>
    </row>
    <row r="25" spans="3:20" ht="15" thickBot="1">
      <c r="C25" s="456"/>
      <c r="G25" s="473" t="s">
        <v>680</v>
      </c>
      <c r="H25" s="473">
        <v>5.8808387323279634</v>
      </c>
      <c r="I25" s="473">
        <v>426.20132022690893</v>
      </c>
      <c r="J25" s="473">
        <v>1.3798264935446501E-2</v>
      </c>
      <c r="K25" s="473">
        <v>0.98932882986142601</v>
      </c>
      <c r="L25" s="473">
        <v>-976.94116732846464</v>
      </c>
      <c r="M25" s="473">
        <v>988.70284479312068</v>
      </c>
      <c r="N25" s="473">
        <v>-976.94116732846464</v>
      </c>
      <c r="O25" s="473">
        <v>988.70284479312068</v>
      </c>
      <c r="Q25" s="289"/>
      <c r="R25" s="453"/>
      <c r="S25" s="453"/>
      <c r="T25" s="453"/>
    </row>
    <row r="26" spans="3:20" ht="15">
      <c r="C26" s="456"/>
      <c r="G26" s="475" t="s">
        <v>682</v>
      </c>
      <c r="Q26" s="289"/>
      <c r="R26" s="453"/>
      <c r="S26" s="453"/>
      <c r="T26" s="453"/>
    </row>
    <row r="27" spans="3:20">
      <c r="C27" s="456"/>
      <c r="Q27" s="289"/>
      <c r="R27" s="453"/>
      <c r="S27" s="454"/>
      <c r="T27" s="453"/>
    </row>
    <row r="29" spans="3:20" ht="15">
      <c r="G29" s="459" t="s">
        <v>755</v>
      </c>
    </row>
    <row r="30" spans="3:20">
      <c r="G30" s="452" t="s">
        <v>459</v>
      </c>
    </row>
    <row r="31" spans="3:20" ht="15" thickBot="1"/>
    <row r="32" spans="3:20">
      <c r="G32" s="471" t="s">
        <v>460</v>
      </c>
      <c r="H32" s="471"/>
    </row>
    <row r="33" spans="7:15">
      <c r="G33" s="472" t="s">
        <v>461</v>
      </c>
      <c r="H33" s="472">
        <v>4.6099486709877832E-2</v>
      </c>
    </row>
    <row r="34" spans="7:15">
      <c r="G34" s="472" t="s">
        <v>462</v>
      </c>
      <c r="H34" s="472">
        <v>2.125162674914203E-3</v>
      </c>
    </row>
    <row r="35" spans="7:15">
      <c r="G35" s="472" t="s">
        <v>463</v>
      </c>
      <c r="H35" s="472">
        <v>-0.12260919199072152</v>
      </c>
    </row>
    <row r="36" spans="7:15">
      <c r="G36" s="472" t="s">
        <v>197</v>
      </c>
      <c r="H36" s="472">
        <v>6315201.1813025195</v>
      </c>
    </row>
    <row r="37" spans="7:15" ht="15" thickBot="1">
      <c r="G37" s="473" t="s">
        <v>464</v>
      </c>
      <c r="H37" s="473">
        <v>10</v>
      </c>
    </row>
    <row r="39" spans="7:15" ht="15" thickBot="1">
      <c r="G39" s="452" t="s">
        <v>465</v>
      </c>
    </row>
    <row r="40" spans="7:15">
      <c r="G40" s="474"/>
      <c r="H40" s="474" t="s">
        <v>198</v>
      </c>
      <c r="I40" s="474" t="s">
        <v>199</v>
      </c>
      <c r="J40" s="474" t="s">
        <v>200</v>
      </c>
      <c r="K40" s="474" t="s">
        <v>201</v>
      </c>
      <c r="L40" s="474" t="s">
        <v>202</v>
      </c>
    </row>
    <row r="41" spans="7:15">
      <c r="G41" s="472" t="s">
        <v>466</v>
      </c>
      <c r="H41" s="472">
        <v>1</v>
      </c>
      <c r="I41" s="472">
        <v>679485941589.5625</v>
      </c>
      <c r="J41" s="472">
        <v>679485941589.5625</v>
      </c>
      <c r="K41" s="472">
        <v>1.7037508877253079E-2</v>
      </c>
      <c r="L41" s="472">
        <v>0.89937140669297055</v>
      </c>
    </row>
    <row r="42" spans="7:15">
      <c r="G42" s="472" t="s">
        <v>453</v>
      </c>
      <c r="H42" s="472">
        <v>8</v>
      </c>
      <c r="I42" s="472">
        <v>319054127682597.94</v>
      </c>
      <c r="J42" s="472">
        <v>39881765960324.742</v>
      </c>
      <c r="K42" s="472"/>
      <c r="L42" s="472"/>
    </row>
    <row r="43" spans="7:15" ht="15" thickBot="1">
      <c r="G43" s="473" t="s">
        <v>111</v>
      </c>
      <c r="H43" s="473">
        <v>9</v>
      </c>
      <c r="I43" s="473">
        <v>319733613624187.5</v>
      </c>
      <c r="J43" s="473"/>
      <c r="K43" s="473"/>
      <c r="L43" s="473"/>
    </row>
    <row r="44" spans="7:15" ht="15" thickBot="1"/>
    <row r="45" spans="7:15">
      <c r="G45" s="474"/>
      <c r="H45" s="474" t="s">
        <v>203</v>
      </c>
      <c r="I45" s="474" t="s">
        <v>197</v>
      </c>
      <c r="J45" s="474" t="s">
        <v>204</v>
      </c>
      <c r="K45" s="474" t="s">
        <v>205</v>
      </c>
      <c r="L45" s="474" t="s">
        <v>206</v>
      </c>
      <c r="M45" s="474" t="s">
        <v>207</v>
      </c>
      <c r="N45" s="474" t="s">
        <v>208</v>
      </c>
      <c r="O45" s="474" t="s">
        <v>209</v>
      </c>
    </row>
    <row r="46" spans="7:15">
      <c r="G46" s="472" t="s">
        <v>467</v>
      </c>
      <c r="H46" s="472">
        <v>6962001.4962221999</v>
      </c>
      <c r="I46" s="472">
        <v>11609305.929719606</v>
      </c>
      <c r="J46" s="472">
        <v>0.59969144911579997</v>
      </c>
      <c r="K46" s="472">
        <v>0.56530582956926545</v>
      </c>
      <c r="L46" s="472">
        <v>-19809105.962445162</v>
      </c>
      <c r="M46" s="472">
        <v>33733108.954889566</v>
      </c>
      <c r="N46" s="472">
        <v>-19809105.962445162</v>
      </c>
      <c r="O46" s="472">
        <v>33733108.954889566</v>
      </c>
    </row>
    <row r="47" spans="7:15" ht="15" thickBot="1">
      <c r="G47" s="473" t="s">
        <v>680</v>
      </c>
      <c r="H47" s="473">
        <v>-78.951615542305319</v>
      </c>
      <c r="I47" s="473">
        <v>604.86432930756257</v>
      </c>
      <c r="J47" s="473">
        <v>-0.13052780882729134</v>
      </c>
      <c r="K47" s="473">
        <v>0.89937140669297055</v>
      </c>
      <c r="L47" s="473">
        <v>-1473.7712590107428</v>
      </c>
      <c r="M47" s="473">
        <v>1315.8680279261323</v>
      </c>
      <c r="N47" s="473">
        <v>-1473.7712590107428</v>
      </c>
      <c r="O47" s="473">
        <v>1315.8680279261323</v>
      </c>
    </row>
    <row r="48" spans="7:15" ht="15">
      <c r="G48" s="475" t="s">
        <v>683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</vt:i4>
      </vt:variant>
    </vt:vector>
  </HeadingPairs>
  <TitlesOfParts>
    <vt:vector size="14" baseType="lpstr">
      <vt:lpstr>Dataset Caption</vt:lpstr>
      <vt:lpstr>Data for broughton</vt:lpstr>
      <vt:lpstr>BroughtonPivot</vt:lpstr>
      <vt:lpstr>Adjustment accuracy assessment</vt:lpstr>
      <vt:lpstr>Sea Lice Treatments</vt:lpstr>
      <vt:lpstr>Farm fish production</vt:lpstr>
      <vt:lpstr>May L.s. Prev on pink salmon</vt:lpstr>
      <vt:lpstr>Broughton Pink Salmon data</vt:lpstr>
      <vt:lpstr>Reference Pink Salmon data</vt:lpstr>
      <vt:lpstr>Fig. 3A regressions</vt:lpstr>
      <vt:lpstr>Fig. 4 regressions-March</vt:lpstr>
      <vt:lpstr>Fig. 4 regressions-April</vt:lpstr>
      <vt:lpstr>Pdtn vs. Lice regression</vt:lpstr>
      <vt:lpstr>BroughtonPivot!Print_Area</vt:lpstr>
    </vt:vector>
  </TitlesOfParts>
  <Company>Sea to Sky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sonja</dc:creator>
  <cp:lastModifiedBy> Gary D. Marty</cp:lastModifiedBy>
  <cp:lastPrinted>2008-05-31T17:02:39Z</cp:lastPrinted>
  <dcterms:created xsi:type="dcterms:W3CDTF">2008-03-16T15:18:28Z</dcterms:created>
  <dcterms:modified xsi:type="dcterms:W3CDTF">2010-11-11T02:38:25Z</dcterms:modified>
</cp:coreProperties>
</file>